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DeTrabalho"/>
  <mc:AlternateContent xmlns:mc="http://schemas.openxmlformats.org/markup-compatibility/2006">
    <mc:Choice Requires="x15">
      <x15ac:absPath xmlns:x15ac="http://schemas.microsoft.com/office/spreadsheetml/2010/11/ac" url="U:\SEORC\PESQUISAS DE PREÇOS\2023\00200.004639-2023-11 - Instalação de splits no bloco 17\"/>
    </mc:Choice>
  </mc:AlternateContent>
  <bookViews>
    <workbookView xWindow="-105" yWindow="-105" windowWidth="23250" windowHeight="12450" tabRatio="858" activeTab="3"/>
  </bookViews>
  <sheets>
    <sheet name="Composições" sheetId="5" r:id="rId1"/>
    <sheet name="Comp.Aux1" sheetId="6" r:id="rId2"/>
    <sheet name="Comp.Aux2" sheetId="7" r:id="rId3"/>
    <sheet name="Orçamentária" sheetId="8" r:id="rId4"/>
    <sheet name="BDI" sheetId="9" r:id="rId5"/>
  </sheets>
  <definedNames>
    <definedName name="_xlnm._FilterDatabase" localSheetId="1" hidden="1">'Comp.Aux1'!$A$5:$I$643</definedName>
    <definedName name="_xlnm._FilterDatabase" localSheetId="2" hidden="1">'Comp.Aux2'!$A$5:$I$139</definedName>
    <definedName name="_xlnm._FilterDatabase" localSheetId="0" hidden="1">Composições!$A$5:$J$8237</definedName>
    <definedName name="_xlnm._FilterDatabase" localSheetId="3" hidden="1">Orçamentária!$A$5:$J$3492</definedName>
    <definedName name="_xlnm.Print_Area" localSheetId="1">'Comp.Aux1'!$A$1:$G$643</definedName>
    <definedName name="_xlnm.Print_Area" localSheetId="2">'Comp.Aux2'!$A$1:$G$139</definedName>
    <definedName name="_xlnm.Print_Area" localSheetId="0">Composições!$A$1:$H$8237</definedName>
    <definedName name="_xlnm.Print_Area" localSheetId="3">Orçamentária!$A$1:$I$3497</definedName>
    <definedName name="Arial">#REF!</definedName>
    <definedName name="_xlnm.Print_Titles" localSheetId="1">'Comp.Aux1'!$1:$5</definedName>
    <definedName name="_xlnm.Print_Titles" localSheetId="2">'Comp.Aux2'!$1:$5</definedName>
    <definedName name="_xlnm.Print_Titles" localSheetId="0">Composições!$1:$5</definedName>
    <definedName name="_xlnm.Print_Titles" localSheetId="3">Orçamentária!$1:$5</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5" l="1"/>
  <c r="A3" i="5"/>
  <c r="A3493" i="8"/>
  <c r="A7871" i="5"/>
  <c r="A7875" i="5"/>
  <c r="B7875" i="5" s="1"/>
  <c r="B6" i="5"/>
  <c r="G6" i="5"/>
  <c r="G7" i="5"/>
  <c r="G9" i="5"/>
  <c r="B10" i="5"/>
  <c r="G10" i="5"/>
  <c r="G11" i="5"/>
  <c r="G13" i="5"/>
  <c r="B14" i="5"/>
  <c r="G14" i="5"/>
  <c r="G15" i="5"/>
  <c r="G17" i="5"/>
  <c r="B18" i="5"/>
  <c r="G18" i="5"/>
  <c r="G19" i="5"/>
  <c r="G22" i="5"/>
  <c r="B23" i="5"/>
  <c r="G23" i="5"/>
  <c r="G24" i="5"/>
  <c r="G27" i="5"/>
  <c r="B28" i="5"/>
  <c r="G28" i="5"/>
  <c r="G29" i="5"/>
  <c r="G32" i="5"/>
  <c r="B33" i="5"/>
  <c r="G33" i="5"/>
  <c r="G34" i="5"/>
  <c r="G37" i="5"/>
  <c r="B38" i="5"/>
  <c r="G38" i="5"/>
  <c r="G39" i="5"/>
  <c r="G42" i="5"/>
  <c r="B43" i="5"/>
  <c r="G44" i="5"/>
  <c r="G47" i="5"/>
  <c r="B48" i="5"/>
  <c r="G48" i="5"/>
  <c r="G49" i="5"/>
  <c r="E50" i="5"/>
  <c r="E51" i="5"/>
  <c r="G52" i="5"/>
  <c r="B53" i="5"/>
  <c r="G53" i="5"/>
  <c r="G54" i="5"/>
  <c r="G59" i="5"/>
  <c r="B60" i="5"/>
  <c r="G60" i="5"/>
  <c r="G61" i="5"/>
  <c r="G64" i="5"/>
  <c r="B65" i="5"/>
  <c r="G65" i="5"/>
  <c r="G66" i="5"/>
  <c r="G69" i="5"/>
  <c r="B70" i="5"/>
  <c r="G70" i="5"/>
  <c r="G71" i="5"/>
  <c r="G77" i="5"/>
  <c r="B78" i="5"/>
  <c r="G78" i="5"/>
  <c r="G79" i="5"/>
  <c r="G82" i="5"/>
  <c r="B83" i="5"/>
  <c r="G83" i="5"/>
  <c r="G84" i="5"/>
  <c r="G87" i="5"/>
  <c r="B88" i="5"/>
  <c r="G88" i="5"/>
  <c r="G89" i="5"/>
  <c r="E90" i="5"/>
  <c r="E91" i="5"/>
  <c r="G92" i="5"/>
  <c r="B93" i="5"/>
  <c r="G93" i="5"/>
  <c r="G94" i="5"/>
  <c r="E95" i="5"/>
  <c r="E96" i="5"/>
  <c r="G97" i="5"/>
  <c r="B98" i="5"/>
  <c r="G98" i="5"/>
  <c r="G99" i="5"/>
  <c r="G102" i="5"/>
  <c r="B103" i="5"/>
  <c r="G103" i="5"/>
  <c r="G104" i="5"/>
  <c r="E105" i="5"/>
  <c r="G106" i="5"/>
  <c r="B107" i="5"/>
  <c r="G107" i="5"/>
  <c r="G108" i="5"/>
  <c r="G111" i="5"/>
  <c r="B112" i="5"/>
  <c r="G112" i="5"/>
  <c r="G113" i="5"/>
  <c r="G116" i="5"/>
  <c r="B117" i="5"/>
  <c r="G117" i="5"/>
  <c r="G118" i="5"/>
  <c r="G121" i="5"/>
  <c r="B122" i="5"/>
  <c r="G122" i="5"/>
  <c r="G123" i="5"/>
  <c r="G126" i="5"/>
  <c r="B127" i="5"/>
  <c r="G127" i="5"/>
  <c r="G128" i="5"/>
  <c r="G131" i="5"/>
  <c r="B132" i="5"/>
  <c r="G132" i="5"/>
  <c r="G133" i="5"/>
  <c r="G135" i="5"/>
  <c r="B136" i="5"/>
  <c r="G136" i="5"/>
  <c r="G137" i="5"/>
  <c r="E138" i="5"/>
  <c r="G139" i="5"/>
  <c r="B140" i="5"/>
  <c r="G140" i="5"/>
  <c r="G141" i="5"/>
  <c r="G144" i="5"/>
  <c r="B145" i="5"/>
  <c r="G145" i="5"/>
  <c r="G146" i="5"/>
  <c r="G149" i="5"/>
  <c r="B150" i="5"/>
  <c r="G150" i="5"/>
  <c r="G151" i="5"/>
  <c r="G154" i="5"/>
  <c r="B155" i="5"/>
  <c r="G155" i="5"/>
  <c r="G156" i="5"/>
  <c r="E157" i="5"/>
  <c r="E158" i="5"/>
  <c r="G159" i="5"/>
  <c r="G160" i="5"/>
  <c r="G161" i="5"/>
  <c r="B162" i="5"/>
  <c r="G163" i="5"/>
  <c r="G166" i="5"/>
  <c r="B167" i="5"/>
  <c r="G167" i="5"/>
  <c r="G168" i="5"/>
  <c r="G171" i="5"/>
  <c r="B172" i="5"/>
  <c r="G172" i="5"/>
  <c r="G173" i="5"/>
  <c r="G175" i="5"/>
  <c r="B176" i="5"/>
  <c r="G176" i="5"/>
  <c r="G177" i="5"/>
  <c r="E178" i="5"/>
  <c r="G179" i="5"/>
  <c r="B180" i="5"/>
  <c r="G180" i="5"/>
  <c r="G181" i="5"/>
  <c r="G183" i="5"/>
  <c r="B184" i="5"/>
  <c r="G184" i="5"/>
  <c r="G185" i="5"/>
  <c r="E186" i="5"/>
  <c r="E187" i="5"/>
  <c r="G188" i="5"/>
  <c r="G189" i="5"/>
  <c r="G190" i="5"/>
  <c r="B191" i="5"/>
  <c r="G191" i="5"/>
  <c r="G192" i="5"/>
  <c r="G197" i="5"/>
  <c r="B198" i="5"/>
  <c r="G198" i="5"/>
  <c r="G199" i="5"/>
  <c r="G201" i="5"/>
  <c r="B202" i="5"/>
  <c r="G202" i="5"/>
  <c r="G203" i="5"/>
  <c r="E204" i="5"/>
  <c r="G205" i="5"/>
  <c r="B206" i="5"/>
  <c r="G206" i="5"/>
  <c r="G207" i="5"/>
  <c r="G210" i="5"/>
  <c r="B211" i="5"/>
  <c r="G211" i="5"/>
  <c r="G212" i="5"/>
  <c r="G214" i="5"/>
  <c r="B215" i="5"/>
  <c r="G215" i="5"/>
  <c r="G216" i="5"/>
  <c r="G219" i="5"/>
  <c r="B220" i="5"/>
  <c r="G220" i="5"/>
  <c r="G221" i="5"/>
  <c r="G224" i="5"/>
  <c r="B225" i="5"/>
  <c r="G225" i="5"/>
  <c r="G226" i="5"/>
  <c r="G228" i="5"/>
  <c r="B229" i="5"/>
  <c r="G229" i="5"/>
  <c r="G230" i="5"/>
  <c r="G232" i="5"/>
  <c r="B233" i="5"/>
  <c r="G233" i="5"/>
  <c r="G234" i="5"/>
  <c r="G236" i="5"/>
  <c r="B237" i="5"/>
  <c r="G237" i="5"/>
  <c r="G238" i="5"/>
  <c r="G240" i="5"/>
  <c r="B241" i="5"/>
  <c r="G241" i="5"/>
  <c r="G242" i="5"/>
  <c r="G248" i="5"/>
  <c r="B249" i="5"/>
  <c r="G249" i="5"/>
  <c r="G250" i="5"/>
  <c r="G263" i="5"/>
  <c r="B264" i="5"/>
  <c r="G264" i="5"/>
  <c r="G265" i="5"/>
  <c r="G268" i="5"/>
  <c r="B269" i="5"/>
  <c r="G269" i="5"/>
  <c r="G270" i="5"/>
  <c r="D11" i="6"/>
  <c r="D12" i="6"/>
  <c r="G276" i="5"/>
  <c r="B277" i="5"/>
  <c r="G277" i="5"/>
  <c r="G278" i="5"/>
  <c r="G283" i="5"/>
  <c r="B284" i="5"/>
  <c r="G284" i="5"/>
  <c r="G285" i="5"/>
  <c r="G290" i="5"/>
  <c r="B291" i="5"/>
  <c r="G291" i="5"/>
  <c r="G292" i="5"/>
  <c r="E301" i="5"/>
  <c r="E302" i="5"/>
  <c r="G303" i="5"/>
  <c r="G304" i="5"/>
  <c r="G305" i="5"/>
  <c r="B306" i="5"/>
  <c r="G306" i="5"/>
  <c r="G307" i="5"/>
  <c r="E316" i="5"/>
  <c r="E317" i="5"/>
  <c r="G318" i="5"/>
  <c r="G319" i="5"/>
  <c r="G320" i="5"/>
  <c r="B321" i="5"/>
  <c r="G321" i="5"/>
  <c r="G322" i="5"/>
  <c r="G326" i="5"/>
  <c r="B327" i="5"/>
  <c r="G327" i="5"/>
  <c r="G328" i="5"/>
  <c r="E335" i="5"/>
  <c r="G341" i="5"/>
  <c r="B342" i="5"/>
  <c r="G342" i="5"/>
  <c r="G343" i="5"/>
  <c r="G351" i="5"/>
  <c r="B352" i="5"/>
  <c r="G352" i="5"/>
  <c r="G353" i="5"/>
  <c r="E361" i="5"/>
  <c r="E362" i="5"/>
  <c r="G363" i="5"/>
  <c r="G364" i="5"/>
  <c r="G365" i="5"/>
  <c r="B366" i="5"/>
  <c r="G366" i="5"/>
  <c r="G367" i="5"/>
  <c r="G371" i="5"/>
  <c r="B372" i="5"/>
  <c r="G373" i="5"/>
  <c r="D56" i="6"/>
  <c r="D57" i="6"/>
  <c r="G380" i="5"/>
  <c r="B381" i="5"/>
  <c r="G381" i="5"/>
  <c r="G382" i="5"/>
  <c r="G394" i="5"/>
  <c r="B395" i="5"/>
  <c r="G395" i="5"/>
  <c r="G396" i="5"/>
  <c r="D151" i="6"/>
  <c r="D152" i="6"/>
  <c r="G401" i="5"/>
  <c r="B402" i="5"/>
  <c r="G402" i="5"/>
  <c r="G403" i="5"/>
  <c r="G415" i="5"/>
  <c r="B416" i="5"/>
  <c r="G417" i="5"/>
  <c r="E420" i="5"/>
  <c r="E421" i="5"/>
  <c r="G422" i="5"/>
  <c r="B423" i="5"/>
  <c r="G423" i="5"/>
  <c r="G424" i="5"/>
  <c r="G434" i="5"/>
  <c r="B435" i="5"/>
  <c r="G436" i="5"/>
  <c r="G440" i="5"/>
  <c r="B441" i="5"/>
  <c r="G441" i="5"/>
  <c r="G442" i="5"/>
  <c r="D74" i="6"/>
  <c r="D75" i="6"/>
  <c r="G446" i="5"/>
  <c r="B447" i="5"/>
  <c r="G447" i="5"/>
  <c r="G448" i="5"/>
  <c r="G452" i="5"/>
  <c r="G453" i="5"/>
  <c r="G454" i="5"/>
  <c r="B455" i="5"/>
  <c r="G455" i="5"/>
  <c r="G456" i="5"/>
  <c r="E457" i="5"/>
  <c r="E458" i="5"/>
  <c r="E460" i="5"/>
  <c r="G461" i="5"/>
  <c r="G462" i="5"/>
  <c r="G463" i="5"/>
  <c r="G464" i="5"/>
  <c r="B465" i="5"/>
  <c r="G465" i="5"/>
  <c r="G466" i="5"/>
  <c r="E467" i="5"/>
  <c r="E468" i="5"/>
  <c r="E469" i="5"/>
  <c r="E470" i="5"/>
  <c r="G471" i="5"/>
  <c r="B472" i="5"/>
  <c r="G472" i="5"/>
  <c r="G473" i="5"/>
  <c r="E477" i="5"/>
  <c r="G479" i="5"/>
  <c r="G480" i="5"/>
  <c r="G481" i="5"/>
  <c r="G482" i="5"/>
  <c r="G483" i="5"/>
  <c r="B484" i="5"/>
  <c r="G484" i="5"/>
  <c r="G485" i="5"/>
  <c r="G489" i="5"/>
  <c r="B490" i="5"/>
  <c r="G490" i="5"/>
  <c r="G491" i="5"/>
  <c r="E492" i="5"/>
  <c r="E493" i="5"/>
  <c r="G494" i="5"/>
  <c r="G495" i="5"/>
  <c r="G496" i="5"/>
  <c r="G497" i="5"/>
  <c r="B498" i="5"/>
  <c r="G498" i="5"/>
  <c r="G499" i="5"/>
  <c r="G504" i="5"/>
  <c r="B505" i="5"/>
  <c r="G506" i="5"/>
  <c r="G511" i="5"/>
  <c r="B512" i="5"/>
  <c r="G512" i="5"/>
  <c r="G513" i="5"/>
  <c r="G517" i="5"/>
  <c r="B518" i="5"/>
  <c r="G518" i="5"/>
  <c r="G519" i="5"/>
  <c r="E520" i="5"/>
  <c r="G524" i="5"/>
  <c r="B525" i="5"/>
  <c r="G525" i="5"/>
  <c r="G526" i="5"/>
  <c r="E528" i="5"/>
  <c r="G531" i="5"/>
  <c r="B532" i="5"/>
  <c r="G532" i="5"/>
  <c r="G533" i="5"/>
  <c r="G537" i="5"/>
  <c r="B538" i="5"/>
  <c r="G538" i="5"/>
  <c r="G539" i="5"/>
  <c r="G545" i="5"/>
  <c r="B546" i="5"/>
  <c r="G546" i="5"/>
  <c r="G547" i="5"/>
  <c r="D91" i="6"/>
  <c r="D92" i="6"/>
  <c r="G553" i="5"/>
  <c r="B554" i="5"/>
  <c r="G554" i="5"/>
  <c r="G555" i="5"/>
  <c r="G561" i="5"/>
  <c r="B562" i="5"/>
  <c r="G562" i="5"/>
  <c r="G563" i="5"/>
  <c r="G569" i="5"/>
  <c r="B570" i="5"/>
  <c r="G570" i="5"/>
  <c r="G571" i="5"/>
  <c r="E572" i="5"/>
  <c r="E573" i="5"/>
  <c r="E574" i="5"/>
  <c r="E575" i="5"/>
  <c r="E576" i="5"/>
  <c r="G577" i="5"/>
  <c r="G578" i="5"/>
  <c r="G579" i="5"/>
  <c r="B580" i="5"/>
  <c r="G580" i="5"/>
  <c r="G581" i="5"/>
  <c r="E582" i="5"/>
  <c r="E583" i="5"/>
  <c r="E584" i="5"/>
  <c r="E585" i="5"/>
  <c r="G586" i="5"/>
  <c r="G587" i="5"/>
  <c r="G588" i="5"/>
  <c r="B589" i="5"/>
  <c r="G589" i="5"/>
  <c r="G590" i="5"/>
  <c r="G596" i="5"/>
  <c r="B597" i="5"/>
  <c r="G598" i="5"/>
  <c r="E599" i="5"/>
  <c r="E600" i="5"/>
  <c r="E601" i="5"/>
  <c r="E602" i="5"/>
  <c r="E603" i="5"/>
  <c r="G604" i="5"/>
  <c r="G605" i="5"/>
  <c r="G606" i="5"/>
  <c r="B607" i="5"/>
  <c r="G607" i="5"/>
  <c r="G608" i="5"/>
  <c r="E609" i="5"/>
  <c r="E610" i="5"/>
  <c r="E611" i="5"/>
  <c r="E612" i="5"/>
  <c r="G613" i="5"/>
  <c r="G614" i="5"/>
  <c r="G615" i="5"/>
  <c r="B616" i="5"/>
  <c r="G616" i="5"/>
  <c r="G617" i="5"/>
  <c r="G621" i="5"/>
  <c r="B622" i="5"/>
  <c r="G622" i="5"/>
  <c r="G623" i="5"/>
  <c r="G629" i="5"/>
  <c r="B630" i="5"/>
  <c r="G630" i="5"/>
  <c r="G631" i="5"/>
  <c r="G637" i="5"/>
  <c r="B638" i="5"/>
  <c r="G638" i="5"/>
  <c r="G639" i="5"/>
  <c r="G644" i="5"/>
  <c r="B645" i="5"/>
  <c r="G645" i="5"/>
  <c r="G646" i="5"/>
  <c r="G648" i="5"/>
  <c r="B649" i="5"/>
  <c r="G649" i="5"/>
  <c r="G650" i="5"/>
  <c r="G652" i="5"/>
  <c r="B653" i="5"/>
  <c r="G653" i="5"/>
  <c r="G654" i="5"/>
  <c r="G656" i="5"/>
  <c r="B657" i="5"/>
  <c r="G657" i="5"/>
  <c r="G658" i="5"/>
  <c r="G660" i="5"/>
  <c r="B661" i="5"/>
  <c r="G661" i="5"/>
  <c r="G662" i="5"/>
  <c r="G664" i="5"/>
  <c r="B665" i="5"/>
  <c r="G665" i="5"/>
  <c r="G666" i="5"/>
  <c r="G668" i="5"/>
  <c r="B669" i="5"/>
  <c r="G669" i="5"/>
  <c r="G670" i="5"/>
  <c r="E671" i="5"/>
  <c r="E672" i="5"/>
  <c r="E673" i="5"/>
  <c r="E674" i="5"/>
  <c r="E675" i="5"/>
  <c r="G676" i="5"/>
  <c r="B677" i="5"/>
  <c r="G677" i="5"/>
  <c r="G678" i="5"/>
  <c r="E679" i="5"/>
  <c r="E680" i="5"/>
  <c r="E681" i="5"/>
  <c r="E682" i="5"/>
  <c r="E683" i="5"/>
  <c r="E684" i="5"/>
  <c r="E685" i="5"/>
  <c r="G686" i="5"/>
  <c r="B687" i="5"/>
  <c r="G687" i="5"/>
  <c r="G688" i="5"/>
  <c r="G696" i="5"/>
  <c r="B697" i="5"/>
  <c r="G697" i="5"/>
  <c r="G698" i="5"/>
  <c r="E699" i="5"/>
  <c r="E700" i="5"/>
  <c r="E701" i="5"/>
  <c r="E702" i="5"/>
  <c r="E703" i="5"/>
  <c r="G704" i="5"/>
  <c r="B705" i="5"/>
  <c r="G705" i="5"/>
  <c r="G706" i="5"/>
  <c r="E707" i="5"/>
  <c r="E708" i="5"/>
  <c r="E709" i="5"/>
  <c r="E710" i="5"/>
  <c r="E711" i="5"/>
  <c r="E712" i="5"/>
  <c r="E713" i="5"/>
  <c r="G714" i="5"/>
  <c r="B715" i="5"/>
  <c r="G715" i="5"/>
  <c r="G716" i="5"/>
  <c r="E717" i="5"/>
  <c r="E718" i="5"/>
  <c r="E719" i="5"/>
  <c r="E720" i="5"/>
  <c r="E721" i="5"/>
  <c r="E722" i="5"/>
  <c r="G723" i="5"/>
  <c r="B724" i="5"/>
  <c r="G724" i="5"/>
  <c r="G725" i="5"/>
  <c r="E726" i="5"/>
  <c r="E727" i="5"/>
  <c r="E728" i="5"/>
  <c r="E729" i="5"/>
  <c r="G730" i="5"/>
  <c r="B731" i="5"/>
  <c r="G731" i="5"/>
  <c r="G732" i="5"/>
  <c r="G736" i="5"/>
  <c r="B737" i="5"/>
  <c r="G738" i="5"/>
  <c r="E739" i="5"/>
  <c r="G744" i="5"/>
  <c r="B745" i="5"/>
  <c r="G745" i="5"/>
  <c r="G746" i="5"/>
  <c r="G748" i="5"/>
  <c r="B749" i="5"/>
  <c r="G749" i="5"/>
  <c r="G750" i="5"/>
  <c r="E751" i="5"/>
  <c r="E752" i="5"/>
  <c r="G755" i="5"/>
  <c r="B756" i="5"/>
  <c r="G756" i="5"/>
  <c r="G757" i="5"/>
  <c r="G766" i="5"/>
  <c r="B767" i="5"/>
  <c r="G767" i="5"/>
  <c r="G768" i="5"/>
  <c r="E771" i="5"/>
  <c r="G772" i="5"/>
  <c r="B773" i="5"/>
  <c r="G773" i="5"/>
  <c r="G774" i="5"/>
  <c r="G783" i="5"/>
  <c r="B784" i="5"/>
  <c r="G784" i="5"/>
  <c r="G785" i="5"/>
  <c r="G790" i="5"/>
  <c r="B791" i="5"/>
  <c r="G791" i="5"/>
  <c r="G792" i="5"/>
  <c r="G804" i="5"/>
  <c r="B805" i="5"/>
  <c r="G805" i="5"/>
  <c r="G806" i="5"/>
  <c r="G814" i="5"/>
  <c r="B815" i="5"/>
  <c r="G815" i="5"/>
  <c r="G816" i="5"/>
  <c r="G818" i="5"/>
  <c r="B819" i="5"/>
  <c r="G819" i="5"/>
  <c r="G820" i="5"/>
  <c r="E821" i="5"/>
  <c r="G823" i="5"/>
  <c r="B824" i="5"/>
  <c r="G824" i="5"/>
  <c r="G825" i="5"/>
  <c r="E826" i="5"/>
  <c r="G827" i="5"/>
  <c r="B828" i="5"/>
  <c r="G828" i="5"/>
  <c r="G829" i="5"/>
  <c r="G832" i="5"/>
  <c r="B833" i="5"/>
  <c r="G833" i="5"/>
  <c r="G834" i="5"/>
  <c r="G839" i="5"/>
  <c r="B840" i="5"/>
  <c r="G840" i="5"/>
  <c r="G841" i="5"/>
  <c r="G845" i="5"/>
  <c r="B846" i="5"/>
  <c r="G846" i="5"/>
  <c r="G847" i="5"/>
  <c r="G850" i="5"/>
  <c r="B851" i="5"/>
  <c r="G851" i="5"/>
  <c r="G852" i="5"/>
  <c r="E854" i="5"/>
  <c r="G856" i="5"/>
  <c r="B857" i="5"/>
  <c r="G857" i="5"/>
  <c r="G858" i="5"/>
  <c r="G862" i="5"/>
  <c r="B863" i="5"/>
  <c r="G863" i="5"/>
  <c r="G864" i="5"/>
  <c r="G867" i="5"/>
  <c r="B868" i="5"/>
  <c r="G868" i="5"/>
  <c r="G869" i="5"/>
  <c r="E872" i="5"/>
  <c r="G873" i="5"/>
  <c r="G874" i="5"/>
  <c r="G875" i="5"/>
  <c r="B876" i="5"/>
  <c r="G876" i="5"/>
  <c r="G877" i="5"/>
  <c r="G883" i="5"/>
  <c r="B884" i="5"/>
  <c r="G884" i="5"/>
  <c r="G885" i="5"/>
  <c r="G891" i="5"/>
  <c r="B892" i="5"/>
  <c r="G892" i="5"/>
  <c r="G893" i="5"/>
  <c r="E894" i="5"/>
  <c r="E895" i="5"/>
  <c r="G896" i="5"/>
  <c r="B897" i="5"/>
  <c r="G897" i="5"/>
  <c r="G898" i="5"/>
  <c r="G903" i="5"/>
  <c r="B904" i="5"/>
  <c r="G904" i="5"/>
  <c r="G905" i="5"/>
  <c r="E906" i="5"/>
  <c r="G907" i="5"/>
  <c r="B908" i="5"/>
  <c r="G908" i="5"/>
  <c r="G909" i="5"/>
  <c r="G913" i="5"/>
  <c r="B914" i="5"/>
  <c r="G914" i="5"/>
  <c r="G915" i="5"/>
  <c r="G922" i="5"/>
  <c r="B923" i="5"/>
  <c r="G923" i="5"/>
  <c r="G924" i="5"/>
  <c r="G929" i="5"/>
  <c r="B930" i="5"/>
  <c r="G931" i="5"/>
  <c r="G938" i="5"/>
  <c r="B939" i="5"/>
  <c r="G939" i="5"/>
  <c r="G940" i="5"/>
  <c r="G947" i="5"/>
  <c r="B948" i="5"/>
  <c r="G948" i="5"/>
  <c r="G949" i="5"/>
  <c r="G953" i="5"/>
  <c r="B954" i="5"/>
  <c r="G955" i="5"/>
  <c r="G959" i="5"/>
  <c r="B960" i="5"/>
  <c r="G960" i="5"/>
  <c r="G961" i="5"/>
  <c r="G966" i="5"/>
  <c r="B967" i="5"/>
  <c r="G967" i="5"/>
  <c r="G968" i="5"/>
  <c r="G973" i="5"/>
  <c r="B974" i="5"/>
  <c r="G975" i="5"/>
  <c r="G980" i="5"/>
  <c r="B981" i="5"/>
  <c r="G981" i="5"/>
  <c r="G982" i="5"/>
  <c r="G991" i="5"/>
  <c r="B992" i="5"/>
  <c r="G992" i="5"/>
  <c r="G993" i="5"/>
  <c r="G1002" i="5"/>
  <c r="B1003" i="5"/>
  <c r="G1003" i="5"/>
  <c r="G1004" i="5"/>
  <c r="G1007" i="5"/>
  <c r="B1008" i="5"/>
  <c r="G1008" i="5"/>
  <c r="G1009" i="5"/>
  <c r="G1012" i="5"/>
  <c r="B1013" i="5"/>
  <c r="G1013" i="5"/>
  <c r="G1014" i="5"/>
  <c r="G1021" i="5"/>
  <c r="B1022" i="5"/>
  <c r="G1022" i="5"/>
  <c r="G1023" i="5"/>
  <c r="G1026" i="5"/>
  <c r="B1027" i="5"/>
  <c r="G1027" i="5"/>
  <c r="G1028" i="5"/>
  <c r="G1036" i="5"/>
  <c r="B1037" i="5"/>
  <c r="G1037" i="5"/>
  <c r="G1038" i="5"/>
  <c r="G1045" i="5"/>
  <c r="B1046" i="5"/>
  <c r="G1046" i="5"/>
  <c r="G1047" i="5"/>
  <c r="G1052" i="5"/>
  <c r="B1053" i="5"/>
  <c r="G1053" i="5"/>
  <c r="G1054" i="5"/>
  <c r="G1059" i="5"/>
  <c r="B1060" i="5"/>
  <c r="G1060" i="5"/>
  <c r="G1061" i="5"/>
  <c r="G1066" i="5"/>
  <c r="B1067" i="5"/>
  <c r="G1067" i="5"/>
  <c r="G1068" i="5"/>
  <c r="G1073" i="5"/>
  <c r="B1074" i="5"/>
  <c r="G1074" i="5"/>
  <c r="G1075" i="5"/>
  <c r="E1078" i="5"/>
  <c r="E1079" i="5"/>
  <c r="G1080" i="5"/>
  <c r="G1081" i="5"/>
  <c r="G1082" i="5"/>
  <c r="B1083" i="5"/>
  <c r="G1083" i="5"/>
  <c r="G1084" i="5"/>
  <c r="G1090" i="5"/>
  <c r="B1091" i="5"/>
  <c r="G1091" i="5"/>
  <c r="G1092" i="5"/>
  <c r="G1098" i="5"/>
  <c r="B1099" i="5"/>
  <c r="G1100" i="5"/>
  <c r="E1104" i="5"/>
  <c r="E1105" i="5"/>
  <c r="G1106" i="5"/>
  <c r="G1107" i="5"/>
  <c r="G1108" i="5"/>
  <c r="B1109" i="5"/>
  <c r="G1109" i="5"/>
  <c r="G1110" i="5"/>
  <c r="G1116" i="5"/>
  <c r="B1117" i="5"/>
  <c r="G1117" i="5"/>
  <c r="G1118" i="5"/>
  <c r="G1121" i="5"/>
  <c r="B1122" i="5"/>
  <c r="G1122" i="5"/>
  <c r="G1123" i="5"/>
  <c r="G1126" i="5"/>
  <c r="B1127" i="5"/>
  <c r="G1127" i="5"/>
  <c r="G1128" i="5"/>
  <c r="G1132" i="5"/>
  <c r="B1133" i="5"/>
  <c r="G1133" i="5"/>
  <c r="G1134" i="5"/>
  <c r="G1137" i="5"/>
  <c r="B1138" i="5"/>
  <c r="G1139" i="5"/>
  <c r="G1144" i="5"/>
  <c r="B1145" i="5"/>
  <c r="G1145" i="5"/>
  <c r="G1146" i="5"/>
  <c r="G1151" i="5"/>
  <c r="B1152" i="5"/>
  <c r="G1152" i="5"/>
  <c r="G1153" i="5"/>
  <c r="G1158" i="5"/>
  <c r="B1159" i="5"/>
  <c r="G1159" i="5"/>
  <c r="G1160" i="5"/>
  <c r="G1165" i="5"/>
  <c r="B1166" i="5"/>
  <c r="G1166" i="5"/>
  <c r="G1167" i="5"/>
  <c r="G1172" i="5"/>
  <c r="B1173" i="5"/>
  <c r="G1173" i="5"/>
  <c r="G1174" i="5"/>
  <c r="G1179" i="5"/>
  <c r="B1180" i="5"/>
  <c r="G1180" i="5"/>
  <c r="G1181" i="5"/>
  <c r="G1186" i="5"/>
  <c r="B1187" i="5"/>
  <c r="G1188" i="5"/>
  <c r="G1193" i="5"/>
  <c r="B1194" i="5"/>
  <c r="G1194" i="5"/>
  <c r="G1195" i="5"/>
  <c r="G1200" i="5"/>
  <c r="B1201" i="5"/>
  <c r="G1201" i="5"/>
  <c r="G1202" i="5"/>
  <c r="G1207" i="5"/>
  <c r="B1208" i="5"/>
  <c r="G1208" i="5"/>
  <c r="G1209" i="5"/>
  <c r="G1214" i="5"/>
  <c r="B1215" i="5"/>
  <c r="G1216" i="5"/>
  <c r="G1221" i="5"/>
  <c r="B1222" i="5"/>
  <c r="G1222" i="5"/>
  <c r="G1223" i="5"/>
  <c r="G1227" i="5"/>
  <c r="B1228" i="5"/>
  <c r="G1228" i="5"/>
  <c r="G1229" i="5"/>
  <c r="G1233" i="5"/>
  <c r="B1234" i="5"/>
  <c r="G1234" i="5"/>
  <c r="G1235" i="5"/>
  <c r="G1239" i="5"/>
  <c r="B1240" i="5"/>
  <c r="G1240" i="5"/>
  <c r="G1241" i="5"/>
  <c r="G1245" i="5"/>
  <c r="B1246" i="5"/>
  <c r="G1247" i="5"/>
  <c r="G1252" i="5"/>
  <c r="B1253" i="5"/>
  <c r="G1253" i="5"/>
  <c r="G1254" i="5"/>
  <c r="G1259" i="5"/>
  <c r="B1260" i="5"/>
  <c r="G1261" i="5"/>
  <c r="G1266" i="5"/>
  <c r="B1267" i="5"/>
  <c r="G1267" i="5"/>
  <c r="G1268" i="5"/>
  <c r="G1272" i="5"/>
  <c r="B1273" i="5"/>
  <c r="G1273" i="5"/>
  <c r="G1274" i="5"/>
  <c r="G1279" i="5"/>
  <c r="B1280" i="5"/>
  <c r="G1280" i="5"/>
  <c r="G1281" i="5"/>
  <c r="G1286" i="5"/>
  <c r="B1287" i="5"/>
  <c r="G1287" i="5"/>
  <c r="G1288" i="5"/>
  <c r="G1293" i="5"/>
  <c r="B1294" i="5"/>
  <c r="G1294" i="5"/>
  <c r="G1295" i="5"/>
  <c r="G1300" i="5"/>
  <c r="B1301" i="5"/>
  <c r="G1301" i="5"/>
  <c r="G1302" i="5"/>
  <c r="G1308" i="5"/>
  <c r="B1309" i="5"/>
  <c r="G1309" i="5"/>
  <c r="G1310" i="5"/>
  <c r="G1317" i="5"/>
  <c r="B1318" i="5"/>
  <c r="G1318" i="5"/>
  <c r="G1319" i="5"/>
  <c r="G1323" i="5"/>
  <c r="B1324" i="5"/>
  <c r="G1324" i="5"/>
  <c r="G1325" i="5"/>
  <c r="G1329" i="5"/>
  <c r="B1330" i="5"/>
  <c r="G1330" i="5"/>
  <c r="G1331" i="5"/>
  <c r="G1335" i="5"/>
  <c r="B1336" i="5"/>
  <c r="G1337" i="5"/>
  <c r="G1341" i="5"/>
  <c r="B1342" i="5"/>
  <c r="G1342" i="5"/>
  <c r="G1343" i="5"/>
  <c r="G1348" i="5"/>
  <c r="B1349" i="5"/>
  <c r="G1349" i="5"/>
  <c r="G1350" i="5"/>
  <c r="G1354" i="5"/>
  <c r="B1355" i="5"/>
  <c r="G1355" i="5"/>
  <c r="G1356" i="5"/>
  <c r="G1361" i="5"/>
  <c r="B1362" i="5"/>
  <c r="G1362" i="5"/>
  <c r="G1363" i="5"/>
  <c r="G1367" i="5"/>
  <c r="B1368" i="5"/>
  <c r="G1368" i="5"/>
  <c r="G1369" i="5"/>
  <c r="G1373" i="5"/>
  <c r="B1374" i="5"/>
  <c r="G1375" i="5"/>
  <c r="G1380" i="5"/>
  <c r="B1381" i="5"/>
  <c r="G1381" i="5"/>
  <c r="G1382" i="5"/>
  <c r="G1386" i="5"/>
  <c r="B1387" i="5"/>
  <c r="G1387" i="5"/>
  <c r="G1388" i="5"/>
  <c r="G1392" i="5"/>
  <c r="B1393" i="5"/>
  <c r="G1393" i="5"/>
  <c r="G1394" i="5"/>
  <c r="G1398" i="5"/>
  <c r="B1399" i="5"/>
  <c r="G1399" i="5"/>
  <c r="G1400" i="5"/>
  <c r="G1405" i="5"/>
  <c r="B1406" i="5"/>
  <c r="G1406" i="5"/>
  <c r="G1407" i="5"/>
  <c r="G1420" i="5"/>
  <c r="B1421" i="5"/>
  <c r="G1421" i="5"/>
  <c r="G1422" i="5"/>
  <c r="G1435" i="5"/>
  <c r="B1436" i="5"/>
  <c r="G1436" i="5"/>
  <c r="G1437" i="5"/>
  <c r="G1450" i="5"/>
  <c r="B1451" i="5"/>
  <c r="G1451" i="5"/>
  <c r="G1452" i="5"/>
  <c r="G1465" i="5"/>
  <c r="B1466" i="5"/>
  <c r="G1466" i="5"/>
  <c r="G1467" i="5"/>
  <c r="G1480" i="5"/>
  <c r="B1481" i="5"/>
  <c r="G1481" i="5"/>
  <c r="G1482" i="5"/>
  <c r="G1495" i="5"/>
  <c r="B1496" i="5"/>
  <c r="G1496" i="5"/>
  <c r="G1497" i="5"/>
  <c r="G1510" i="5"/>
  <c r="B1511" i="5"/>
  <c r="G1511" i="5"/>
  <c r="G1512" i="5"/>
  <c r="G1516" i="5"/>
  <c r="B1517" i="5"/>
  <c r="G1517" i="5"/>
  <c r="G1518" i="5"/>
  <c r="G1522" i="5"/>
  <c r="B1523" i="5"/>
  <c r="G1523" i="5"/>
  <c r="G1524" i="5"/>
  <c r="G1528" i="5"/>
  <c r="B1529" i="5"/>
  <c r="G1529" i="5"/>
  <c r="G1530" i="5"/>
  <c r="G1534" i="5"/>
  <c r="B1535" i="5"/>
  <c r="G1535" i="5"/>
  <c r="G1536" i="5"/>
  <c r="G1540" i="5"/>
  <c r="B1541" i="5"/>
  <c r="G1541" i="5"/>
  <c r="G1542" i="5"/>
  <c r="G1547" i="5"/>
  <c r="B1548" i="5"/>
  <c r="G1548" i="5"/>
  <c r="G1549" i="5"/>
  <c r="G1554" i="5"/>
  <c r="B1555" i="5"/>
  <c r="G1556" i="5"/>
  <c r="G1561" i="5"/>
  <c r="B1562" i="5"/>
  <c r="G1562" i="5"/>
  <c r="G1563" i="5"/>
  <c r="G1568" i="5"/>
  <c r="B1569" i="5"/>
  <c r="G1569" i="5"/>
  <c r="G1570" i="5"/>
  <c r="G1583" i="5"/>
  <c r="B1584" i="5"/>
  <c r="G1585" i="5"/>
  <c r="G1589" i="5"/>
  <c r="B1590" i="5"/>
  <c r="G1590" i="5"/>
  <c r="G1591" i="5"/>
  <c r="G1595" i="5"/>
  <c r="B1596" i="5"/>
  <c r="G1596" i="5"/>
  <c r="G1597" i="5"/>
  <c r="G1601" i="5"/>
  <c r="B1602" i="5"/>
  <c r="G1602" i="5"/>
  <c r="G1603" i="5"/>
  <c r="E1604" i="5"/>
  <c r="E1605" i="5"/>
  <c r="G1608" i="5"/>
  <c r="B1609" i="5"/>
  <c r="G1609" i="5"/>
  <c r="G1610" i="5"/>
  <c r="G1613" i="5"/>
  <c r="B1614" i="5"/>
  <c r="G1615" i="5"/>
  <c r="G1619" i="5"/>
  <c r="B1620" i="5"/>
  <c r="G1620" i="5"/>
  <c r="G1621" i="5"/>
  <c r="G1625" i="5"/>
  <c r="B1626" i="5"/>
  <c r="G1626" i="5"/>
  <c r="G1627" i="5"/>
  <c r="G1630" i="5"/>
  <c r="B1631" i="5"/>
  <c r="G1631" i="5"/>
  <c r="G1632" i="5"/>
  <c r="G1636" i="5"/>
  <c r="B1637" i="5"/>
  <c r="G1637" i="5"/>
  <c r="G1638" i="5"/>
  <c r="G1642" i="5"/>
  <c r="B1643" i="5"/>
  <c r="G1643" i="5"/>
  <c r="G1644" i="5"/>
  <c r="G1648" i="5"/>
  <c r="B1649" i="5"/>
  <c r="G1649" i="5"/>
  <c r="G1650" i="5"/>
  <c r="E1651" i="5"/>
  <c r="E1652" i="5"/>
  <c r="G1654" i="5"/>
  <c r="B1655" i="5"/>
  <c r="G1655" i="5"/>
  <c r="G1656" i="5"/>
  <c r="G1659" i="5"/>
  <c r="B1660" i="5"/>
  <c r="G1660" i="5"/>
  <c r="G1661" i="5"/>
  <c r="G1664" i="5"/>
  <c r="B1665" i="5"/>
  <c r="G1665" i="5"/>
  <c r="G1666" i="5"/>
  <c r="G1669" i="5"/>
  <c r="B1670" i="5"/>
  <c r="G1670" i="5"/>
  <c r="G1671" i="5"/>
  <c r="G1675" i="5"/>
  <c r="B1676" i="5"/>
  <c r="G1677" i="5"/>
  <c r="G1682" i="5"/>
  <c r="B1683" i="5"/>
  <c r="G1683" i="5"/>
  <c r="G1684" i="5"/>
  <c r="G1689" i="5"/>
  <c r="B1690" i="5"/>
  <c r="G1690" i="5"/>
  <c r="G1691" i="5"/>
  <c r="G1695" i="5"/>
  <c r="B1696" i="5"/>
  <c r="G1696" i="5"/>
  <c r="G1697" i="5"/>
  <c r="G1703" i="5"/>
  <c r="B1704" i="5"/>
  <c r="G1705" i="5"/>
  <c r="G1714" i="5"/>
  <c r="B1715" i="5"/>
  <c r="G1715" i="5"/>
  <c r="G1716" i="5"/>
  <c r="G1725" i="5"/>
  <c r="B1726" i="5"/>
  <c r="G1726" i="5"/>
  <c r="G1727" i="5"/>
  <c r="G1736" i="5"/>
  <c r="B1737" i="5"/>
  <c r="G1737" i="5"/>
  <c r="G1738" i="5"/>
  <c r="G1747" i="5"/>
  <c r="B1748" i="5"/>
  <c r="G1748" i="5"/>
  <c r="G1749" i="5"/>
  <c r="G1754" i="5"/>
  <c r="B1755" i="5"/>
  <c r="G1755" i="5"/>
  <c r="G1756" i="5"/>
  <c r="G1761" i="5"/>
  <c r="B1762" i="5"/>
  <c r="G1763" i="5"/>
  <c r="G1768" i="5"/>
  <c r="B1769" i="5"/>
  <c r="G1769" i="5"/>
  <c r="G1770" i="5"/>
  <c r="G1775" i="5"/>
  <c r="B1776" i="5"/>
  <c r="G1776" i="5"/>
  <c r="G1777" i="5"/>
  <c r="G1782" i="5"/>
  <c r="B1783" i="5"/>
  <c r="G1784" i="5"/>
  <c r="G1789" i="5"/>
  <c r="B1790" i="5"/>
  <c r="G1790" i="5"/>
  <c r="G1791" i="5"/>
  <c r="G1796" i="5"/>
  <c r="B1797" i="5"/>
  <c r="G1797" i="5"/>
  <c r="G1798" i="5"/>
  <c r="D422" i="6"/>
  <c r="D423" i="6"/>
  <c r="G1803" i="5"/>
  <c r="B1804" i="5"/>
  <c r="G1804" i="5"/>
  <c r="G1805" i="5"/>
  <c r="G1808" i="5"/>
  <c r="B1809" i="5"/>
  <c r="G1809" i="5"/>
  <c r="G1810" i="5"/>
  <c r="G1813" i="5"/>
  <c r="B1814" i="5"/>
  <c r="G1814" i="5"/>
  <c r="G1815" i="5"/>
  <c r="G1819" i="5"/>
  <c r="B1820" i="5"/>
  <c r="G1820" i="5"/>
  <c r="G1821" i="5"/>
  <c r="G1825" i="5"/>
  <c r="B1826" i="5"/>
  <c r="G1826" i="5"/>
  <c r="G1827" i="5"/>
  <c r="G1832" i="5"/>
  <c r="B1833" i="5"/>
  <c r="G1833" i="5"/>
  <c r="G1834" i="5"/>
  <c r="G1838" i="5"/>
  <c r="B1839" i="5"/>
  <c r="G1839" i="5"/>
  <c r="G1840" i="5"/>
  <c r="G1844" i="5"/>
  <c r="B1845" i="5"/>
  <c r="G1845" i="5"/>
  <c r="G1846" i="5"/>
  <c r="G1850" i="5"/>
  <c r="B1851" i="5"/>
  <c r="G1851" i="5"/>
  <c r="G1852" i="5"/>
  <c r="G1856" i="5"/>
  <c r="B1857" i="5"/>
  <c r="G1857" i="5"/>
  <c r="G1858" i="5"/>
  <c r="G1862" i="5"/>
  <c r="B1863" i="5"/>
  <c r="G1863" i="5"/>
  <c r="G1864" i="5"/>
  <c r="G1868" i="5"/>
  <c r="B1869" i="5"/>
  <c r="G1869" i="5"/>
  <c r="G1870" i="5"/>
  <c r="G1874" i="5"/>
  <c r="B1875" i="5"/>
  <c r="G1875" i="5"/>
  <c r="G1876" i="5"/>
  <c r="G1880" i="5"/>
  <c r="B1881" i="5"/>
  <c r="G1881" i="5"/>
  <c r="G1882" i="5"/>
  <c r="G1886" i="5"/>
  <c r="B1887" i="5"/>
  <c r="G1887" i="5"/>
  <c r="G1888" i="5"/>
  <c r="G1892" i="5"/>
  <c r="B1893" i="5"/>
  <c r="G1893" i="5"/>
  <c r="G1894" i="5"/>
  <c r="G1898" i="5"/>
  <c r="B1899" i="5"/>
  <c r="G1899" i="5"/>
  <c r="G1900" i="5"/>
  <c r="G1904" i="5"/>
  <c r="B1905" i="5"/>
  <c r="G1905" i="5"/>
  <c r="G1906" i="5"/>
  <c r="G1909" i="5"/>
  <c r="B1910" i="5"/>
  <c r="G1910" i="5"/>
  <c r="G1911" i="5"/>
  <c r="G1914" i="5"/>
  <c r="B1915" i="5"/>
  <c r="G1915" i="5"/>
  <c r="G1916" i="5"/>
  <c r="G1919" i="5"/>
  <c r="B1920" i="5"/>
  <c r="G1920" i="5"/>
  <c r="G1921" i="5"/>
  <c r="G1925" i="5"/>
  <c r="B1926" i="5"/>
  <c r="G1926" i="5"/>
  <c r="G1927" i="5"/>
  <c r="G1930" i="5"/>
  <c r="B1931" i="5"/>
  <c r="G1931" i="5"/>
  <c r="G1932" i="5"/>
  <c r="G1935" i="5"/>
  <c r="B1936" i="5"/>
  <c r="G1936" i="5"/>
  <c r="G1937" i="5"/>
  <c r="G1942" i="5"/>
  <c r="B1943" i="5"/>
  <c r="G1943" i="5"/>
  <c r="G1944" i="5"/>
  <c r="G1948" i="5"/>
  <c r="B1949" i="5"/>
  <c r="G1949" i="5"/>
  <c r="G1950" i="5"/>
  <c r="G1954" i="5"/>
  <c r="B1955" i="5"/>
  <c r="G1955" i="5"/>
  <c r="G1956" i="5"/>
  <c r="G1961" i="5"/>
  <c r="B1962" i="5"/>
  <c r="G1963" i="5"/>
  <c r="G1968" i="5"/>
  <c r="B1969" i="5"/>
  <c r="G1970" i="5"/>
  <c r="G1976" i="5"/>
  <c r="B1977" i="5"/>
  <c r="G1977" i="5"/>
  <c r="G1978" i="5"/>
  <c r="G1984" i="5"/>
  <c r="B1985" i="5"/>
  <c r="G1985" i="5"/>
  <c r="G1986" i="5"/>
  <c r="G1991" i="5"/>
  <c r="B1992" i="5"/>
  <c r="G1992" i="5"/>
  <c r="G1993" i="5"/>
  <c r="G1998" i="5"/>
  <c r="B1999" i="5"/>
  <c r="G1999" i="5"/>
  <c r="G2000" i="5"/>
  <c r="G2005" i="5"/>
  <c r="B2006" i="5"/>
  <c r="G2006" i="5"/>
  <c r="G2007" i="5"/>
  <c r="G2012" i="5"/>
  <c r="B2013" i="5"/>
  <c r="G2013" i="5"/>
  <c r="G2014" i="5"/>
  <c r="G2018" i="5"/>
  <c r="B2019" i="5"/>
  <c r="G2019" i="5"/>
  <c r="G2020" i="5"/>
  <c r="E2022" i="5"/>
  <c r="E2023" i="5"/>
  <c r="G2024" i="5"/>
  <c r="G2025" i="5"/>
  <c r="G2026" i="5"/>
  <c r="B2027" i="5"/>
  <c r="G2027" i="5"/>
  <c r="G2028" i="5"/>
  <c r="E2030" i="5"/>
  <c r="E2031" i="5"/>
  <c r="G2032" i="5"/>
  <c r="G2033" i="5"/>
  <c r="G2034" i="5"/>
  <c r="B2035" i="5"/>
  <c r="G2036" i="5"/>
  <c r="E2038" i="5"/>
  <c r="E2039" i="5"/>
  <c r="G2040" i="5"/>
  <c r="G2041" i="5"/>
  <c r="G2042" i="5"/>
  <c r="B2043" i="5"/>
  <c r="G2043" i="5"/>
  <c r="G2044" i="5"/>
  <c r="E2046" i="5"/>
  <c r="E2047" i="5"/>
  <c r="G2048" i="5"/>
  <c r="G2049" i="5"/>
  <c r="G2050" i="5"/>
  <c r="B2051" i="5"/>
  <c r="G2051" i="5"/>
  <c r="G2052" i="5"/>
  <c r="E2054" i="5"/>
  <c r="E2055" i="5"/>
  <c r="G2056" i="5"/>
  <c r="G2057" i="5"/>
  <c r="G2058" i="5"/>
  <c r="B2059" i="5"/>
  <c r="G2059" i="5"/>
  <c r="G2060" i="5"/>
  <c r="E2062" i="5"/>
  <c r="E2063" i="5"/>
  <c r="G2064" i="5"/>
  <c r="G2065" i="5"/>
  <c r="G2066" i="5"/>
  <c r="B2067" i="5"/>
  <c r="G2068" i="5"/>
  <c r="E2070" i="5"/>
  <c r="E2071" i="5"/>
  <c r="G2072" i="5"/>
  <c r="G2073" i="5"/>
  <c r="G2074" i="5"/>
  <c r="B2075" i="5"/>
  <c r="G2075" i="5"/>
  <c r="G2076" i="5"/>
  <c r="E2078" i="5"/>
  <c r="E2079" i="5"/>
  <c r="G2080" i="5"/>
  <c r="G2081" i="5"/>
  <c r="G2082" i="5"/>
  <c r="B2083" i="5"/>
  <c r="G2083" i="5"/>
  <c r="G2084" i="5"/>
  <c r="E2086" i="5"/>
  <c r="E2087" i="5"/>
  <c r="G2088" i="5"/>
  <c r="G2089" i="5"/>
  <c r="G2090" i="5"/>
  <c r="B2091" i="5"/>
  <c r="G2091" i="5"/>
  <c r="G2092" i="5"/>
  <c r="E2094" i="5"/>
  <c r="E2095" i="5"/>
  <c r="G2096" i="5"/>
  <c r="G2097" i="5"/>
  <c r="G2098" i="5"/>
  <c r="B2099" i="5"/>
  <c r="G2100" i="5"/>
  <c r="E2102" i="5"/>
  <c r="E2103" i="5"/>
  <c r="G2104" i="5"/>
  <c r="G2105" i="5"/>
  <c r="G2106" i="5"/>
  <c r="B2107" i="5"/>
  <c r="G2107" i="5"/>
  <c r="G2108" i="5"/>
  <c r="G2112" i="5"/>
  <c r="B2113" i="5"/>
  <c r="G2113" i="5"/>
  <c r="G2114" i="5"/>
  <c r="G2118" i="5"/>
  <c r="B2119" i="5"/>
  <c r="G2119" i="5"/>
  <c r="G2120" i="5"/>
  <c r="G2124" i="5"/>
  <c r="B2125" i="5"/>
  <c r="G2125" i="5"/>
  <c r="G2126" i="5"/>
  <c r="G2130" i="5"/>
  <c r="B2131" i="5"/>
  <c r="G2131" i="5"/>
  <c r="G2132" i="5"/>
  <c r="G2136" i="5"/>
  <c r="B2137" i="5"/>
  <c r="G2137" i="5"/>
  <c r="G2138" i="5"/>
  <c r="E2140" i="5"/>
  <c r="E2141" i="5"/>
  <c r="G2142" i="5"/>
  <c r="G2143" i="5"/>
  <c r="G2144" i="5"/>
  <c r="B2145" i="5"/>
  <c r="G2145" i="5"/>
  <c r="G2146" i="5"/>
  <c r="E2148" i="5"/>
  <c r="E2149" i="5"/>
  <c r="G2150" i="5"/>
  <c r="G2151" i="5"/>
  <c r="G2152" i="5"/>
  <c r="B2153" i="5"/>
  <c r="G2153" i="5"/>
  <c r="G2154" i="5"/>
  <c r="E2156" i="5"/>
  <c r="E2157" i="5"/>
  <c r="G2158" i="5"/>
  <c r="G2159" i="5"/>
  <c r="G2160" i="5"/>
  <c r="B2161" i="5"/>
  <c r="G2161" i="5"/>
  <c r="G2162" i="5"/>
  <c r="E2164" i="5"/>
  <c r="E2165" i="5"/>
  <c r="G2166" i="5"/>
  <c r="G2167" i="5"/>
  <c r="G2168" i="5"/>
  <c r="B2169" i="5"/>
  <c r="G2169" i="5"/>
  <c r="G2170" i="5"/>
  <c r="E2172" i="5"/>
  <c r="E2173" i="5"/>
  <c r="G2174" i="5"/>
  <c r="G2175" i="5"/>
  <c r="G2176" i="5"/>
  <c r="B2177" i="5"/>
  <c r="G2177" i="5"/>
  <c r="G2178" i="5"/>
  <c r="E2180" i="5"/>
  <c r="E2181" i="5"/>
  <c r="G2182" i="5"/>
  <c r="G2183" i="5"/>
  <c r="G2184" i="5"/>
  <c r="B2185" i="5"/>
  <c r="G2186" i="5"/>
  <c r="E2188" i="5"/>
  <c r="E2189" i="5"/>
  <c r="G2190" i="5"/>
  <c r="G2191" i="5"/>
  <c r="G2192" i="5"/>
  <c r="B2193" i="5"/>
  <c r="G2193" i="5"/>
  <c r="G2194" i="5"/>
  <c r="E2196" i="5"/>
  <c r="E2197" i="5"/>
  <c r="G2198" i="5"/>
  <c r="G2199" i="5"/>
  <c r="G2200" i="5"/>
  <c r="B2201" i="5"/>
  <c r="G2201" i="5"/>
  <c r="G2202" i="5"/>
  <c r="G2205" i="5"/>
  <c r="B2206" i="5"/>
  <c r="G2206" i="5"/>
  <c r="G2207" i="5"/>
  <c r="E2209" i="5"/>
  <c r="G2212" i="5"/>
  <c r="B2213" i="5"/>
  <c r="G2213" i="5"/>
  <c r="G2214" i="5"/>
  <c r="G2219" i="5"/>
  <c r="B2220" i="5"/>
  <c r="G2220" i="5"/>
  <c r="G2221" i="5"/>
  <c r="G2225" i="5"/>
  <c r="B2226" i="5"/>
  <c r="G2226" i="5"/>
  <c r="G2227" i="5"/>
  <c r="G2231" i="5"/>
  <c r="B2232" i="5"/>
  <c r="G2233" i="5"/>
  <c r="E2237" i="5"/>
  <c r="E2238" i="5"/>
  <c r="E2240" i="5"/>
  <c r="E2242" i="5"/>
  <c r="E2241" i="5"/>
  <c r="G2245" i="5"/>
  <c r="B2246" i="5"/>
  <c r="G2246" i="5"/>
  <c r="G2247" i="5"/>
  <c r="G2251" i="5"/>
  <c r="B2252" i="5"/>
  <c r="G2252" i="5"/>
  <c r="G2253" i="5"/>
  <c r="E2255" i="5"/>
  <c r="E2256" i="5"/>
  <c r="E2258" i="5"/>
  <c r="E2257" i="5"/>
  <c r="G2261" i="5"/>
  <c r="B2262" i="5"/>
  <c r="G2262" i="5"/>
  <c r="G2263" i="5"/>
  <c r="E2265" i="5"/>
  <c r="E2266" i="5"/>
  <c r="E2268" i="5"/>
  <c r="E2267" i="5"/>
  <c r="G2271" i="5"/>
  <c r="B2272" i="5"/>
  <c r="G2272" i="5"/>
  <c r="G2273" i="5"/>
  <c r="E2275" i="5"/>
  <c r="E2276" i="5"/>
  <c r="E2278" i="5"/>
  <c r="E2277" i="5"/>
  <c r="G2281" i="5"/>
  <c r="B2282" i="5"/>
  <c r="G2282" i="5"/>
  <c r="G2283" i="5"/>
  <c r="E2285" i="5"/>
  <c r="E2286" i="5"/>
  <c r="E2288" i="5"/>
  <c r="E2287" i="5"/>
  <c r="G2291" i="5"/>
  <c r="B2292" i="5"/>
  <c r="G2292" i="5"/>
  <c r="G2293" i="5"/>
  <c r="E2295" i="5"/>
  <c r="E2296" i="5"/>
  <c r="E2298" i="5"/>
  <c r="E2297" i="5"/>
  <c r="G2301" i="5"/>
  <c r="B2302" i="5"/>
  <c r="G2302" i="5"/>
  <c r="G2303" i="5"/>
  <c r="G2308" i="5"/>
  <c r="B2309" i="5"/>
  <c r="G2309" i="5"/>
  <c r="G2310" i="5"/>
  <c r="G2315" i="5"/>
  <c r="B2316" i="5"/>
  <c r="G2316" i="5"/>
  <c r="G2317" i="5"/>
  <c r="G2321" i="5"/>
  <c r="B2322" i="5"/>
  <c r="G2322" i="5"/>
  <c r="G2323" i="5"/>
  <c r="G2327" i="5"/>
  <c r="B2328" i="5"/>
  <c r="G2328" i="5"/>
  <c r="G2329" i="5"/>
  <c r="G2333" i="5"/>
  <c r="B2334" i="5"/>
  <c r="G2334" i="5"/>
  <c r="G2335" i="5"/>
  <c r="G2339" i="5"/>
  <c r="B2340" i="5"/>
  <c r="G2340" i="5"/>
  <c r="G2341" i="5"/>
  <c r="G2344" i="5"/>
  <c r="B2345" i="5"/>
  <c r="G2345" i="5"/>
  <c r="G2346" i="5"/>
  <c r="G2349" i="5"/>
  <c r="B2350" i="5"/>
  <c r="G2350" i="5"/>
  <c r="G2351" i="5"/>
  <c r="E2352" i="5"/>
  <c r="G2354" i="5"/>
  <c r="B2355" i="5"/>
  <c r="G2355" i="5"/>
  <c r="G2356" i="5"/>
  <c r="G2360" i="5"/>
  <c r="B2361" i="5"/>
  <c r="G2361" i="5"/>
  <c r="G2362" i="5"/>
  <c r="E2366" i="5"/>
  <c r="E2367" i="5"/>
  <c r="G2368" i="5"/>
  <c r="B2369" i="5"/>
  <c r="G2369" i="5"/>
  <c r="G2370" i="5"/>
  <c r="E2371" i="5"/>
  <c r="E2372" i="5"/>
  <c r="G2375" i="5"/>
  <c r="B2376" i="5"/>
  <c r="G2376" i="5"/>
  <c r="G2377" i="5"/>
  <c r="G2381" i="5"/>
  <c r="B2382" i="5"/>
  <c r="G2383" i="5"/>
  <c r="G2388" i="5"/>
  <c r="B2389" i="5"/>
  <c r="G2389" i="5"/>
  <c r="G2390" i="5"/>
  <c r="G2394" i="5"/>
  <c r="B2395" i="5"/>
  <c r="G2396" i="5"/>
  <c r="G2398" i="5"/>
  <c r="B2399" i="5"/>
  <c r="G2399" i="5"/>
  <c r="G2400" i="5"/>
  <c r="G2402" i="5"/>
  <c r="B2403" i="5"/>
  <c r="G2403" i="5"/>
  <c r="G2404" i="5"/>
  <c r="G2406" i="5"/>
  <c r="B2407" i="5"/>
  <c r="G2407" i="5"/>
  <c r="G2408" i="5"/>
  <c r="G2410" i="5"/>
  <c r="B2411" i="5"/>
  <c r="G2412" i="5"/>
  <c r="G2414" i="5"/>
  <c r="B2415" i="5"/>
  <c r="G2415" i="5"/>
  <c r="G2416" i="5"/>
  <c r="G2418" i="5"/>
  <c r="B2419" i="5"/>
  <c r="G2420" i="5"/>
  <c r="G2422" i="5"/>
  <c r="B2423" i="5"/>
  <c r="G2423" i="5"/>
  <c r="G2424" i="5"/>
  <c r="G2426" i="5"/>
  <c r="B2427" i="5"/>
  <c r="G2427" i="5"/>
  <c r="G2428" i="5"/>
  <c r="G2430" i="5"/>
  <c r="B2431" i="5"/>
  <c r="G2432" i="5"/>
  <c r="G2434" i="5"/>
  <c r="B2435" i="5"/>
  <c r="G2435" i="5"/>
  <c r="G2436" i="5"/>
  <c r="G2438" i="5"/>
  <c r="B2439" i="5"/>
  <c r="G2440" i="5"/>
  <c r="G2442" i="5"/>
  <c r="B2443" i="5"/>
  <c r="G2443" i="5"/>
  <c r="G2444" i="5"/>
  <c r="G2446" i="5"/>
  <c r="B2447" i="5"/>
  <c r="G2447" i="5"/>
  <c r="G2448" i="5"/>
  <c r="G2450" i="5"/>
  <c r="B2451" i="5"/>
  <c r="G2451" i="5"/>
  <c r="G2452" i="5"/>
  <c r="E2453" i="5"/>
  <c r="G2454" i="5"/>
  <c r="B2455" i="5"/>
  <c r="G2455" i="5"/>
  <c r="G2456" i="5"/>
  <c r="G2458" i="5"/>
  <c r="B2459" i="5"/>
  <c r="G2459" i="5"/>
  <c r="G2460" i="5"/>
  <c r="G2462" i="5"/>
  <c r="B2463" i="5"/>
  <c r="G2463" i="5"/>
  <c r="G2464" i="5"/>
  <c r="G2466" i="5"/>
  <c r="B2467" i="5"/>
  <c r="G2467" i="5"/>
  <c r="G2468" i="5"/>
  <c r="G2470" i="5"/>
  <c r="B2471" i="5"/>
  <c r="G2471" i="5"/>
  <c r="G2472" i="5"/>
  <c r="G2474" i="5"/>
  <c r="B2475" i="5"/>
  <c r="G2475" i="5"/>
  <c r="G2476" i="5"/>
  <c r="G2478" i="5"/>
  <c r="B2479" i="5"/>
  <c r="G2479" i="5"/>
  <c r="G2480" i="5"/>
  <c r="G2482" i="5"/>
  <c r="B2483" i="5"/>
  <c r="G2483" i="5"/>
  <c r="G2484" i="5"/>
  <c r="G2486" i="5"/>
  <c r="B2487" i="5"/>
  <c r="G2487" i="5"/>
  <c r="G2488" i="5"/>
  <c r="G2490" i="5"/>
  <c r="B2491" i="5"/>
  <c r="G2491" i="5"/>
  <c r="G2492" i="5"/>
  <c r="G2494" i="5"/>
  <c r="B2495" i="5"/>
  <c r="G2495" i="5"/>
  <c r="G2496" i="5"/>
  <c r="G2498" i="5"/>
  <c r="B2499" i="5"/>
  <c r="G2499" i="5"/>
  <c r="G2500" i="5"/>
  <c r="G2502" i="5"/>
  <c r="B2503" i="5"/>
  <c r="G2503" i="5"/>
  <c r="G2504" i="5"/>
  <c r="G2506" i="5"/>
  <c r="B2507" i="5"/>
  <c r="G2507" i="5"/>
  <c r="G2508" i="5"/>
  <c r="G2510" i="5"/>
  <c r="B2511" i="5"/>
  <c r="G2511" i="5"/>
  <c r="G2512" i="5"/>
  <c r="G2514" i="5"/>
  <c r="B2515" i="5"/>
  <c r="G2515" i="5"/>
  <c r="G2516" i="5"/>
  <c r="G2518" i="5"/>
  <c r="B2519" i="5"/>
  <c r="G2519" i="5"/>
  <c r="G2520" i="5"/>
  <c r="G2522" i="5"/>
  <c r="B2523" i="5"/>
  <c r="G2523" i="5"/>
  <c r="G2524" i="5"/>
  <c r="G2526" i="5"/>
  <c r="B2527" i="5"/>
  <c r="G2527" i="5"/>
  <c r="G2528" i="5"/>
  <c r="G2530" i="5"/>
  <c r="B2531" i="5"/>
  <c r="G2531" i="5"/>
  <c r="G2532" i="5"/>
  <c r="G2534" i="5"/>
  <c r="B2535" i="5"/>
  <c r="G2535" i="5"/>
  <c r="G2536" i="5"/>
  <c r="G2538" i="5"/>
  <c r="B2539" i="5"/>
  <c r="G2539" i="5"/>
  <c r="G2540" i="5"/>
  <c r="G2542" i="5"/>
  <c r="B2543" i="5"/>
  <c r="G2543" i="5"/>
  <c r="G2544" i="5"/>
  <c r="G2546" i="5"/>
  <c r="B2547" i="5"/>
  <c r="G2547" i="5"/>
  <c r="G2548" i="5"/>
  <c r="G2550" i="5"/>
  <c r="B2551" i="5"/>
  <c r="G2551" i="5"/>
  <c r="G2552" i="5"/>
  <c r="G2554" i="5"/>
  <c r="B2555" i="5"/>
  <c r="G2555" i="5"/>
  <c r="G2556" i="5"/>
  <c r="G2558" i="5"/>
  <c r="B2559" i="5"/>
  <c r="G2559" i="5"/>
  <c r="G2560" i="5"/>
  <c r="G2562" i="5"/>
  <c r="B2563" i="5"/>
  <c r="G2563" i="5"/>
  <c r="G2564" i="5"/>
  <c r="G2566" i="5"/>
  <c r="B2567" i="5"/>
  <c r="G2567" i="5"/>
  <c r="G2568" i="5"/>
  <c r="G2570" i="5"/>
  <c r="B2571" i="5"/>
  <c r="G2571" i="5"/>
  <c r="G2572" i="5"/>
  <c r="E2574" i="5"/>
  <c r="E2575" i="5"/>
  <c r="G2576" i="5"/>
  <c r="G2577" i="5"/>
  <c r="G2578" i="5"/>
  <c r="B2579" i="5"/>
  <c r="G2579" i="5"/>
  <c r="G2580" i="5"/>
  <c r="E2582" i="5"/>
  <c r="E2583" i="5"/>
  <c r="G2584" i="5"/>
  <c r="G2585" i="5"/>
  <c r="G2586" i="5"/>
  <c r="B2587" i="5"/>
  <c r="G2587" i="5"/>
  <c r="G2588" i="5"/>
  <c r="E2590" i="5"/>
  <c r="E2591" i="5"/>
  <c r="G2592" i="5"/>
  <c r="G2593" i="5"/>
  <c r="G2594" i="5"/>
  <c r="B2595" i="5"/>
  <c r="G2596" i="5"/>
  <c r="G2598" i="5"/>
  <c r="B2599" i="5"/>
  <c r="G2599" i="5"/>
  <c r="G2600" i="5"/>
  <c r="G2602" i="5"/>
  <c r="B2603" i="5"/>
  <c r="G2603" i="5"/>
  <c r="G2604" i="5"/>
  <c r="G2606" i="5"/>
  <c r="B2607" i="5"/>
  <c r="G2607" i="5"/>
  <c r="G2608" i="5"/>
  <c r="G2610" i="5"/>
  <c r="B2611" i="5"/>
  <c r="G2611" i="5"/>
  <c r="G2612" i="5"/>
  <c r="G2614" i="5"/>
  <c r="B2615" i="5"/>
  <c r="G2615" i="5"/>
  <c r="G2616" i="5"/>
  <c r="G2618" i="5"/>
  <c r="B2619" i="5"/>
  <c r="G2619" i="5"/>
  <c r="G2620" i="5"/>
  <c r="G2622" i="5"/>
  <c r="B2623" i="5"/>
  <c r="G2623" i="5"/>
  <c r="G2624" i="5"/>
  <c r="G2626" i="5"/>
  <c r="B2627" i="5"/>
  <c r="G2627" i="5"/>
  <c r="G2628" i="5"/>
  <c r="G2630" i="5"/>
  <c r="B2631" i="5"/>
  <c r="G2632" i="5"/>
  <c r="G2634" i="5"/>
  <c r="B2635" i="5"/>
  <c r="G2635" i="5"/>
  <c r="G2636" i="5"/>
  <c r="G2638" i="5"/>
  <c r="B2639" i="5"/>
  <c r="G2639" i="5"/>
  <c r="G2640" i="5"/>
  <c r="G2642" i="5"/>
  <c r="B2643" i="5"/>
  <c r="G2643" i="5"/>
  <c r="G2644" i="5"/>
  <c r="G2646" i="5"/>
  <c r="B2647" i="5"/>
  <c r="G2647" i="5"/>
  <c r="G2648" i="5"/>
  <c r="G2650" i="5"/>
  <c r="B2651" i="5"/>
  <c r="G2651" i="5"/>
  <c r="G2652" i="5"/>
  <c r="G2654" i="5"/>
  <c r="B2655" i="5"/>
  <c r="G2655" i="5"/>
  <c r="G2656" i="5"/>
  <c r="E2657" i="5"/>
  <c r="G2658" i="5"/>
  <c r="G2659" i="5"/>
  <c r="G2660" i="5"/>
  <c r="B2661" i="5"/>
  <c r="G2661" i="5"/>
  <c r="G2662" i="5"/>
  <c r="E2663" i="5"/>
  <c r="G2664" i="5"/>
  <c r="G2665" i="5"/>
  <c r="G2666" i="5"/>
  <c r="B2667" i="5"/>
  <c r="G2667" i="5"/>
  <c r="G2668" i="5"/>
  <c r="E2669" i="5"/>
  <c r="G2670" i="5"/>
  <c r="G2671" i="5"/>
  <c r="G2672" i="5"/>
  <c r="B2673" i="5"/>
  <c r="G2673" i="5"/>
  <c r="G2674" i="5"/>
  <c r="E2675" i="5"/>
  <c r="G2676" i="5"/>
  <c r="G2677" i="5"/>
  <c r="G2678" i="5"/>
  <c r="B2679" i="5"/>
  <c r="G2679" i="5"/>
  <c r="G2680" i="5"/>
  <c r="E2681" i="5"/>
  <c r="G2682" i="5"/>
  <c r="G2683" i="5"/>
  <c r="G2684" i="5"/>
  <c r="B2685" i="5"/>
  <c r="G2685" i="5"/>
  <c r="G2686" i="5"/>
  <c r="E2687" i="5"/>
  <c r="G2688" i="5"/>
  <c r="G2689" i="5"/>
  <c r="G2690" i="5"/>
  <c r="B2691" i="5"/>
  <c r="G2691" i="5"/>
  <c r="G2692" i="5"/>
  <c r="E2693" i="5"/>
  <c r="G2694" i="5"/>
  <c r="G2695" i="5"/>
  <c r="G2696" i="5"/>
  <c r="B2697" i="5"/>
  <c r="G2697" i="5"/>
  <c r="G2698" i="5"/>
  <c r="E2699" i="5"/>
  <c r="G2700" i="5"/>
  <c r="G2701" i="5"/>
  <c r="G2702" i="5"/>
  <c r="B2703" i="5"/>
  <c r="G2703" i="5"/>
  <c r="G2704" i="5"/>
  <c r="E2705" i="5"/>
  <c r="G2706" i="5"/>
  <c r="G2707" i="5"/>
  <c r="G2708" i="5"/>
  <c r="B2709" i="5"/>
  <c r="G2709" i="5"/>
  <c r="G2710" i="5"/>
  <c r="E2711" i="5"/>
  <c r="G2712" i="5"/>
  <c r="G2713" i="5"/>
  <c r="G2714" i="5"/>
  <c r="B2715" i="5"/>
  <c r="G2715" i="5"/>
  <c r="G2716" i="5"/>
  <c r="G2718" i="5"/>
  <c r="B2719" i="5"/>
  <c r="G2720" i="5"/>
  <c r="G2722" i="5"/>
  <c r="B2723" i="5"/>
  <c r="G2723" i="5"/>
  <c r="G2724" i="5"/>
  <c r="G2726" i="5"/>
  <c r="B2727" i="5"/>
  <c r="G2728" i="5"/>
  <c r="G2730" i="5"/>
  <c r="B2731" i="5"/>
  <c r="G2731" i="5"/>
  <c r="G2732" i="5"/>
  <c r="G2734" i="5"/>
  <c r="B2735" i="5"/>
  <c r="G2735" i="5"/>
  <c r="G2736" i="5"/>
  <c r="G2738" i="5"/>
  <c r="B2739" i="5"/>
  <c r="G2739" i="5"/>
  <c r="G2740" i="5"/>
  <c r="G2742" i="5"/>
  <c r="B2743" i="5"/>
  <c r="G2743" i="5"/>
  <c r="G2744" i="5"/>
  <c r="G2746" i="5"/>
  <c r="B2747" i="5"/>
  <c r="G2747" i="5"/>
  <c r="G2748" i="5"/>
  <c r="G2750" i="5"/>
  <c r="B2751" i="5"/>
  <c r="G2751" i="5"/>
  <c r="G2752" i="5"/>
  <c r="G2754" i="5"/>
  <c r="B2755" i="5"/>
  <c r="G2755" i="5"/>
  <c r="G2756" i="5"/>
  <c r="G2758" i="5"/>
  <c r="B2759" i="5"/>
  <c r="G2759" i="5"/>
  <c r="G2760" i="5"/>
  <c r="G2762" i="5"/>
  <c r="B2763" i="5"/>
  <c r="G2763" i="5"/>
  <c r="G2764" i="5"/>
  <c r="G2766" i="5"/>
  <c r="B2767" i="5"/>
  <c r="G2767" i="5"/>
  <c r="G2768" i="5"/>
  <c r="G2770" i="5"/>
  <c r="B2771" i="5"/>
  <c r="G2771" i="5"/>
  <c r="G2772" i="5"/>
  <c r="G2775" i="5"/>
  <c r="B2776" i="5"/>
  <c r="G2776" i="5"/>
  <c r="G2777" i="5"/>
  <c r="G2785" i="5"/>
  <c r="B2786" i="5"/>
  <c r="G2786" i="5"/>
  <c r="G2787" i="5"/>
  <c r="G2791" i="5"/>
  <c r="B2792" i="5"/>
  <c r="G2792" i="5"/>
  <c r="G2793" i="5"/>
  <c r="G2796" i="5"/>
  <c r="B2797" i="5"/>
  <c r="G2797" i="5"/>
  <c r="G2798" i="5"/>
  <c r="G2801" i="5"/>
  <c r="B2802" i="5"/>
  <c r="G2802" i="5"/>
  <c r="G2803" i="5"/>
  <c r="G2811" i="5"/>
  <c r="B2812" i="5"/>
  <c r="G2812" i="5"/>
  <c r="G2813" i="5"/>
  <c r="G2816" i="5"/>
  <c r="B2817" i="5"/>
  <c r="G2817" i="5"/>
  <c r="G2818" i="5"/>
  <c r="G2821" i="5"/>
  <c r="B2822" i="5"/>
  <c r="G2822" i="5"/>
  <c r="G2823" i="5"/>
  <c r="G2826" i="5"/>
  <c r="B2827" i="5"/>
  <c r="G2827" i="5"/>
  <c r="G2828" i="5"/>
  <c r="G2831" i="5"/>
  <c r="G2832" i="5"/>
  <c r="G2833" i="5"/>
  <c r="B2834" i="5"/>
  <c r="G2834" i="5"/>
  <c r="G2835" i="5"/>
  <c r="G2838" i="5"/>
  <c r="B2839" i="5"/>
  <c r="G2839" i="5"/>
  <c r="G2840" i="5"/>
  <c r="G2843" i="5"/>
  <c r="B2844" i="5"/>
  <c r="G2844" i="5"/>
  <c r="G2845" i="5"/>
  <c r="G2848" i="5"/>
  <c r="B2849" i="5"/>
  <c r="G2849" i="5"/>
  <c r="G2850" i="5"/>
  <c r="G2853" i="5"/>
  <c r="B2854" i="5"/>
  <c r="G2854" i="5"/>
  <c r="G2855" i="5"/>
  <c r="G2858" i="5"/>
  <c r="B2859" i="5"/>
  <c r="G2859" i="5"/>
  <c r="G2860" i="5"/>
  <c r="G2863" i="5"/>
  <c r="B2864" i="5"/>
  <c r="G2864" i="5"/>
  <c r="G2865" i="5"/>
  <c r="G2868" i="5"/>
  <c r="B2869" i="5"/>
  <c r="G2869" i="5"/>
  <c r="G2870" i="5"/>
  <c r="G2873" i="5"/>
  <c r="B2874" i="5"/>
  <c r="G2874" i="5"/>
  <c r="G2875" i="5"/>
  <c r="G2880" i="5"/>
  <c r="B2881" i="5"/>
  <c r="G2881" i="5"/>
  <c r="G2882" i="5"/>
  <c r="G2885" i="5"/>
  <c r="B2886" i="5"/>
  <c r="G2886" i="5"/>
  <c r="G2887" i="5"/>
  <c r="G2890" i="5"/>
  <c r="B2891" i="5"/>
  <c r="G2891" i="5"/>
  <c r="G2892" i="5"/>
  <c r="G2895" i="5"/>
  <c r="B2896" i="5"/>
  <c r="G2896" i="5"/>
  <c r="G2897" i="5"/>
  <c r="G2900" i="5"/>
  <c r="G2901" i="5"/>
  <c r="G2902" i="5"/>
  <c r="G2903" i="5"/>
  <c r="B2904" i="5"/>
  <c r="G2904" i="5"/>
  <c r="G2905" i="5"/>
  <c r="G2908" i="5"/>
  <c r="G2909" i="5"/>
  <c r="G2910" i="5"/>
  <c r="G2911" i="5"/>
  <c r="B2912" i="5"/>
  <c r="G2912" i="5"/>
  <c r="G2913" i="5"/>
  <c r="G2916" i="5"/>
  <c r="G2917" i="5"/>
  <c r="G2918" i="5"/>
  <c r="G2919" i="5"/>
  <c r="B2920" i="5"/>
  <c r="G2920" i="5"/>
  <c r="G2921" i="5"/>
  <c r="G2924" i="5"/>
  <c r="G2925" i="5"/>
  <c r="G2926" i="5"/>
  <c r="G2927" i="5"/>
  <c r="B2928" i="5"/>
  <c r="G2928" i="5"/>
  <c r="G2929" i="5"/>
  <c r="G2932" i="5"/>
  <c r="G2933" i="5"/>
  <c r="G2934" i="5"/>
  <c r="G2935" i="5"/>
  <c r="B2936" i="5"/>
  <c r="G2936" i="5"/>
  <c r="G2937" i="5"/>
  <c r="G2940" i="5"/>
  <c r="B2941" i="5"/>
  <c r="G2941" i="5"/>
  <c r="G2942" i="5"/>
  <c r="G2945" i="5"/>
  <c r="B2946" i="5"/>
  <c r="G2946" i="5"/>
  <c r="G2947" i="5"/>
  <c r="G2950" i="5"/>
  <c r="B2951" i="5"/>
  <c r="G2951" i="5"/>
  <c r="G2952" i="5"/>
  <c r="G2955" i="5"/>
  <c r="B2956" i="5"/>
  <c r="G2956" i="5"/>
  <c r="G2957" i="5"/>
  <c r="G2960" i="5"/>
  <c r="B2961" i="5"/>
  <c r="G2961" i="5"/>
  <c r="G2962" i="5"/>
  <c r="G2965" i="5"/>
  <c r="B2966" i="5"/>
  <c r="G2966" i="5"/>
  <c r="G2967" i="5"/>
  <c r="G2970" i="5"/>
  <c r="B2971" i="5"/>
  <c r="G2971" i="5"/>
  <c r="G2972" i="5"/>
  <c r="G2975" i="5"/>
  <c r="B2976" i="5"/>
  <c r="G2976" i="5"/>
  <c r="G2977" i="5"/>
  <c r="G2980" i="5"/>
  <c r="B2981" i="5"/>
  <c r="G2981" i="5"/>
  <c r="G2982" i="5"/>
  <c r="G2985" i="5"/>
  <c r="B2986" i="5"/>
  <c r="G2986" i="5"/>
  <c r="G2987" i="5"/>
  <c r="G2995" i="5"/>
  <c r="B2996" i="5"/>
  <c r="G2996" i="5"/>
  <c r="G2997" i="5"/>
  <c r="G3000" i="5"/>
  <c r="B3001" i="5"/>
  <c r="G3001" i="5"/>
  <c r="G3002" i="5"/>
  <c r="G3005" i="5"/>
  <c r="B3006" i="5"/>
  <c r="G3006" i="5"/>
  <c r="G3007" i="5"/>
  <c r="G3010" i="5"/>
  <c r="B3011" i="5"/>
  <c r="G3011" i="5"/>
  <c r="G3012" i="5"/>
  <c r="G3015" i="5"/>
  <c r="B3016" i="5"/>
  <c r="G3016" i="5"/>
  <c r="G3017" i="5"/>
  <c r="G3020" i="5"/>
  <c r="B3021" i="5"/>
  <c r="G3021" i="5"/>
  <c r="G3022" i="5"/>
  <c r="G3025" i="5"/>
  <c r="B3026" i="5"/>
  <c r="G3026" i="5"/>
  <c r="G3027" i="5"/>
  <c r="G3030" i="5"/>
  <c r="B3031" i="5"/>
  <c r="G3031" i="5"/>
  <c r="G3032" i="5"/>
  <c r="G3035" i="5"/>
  <c r="B3036" i="5"/>
  <c r="G3036" i="5"/>
  <c r="G3037" i="5"/>
  <c r="G3040" i="5"/>
  <c r="B3041" i="5"/>
  <c r="G3041" i="5"/>
  <c r="G3042" i="5"/>
  <c r="G3045" i="5"/>
  <c r="G3046" i="5"/>
  <c r="G3047" i="5"/>
  <c r="G3048" i="5"/>
  <c r="B3049" i="5"/>
  <c r="G3049" i="5"/>
  <c r="G3050" i="5"/>
  <c r="G3053" i="5"/>
  <c r="B3054" i="5"/>
  <c r="G3054" i="5"/>
  <c r="G3055" i="5"/>
  <c r="G3058" i="5"/>
  <c r="G3059" i="5"/>
  <c r="G3060" i="5"/>
  <c r="G3061" i="5"/>
  <c r="B3062" i="5"/>
  <c r="G3062" i="5"/>
  <c r="G3063" i="5"/>
  <c r="G3065" i="5"/>
  <c r="B3066" i="5"/>
  <c r="G3066" i="5"/>
  <c r="G3067" i="5"/>
  <c r="G3073" i="5"/>
  <c r="B3074" i="5"/>
  <c r="G3074" i="5"/>
  <c r="G3075" i="5"/>
  <c r="G3078" i="5"/>
  <c r="B3079" i="5"/>
  <c r="G3079" i="5"/>
  <c r="G3080" i="5"/>
  <c r="G3086" i="5"/>
  <c r="B3087" i="5"/>
  <c r="G3087" i="5"/>
  <c r="G3088" i="5"/>
  <c r="G3091" i="5"/>
  <c r="B3092" i="5"/>
  <c r="G3092" i="5"/>
  <c r="G3093" i="5"/>
  <c r="G3096" i="5"/>
  <c r="B3097" i="5"/>
  <c r="G3097" i="5"/>
  <c r="G3098" i="5"/>
  <c r="G3101" i="5"/>
  <c r="B3102" i="5"/>
  <c r="G3102" i="5"/>
  <c r="G3103" i="5"/>
  <c r="G3106" i="5"/>
  <c r="B3107" i="5"/>
  <c r="G3107" i="5"/>
  <c r="G3108" i="5"/>
  <c r="G3111" i="5"/>
  <c r="B3112" i="5"/>
  <c r="G3112" i="5"/>
  <c r="G3113" i="5"/>
  <c r="G3116" i="5"/>
  <c r="B3117" i="5"/>
  <c r="G3117" i="5"/>
  <c r="G3118" i="5"/>
  <c r="G3121" i="5"/>
  <c r="B3122" i="5"/>
  <c r="G3122" i="5"/>
  <c r="G3123" i="5"/>
  <c r="G3126" i="5"/>
  <c r="B3127" i="5"/>
  <c r="G3127" i="5"/>
  <c r="G3128" i="5"/>
  <c r="G3131" i="5"/>
  <c r="B3132" i="5"/>
  <c r="G3133" i="5"/>
  <c r="G3135" i="5"/>
  <c r="G3136" i="5"/>
  <c r="G3137" i="5"/>
  <c r="B3138" i="5"/>
  <c r="G3138" i="5"/>
  <c r="G3139" i="5"/>
  <c r="G3143" i="5"/>
  <c r="B3144" i="5"/>
  <c r="G3144" i="5"/>
  <c r="G3145" i="5"/>
  <c r="G3149" i="5"/>
  <c r="B3150" i="5"/>
  <c r="G3150" i="5"/>
  <c r="G3151" i="5"/>
  <c r="G3155" i="5"/>
  <c r="B3156" i="5"/>
  <c r="G3156" i="5"/>
  <c r="G3157" i="5"/>
  <c r="G3160" i="5"/>
  <c r="B3161" i="5"/>
  <c r="G3161" i="5"/>
  <c r="G3162" i="5"/>
  <c r="G3166" i="5"/>
  <c r="B3167" i="5"/>
  <c r="G3167" i="5"/>
  <c r="G3168" i="5"/>
  <c r="G3171" i="5"/>
  <c r="B3172" i="5"/>
  <c r="G3172" i="5"/>
  <c r="G3173" i="5"/>
  <c r="G3180" i="5"/>
  <c r="B3181" i="5"/>
  <c r="G3181" i="5"/>
  <c r="G3182" i="5"/>
  <c r="G3188" i="5"/>
  <c r="B3189" i="5"/>
  <c r="G3189" i="5"/>
  <c r="G3190" i="5"/>
  <c r="G3196" i="5"/>
  <c r="B3197" i="5"/>
  <c r="G3197" i="5"/>
  <c r="G3198" i="5"/>
  <c r="G3201" i="5"/>
  <c r="B3202" i="5"/>
  <c r="G3203" i="5"/>
  <c r="G3205" i="5"/>
  <c r="B3206" i="5"/>
  <c r="G3206" i="5"/>
  <c r="G3207" i="5"/>
  <c r="G3212" i="5"/>
  <c r="B3213" i="5"/>
  <c r="G3213" i="5"/>
  <c r="G3214" i="5"/>
  <c r="E3221" i="5"/>
  <c r="E3222" i="5"/>
  <c r="G3223" i="5"/>
  <c r="G3224" i="5"/>
  <c r="G3225" i="5"/>
  <c r="B3226" i="5"/>
  <c r="G3226" i="5"/>
  <c r="G3227" i="5"/>
  <c r="G3231" i="5"/>
  <c r="B3232" i="5"/>
  <c r="G3232" i="5"/>
  <c r="G3233" i="5"/>
  <c r="G3237" i="5"/>
  <c r="B3238" i="5"/>
  <c r="G3238" i="5"/>
  <c r="G3239" i="5"/>
  <c r="G3243" i="5"/>
  <c r="B3244" i="5"/>
  <c r="G3244" i="5"/>
  <c r="G3245" i="5"/>
  <c r="G3253" i="5"/>
  <c r="B3254" i="5"/>
  <c r="G3254" i="5"/>
  <c r="G3255" i="5"/>
  <c r="G3258" i="5"/>
  <c r="B3259" i="5"/>
  <c r="G3259" i="5"/>
  <c r="G3260" i="5"/>
  <c r="G3265" i="5"/>
  <c r="B3266" i="5"/>
  <c r="G3267" i="5"/>
  <c r="G3272" i="5"/>
  <c r="B3273" i="5"/>
  <c r="G3273" i="5"/>
  <c r="G3274" i="5"/>
  <c r="G3279" i="5"/>
  <c r="B3280" i="5"/>
  <c r="G3280" i="5"/>
  <c r="G3281" i="5"/>
  <c r="G3286" i="5"/>
  <c r="B3287" i="5"/>
  <c r="G3287" i="5"/>
  <c r="G3288" i="5"/>
  <c r="G3293" i="5"/>
  <c r="B3294" i="5"/>
  <c r="G3294" i="5"/>
  <c r="G3295" i="5"/>
  <c r="G3300" i="5"/>
  <c r="B3301" i="5"/>
  <c r="G3301" i="5"/>
  <c r="G3302" i="5"/>
  <c r="G3307" i="5"/>
  <c r="B3308" i="5"/>
  <c r="G3308" i="5"/>
  <c r="G3309" i="5"/>
  <c r="G3314" i="5"/>
  <c r="B3315" i="5"/>
  <c r="G3315" i="5"/>
  <c r="G3316" i="5"/>
  <c r="G3321" i="5"/>
  <c r="B3322" i="5"/>
  <c r="G3322" i="5"/>
  <c r="G3323" i="5"/>
  <c r="G3328" i="5"/>
  <c r="B3329" i="5"/>
  <c r="G3329" i="5"/>
  <c r="G3330" i="5"/>
  <c r="G3334" i="5"/>
  <c r="B3335" i="5"/>
  <c r="G3335" i="5"/>
  <c r="G3336" i="5"/>
  <c r="G3340" i="5"/>
  <c r="B3341" i="5"/>
  <c r="G3342" i="5"/>
  <c r="E3344" i="5"/>
  <c r="G3347" i="5"/>
  <c r="G3348" i="5"/>
  <c r="G3349" i="5"/>
  <c r="B3350" i="5"/>
  <c r="G3350" i="5"/>
  <c r="G3351" i="5"/>
  <c r="G3354" i="5"/>
  <c r="B3355" i="5"/>
  <c r="G3355" i="5"/>
  <c r="G3356" i="5"/>
  <c r="G3361" i="5"/>
  <c r="B3362" i="5"/>
  <c r="G3362" i="5"/>
  <c r="G3363" i="5"/>
  <c r="G3368" i="5"/>
  <c r="B3369" i="5"/>
  <c r="G3369" i="5"/>
  <c r="G3370" i="5"/>
  <c r="D434" i="6"/>
  <c r="D435" i="6"/>
  <c r="G3375" i="5"/>
  <c r="B3376" i="5"/>
  <c r="G3377" i="5"/>
  <c r="G3379" i="5"/>
  <c r="B3380" i="5"/>
  <c r="G3381" i="5"/>
  <c r="G3383" i="5"/>
  <c r="B3384" i="5"/>
  <c r="G3384" i="5"/>
  <c r="G3385" i="5"/>
  <c r="G3388" i="5"/>
  <c r="B3389" i="5"/>
  <c r="G3389" i="5"/>
  <c r="G3390" i="5"/>
  <c r="G3392" i="5"/>
  <c r="B3393" i="5"/>
  <c r="G3393" i="5"/>
  <c r="G3394" i="5"/>
  <c r="G3396" i="5"/>
  <c r="B3397" i="5"/>
  <c r="G3397" i="5"/>
  <c r="G3398" i="5"/>
  <c r="G3403" i="5"/>
  <c r="B3404" i="5"/>
  <c r="G3404" i="5"/>
  <c r="G3405" i="5"/>
  <c r="D261" i="6"/>
  <c r="D262" i="6"/>
  <c r="G3410" i="5"/>
  <c r="B3411" i="5"/>
  <c r="G3411" i="5"/>
  <c r="G3412" i="5"/>
  <c r="G3417" i="5"/>
  <c r="B3418" i="5"/>
  <c r="G3418" i="5"/>
  <c r="G3419" i="5"/>
  <c r="G3422" i="5"/>
  <c r="B3423" i="5"/>
  <c r="G3423" i="5"/>
  <c r="G3424" i="5"/>
  <c r="G3427" i="5"/>
  <c r="B3428" i="5"/>
  <c r="G3428" i="5"/>
  <c r="G3429" i="5"/>
  <c r="G3432" i="5"/>
  <c r="B3433" i="5"/>
  <c r="G3433" i="5"/>
  <c r="G3434" i="5"/>
  <c r="G3436" i="5"/>
  <c r="B3437" i="5"/>
  <c r="G3437" i="5"/>
  <c r="G3438" i="5"/>
  <c r="G3440" i="5"/>
  <c r="B3441" i="5"/>
  <c r="G3441" i="5"/>
  <c r="G3442" i="5"/>
  <c r="E3443" i="5"/>
  <c r="E3444" i="5"/>
  <c r="E3445" i="5"/>
  <c r="E3446" i="5"/>
  <c r="D251" i="6"/>
  <c r="D252" i="6"/>
  <c r="E3447" i="5"/>
  <c r="G3448" i="5"/>
  <c r="G3449" i="5"/>
  <c r="G3450" i="5"/>
  <c r="B3451" i="5"/>
  <c r="G3451" i="5"/>
  <c r="G3452" i="5"/>
  <c r="E3453" i="5"/>
  <c r="E3454" i="5"/>
  <c r="E3455" i="5"/>
  <c r="E3456" i="5"/>
  <c r="E3458" i="5"/>
  <c r="G3459" i="5"/>
  <c r="G3460" i="5"/>
  <c r="G3461" i="5"/>
  <c r="B3462" i="5"/>
  <c r="G3462" i="5"/>
  <c r="G3463" i="5"/>
  <c r="E3464" i="5"/>
  <c r="E3465" i="5"/>
  <c r="E3466" i="5"/>
  <c r="E3467" i="5"/>
  <c r="E3469" i="5"/>
  <c r="G3470" i="5"/>
  <c r="G3471" i="5"/>
  <c r="G3472" i="5"/>
  <c r="B3473" i="5"/>
  <c r="G3473" i="5"/>
  <c r="G3474" i="5"/>
  <c r="G3480" i="5"/>
  <c r="B3481" i="5"/>
  <c r="G3481" i="5"/>
  <c r="G3482" i="5"/>
  <c r="E3484" i="5"/>
  <c r="E3486" i="5"/>
  <c r="E3489" i="5"/>
  <c r="E3490" i="5"/>
  <c r="E3491" i="5"/>
  <c r="E3492" i="5"/>
  <c r="G3494" i="5"/>
  <c r="G3495" i="5"/>
  <c r="G3496" i="5"/>
  <c r="G3497" i="5"/>
  <c r="B3498" i="5"/>
  <c r="G3498" i="5"/>
  <c r="G3499" i="5"/>
  <c r="G3505" i="5"/>
  <c r="B3506" i="5"/>
  <c r="G3506" i="5"/>
  <c r="G3507" i="5"/>
  <c r="E3509" i="5"/>
  <c r="E3511" i="5"/>
  <c r="E3514" i="5"/>
  <c r="E3515" i="5"/>
  <c r="E3516" i="5"/>
  <c r="E3517" i="5"/>
  <c r="G3519" i="5"/>
  <c r="G3520" i="5"/>
  <c r="G3521" i="5"/>
  <c r="G3522" i="5"/>
  <c r="B3523" i="5"/>
  <c r="G3523" i="5"/>
  <c r="G3524" i="5"/>
  <c r="E3528" i="5"/>
  <c r="E3529" i="5"/>
  <c r="G3530" i="5"/>
  <c r="G3531" i="5"/>
  <c r="G3532" i="5"/>
  <c r="B3533" i="5"/>
  <c r="G3533" i="5"/>
  <c r="G3534" i="5"/>
  <c r="E3537" i="5"/>
  <c r="E3538" i="5"/>
  <c r="G3539" i="5"/>
  <c r="G3540" i="5"/>
  <c r="G3541" i="5"/>
  <c r="B3542" i="5"/>
  <c r="G3542" i="5"/>
  <c r="G3543" i="5"/>
  <c r="G3548" i="5"/>
  <c r="B3549" i="5"/>
  <c r="G3549" i="5"/>
  <c r="G3550" i="5"/>
  <c r="E3551" i="5"/>
  <c r="E3553" i="5"/>
  <c r="E3556" i="5"/>
  <c r="E3557" i="5"/>
  <c r="E3558" i="5"/>
  <c r="E3559" i="5"/>
  <c r="G3561" i="5"/>
  <c r="G3562" i="5"/>
  <c r="G3563" i="5"/>
  <c r="G3564" i="5"/>
  <c r="B3565" i="5"/>
  <c r="G3565" i="5"/>
  <c r="G3566" i="5"/>
  <c r="G3570" i="5"/>
  <c r="B3571" i="5"/>
  <c r="G3571" i="5"/>
  <c r="G3572" i="5"/>
  <c r="G3576" i="5"/>
  <c r="B3577" i="5"/>
  <c r="G3577" i="5"/>
  <c r="G3578" i="5"/>
  <c r="E3580" i="5"/>
  <c r="E3581" i="5"/>
  <c r="E3582" i="5"/>
  <c r="E3583" i="5"/>
  <c r="G3584" i="5"/>
  <c r="B3585" i="5"/>
  <c r="G3585" i="5"/>
  <c r="G3586" i="5"/>
  <c r="E3588" i="5"/>
  <c r="G3591" i="5"/>
  <c r="B3592" i="5"/>
  <c r="G3592" i="5"/>
  <c r="G3593" i="5"/>
  <c r="G3596" i="5"/>
  <c r="B3597" i="5"/>
  <c r="G3597" i="5"/>
  <c r="G3598" i="5"/>
  <c r="E3603" i="5"/>
  <c r="G3604" i="5"/>
  <c r="B3605" i="5"/>
  <c r="G3605" i="5"/>
  <c r="G3606" i="5"/>
  <c r="E3609" i="5"/>
  <c r="G3610" i="5"/>
  <c r="B3611" i="5"/>
  <c r="G3611" i="5"/>
  <c r="G3612" i="5"/>
  <c r="G3617" i="5"/>
  <c r="B3618" i="5"/>
  <c r="G3619" i="5"/>
  <c r="D322" i="6"/>
  <c r="D323" i="6"/>
  <c r="G3623" i="5"/>
  <c r="B3624" i="5"/>
  <c r="G3624" i="5"/>
  <c r="G3625" i="5"/>
  <c r="G3633" i="5"/>
  <c r="B3634" i="5"/>
  <c r="G3634" i="5"/>
  <c r="G3635" i="5"/>
  <c r="G3638" i="5"/>
  <c r="B3639" i="5"/>
  <c r="G3639" i="5"/>
  <c r="G3640" i="5"/>
  <c r="G3643" i="5"/>
  <c r="B3644" i="5"/>
  <c r="G3644" i="5"/>
  <c r="G3645" i="5"/>
  <c r="E3648" i="5"/>
  <c r="G3651" i="5"/>
  <c r="B3652" i="5"/>
  <c r="G3652" i="5"/>
  <c r="G3653" i="5"/>
  <c r="G3655" i="5"/>
  <c r="B3656" i="5"/>
  <c r="G3656" i="5"/>
  <c r="G3657" i="5"/>
  <c r="G3661" i="5"/>
  <c r="B3662" i="5"/>
  <c r="G3663" i="5"/>
  <c r="E3667" i="5"/>
  <c r="E3668" i="5"/>
  <c r="E3669" i="5"/>
  <c r="E3670" i="5"/>
  <c r="E3671" i="5"/>
  <c r="G3674" i="5"/>
  <c r="G3675" i="5"/>
  <c r="G3676" i="5"/>
  <c r="B3677" i="5"/>
  <c r="G3677" i="5"/>
  <c r="G3678" i="5"/>
  <c r="E3679" i="5"/>
  <c r="E3680" i="5"/>
  <c r="E3681" i="5"/>
  <c r="G3682" i="5"/>
  <c r="G3683" i="5"/>
  <c r="G3684" i="5"/>
  <c r="B3685" i="5"/>
  <c r="G3685" i="5"/>
  <c r="G3686" i="5"/>
  <c r="E3692" i="5"/>
  <c r="E3693" i="5"/>
  <c r="G3694" i="5"/>
  <c r="G3695" i="5"/>
  <c r="G3696" i="5"/>
  <c r="B3697" i="5"/>
  <c r="G3697" i="5"/>
  <c r="G3698" i="5"/>
  <c r="E3705" i="5"/>
  <c r="E3706" i="5"/>
  <c r="G3707" i="5"/>
  <c r="G3708" i="5"/>
  <c r="G3709" i="5"/>
  <c r="B3710" i="5"/>
  <c r="G3710" i="5"/>
  <c r="G3711" i="5"/>
  <c r="E3712" i="5"/>
  <c r="E3713" i="5"/>
  <c r="E3714" i="5"/>
  <c r="E3715" i="5"/>
  <c r="E3717" i="5"/>
  <c r="G3718" i="5"/>
  <c r="G3719" i="5"/>
  <c r="G3720" i="5"/>
  <c r="B3721" i="5"/>
  <c r="G3721" i="5"/>
  <c r="G3722" i="5"/>
  <c r="G3724" i="5"/>
  <c r="B3725" i="5"/>
  <c r="G3725" i="5"/>
  <c r="G3726" i="5"/>
  <c r="G3734" i="5"/>
  <c r="B3735" i="5"/>
  <c r="G3735" i="5"/>
  <c r="G3736" i="5"/>
  <c r="E3738" i="5"/>
  <c r="G3739" i="5"/>
  <c r="B3740" i="5"/>
  <c r="G3740" i="5"/>
  <c r="G3741" i="5"/>
  <c r="E3742" i="5"/>
  <c r="E3743" i="5"/>
  <c r="E3744" i="5"/>
  <c r="G3745" i="5"/>
  <c r="G3746" i="5"/>
  <c r="G3747" i="5"/>
  <c r="G3748" i="5"/>
  <c r="B3749" i="5"/>
  <c r="G3749" i="5"/>
  <c r="G3750" i="5"/>
  <c r="G3755" i="5"/>
  <c r="B3756" i="5"/>
  <c r="G3756" i="5"/>
  <c r="G3757" i="5"/>
  <c r="G3759" i="5"/>
  <c r="B3760" i="5"/>
  <c r="G3760" i="5"/>
  <c r="G3761" i="5"/>
  <c r="G3763" i="5"/>
  <c r="B3764" i="5"/>
  <c r="G3764" i="5"/>
  <c r="G3765" i="5"/>
  <c r="G3767" i="5"/>
  <c r="B3768" i="5"/>
  <c r="G3768" i="5"/>
  <c r="G3769" i="5"/>
  <c r="E3770" i="5"/>
  <c r="G3771" i="5"/>
  <c r="G3772" i="5"/>
  <c r="G3773" i="5"/>
  <c r="B3774" i="5"/>
  <c r="G3774" i="5"/>
  <c r="G3775" i="5"/>
  <c r="E3776" i="5"/>
  <c r="G3777" i="5"/>
  <c r="G3778" i="5"/>
  <c r="G3779" i="5"/>
  <c r="B3780" i="5"/>
  <c r="G3780" i="5"/>
  <c r="G3781" i="5"/>
  <c r="E3782" i="5"/>
  <c r="G3783" i="5"/>
  <c r="G3784" i="5"/>
  <c r="G3785" i="5"/>
  <c r="B3786" i="5"/>
  <c r="G3786" i="5"/>
  <c r="G3787" i="5"/>
  <c r="E3788" i="5"/>
  <c r="G3789" i="5"/>
  <c r="G3790" i="5"/>
  <c r="G3791" i="5"/>
  <c r="B3792" i="5"/>
  <c r="G3792" i="5"/>
  <c r="G3793" i="5"/>
  <c r="E3794" i="5"/>
  <c r="G3795" i="5"/>
  <c r="G3796" i="5"/>
  <c r="G3797" i="5"/>
  <c r="B3798" i="5"/>
  <c r="G3798" i="5"/>
  <c r="G3799" i="5"/>
  <c r="E3800" i="5"/>
  <c r="G3801" i="5"/>
  <c r="G3802" i="5"/>
  <c r="G3803" i="5"/>
  <c r="B3804" i="5"/>
  <c r="G3804" i="5"/>
  <c r="G3805" i="5"/>
  <c r="E3806" i="5"/>
  <c r="G3807" i="5"/>
  <c r="G3808" i="5"/>
  <c r="G3809" i="5"/>
  <c r="B3810" i="5"/>
  <c r="G3810" i="5"/>
  <c r="G3811" i="5"/>
  <c r="E3812" i="5"/>
  <c r="G3813" i="5"/>
  <c r="G3814" i="5"/>
  <c r="G3815" i="5"/>
  <c r="B3816" i="5"/>
  <c r="G3816" i="5"/>
  <c r="G3817" i="5"/>
  <c r="E3818" i="5"/>
  <c r="G3819" i="5"/>
  <c r="G3820" i="5"/>
  <c r="G3821" i="5"/>
  <c r="B3822" i="5"/>
  <c r="G3822" i="5"/>
  <c r="G3823" i="5"/>
  <c r="E3824" i="5"/>
  <c r="G3825" i="5"/>
  <c r="G3826" i="5"/>
  <c r="G3827" i="5"/>
  <c r="B3828" i="5"/>
  <c r="G3828" i="5"/>
  <c r="G3829" i="5"/>
  <c r="E3830" i="5"/>
  <c r="E3831" i="5"/>
  <c r="G3832" i="5"/>
  <c r="B3833" i="5"/>
  <c r="G3833" i="5"/>
  <c r="G3834" i="5"/>
  <c r="E3840" i="5"/>
  <c r="G3841" i="5"/>
  <c r="G3842" i="5"/>
  <c r="G3843" i="5"/>
  <c r="B3844" i="5"/>
  <c r="G3845" i="5"/>
  <c r="E3846" i="5"/>
  <c r="E3847" i="5"/>
  <c r="E3848" i="5"/>
  <c r="E3849" i="5"/>
  <c r="E3850" i="5"/>
  <c r="E3851" i="5"/>
  <c r="E3852" i="5"/>
  <c r="G3853" i="5"/>
  <c r="B3854" i="5"/>
  <c r="G3854" i="5"/>
  <c r="G3855" i="5"/>
  <c r="G3862" i="5"/>
  <c r="B3863" i="5"/>
  <c r="G3863" i="5"/>
  <c r="G3864" i="5"/>
  <c r="G3870" i="5"/>
  <c r="B3871" i="5"/>
  <c r="G3871" i="5"/>
  <c r="G3872" i="5"/>
  <c r="E3878" i="5"/>
  <c r="E3879" i="5"/>
  <c r="G3880" i="5"/>
  <c r="G3881" i="5"/>
  <c r="G3882" i="5"/>
  <c r="B3883" i="5"/>
  <c r="G3883" i="5"/>
  <c r="G3884" i="5"/>
  <c r="G3897" i="5"/>
  <c r="B3898" i="5"/>
  <c r="G3898" i="5"/>
  <c r="G3899" i="5"/>
  <c r="G3904" i="5"/>
  <c r="B3905" i="5"/>
  <c r="G3905" i="5"/>
  <c r="G3906" i="5"/>
  <c r="D639" i="6"/>
  <c r="D640" i="6"/>
  <c r="G3922" i="5"/>
  <c r="B3923" i="5"/>
  <c r="G3923" i="5"/>
  <c r="G3924" i="5"/>
  <c r="G3928" i="5"/>
  <c r="B3929" i="5"/>
  <c r="G3929" i="5"/>
  <c r="G3930" i="5"/>
  <c r="G3934" i="5"/>
  <c r="B3935" i="5"/>
  <c r="G3935" i="5"/>
  <c r="G3936" i="5"/>
  <c r="G3940" i="5"/>
  <c r="B3941" i="5"/>
  <c r="G3941" i="5"/>
  <c r="G3942" i="5"/>
  <c r="E3943" i="5"/>
  <c r="E3944" i="5"/>
  <c r="E3945" i="5"/>
  <c r="E3946" i="5"/>
  <c r="G3947" i="5"/>
  <c r="B3948" i="5"/>
  <c r="G3948" i="5"/>
  <c r="G3949" i="5"/>
  <c r="G3956" i="5"/>
  <c r="B3957" i="5"/>
  <c r="G3958" i="5"/>
  <c r="G3964" i="5"/>
  <c r="B3965" i="5"/>
  <c r="G3965" i="5"/>
  <c r="G3966" i="5"/>
  <c r="G3974" i="5"/>
  <c r="B3975" i="5"/>
  <c r="G3975" i="5"/>
  <c r="G3976" i="5"/>
  <c r="G3981" i="5"/>
  <c r="B3982" i="5"/>
  <c r="G3982" i="5"/>
  <c r="G3983" i="5"/>
  <c r="G3989" i="5"/>
  <c r="B3990" i="5"/>
  <c r="G3990" i="5"/>
  <c r="G3991" i="5"/>
  <c r="E3998" i="5"/>
  <c r="E3999" i="5"/>
  <c r="G4000" i="5"/>
  <c r="G4001" i="5"/>
  <c r="G4002" i="5"/>
  <c r="B4003" i="5"/>
  <c r="G4004" i="5"/>
  <c r="G4015" i="5"/>
  <c r="B4016" i="5"/>
  <c r="G4016" i="5"/>
  <c r="G4017" i="5"/>
  <c r="E4018" i="5"/>
  <c r="G4020" i="5"/>
  <c r="B4021" i="5"/>
  <c r="G4021" i="5"/>
  <c r="G4022" i="5"/>
  <c r="G4024" i="5"/>
  <c r="B4025" i="5"/>
  <c r="G4025" i="5"/>
  <c r="G4026" i="5"/>
  <c r="G4028" i="5"/>
  <c r="B4029" i="5"/>
  <c r="G4029" i="5"/>
  <c r="G4030" i="5"/>
  <c r="G4037" i="5"/>
  <c r="B4038" i="5"/>
  <c r="G4038" i="5"/>
  <c r="G4039" i="5"/>
  <c r="G4046" i="5"/>
  <c r="B4047" i="5"/>
  <c r="G4047" i="5"/>
  <c r="G4048" i="5"/>
  <c r="G4055" i="5"/>
  <c r="B4056" i="5"/>
  <c r="G4056" i="5"/>
  <c r="G4057" i="5"/>
  <c r="G4064" i="5"/>
  <c r="B4065" i="5"/>
  <c r="G4065" i="5"/>
  <c r="G4066" i="5"/>
  <c r="G4073" i="5"/>
  <c r="B4074" i="5"/>
  <c r="G4075" i="5"/>
  <c r="G4082" i="5"/>
  <c r="B4083" i="5"/>
  <c r="G4084" i="5"/>
  <c r="G4088" i="5"/>
  <c r="B4089" i="5"/>
  <c r="G4089" i="5"/>
  <c r="G4090" i="5"/>
  <c r="G4094" i="5"/>
  <c r="B4095" i="5"/>
  <c r="G4096" i="5"/>
  <c r="G4101" i="5"/>
  <c r="B4102" i="5"/>
  <c r="G4102" i="5"/>
  <c r="G4103" i="5"/>
  <c r="E4104" i="5"/>
  <c r="G4105" i="5"/>
  <c r="G4106" i="5"/>
  <c r="G4107" i="5"/>
  <c r="B4108" i="5"/>
  <c r="G4108" i="5"/>
  <c r="G4109" i="5"/>
  <c r="E4110" i="5"/>
  <c r="G4111" i="5"/>
  <c r="B4112" i="5"/>
  <c r="G4112" i="5"/>
  <c r="G4113" i="5"/>
  <c r="G4118" i="5"/>
  <c r="B4119" i="5"/>
  <c r="G4119" i="5"/>
  <c r="G4120" i="5"/>
  <c r="G4126" i="5"/>
  <c r="B4127" i="5"/>
  <c r="G4128" i="5"/>
  <c r="G4134" i="5"/>
  <c r="B4135" i="5"/>
  <c r="G4135" i="5"/>
  <c r="G4136" i="5"/>
  <c r="G4142" i="5"/>
  <c r="B4143" i="5"/>
  <c r="G4143" i="5"/>
  <c r="G4144" i="5"/>
  <c r="G4146" i="5"/>
  <c r="B4147" i="5"/>
  <c r="G4147" i="5"/>
  <c r="G4148" i="5"/>
  <c r="E4152" i="5"/>
  <c r="G4154" i="5"/>
  <c r="B4155" i="5"/>
  <c r="G4155" i="5"/>
  <c r="G4156" i="5"/>
  <c r="E4161" i="5"/>
  <c r="G4165" i="5"/>
  <c r="B4166" i="5"/>
  <c r="G4166" i="5"/>
  <c r="G4167" i="5"/>
  <c r="E4169" i="5"/>
  <c r="G4174" i="5"/>
  <c r="G4175" i="5"/>
  <c r="G4176" i="5"/>
  <c r="B4177" i="5"/>
  <c r="G4177" i="5"/>
  <c r="G4178" i="5"/>
  <c r="G4180" i="5"/>
  <c r="B4181" i="5"/>
  <c r="G4182" i="5"/>
  <c r="G4187" i="5"/>
  <c r="B4188" i="5"/>
  <c r="G4188" i="5"/>
  <c r="G4189" i="5"/>
  <c r="G4194" i="5"/>
  <c r="B4195" i="5"/>
  <c r="G4195" i="5"/>
  <c r="G4196" i="5"/>
  <c r="E4199" i="5"/>
  <c r="G4200" i="5"/>
  <c r="B4201" i="5"/>
  <c r="G4201" i="5"/>
  <c r="G4202" i="5"/>
  <c r="G4206" i="5"/>
  <c r="B4207" i="5"/>
  <c r="G4207" i="5"/>
  <c r="G4208" i="5"/>
  <c r="G4212" i="5"/>
  <c r="B4213" i="5"/>
  <c r="G4213" i="5"/>
  <c r="G4214" i="5"/>
  <c r="G4222" i="5"/>
  <c r="B4223" i="5"/>
  <c r="G4223" i="5"/>
  <c r="G4224" i="5"/>
  <c r="G4228" i="5"/>
  <c r="B4229" i="5"/>
  <c r="G4229" i="5"/>
  <c r="G4230" i="5"/>
  <c r="E4231" i="5"/>
  <c r="G4234" i="5"/>
  <c r="G4235" i="5"/>
  <c r="G4236" i="5"/>
  <c r="B4237" i="5"/>
  <c r="G4237" i="5"/>
  <c r="G4238" i="5"/>
  <c r="G4244" i="5"/>
  <c r="B4245" i="5"/>
  <c r="G4245" i="5"/>
  <c r="G4246" i="5"/>
  <c r="G4253" i="5"/>
  <c r="B4254" i="5"/>
  <c r="G4254" i="5"/>
  <c r="G4255" i="5"/>
  <c r="G4260" i="5"/>
  <c r="B4261" i="5"/>
  <c r="G4261" i="5"/>
  <c r="G4262" i="5"/>
  <c r="G4265" i="5"/>
  <c r="B4266" i="5"/>
  <c r="G4266" i="5"/>
  <c r="G4267" i="5"/>
  <c r="G4273" i="5"/>
  <c r="B4274" i="5"/>
  <c r="G4274" i="5"/>
  <c r="G4275" i="5"/>
  <c r="E4276" i="5"/>
  <c r="E4277" i="5"/>
  <c r="E4278" i="5"/>
  <c r="G4282" i="5"/>
  <c r="B4283" i="5"/>
  <c r="G4284" i="5"/>
  <c r="E4294" i="5"/>
  <c r="E4295" i="5"/>
  <c r="G4296" i="5"/>
  <c r="G4297" i="5"/>
  <c r="G4298" i="5"/>
  <c r="B4299" i="5"/>
  <c r="G4299" i="5"/>
  <c r="G4300" i="5"/>
  <c r="E4321" i="5"/>
  <c r="E4322" i="5"/>
  <c r="G4323" i="5"/>
  <c r="G4324" i="5"/>
  <c r="G4325" i="5"/>
  <c r="B4326" i="5"/>
  <c r="G4326" i="5"/>
  <c r="G4327" i="5"/>
  <c r="E4328" i="5"/>
  <c r="E4329" i="5"/>
  <c r="E4330" i="5"/>
  <c r="G4332" i="5"/>
  <c r="B4333" i="5"/>
  <c r="G4333" i="5"/>
  <c r="G4334" i="5"/>
  <c r="G4343" i="5"/>
  <c r="B4344" i="5"/>
  <c r="G4344" i="5"/>
  <c r="G4345" i="5"/>
  <c r="G4352" i="5"/>
  <c r="B4353" i="5"/>
  <c r="G4353" i="5"/>
  <c r="G4354" i="5"/>
  <c r="G4361" i="5"/>
  <c r="B4362" i="5"/>
  <c r="G4362" i="5"/>
  <c r="G4363" i="5"/>
  <c r="G4370" i="5"/>
  <c r="B4371" i="5"/>
  <c r="G4371" i="5"/>
  <c r="G4372" i="5"/>
  <c r="G4379" i="5"/>
  <c r="B4380" i="5"/>
  <c r="G4380" i="5"/>
  <c r="G4381" i="5"/>
  <c r="G4389" i="5"/>
  <c r="B4390" i="5"/>
  <c r="G4390" i="5"/>
  <c r="G4391" i="5"/>
  <c r="E4392" i="5"/>
  <c r="E4393" i="5"/>
  <c r="E4394" i="5"/>
  <c r="E4396" i="5"/>
  <c r="G4397" i="5"/>
  <c r="B4398" i="5"/>
  <c r="G4398" i="5"/>
  <c r="G4399" i="5"/>
  <c r="E4400" i="5"/>
  <c r="E4401" i="5"/>
  <c r="E4402" i="5"/>
  <c r="E4404" i="5"/>
  <c r="G4405" i="5"/>
  <c r="B4406" i="5"/>
  <c r="G4406" i="5"/>
  <c r="G4407" i="5"/>
  <c r="G4415" i="5"/>
  <c r="B4416" i="5"/>
  <c r="G4417" i="5"/>
  <c r="G4425" i="5"/>
  <c r="B4426" i="5"/>
  <c r="G4426" i="5"/>
  <c r="G4427" i="5"/>
  <c r="G4435" i="5"/>
  <c r="B4436" i="5"/>
  <c r="G4436" i="5"/>
  <c r="G4437" i="5"/>
  <c r="G4443" i="5"/>
  <c r="B4444" i="5"/>
  <c r="G4444" i="5"/>
  <c r="G4445" i="5"/>
  <c r="G4455" i="5"/>
  <c r="B4456" i="5"/>
  <c r="G4456" i="5"/>
  <c r="G4457" i="5"/>
  <c r="G4467" i="5"/>
  <c r="B4468" i="5"/>
  <c r="G4468" i="5"/>
  <c r="G4469" i="5"/>
  <c r="G4473" i="5"/>
  <c r="B4474" i="5"/>
  <c r="G4474" i="5"/>
  <c r="G4475" i="5"/>
  <c r="E4482" i="5"/>
  <c r="E4488" i="5"/>
  <c r="G4493" i="5"/>
  <c r="B4494" i="5"/>
  <c r="G4494" i="5"/>
  <c r="G4495" i="5"/>
  <c r="E4497" i="5"/>
  <c r="G4501" i="5"/>
  <c r="B4502" i="5"/>
  <c r="G4502" i="5"/>
  <c r="G4503" i="5"/>
  <c r="D163" i="6"/>
  <c r="D164" i="6"/>
  <c r="G4509" i="5"/>
  <c r="B4510" i="5"/>
  <c r="G4510" i="5"/>
  <c r="G4511" i="5"/>
  <c r="G4515" i="5"/>
  <c r="B4516" i="5"/>
  <c r="G4516" i="5"/>
  <c r="G4517" i="5"/>
  <c r="G4520" i="5"/>
  <c r="B4521" i="5"/>
  <c r="G4521" i="5"/>
  <c r="G4522" i="5"/>
  <c r="G4525" i="5"/>
  <c r="B4526" i="5"/>
  <c r="G4526" i="5"/>
  <c r="G4527" i="5"/>
  <c r="G4533" i="5"/>
  <c r="B4534" i="5"/>
  <c r="G4534" i="5"/>
  <c r="G4535" i="5"/>
  <c r="E4540" i="5"/>
  <c r="G4541" i="5"/>
  <c r="B4542" i="5"/>
  <c r="G4542" i="5"/>
  <c r="G4543" i="5"/>
  <c r="G4546" i="5"/>
  <c r="B4547" i="5"/>
  <c r="G4547" i="5"/>
  <c r="G4548" i="5"/>
  <c r="G4552" i="5"/>
  <c r="B4553" i="5"/>
  <c r="G4553" i="5"/>
  <c r="G4554" i="5"/>
  <c r="G4564" i="5"/>
  <c r="B4565" i="5"/>
  <c r="G4565" i="5"/>
  <c r="G4566" i="5"/>
  <c r="E4567" i="5"/>
  <c r="E4568" i="5"/>
  <c r="E4569" i="5"/>
  <c r="E4570" i="5"/>
  <c r="E4571" i="5"/>
  <c r="E4572" i="5"/>
  <c r="E4573" i="5"/>
  <c r="E4574" i="5"/>
  <c r="E4575" i="5"/>
  <c r="G4576" i="5"/>
  <c r="B4577" i="5"/>
  <c r="G4577" i="5"/>
  <c r="G4578" i="5"/>
  <c r="E4591" i="5"/>
  <c r="E4592" i="5"/>
  <c r="G4593" i="5"/>
  <c r="G4594" i="5"/>
  <c r="G4595" i="5"/>
  <c r="B4596" i="5"/>
  <c r="G4596" i="5"/>
  <c r="G4597" i="5"/>
  <c r="E4598" i="5"/>
  <c r="E4599" i="5"/>
  <c r="E4600" i="5"/>
  <c r="E4601" i="5"/>
  <c r="E4602" i="5"/>
  <c r="G4603" i="5"/>
  <c r="B4604" i="5"/>
  <c r="G4604" i="5"/>
  <c r="G4605" i="5"/>
  <c r="G4612" i="5"/>
  <c r="B4613" i="5"/>
  <c r="G4613" i="5"/>
  <c r="G4614" i="5"/>
  <c r="E4617" i="5"/>
  <c r="G4618" i="5"/>
  <c r="G4619" i="5"/>
  <c r="G4620" i="5"/>
  <c r="B4621" i="5"/>
  <c r="G4621" i="5"/>
  <c r="G4622" i="5"/>
  <c r="G4626" i="5"/>
  <c r="B4627" i="5"/>
  <c r="G4627" i="5"/>
  <c r="G4628" i="5"/>
  <c r="E4634" i="5"/>
  <c r="E4635" i="5"/>
  <c r="G4636" i="5"/>
  <c r="G4637" i="5"/>
  <c r="G4638" i="5"/>
  <c r="B4639" i="5"/>
  <c r="G4639" i="5"/>
  <c r="G4640" i="5"/>
  <c r="G4643" i="5"/>
  <c r="G4644" i="5"/>
  <c r="G4645" i="5"/>
  <c r="G4646" i="5"/>
  <c r="B4647" i="5"/>
  <c r="G4647" i="5"/>
  <c r="G4648" i="5"/>
  <c r="G4652" i="5"/>
  <c r="B4653" i="5"/>
  <c r="G4654" i="5"/>
  <c r="G4660" i="5"/>
  <c r="B4661" i="5"/>
  <c r="G4661" i="5"/>
  <c r="G4662" i="5"/>
  <c r="G4668" i="5"/>
  <c r="B4669" i="5"/>
  <c r="G4669" i="5"/>
  <c r="G4670" i="5"/>
  <c r="G4678" i="5"/>
  <c r="B4679" i="5"/>
  <c r="G4680" i="5"/>
  <c r="G4684" i="5"/>
  <c r="B4685" i="5"/>
  <c r="G4685" i="5"/>
  <c r="G4686" i="5"/>
  <c r="G4689" i="5"/>
  <c r="G4690" i="5"/>
  <c r="G4691" i="5"/>
  <c r="G4692" i="5"/>
  <c r="B4693" i="5"/>
  <c r="G4693" i="5"/>
  <c r="G4694" i="5"/>
  <c r="G4701" i="5"/>
  <c r="B4702" i="5"/>
  <c r="G4702" i="5"/>
  <c r="G4703" i="5"/>
  <c r="E4708" i="5"/>
  <c r="G4710" i="5"/>
  <c r="G4711" i="5"/>
  <c r="G4712" i="5"/>
  <c r="G4713" i="5"/>
  <c r="B4714" i="5"/>
  <c r="G4714" i="5"/>
  <c r="G4715" i="5"/>
  <c r="G4717" i="5"/>
  <c r="B4718" i="5"/>
  <c r="G4718" i="5"/>
  <c r="G4719" i="5"/>
  <c r="G4721" i="5"/>
  <c r="G4722" i="5"/>
  <c r="G4723" i="5"/>
  <c r="B4724" i="5"/>
  <c r="G4724" i="5"/>
  <c r="G4725" i="5"/>
  <c r="E4727" i="5"/>
  <c r="E4728" i="5"/>
  <c r="G4729" i="5"/>
  <c r="G4730" i="5"/>
  <c r="G4731" i="5"/>
  <c r="B4732" i="5"/>
  <c r="G4732" i="5"/>
  <c r="G4733" i="5"/>
  <c r="E4734" i="5"/>
  <c r="G4735" i="5"/>
  <c r="B4736" i="5"/>
  <c r="G4736" i="5"/>
  <c r="G4737" i="5"/>
  <c r="G4739" i="5"/>
  <c r="B4740" i="5"/>
  <c r="G4740" i="5"/>
  <c r="G4741" i="5"/>
  <c r="G4743" i="5"/>
  <c r="B4744" i="5"/>
  <c r="G4744" i="5"/>
  <c r="G4745" i="5"/>
  <c r="G4747" i="5"/>
  <c r="B4748" i="5"/>
  <c r="G4749" i="5"/>
  <c r="G4751" i="5"/>
  <c r="B4752" i="5"/>
  <c r="G4752" i="5"/>
  <c r="G4753" i="5"/>
  <c r="G4755" i="5"/>
  <c r="B4756" i="5"/>
  <c r="G4756" i="5"/>
  <c r="G4757" i="5"/>
  <c r="G4759" i="5"/>
  <c r="B4760" i="5"/>
  <c r="G4760" i="5"/>
  <c r="G4761" i="5"/>
  <c r="G4763" i="5"/>
  <c r="B4764" i="5"/>
  <c r="G4764" i="5"/>
  <c r="G4765" i="5"/>
  <c r="G4767" i="5"/>
  <c r="B4768" i="5"/>
  <c r="G4768" i="5"/>
  <c r="G4769" i="5"/>
  <c r="E4777" i="5"/>
  <c r="G4778" i="5"/>
  <c r="B4779" i="5"/>
  <c r="G4779" i="5"/>
  <c r="G4780" i="5"/>
  <c r="G4783" i="5"/>
  <c r="B4784" i="5"/>
  <c r="G4784" i="5"/>
  <c r="G4785" i="5"/>
  <c r="E4786" i="5"/>
  <c r="E4788" i="5"/>
  <c r="E4789" i="5"/>
  <c r="G4793" i="5"/>
  <c r="B4794" i="5"/>
  <c r="G4794" i="5"/>
  <c r="G4795" i="5"/>
  <c r="E4796" i="5"/>
  <c r="E4798" i="5"/>
  <c r="E4799" i="5"/>
  <c r="G4803" i="5"/>
  <c r="B4804" i="5"/>
  <c r="G4804" i="5"/>
  <c r="G4805" i="5"/>
  <c r="G4808" i="5"/>
  <c r="B4809" i="5"/>
  <c r="G4809" i="5"/>
  <c r="G4810" i="5"/>
  <c r="G4813" i="5"/>
  <c r="B4814" i="5"/>
  <c r="G4814" i="5"/>
  <c r="G4815" i="5"/>
  <c r="G4818" i="5"/>
  <c r="B4819" i="5"/>
  <c r="G4819" i="5"/>
  <c r="G4820" i="5"/>
  <c r="G4825" i="5"/>
  <c r="B4827" i="5"/>
  <c r="G4827" i="5"/>
  <c r="G4828" i="5"/>
  <c r="G4834" i="5"/>
  <c r="B4835" i="5"/>
  <c r="G4835" i="5"/>
  <c r="G4836" i="5"/>
  <c r="G4842" i="5"/>
  <c r="B4843" i="5"/>
  <c r="G4843" i="5"/>
  <c r="G4844" i="5"/>
  <c r="G4850" i="5"/>
  <c r="B4851" i="5"/>
  <c r="G4851" i="5"/>
  <c r="G4852" i="5"/>
  <c r="G4858" i="5"/>
  <c r="B4859" i="5"/>
  <c r="G4859" i="5"/>
  <c r="G4860" i="5"/>
  <c r="G4866" i="5"/>
  <c r="B4867" i="5"/>
  <c r="G4867" i="5"/>
  <c r="G4868" i="5"/>
  <c r="G4874" i="5"/>
  <c r="B4875" i="5"/>
  <c r="G4875" i="5"/>
  <c r="G4876" i="5"/>
  <c r="G4882" i="5"/>
  <c r="B4883" i="5"/>
  <c r="G4883" i="5"/>
  <c r="G4884" i="5"/>
  <c r="G4892" i="5"/>
  <c r="B4893" i="5"/>
  <c r="G4893" i="5"/>
  <c r="G4894" i="5"/>
  <c r="G4901" i="5"/>
  <c r="B4902" i="5"/>
  <c r="G4902" i="5"/>
  <c r="G4903" i="5"/>
  <c r="G4908" i="5"/>
  <c r="B4909" i="5"/>
  <c r="G4909" i="5"/>
  <c r="G4910" i="5"/>
  <c r="G4915" i="5"/>
  <c r="B4916" i="5"/>
  <c r="G4916" i="5"/>
  <c r="G4917" i="5"/>
  <c r="G4922" i="5"/>
  <c r="B4923" i="5"/>
  <c r="G4923" i="5"/>
  <c r="G4924" i="5"/>
  <c r="G4929" i="5"/>
  <c r="B4930" i="5"/>
  <c r="G4931" i="5"/>
  <c r="G4936" i="5"/>
  <c r="B4937" i="5"/>
  <c r="G4937" i="5"/>
  <c r="G4938" i="5"/>
  <c r="G4941" i="5"/>
  <c r="B4942" i="5"/>
  <c r="G4943" i="5"/>
  <c r="G4948" i="5"/>
  <c r="B4949" i="5"/>
  <c r="G4949" i="5"/>
  <c r="G4950" i="5"/>
  <c r="G4955" i="5"/>
  <c r="B4956" i="5"/>
  <c r="G4956" i="5"/>
  <c r="G4957" i="5"/>
  <c r="E4960" i="5"/>
  <c r="E4961" i="5"/>
  <c r="G4962" i="5"/>
  <c r="B4963" i="5"/>
  <c r="G4963" i="5"/>
  <c r="G4964" i="5"/>
  <c r="E4967" i="5"/>
  <c r="E4968" i="5"/>
  <c r="G4969" i="5"/>
  <c r="B4970" i="5"/>
  <c r="G4970" i="5"/>
  <c r="G4971" i="5"/>
  <c r="G4974" i="5"/>
  <c r="B4975" i="5"/>
  <c r="G4975" i="5"/>
  <c r="G4976" i="5"/>
  <c r="E4978" i="5"/>
  <c r="E4979" i="5"/>
  <c r="G4980" i="5"/>
  <c r="B4981" i="5"/>
  <c r="G4982" i="5"/>
  <c r="E4984" i="5"/>
  <c r="E4985" i="5"/>
  <c r="G4986" i="5"/>
  <c r="B4987" i="5"/>
  <c r="G4987" i="5"/>
  <c r="G4988" i="5"/>
  <c r="E4990" i="5"/>
  <c r="E4991" i="5"/>
  <c r="G4992" i="5"/>
  <c r="B4993" i="5"/>
  <c r="G4993" i="5"/>
  <c r="G4994" i="5"/>
  <c r="E4996" i="5"/>
  <c r="E4997" i="5"/>
  <c r="G4998" i="5"/>
  <c r="B4999" i="5"/>
  <c r="G4999" i="5"/>
  <c r="G5000" i="5"/>
  <c r="E5001" i="5"/>
  <c r="E5002" i="5"/>
  <c r="E5003" i="5"/>
  <c r="E5004" i="5"/>
  <c r="G5005" i="5"/>
  <c r="B5006" i="5"/>
  <c r="G5006" i="5"/>
  <c r="G5007" i="5"/>
  <c r="G5010" i="5"/>
  <c r="B5011" i="5"/>
  <c r="G5011" i="5"/>
  <c r="G5012" i="5"/>
  <c r="G5018" i="5"/>
  <c r="B5019" i="5"/>
  <c r="G5020" i="5"/>
  <c r="G5024" i="5"/>
  <c r="B5025" i="5"/>
  <c r="G5025" i="5"/>
  <c r="G5026" i="5"/>
  <c r="G5028" i="5"/>
  <c r="B5029" i="5"/>
  <c r="G5029" i="5"/>
  <c r="G5030" i="5"/>
  <c r="G5034" i="5"/>
  <c r="B5035" i="5"/>
  <c r="G5035" i="5"/>
  <c r="G5036" i="5"/>
  <c r="G5040" i="5"/>
  <c r="B5041" i="5"/>
  <c r="G5042" i="5"/>
  <c r="G5048" i="5"/>
  <c r="B5049" i="5"/>
  <c r="G5049" i="5"/>
  <c r="G5050" i="5"/>
  <c r="E5053" i="5"/>
  <c r="G5055" i="5"/>
  <c r="B5056" i="5"/>
  <c r="G5056" i="5"/>
  <c r="G5057" i="5"/>
  <c r="G5062" i="5"/>
  <c r="B5063" i="5"/>
  <c r="G5063" i="5"/>
  <c r="G5064" i="5"/>
  <c r="E5069" i="5"/>
  <c r="G5070" i="5"/>
  <c r="B5071" i="5"/>
  <c r="G5071" i="5"/>
  <c r="G5072" i="5"/>
  <c r="G5076" i="5"/>
  <c r="B5077" i="5"/>
  <c r="G5077" i="5"/>
  <c r="G5078" i="5"/>
  <c r="G5082" i="5"/>
  <c r="B5083" i="5"/>
  <c r="G5083" i="5"/>
  <c r="G5084" i="5"/>
  <c r="G5088" i="5"/>
  <c r="B5089" i="5"/>
  <c r="G5089" i="5"/>
  <c r="G5090" i="5"/>
  <c r="G5094" i="5"/>
  <c r="B5095" i="5"/>
  <c r="G5095" i="5"/>
  <c r="G5096" i="5"/>
  <c r="G5101" i="5"/>
  <c r="B5102" i="5"/>
  <c r="G5102" i="5"/>
  <c r="G5103" i="5"/>
  <c r="E5104" i="5"/>
  <c r="E5105" i="5"/>
  <c r="E5106" i="5"/>
  <c r="E5107" i="5"/>
  <c r="G5108" i="5"/>
  <c r="B5109" i="5"/>
  <c r="G5109" i="5"/>
  <c r="G5110" i="5"/>
  <c r="E5111" i="5"/>
  <c r="E5112" i="5"/>
  <c r="E5113" i="5"/>
  <c r="E5114" i="5"/>
  <c r="G5119" i="5"/>
  <c r="B5120" i="5"/>
  <c r="G5120" i="5"/>
  <c r="G5121" i="5"/>
  <c r="G5125" i="5"/>
  <c r="B5126" i="5"/>
  <c r="G5127" i="5"/>
  <c r="E5128" i="5"/>
  <c r="E5130" i="5"/>
  <c r="E5131" i="5"/>
  <c r="E5132" i="5"/>
  <c r="G5133" i="5"/>
  <c r="B5134" i="5"/>
  <c r="G5134" i="5"/>
  <c r="G5135" i="5"/>
  <c r="E5136" i="5"/>
  <c r="E5138" i="5"/>
  <c r="E5139" i="5"/>
  <c r="E5140" i="5"/>
  <c r="G5141" i="5"/>
  <c r="B5142" i="5"/>
  <c r="G5142" i="5"/>
  <c r="G5143" i="5"/>
  <c r="E5144" i="5"/>
  <c r="E5146" i="5"/>
  <c r="E5147" i="5"/>
  <c r="E5148" i="5"/>
  <c r="G5149" i="5"/>
  <c r="B5150" i="5"/>
  <c r="G5150" i="5"/>
  <c r="G5151" i="5"/>
  <c r="E5152" i="5"/>
  <c r="E5154" i="5"/>
  <c r="E5155" i="5"/>
  <c r="E5156" i="5"/>
  <c r="G5157" i="5"/>
  <c r="B5158" i="5"/>
  <c r="G5158" i="5"/>
  <c r="G5159" i="5"/>
  <c r="G5163" i="5"/>
  <c r="B5164" i="5"/>
  <c r="G5164" i="5"/>
  <c r="G5165" i="5"/>
  <c r="E5166" i="5"/>
  <c r="E5168" i="5"/>
  <c r="E5169" i="5"/>
  <c r="E5170" i="5"/>
  <c r="G5171" i="5"/>
  <c r="B5172" i="5"/>
  <c r="G5173" i="5"/>
  <c r="E5175" i="5"/>
  <c r="E5176" i="5"/>
  <c r="G5177" i="5"/>
  <c r="B5178" i="5"/>
  <c r="G5178" i="5"/>
  <c r="G5179" i="5"/>
  <c r="G5185" i="5"/>
  <c r="B5186" i="5"/>
  <c r="G5187" i="5"/>
  <c r="E5188" i="5"/>
  <c r="E5190" i="5"/>
  <c r="E5191" i="5"/>
  <c r="E5192" i="5"/>
  <c r="G5193" i="5"/>
  <c r="B5194" i="5"/>
  <c r="G5195" i="5"/>
  <c r="E5196" i="5"/>
  <c r="E5198" i="5"/>
  <c r="E5199" i="5"/>
  <c r="E5200" i="5"/>
  <c r="G5201" i="5"/>
  <c r="B5202" i="5"/>
  <c r="G5202" i="5"/>
  <c r="G5203" i="5"/>
  <c r="G5214" i="5"/>
  <c r="G5215" i="5"/>
  <c r="G5216" i="5"/>
  <c r="B5217" i="5"/>
  <c r="G5217" i="5"/>
  <c r="G5218" i="5"/>
  <c r="G5230" i="5"/>
  <c r="G5231" i="5"/>
  <c r="B5232" i="5"/>
  <c r="G5233" i="5"/>
  <c r="G5238" i="5"/>
  <c r="B5239" i="5"/>
  <c r="G5240" i="5"/>
  <c r="G5245" i="5"/>
  <c r="B5246" i="5"/>
  <c r="G5247" i="5"/>
  <c r="G5251" i="5"/>
  <c r="B5252" i="5"/>
  <c r="G5252" i="5"/>
  <c r="G5253" i="5"/>
  <c r="G5257" i="5"/>
  <c r="B5258" i="5"/>
  <c r="G5259" i="5"/>
  <c r="G5264" i="5"/>
  <c r="B5265" i="5"/>
  <c r="G5265" i="5"/>
  <c r="G5266" i="5"/>
  <c r="E5267" i="5"/>
  <c r="E5268" i="5"/>
  <c r="E5269" i="5"/>
  <c r="D334" i="6"/>
  <c r="D335" i="6"/>
  <c r="E5270" i="5"/>
  <c r="E5271" i="5"/>
  <c r="E5272" i="5"/>
  <c r="E5273" i="5"/>
  <c r="D90" i="7"/>
  <c r="D91" i="7"/>
  <c r="E5274" i="5"/>
  <c r="D467" i="6"/>
  <c r="D468" i="6"/>
  <c r="E5275" i="5"/>
  <c r="G5276" i="5"/>
  <c r="B5277" i="5"/>
  <c r="G5277" i="5"/>
  <c r="G5278" i="5"/>
  <c r="G5284" i="5"/>
  <c r="B5285" i="5"/>
  <c r="G5285" i="5"/>
  <c r="G5286" i="5"/>
  <c r="G5290" i="5"/>
  <c r="B5291" i="5"/>
  <c r="G5292" i="5"/>
  <c r="G5297" i="5"/>
  <c r="B5298" i="5"/>
  <c r="G5299" i="5"/>
  <c r="G5303" i="5"/>
  <c r="B5304" i="5"/>
  <c r="G5304" i="5"/>
  <c r="G5305" i="5"/>
  <c r="G5309" i="5"/>
  <c r="B5310" i="5"/>
  <c r="G5311" i="5"/>
  <c r="G5315" i="5"/>
  <c r="B5316" i="5"/>
  <c r="G5316" i="5"/>
  <c r="G5317" i="5"/>
  <c r="G5321" i="5"/>
  <c r="B5322" i="5"/>
  <c r="G5323" i="5"/>
  <c r="G5327" i="5"/>
  <c r="B5328" i="5"/>
  <c r="G5328" i="5"/>
  <c r="G5329" i="5"/>
  <c r="G5333" i="5"/>
  <c r="B5334" i="5"/>
  <c r="G5334" i="5"/>
  <c r="G5335" i="5"/>
  <c r="G5339" i="5"/>
  <c r="B5340" i="5"/>
  <c r="G5340" i="5"/>
  <c r="G5341" i="5"/>
  <c r="G5346" i="5"/>
  <c r="B5347" i="5"/>
  <c r="G5348" i="5"/>
  <c r="G5353" i="5"/>
  <c r="B5354" i="5"/>
  <c r="G5355" i="5"/>
  <c r="G5360" i="5"/>
  <c r="B5361" i="5"/>
  <c r="G5361" i="5"/>
  <c r="G5362" i="5"/>
  <c r="G5366" i="5"/>
  <c r="B5367" i="5"/>
  <c r="G5368" i="5"/>
  <c r="G5372" i="5"/>
  <c r="B5373" i="5"/>
  <c r="G5373" i="5"/>
  <c r="G5374" i="5"/>
  <c r="E5375" i="5"/>
  <c r="E5376" i="5"/>
  <c r="G5379" i="5"/>
  <c r="B5380" i="5"/>
  <c r="G5380" i="5"/>
  <c r="G5381" i="5"/>
  <c r="G5385" i="5"/>
  <c r="B5386" i="5"/>
  <c r="G5386" i="5"/>
  <c r="G5387" i="5"/>
  <c r="G5391" i="5"/>
  <c r="B5392" i="5"/>
  <c r="G5392" i="5"/>
  <c r="G5393" i="5"/>
  <c r="G5399" i="5"/>
  <c r="B5400" i="5"/>
  <c r="G5401" i="5"/>
  <c r="G5407" i="5"/>
  <c r="B5408" i="5"/>
  <c r="G5408" i="5"/>
  <c r="G5409" i="5"/>
  <c r="G5415" i="5"/>
  <c r="B5416" i="5"/>
  <c r="G5416" i="5"/>
  <c r="G5417" i="5"/>
  <c r="E5420" i="5"/>
  <c r="E5421" i="5"/>
  <c r="G5422" i="5"/>
  <c r="B5423" i="5"/>
  <c r="G5423" i="5"/>
  <c r="G5424" i="5"/>
  <c r="E5425" i="5"/>
  <c r="E5426" i="5"/>
  <c r="E5427" i="5"/>
  <c r="E5428" i="5"/>
  <c r="E5429" i="5"/>
  <c r="D104" i="7"/>
  <c r="D105" i="7"/>
  <c r="E5430" i="5"/>
  <c r="D498" i="6"/>
  <c r="D499" i="6"/>
  <c r="E5431" i="5"/>
  <c r="G5432" i="5"/>
  <c r="B5433" i="5"/>
  <c r="G5433" i="5"/>
  <c r="G5434" i="5"/>
  <c r="E5435" i="5"/>
  <c r="E5436" i="5"/>
  <c r="E5437" i="5"/>
  <c r="E5438" i="5"/>
  <c r="E5439" i="5"/>
  <c r="E5440" i="5"/>
  <c r="E5441" i="5"/>
  <c r="G5444" i="5"/>
  <c r="B5445" i="5"/>
  <c r="G5445" i="5"/>
  <c r="G5446" i="5"/>
  <c r="G5450" i="5"/>
  <c r="B5451" i="5"/>
  <c r="G5451" i="5"/>
  <c r="G5452" i="5"/>
  <c r="G5456" i="5"/>
  <c r="B5457" i="5"/>
  <c r="G5458" i="5"/>
  <c r="G5463" i="5"/>
  <c r="B5464" i="5"/>
  <c r="G5464" i="5"/>
  <c r="G5465" i="5"/>
  <c r="G5469" i="5"/>
  <c r="B5470" i="5"/>
  <c r="G5471" i="5"/>
  <c r="G5475" i="5"/>
  <c r="B5476" i="5"/>
  <c r="G5476" i="5"/>
  <c r="G5477" i="5"/>
  <c r="G5481" i="5"/>
  <c r="B5482" i="5"/>
  <c r="G5482" i="5"/>
  <c r="G5483" i="5"/>
  <c r="G5485" i="5"/>
  <c r="B5486" i="5"/>
  <c r="G5486" i="5"/>
  <c r="G5487" i="5"/>
  <c r="G5492" i="5"/>
  <c r="B5493" i="5"/>
  <c r="G5493" i="5"/>
  <c r="G5494" i="5"/>
  <c r="G5496" i="5"/>
  <c r="B5497" i="5"/>
  <c r="G5497" i="5"/>
  <c r="G5498" i="5"/>
  <c r="E5499" i="5"/>
  <c r="G5500" i="5"/>
  <c r="G5501" i="5"/>
  <c r="G5502" i="5"/>
  <c r="B5503" i="5"/>
  <c r="G5504" i="5"/>
  <c r="E5505" i="5"/>
  <c r="G5506" i="5"/>
  <c r="G5507" i="5"/>
  <c r="G5508" i="5"/>
  <c r="B5509" i="5"/>
  <c r="G5510" i="5"/>
  <c r="E5511" i="5"/>
  <c r="G5512" i="5"/>
  <c r="G5513" i="5"/>
  <c r="G5514" i="5"/>
  <c r="B5515" i="5"/>
  <c r="G5516" i="5"/>
  <c r="E5517" i="5"/>
  <c r="G5518" i="5"/>
  <c r="G5519" i="5"/>
  <c r="G5520" i="5"/>
  <c r="B5521" i="5"/>
  <c r="G5522" i="5"/>
  <c r="E5523" i="5"/>
  <c r="G5524" i="5"/>
  <c r="G5525" i="5"/>
  <c r="G5526" i="5"/>
  <c r="B5527" i="5"/>
  <c r="G5527" i="5"/>
  <c r="G5528" i="5"/>
  <c r="E5529" i="5"/>
  <c r="G5530" i="5"/>
  <c r="G5531" i="5"/>
  <c r="G5532" i="5"/>
  <c r="B5533" i="5"/>
  <c r="G5534" i="5"/>
  <c r="E5535" i="5"/>
  <c r="G5536" i="5"/>
  <c r="G5537" i="5"/>
  <c r="G5538" i="5"/>
  <c r="B5539" i="5"/>
  <c r="G5539" i="5"/>
  <c r="G5540" i="5"/>
  <c r="E5541" i="5"/>
  <c r="G5542" i="5"/>
  <c r="G5543" i="5"/>
  <c r="G5544" i="5"/>
  <c r="B5545" i="5"/>
  <c r="G5545" i="5"/>
  <c r="G5546" i="5"/>
  <c r="E5547" i="5"/>
  <c r="G5548" i="5"/>
  <c r="G5549" i="5"/>
  <c r="G5550" i="5"/>
  <c r="B5551" i="5"/>
  <c r="G5552" i="5"/>
  <c r="E5553" i="5"/>
  <c r="G5554" i="5"/>
  <c r="G5555" i="5"/>
  <c r="G5556" i="5"/>
  <c r="B5557" i="5"/>
  <c r="G5557" i="5"/>
  <c r="G5558" i="5"/>
  <c r="E5559" i="5"/>
  <c r="G5560" i="5"/>
  <c r="G5561" i="5"/>
  <c r="G5562" i="5"/>
  <c r="B5563" i="5"/>
  <c r="G5564" i="5"/>
  <c r="E5565" i="5"/>
  <c r="G5566" i="5"/>
  <c r="G5567" i="5"/>
  <c r="G5568" i="5"/>
  <c r="B5569" i="5"/>
  <c r="G5570" i="5"/>
  <c r="E5571" i="5"/>
  <c r="G5572" i="5"/>
  <c r="G5573" i="5"/>
  <c r="G5574" i="5"/>
  <c r="B5575" i="5"/>
  <c r="G5576" i="5"/>
  <c r="E5577" i="5"/>
  <c r="G5578" i="5"/>
  <c r="G5579" i="5"/>
  <c r="G5580" i="5"/>
  <c r="B5581" i="5"/>
  <c r="G5581" i="5"/>
  <c r="G5582" i="5"/>
  <c r="E5583" i="5"/>
  <c r="G5584" i="5"/>
  <c r="G5585" i="5"/>
  <c r="G5586" i="5"/>
  <c r="B5587" i="5"/>
  <c r="G5588" i="5"/>
  <c r="E5589" i="5"/>
  <c r="G5590" i="5"/>
  <c r="G5591" i="5"/>
  <c r="G5592" i="5"/>
  <c r="B5593" i="5"/>
  <c r="G5593" i="5"/>
  <c r="G5594" i="5"/>
  <c r="E5595" i="5"/>
  <c r="G5596" i="5"/>
  <c r="G5597" i="5"/>
  <c r="G5598" i="5"/>
  <c r="B5599" i="5"/>
  <c r="G5599" i="5"/>
  <c r="G5600" i="5"/>
  <c r="E5601" i="5"/>
  <c r="G5602" i="5"/>
  <c r="G5603" i="5"/>
  <c r="G5604" i="5"/>
  <c r="B5605" i="5"/>
  <c r="G5606" i="5"/>
  <c r="E5607" i="5"/>
  <c r="G5608" i="5"/>
  <c r="G5609" i="5"/>
  <c r="G5610" i="5"/>
  <c r="B5611" i="5"/>
  <c r="G5612" i="5"/>
  <c r="E5613" i="5"/>
  <c r="G5614" i="5"/>
  <c r="G5615" i="5"/>
  <c r="G5616" i="5"/>
  <c r="B5617" i="5"/>
  <c r="G5617" i="5"/>
  <c r="G5618" i="5"/>
  <c r="G5620" i="5"/>
  <c r="B5621" i="5"/>
  <c r="G5622" i="5"/>
  <c r="G5624" i="5"/>
  <c r="B5625" i="5"/>
  <c r="G5625" i="5"/>
  <c r="G5626" i="5"/>
  <c r="G5628" i="5"/>
  <c r="B5629" i="5"/>
  <c r="G5629" i="5"/>
  <c r="G5630" i="5"/>
  <c r="G5632" i="5"/>
  <c r="B5633" i="5"/>
  <c r="G5634" i="5"/>
  <c r="G5636" i="5"/>
  <c r="B5637" i="5"/>
  <c r="G5637" i="5"/>
  <c r="G5638" i="5"/>
  <c r="G5640" i="5"/>
  <c r="B5641" i="5"/>
  <c r="G5641" i="5"/>
  <c r="G5642" i="5"/>
  <c r="G5644" i="5"/>
  <c r="B5645" i="5"/>
  <c r="G5645" i="5"/>
  <c r="G5646" i="5"/>
  <c r="G5648" i="5"/>
  <c r="B5649" i="5"/>
  <c r="G5650" i="5"/>
  <c r="G5652" i="5"/>
  <c r="B5653" i="5"/>
  <c r="G5653" i="5"/>
  <c r="G5654" i="5"/>
  <c r="G5656" i="5"/>
  <c r="B5657" i="5"/>
  <c r="G5657" i="5"/>
  <c r="G5658" i="5"/>
  <c r="G5660" i="5"/>
  <c r="B5661" i="5"/>
  <c r="G5661" i="5"/>
  <c r="G5662" i="5"/>
  <c r="G5664" i="5"/>
  <c r="B5665" i="5"/>
  <c r="G5666" i="5"/>
  <c r="G5668" i="5"/>
  <c r="B5669" i="5"/>
  <c r="G5669" i="5"/>
  <c r="G5670" i="5"/>
  <c r="G5672" i="5"/>
  <c r="B5673" i="5"/>
  <c r="G5673" i="5"/>
  <c r="G5674" i="5"/>
  <c r="G5676" i="5"/>
  <c r="B5677" i="5"/>
  <c r="G5677" i="5"/>
  <c r="G5678" i="5"/>
  <c r="G5680" i="5"/>
  <c r="B5681" i="5"/>
  <c r="G5681" i="5"/>
  <c r="G5682" i="5"/>
  <c r="G5684" i="5"/>
  <c r="B5685" i="5"/>
  <c r="G5685" i="5"/>
  <c r="G5686" i="5"/>
  <c r="G5688" i="5"/>
  <c r="B5689" i="5"/>
  <c r="G5689" i="5"/>
  <c r="G5690" i="5"/>
  <c r="G5692" i="5"/>
  <c r="B5693" i="5"/>
  <c r="G5693" i="5"/>
  <c r="G5694" i="5"/>
  <c r="G5696" i="5"/>
  <c r="B5697" i="5"/>
  <c r="G5698" i="5"/>
  <c r="G5700" i="5"/>
  <c r="B5701" i="5"/>
  <c r="G5701" i="5"/>
  <c r="G5702" i="5"/>
  <c r="G5704" i="5"/>
  <c r="B5705" i="5"/>
  <c r="G5705" i="5"/>
  <c r="G5706" i="5"/>
  <c r="G5708" i="5"/>
  <c r="B5709" i="5"/>
  <c r="G5709" i="5"/>
  <c r="G5710" i="5"/>
  <c r="G5712" i="5"/>
  <c r="B5713" i="5"/>
  <c r="G5713" i="5"/>
  <c r="G5714" i="5"/>
  <c r="G5716" i="5"/>
  <c r="B5717" i="5"/>
  <c r="G5717" i="5"/>
  <c r="G5718" i="5"/>
  <c r="G5720" i="5"/>
  <c r="B5721" i="5"/>
  <c r="G5721" i="5"/>
  <c r="G5722" i="5"/>
  <c r="G5724" i="5"/>
  <c r="B5725" i="5"/>
  <c r="G5725" i="5"/>
  <c r="G5726" i="5"/>
  <c r="G5728" i="5"/>
  <c r="B5729" i="5"/>
  <c r="G5729" i="5"/>
  <c r="G5730" i="5"/>
  <c r="G5732" i="5"/>
  <c r="B5733" i="5"/>
  <c r="G5733" i="5"/>
  <c r="G5734" i="5"/>
  <c r="G5736" i="5"/>
  <c r="B5737" i="5"/>
  <c r="G5737" i="5"/>
  <c r="G5738" i="5"/>
  <c r="G5740" i="5"/>
  <c r="B5741" i="5"/>
  <c r="G5741" i="5"/>
  <c r="G5742" i="5"/>
  <c r="G5744" i="5"/>
  <c r="B5745" i="5"/>
  <c r="G5745" i="5"/>
  <c r="G5746" i="5"/>
  <c r="G5748" i="5"/>
  <c r="B5749" i="5"/>
  <c r="G5750" i="5"/>
  <c r="G5752" i="5"/>
  <c r="B5753" i="5"/>
  <c r="G5753" i="5"/>
  <c r="G5754" i="5"/>
  <c r="G5756" i="5"/>
  <c r="B5757" i="5"/>
  <c r="G5757" i="5"/>
  <c r="G5758" i="5"/>
  <c r="G5760" i="5"/>
  <c r="B5761" i="5"/>
  <c r="G5762" i="5"/>
  <c r="G5764" i="5"/>
  <c r="B5765" i="5"/>
  <c r="G5766" i="5"/>
  <c r="G5768" i="5"/>
  <c r="B5769" i="5"/>
  <c r="G5769" i="5"/>
  <c r="G5770" i="5"/>
  <c r="G5772" i="5"/>
  <c r="B5773" i="5"/>
  <c r="G5774" i="5"/>
  <c r="G5776" i="5"/>
  <c r="B5777" i="5"/>
  <c r="G5778" i="5"/>
  <c r="G5780" i="5"/>
  <c r="B5781" i="5"/>
  <c r="G5781" i="5"/>
  <c r="G5782" i="5"/>
  <c r="G5784" i="5"/>
  <c r="B5785" i="5"/>
  <c r="G5785" i="5"/>
  <c r="G5786" i="5"/>
  <c r="G5788" i="5"/>
  <c r="B5789" i="5"/>
  <c r="G5789" i="5"/>
  <c r="G5790" i="5"/>
  <c r="G5792" i="5"/>
  <c r="B5793" i="5"/>
  <c r="G5793" i="5"/>
  <c r="G5794" i="5"/>
  <c r="G5796" i="5"/>
  <c r="B5797" i="5"/>
  <c r="G5797" i="5"/>
  <c r="G5798" i="5"/>
  <c r="G5800" i="5"/>
  <c r="B5801" i="5"/>
  <c r="G5802" i="5"/>
  <c r="G5804" i="5"/>
  <c r="B5805" i="5"/>
  <c r="G5806" i="5"/>
  <c r="G5808" i="5"/>
  <c r="B5809" i="5"/>
  <c r="G5810" i="5"/>
  <c r="G5812" i="5"/>
  <c r="B5813" i="5"/>
  <c r="G5813" i="5"/>
  <c r="G5814" i="5"/>
  <c r="G5816" i="5"/>
  <c r="B5817" i="5"/>
  <c r="G5817" i="5"/>
  <c r="G5818" i="5"/>
  <c r="G5820" i="5"/>
  <c r="B5821" i="5"/>
  <c r="G5821" i="5"/>
  <c r="G5822" i="5"/>
  <c r="G5824" i="5"/>
  <c r="B5825" i="5"/>
  <c r="G5826" i="5"/>
  <c r="G5828" i="5"/>
  <c r="B5829" i="5"/>
  <c r="G5829" i="5"/>
  <c r="G5830" i="5"/>
  <c r="G5832" i="5"/>
  <c r="B5833" i="5"/>
  <c r="G5833" i="5"/>
  <c r="G5834" i="5"/>
  <c r="G5836" i="5"/>
  <c r="B5837" i="5"/>
  <c r="G5838" i="5"/>
  <c r="G5840" i="5"/>
  <c r="B5841" i="5"/>
  <c r="G5841" i="5"/>
  <c r="G5842" i="5"/>
  <c r="G5844" i="5"/>
  <c r="B5845" i="5"/>
  <c r="G5845" i="5"/>
  <c r="G5846" i="5"/>
  <c r="G5848" i="5"/>
  <c r="B5849" i="5"/>
  <c r="G5849" i="5"/>
  <c r="G5850" i="5"/>
  <c r="G5852" i="5"/>
  <c r="B5853" i="5"/>
  <c r="G5853" i="5"/>
  <c r="G5854" i="5"/>
  <c r="G5856" i="5"/>
  <c r="B5857" i="5"/>
  <c r="G5857" i="5"/>
  <c r="G5858" i="5"/>
  <c r="G5860" i="5"/>
  <c r="B5861" i="5"/>
  <c r="G5861" i="5"/>
  <c r="G5862" i="5"/>
  <c r="G5864" i="5"/>
  <c r="B5865" i="5"/>
  <c r="G5866" i="5"/>
  <c r="G5868" i="5"/>
  <c r="B5869" i="5"/>
  <c r="G5870" i="5"/>
  <c r="G5872" i="5"/>
  <c r="B5873" i="5"/>
  <c r="G5874" i="5"/>
  <c r="G5876" i="5"/>
  <c r="B5877" i="5"/>
  <c r="G5877" i="5"/>
  <c r="G5878" i="5"/>
  <c r="G5880" i="5"/>
  <c r="B5881" i="5"/>
  <c r="G5882" i="5"/>
  <c r="G5884" i="5"/>
  <c r="B5885" i="5"/>
  <c r="G5885" i="5"/>
  <c r="G5886" i="5"/>
  <c r="G5888" i="5"/>
  <c r="B5889" i="5"/>
  <c r="G5890" i="5"/>
  <c r="G5892" i="5"/>
  <c r="B5893" i="5"/>
  <c r="G5893" i="5"/>
  <c r="G5894" i="5"/>
  <c r="G5896" i="5"/>
  <c r="B5897" i="5"/>
  <c r="G5898" i="5"/>
  <c r="G5900" i="5"/>
  <c r="B5901" i="5"/>
  <c r="G5901" i="5"/>
  <c r="G5902" i="5"/>
  <c r="G5904" i="5"/>
  <c r="B5905" i="5"/>
  <c r="G5905" i="5"/>
  <c r="G5906" i="5"/>
  <c r="G5908" i="5"/>
  <c r="B5909" i="5"/>
  <c r="G5909" i="5"/>
  <c r="G5910" i="5"/>
  <c r="G5912" i="5"/>
  <c r="B5913" i="5"/>
  <c r="G5913" i="5"/>
  <c r="G5914" i="5"/>
  <c r="G5916" i="5"/>
  <c r="B5917" i="5"/>
  <c r="G5918" i="5"/>
  <c r="G5920" i="5"/>
  <c r="B5921" i="5"/>
  <c r="G5922" i="5"/>
  <c r="G5924" i="5"/>
  <c r="B5925" i="5"/>
  <c r="G5925" i="5"/>
  <c r="G5926" i="5"/>
  <c r="G5928" i="5"/>
  <c r="B5929" i="5"/>
  <c r="G5929" i="5"/>
  <c r="G5930" i="5"/>
  <c r="G5932" i="5"/>
  <c r="B5933" i="5"/>
  <c r="G5933" i="5"/>
  <c r="G5934" i="5"/>
  <c r="G5936" i="5"/>
  <c r="B5937" i="5"/>
  <c r="G5938" i="5"/>
  <c r="G5940" i="5"/>
  <c r="B5941" i="5"/>
  <c r="G5941" i="5"/>
  <c r="G5942" i="5"/>
  <c r="G5944" i="5"/>
  <c r="B5945" i="5"/>
  <c r="G5946" i="5"/>
  <c r="G5948" i="5"/>
  <c r="B5949" i="5"/>
  <c r="G5950" i="5"/>
  <c r="G5952" i="5"/>
  <c r="B5953" i="5"/>
  <c r="G5953" i="5"/>
  <c r="G5954" i="5"/>
  <c r="G5956" i="5"/>
  <c r="B5957" i="5"/>
  <c r="G5957" i="5"/>
  <c r="G5958" i="5"/>
  <c r="G5960" i="5"/>
  <c r="B5961" i="5"/>
  <c r="G5961" i="5"/>
  <c r="G5962" i="5"/>
  <c r="G5964" i="5"/>
  <c r="B5965" i="5"/>
  <c r="G5966" i="5"/>
  <c r="G5968" i="5"/>
  <c r="B5969" i="5"/>
  <c r="G5969" i="5"/>
  <c r="G5970" i="5"/>
  <c r="G5972" i="5"/>
  <c r="B5973" i="5"/>
  <c r="G5973" i="5"/>
  <c r="G5974" i="5"/>
  <c r="G5976" i="5"/>
  <c r="B5977" i="5"/>
  <c r="G5978" i="5"/>
  <c r="G5980" i="5"/>
  <c r="B5981" i="5"/>
  <c r="G5982" i="5"/>
  <c r="G5984" i="5"/>
  <c r="B5985" i="5"/>
  <c r="G5986" i="5"/>
  <c r="G5988" i="5"/>
  <c r="B5989" i="5"/>
  <c r="G5989" i="5"/>
  <c r="G5990" i="5"/>
  <c r="G5992" i="5"/>
  <c r="B5993" i="5"/>
  <c r="G5994" i="5"/>
  <c r="G5996" i="5"/>
  <c r="B5997" i="5"/>
  <c r="G5998" i="5"/>
  <c r="G6000" i="5"/>
  <c r="B6001" i="5"/>
  <c r="G6001" i="5"/>
  <c r="G6002" i="5"/>
  <c r="G6004" i="5"/>
  <c r="B6005" i="5"/>
  <c r="G6005" i="5"/>
  <c r="G6006" i="5"/>
  <c r="G6008" i="5"/>
  <c r="B6009" i="5"/>
  <c r="G6009" i="5"/>
  <c r="G6010" i="5"/>
  <c r="G6012" i="5"/>
  <c r="B6013" i="5"/>
  <c r="G6013" i="5"/>
  <c r="G6014" i="5"/>
  <c r="G6016" i="5"/>
  <c r="B6017" i="5"/>
  <c r="G6017" i="5"/>
  <c r="G6018" i="5"/>
  <c r="G6020" i="5"/>
  <c r="B6021" i="5"/>
  <c r="G6021" i="5"/>
  <c r="G6022" i="5"/>
  <c r="G6024" i="5"/>
  <c r="B6025" i="5"/>
  <c r="G6025" i="5"/>
  <c r="G6026" i="5"/>
  <c r="G6028" i="5"/>
  <c r="B6029" i="5"/>
  <c r="G6029" i="5"/>
  <c r="G6030" i="5"/>
  <c r="G6032" i="5"/>
  <c r="B6033" i="5"/>
  <c r="G6033" i="5"/>
  <c r="G6034" i="5"/>
  <c r="G6036" i="5"/>
  <c r="B6037" i="5"/>
  <c r="G6038" i="5"/>
  <c r="G6040" i="5"/>
  <c r="B6041" i="5"/>
  <c r="G6042" i="5"/>
  <c r="G6044" i="5"/>
  <c r="B6045" i="5"/>
  <c r="G6045" i="5"/>
  <c r="G6046" i="5"/>
  <c r="G6048" i="5"/>
  <c r="B6049" i="5"/>
  <c r="G6049" i="5"/>
  <c r="G6050" i="5"/>
  <c r="G6052" i="5"/>
  <c r="B6053" i="5"/>
  <c r="G6053" i="5"/>
  <c r="G6054" i="5"/>
  <c r="G6056" i="5"/>
  <c r="B6057" i="5"/>
  <c r="G6058" i="5"/>
  <c r="G6060" i="5"/>
  <c r="B6061" i="5"/>
  <c r="G6061" i="5"/>
  <c r="G6062" i="5"/>
  <c r="G6064" i="5"/>
  <c r="B6065" i="5"/>
  <c r="G6065" i="5"/>
  <c r="G6066" i="5"/>
  <c r="G6068" i="5"/>
  <c r="B6069" i="5"/>
  <c r="G6070" i="5"/>
  <c r="G6072" i="5"/>
  <c r="B6073" i="5"/>
  <c r="G6073" i="5"/>
  <c r="G6074" i="5"/>
  <c r="G6076" i="5"/>
  <c r="B6077" i="5"/>
  <c r="G6078" i="5"/>
  <c r="G6080" i="5"/>
  <c r="B6081" i="5"/>
  <c r="G6081" i="5"/>
  <c r="G6082" i="5"/>
  <c r="G6084" i="5"/>
  <c r="B6085" i="5"/>
  <c r="G6086" i="5"/>
  <c r="G6088" i="5"/>
  <c r="B6089" i="5"/>
  <c r="G6089" i="5"/>
  <c r="G6090" i="5"/>
  <c r="G6092" i="5"/>
  <c r="B6093" i="5"/>
  <c r="G6093" i="5"/>
  <c r="G6094" i="5"/>
  <c r="G6096" i="5"/>
  <c r="B6097" i="5"/>
  <c r="G6097" i="5"/>
  <c r="G6098" i="5"/>
  <c r="G6100" i="5"/>
  <c r="B6101" i="5"/>
  <c r="G6102" i="5"/>
  <c r="G6104" i="5"/>
  <c r="B6105" i="5"/>
  <c r="G6105" i="5"/>
  <c r="G6106" i="5"/>
  <c r="G6108" i="5"/>
  <c r="B6109" i="5"/>
  <c r="G6109" i="5"/>
  <c r="G6110" i="5"/>
  <c r="G6112" i="5"/>
  <c r="B6113" i="5"/>
  <c r="G6113" i="5"/>
  <c r="G6114" i="5"/>
  <c r="G6116" i="5"/>
  <c r="B6117" i="5"/>
  <c r="G6118" i="5"/>
  <c r="G6120" i="5"/>
  <c r="B6121" i="5"/>
  <c r="G6121" i="5"/>
  <c r="G6122" i="5"/>
  <c r="G6124" i="5"/>
  <c r="B6125" i="5"/>
  <c r="G6125" i="5"/>
  <c r="G6126" i="5"/>
  <c r="G6128" i="5"/>
  <c r="B6129" i="5"/>
  <c r="G6129" i="5"/>
  <c r="G6130" i="5"/>
  <c r="G6132" i="5"/>
  <c r="B6133" i="5"/>
  <c r="G6133" i="5"/>
  <c r="G6134" i="5"/>
  <c r="E6135" i="5"/>
  <c r="G6136" i="5"/>
  <c r="B6137" i="5"/>
  <c r="G6137" i="5"/>
  <c r="G6138" i="5"/>
  <c r="B6145" i="5"/>
  <c r="G6146" i="5"/>
  <c r="G6148" i="5"/>
  <c r="B6149" i="5"/>
  <c r="G6149" i="5"/>
  <c r="G6150" i="5"/>
  <c r="G6152" i="5"/>
  <c r="B6153" i="5"/>
  <c r="G6153" i="5"/>
  <c r="G6154" i="5"/>
  <c r="G6156" i="5"/>
  <c r="B6157" i="5"/>
  <c r="G6157" i="5"/>
  <c r="G6158" i="5"/>
  <c r="E6159" i="5"/>
  <c r="E6160" i="5"/>
  <c r="E6166" i="5"/>
  <c r="G6167" i="5"/>
  <c r="B6168" i="5"/>
  <c r="G6168" i="5"/>
  <c r="G6169" i="5"/>
  <c r="E6177" i="5"/>
  <c r="G6178" i="5"/>
  <c r="B6179" i="5"/>
  <c r="G6179" i="5"/>
  <c r="G6180" i="5"/>
  <c r="B6186" i="5"/>
  <c r="G6186" i="5"/>
  <c r="G6187" i="5"/>
  <c r="B6191" i="5"/>
  <c r="G6191" i="5"/>
  <c r="G6192" i="5"/>
  <c r="B6196" i="5"/>
  <c r="G6196" i="5"/>
  <c r="G6197" i="5"/>
  <c r="E6200" i="5"/>
  <c r="B6204" i="5"/>
  <c r="G6205" i="5"/>
  <c r="B6212" i="5"/>
  <c r="G6212" i="5"/>
  <c r="G6213" i="5"/>
  <c r="D222" i="6"/>
  <c r="D223" i="6"/>
  <c r="B6221" i="5"/>
  <c r="G6222" i="5"/>
  <c r="B6228" i="5"/>
  <c r="G6228" i="5"/>
  <c r="G6229" i="5"/>
  <c r="B6234" i="5"/>
  <c r="G6234" i="5"/>
  <c r="G6235" i="5"/>
  <c r="B6241" i="5"/>
  <c r="G6241" i="5"/>
  <c r="G6242" i="5"/>
  <c r="B6247" i="5"/>
  <c r="G6248" i="5"/>
  <c r="B6253" i="5"/>
  <c r="G6254" i="5"/>
  <c r="B6262" i="5"/>
  <c r="G6263" i="5"/>
  <c r="B6273" i="5"/>
  <c r="G6273" i="5"/>
  <c r="G6274" i="5"/>
  <c r="B6281" i="5"/>
  <c r="G6281" i="5"/>
  <c r="G6282" i="5"/>
  <c r="B6289" i="5"/>
  <c r="G6289" i="5"/>
  <c r="G6290" i="5"/>
  <c r="B6298" i="5"/>
  <c r="G6298" i="5"/>
  <c r="G6299" i="5"/>
  <c r="D590" i="6"/>
  <c r="D591" i="6"/>
  <c r="B6309" i="5"/>
  <c r="G6310" i="5"/>
  <c r="D119" i="7"/>
  <c r="D120" i="7"/>
  <c r="B6333" i="5"/>
  <c r="G6333" i="5"/>
  <c r="G6334" i="5"/>
  <c r="B6343" i="5"/>
  <c r="G6343" i="5"/>
  <c r="G6344" i="5"/>
  <c r="B6352" i="5"/>
  <c r="G6352" i="5"/>
  <c r="G6353" i="5"/>
  <c r="B6357" i="5"/>
  <c r="G6358" i="5"/>
  <c r="D509" i="6"/>
  <c r="D510" i="6"/>
  <c r="B6371" i="5"/>
  <c r="G6371" i="5"/>
  <c r="G6372" i="5"/>
  <c r="E6377" i="5"/>
  <c r="E6381" i="5"/>
  <c r="E6382" i="5"/>
  <c r="B6386" i="5"/>
  <c r="G6387" i="5"/>
  <c r="E6390" i="5"/>
  <c r="E6391" i="5"/>
  <c r="G6392" i="5"/>
  <c r="B6393" i="5"/>
  <c r="G6393" i="5"/>
  <c r="G6394" i="5"/>
  <c r="G6398" i="5"/>
  <c r="B6399" i="5"/>
  <c r="G6400" i="5"/>
  <c r="G6405" i="5"/>
  <c r="B6406" i="5"/>
  <c r="G6406" i="5"/>
  <c r="G6407" i="5"/>
  <c r="G6409" i="5"/>
  <c r="B6410" i="5"/>
  <c r="G6410" i="5"/>
  <c r="G6411" i="5"/>
  <c r="G6414" i="5"/>
  <c r="B6415" i="5"/>
  <c r="G6415" i="5"/>
  <c r="G6416" i="5"/>
  <c r="G6418" i="5"/>
  <c r="B6419" i="5"/>
  <c r="G6419" i="5"/>
  <c r="G6420" i="5"/>
  <c r="E6421" i="5"/>
  <c r="G6422" i="5"/>
  <c r="B6423" i="5"/>
  <c r="G6423" i="5"/>
  <c r="G6424" i="5"/>
  <c r="G6427" i="5"/>
  <c r="B6428" i="5"/>
  <c r="G6428" i="5"/>
  <c r="G6429" i="5"/>
  <c r="G6432" i="5"/>
  <c r="B6433" i="5"/>
  <c r="G6433" i="5"/>
  <c r="G6434" i="5"/>
  <c r="G6437" i="5"/>
  <c r="B6438" i="5"/>
  <c r="G6439" i="5"/>
  <c r="G6444" i="5"/>
  <c r="B6445" i="5"/>
  <c r="G6446" i="5"/>
  <c r="G6449" i="5"/>
  <c r="B6450" i="5"/>
  <c r="G6451" i="5"/>
  <c r="G6458" i="5"/>
  <c r="B6459" i="5"/>
  <c r="G6460" i="5"/>
  <c r="G6465" i="5"/>
  <c r="B6466" i="5"/>
  <c r="G6467" i="5"/>
  <c r="G6472" i="5"/>
  <c r="B6473" i="5"/>
  <c r="G6474" i="5"/>
  <c r="G6479" i="5"/>
  <c r="B6480" i="5"/>
  <c r="G6481" i="5"/>
  <c r="G6486" i="5"/>
  <c r="B6487" i="5"/>
  <c r="G6488" i="5"/>
  <c r="G6493" i="5"/>
  <c r="B6494" i="5"/>
  <c r="G6494" i="5"/>
  <c r="G6495" i="5"/>
  <c r="G6497" i="5"/>
  <c r="B6498" i="5"/>
  <c r="G6499" i="5"/>
  <c r="G6501" i="5"/>
  <c r="B6502" i="5"/>
  <c r="G6503" i="5"/>
  <c r="G6505" i="5"/>
  <c r="B6506" i="5"/>
  <c r="G6506" i="5"/>
  <c r="G6507" i="5"/>
  <c r="G6509" i="5"/>
  <c r="B6510" i="5"/>
  <c r="G6511" i="5"/>
  <c r="G6513" i="5"/>
  <c r="B6514" i="5"/>
  <c r="G6515" i="5"/>
  <c r="G6517" i="5"/>
  <c r="B6518" i="5"/>
  <c r="G6519" i="5"/>
  <c r="G6521" i="5"/>
  <c r="B6522" i="5"/>
  <c r="G6523" i="5"/>
  <c r="G6525" i="5"/>
  <c r="B6526" i="5"/>
  <c r="G6526" i="5"/>
  <c r="G6527" i="5"/>
  <c r="G6529" i="5"/>
  <c r="B6530" i="5"/>
  <c r="G6530" i="5"/>
  <c r="G6531" i="5"/>
  <c r="G6533" i="5"/>
  <c r="B6534" i="5"/>
  <c r="G6535" i="5"/>
  <c r="G6537" i="5"/>
  <c r="B6538" i="5"/>
  <c r="G6538" i="5"/>
  <c r="G6539" i="5"/>
  <c r="G6541" i="5"/>
  <c r="B6542" i="5"/>
  <c r="G6543" i="5"/>
  <c r="G6545" i="5"/>
  <c r="B6546" i="5"/>
  <c r="G6546" i="5"/>
  <c r="G6547" i="5"/>
  <c r="G6549" i="5"/>
  <c r="B6550" i="5"/>
  <c r="G6551" i="5"/>
  <c r="G6553" i="5"/>
  <c r="B6554" i="5"/>
  <c r="G6555" i="5"/>
  <c r="G6557" i="5"/>
  <c r="B6558" i="5"/>
  <c r="G6559" i="5"/>
  <c r="G6561" i="5"/>
  <c r="B6562" i="5"/>
  <c r="G6563" i="5"/>
  <c r="G6565" i="5"/>
  <c r="B6566" i="5"/>
  <c r="G6566" i="5"/>
  <c r="G6567" i="5"/>
  <c r="G6569" i="5"/>
  <c r="B6570" i="5"/>
  <c r="G6571" i="5"/>
  <c r="G6573" i="5"/>
  <c r="B6574" i="5"/>
  <c r="G6574" i="5"/>
  <c r="G6575" i="5"/>
  <c r="G6577" i="5"/>
  <c r="B6578" i="5"/>
  <c r="G6578" i="5"/>
  <c r="G6579" i="5"/>
  <c r="G6581" i="5"/>
  <c r="B6582" i="5"/>
  <c r="G6583" i="5"/>
  <c r="G6585" i="5"/>
  <c r="B6586" i="5"/>
  <c r="G6586" i="5"/>
  <c r="G6587" i="5"/>
  <c r="G6589" i="5"/>
  <c r="B6590" i="5"/>
  <c r="G6591" i="5"/>
  <c r="G6593" i="5"/>
  <c r="B6594" i="5"/>
  <c r="G6594" i="5"/>
  <c r="G6595" i="5"/>
  <c r="G6597" i="5"/>
  <c r="B6598" i="5"/>
  <c r="G6598" i="5"/>
  <c r="G6599" i="5"/>
  <c r="G6601" i="5"/>
  <c r="B6602" i="5"/>
  <c r="G6603" i="5"/>
  <c r="G6605" i="5"/>
  <c r="B6606" i="5"/>
  <c r="G6606" i="5"/>
  <c r="G6607" i="5"/>
  <c r="G6609" i="5"/>
  <c r="B6610" i="5"/>
  <c r="G6610" i="5"/>
  <c r="G6611" i="5"/>
  <c r="G6613" i="5"/>
  <c r="B6614" i="5"/>
  <c r="G6614" i="5"/>
  <c r="G6615" i="5"/>
  <c r="G6617" i="5"/>
  <c r="B6618" i="5"/>
  <c r="G6619" i="5"/>
  <c r="G6621" i="5"/>
  <c r="B6622" i="5"/>
  <c r="G6623" i="5"/>
  <c r="G6625" i="5"/>
  <c r="B6626" i="5"/>
  <c r="G6627" i="5"/>
  <c r="G6629" i="5"/>
  <c r="B6630" i="5"/>
  <c r="G6630" i="5"/>
  <c r="G6631" i="5"/>
  <c r="G6633" i="5"/>
  <c r="B6634" i="5"/>
  <c r="G6634" i="5"/>
  <c r="G6635" i="5"/>
  <c r="G6637" i="5"/>
  <c r="B6638" i="5"/>
  <c r="G6639" i="5"/>
  <c r="G6641" i="5"/>
  <c r="B6642" i="5"/>
  <c r="G6643" i="5"/>
  <c r="G6645" i="5"/>
  <c r="B6646" i="5"/>
  <c r="G6647" i="5"/>
  <c r="G6649" i="5"/>
  <c r="B6650" i="5"/>
  <c r="G6651" i="5"/>
  <c r="G6653" i="5"/>
  <c r="B6654" i="5"/>
  <c r="G6655" i="5"/>
  <c r="G6657" i="5"/>
  <c r="B6658" i="5"/>
  <c r="G6659" i="5"/>
  <c r="G6661" i="5"/>
  <c r="B6662" i="5"/>
  <c r="G6662" i="5"/>
  <c r="G6663" i="5"/>
  <c r="G6665" i="5"/>
  <c r="B6666" i="5"/>
  <c r="G6666" i="5"/>
  <c r="G6667" i="5"/>
  <c r="G6669" i="5"/>
  <c r="B6670" i="5"/>
  <c r="G6670" i="5"/>
  <c r="G6671" i="5"/>
  <c r="G6673" i="5"/>
  <c r="B6674" i="5"/>
  <c r="G6675" i="5"/>
  <c r="G6677" i="5"/>
  <c r="B6678" i="5"/>
  <c r="G6679" i="5"/>
  <c r="G6681" i="5"/>
  <c r="B6682" i="5"/>
  <c r="G6682" i="5"/>
  <c r="G6683" i="5"/>
  <c r="G6685" i="5"/>
  <c r="B6686" i="5"/>
  <c r="G6687" i="5"/>
  <c r="G6689" i="5"/>
  <c r="B6690" i="5"/>
  <c r="G6691" i="5"/>
  <c r="G6693" i="5"/>
  <c r="B6694" i="5"/>
  <c r="G6695" i="5"/>
  <c r="G6697" i="5"/>
  <c r="B6698" i="5"/>
  <c r="G6698" i="5"/>
  <c r="G6699" i="5"/>
  <c r="G6701" i="5"/>
  <c r="B6702" i="5"/>
  <c r="G6703" i="5"/>
  <c r="G6705" i="5"/>
  <c r="B6706" i="5"/>
  <c r="G6706" i="5"/>
  <c r="G6707" i="5"/>
  <c r="G6709" i="5"/>
  <c r="B6710" i="5"/>
  <c r="G6711" i="5"/>
  <c r="G6713" i="5"/>
  <c r="B6714" i="5"/>
  <c r="G6715" i="5"/>
  <c r="G6717" i="5"/>
  <c r="B6718" i="5"/>
  <c r="G6719" i="5"/>
  <c r="G6721" i="5"/>
  <c r="B6722" i="5"/>
  <c r="G6723" i="5"/>
  <c r="G6725" i="5"/>
  <c r="B6726" i="5"/>
  <c r="G6727" i="5"/>
  <c r="G6729" i="5"/>
  <c r="B6730" i="5"/>
  <c r="G6731" i="5"/>
  <c r="G6733" i="5"/>
  <c r="B6734" i="5"/>
  <c r="G6735" i="5"/>
  <c r="G6737" i="5"/>
  <c r="B6738" i="5"/>
  <c r="G6739" i="5"/>
  <c r="G6741" i="5"/>
  <c r="B6742" i="5"/>
  <c r="G6742" i="5"/>
  <c r="G6743" i="5"/>
  <c r="G6745" i="5"/>
  <c r="B6746" i="5"/>
  <c r="G6747" i="5"/>
  <c r="G6749" i="5"/>
  <c r="B6750" i="5"/>
  <c r="G6750" i="5"/>
  <c r="G6751" i="5"/>
  <c r="G6753" i="5"/>
  <c r="B6754" i="5"/>
  <c r="G6754" i="5"/>
  <c r="G6755" i="5"/>
  <c r="G6757" i="5"/>
  <c r="B6758" i="5"/>
  <c r="G6759" i="5"/>
  <c r="G6761" i="5"/>
  <c r="B6762" i="5"/>
  <c r="G6763" i="5"/>
  <c r="G6765" i="5"/>
  <c r="B6766" i="5"/>
  <c r="G6767" i="5"/>
  <c r="G6769" i="5"/>
  <c r="B6770" i="5"/>
  <c r="G6770" i="5"/>
  <c r="G6771" i="5"/>
  <c r="G6773" i="5"/>
  <c r="B6774" i="5"/>
  <c r="G6774" i="5"/>
  <c r="G6775" i="5"/>
  <c r="G6777" i="5"/>
  <c r="B6778" i="5"/>
  <c r="G6779" i="5"/>
  <c r="G6781" i="5"/>
  <c r="B6782" i="5"/>
  <c r="G6783" i="5"/>
  <c r="G6785" i="5"/>
  <c r="B6786" i="5"/>
  <c r="G6786" i="5"/>
  <c r="G6787" i="5"/>
  <c r="G6789" i="5"/>
  <c r="B6790" i="5"/>
  <c r="G6790" i="5"/>
  <c r="G6791" i="5"/>
  <c r="G6793" i="5"/>
  <c r="B6794" i="5"/>
  <c r="G6794" i="5"/>
  <c r="G6795" i="5"/>
  <c r="G6797" i="5"/>
  <c r="B6798" i="5"/>
  <c r="G6798" i="5"/>
  <c r="G6799" i="5"/>
  <c r="G6801" i="5"/>
  <c r="B6802" i="5"/>
  <c r="G6802" i="5"/>
  <c r="G6803" i="5"/>
  <c r="G6805" i="5"/>
  <c r="B6806" i="5"/>
  <c r="G6807" i="5"/>
  <c r="G6809" i="5"/>
  <c r="B6810" i="5"/>
  <c r="G6810" i="5"/>
  <c r="G6811" i="5"/>
  <c r="G6813" i="5"/>
  <c r="B6814" i="5"/>
  <c r="G6815" i="5"/>
  <c r="G6817" i="5"/>
  <c r="B6818" i="5"/>
  <c r="G6818" i="5"/>
  <c r="G6819" i="5"/>
  <c r="G6821" i="5"/>
  <c r="B6822" i="5"/>
  <c r="G6822" i="5"/>
  <c r="G6823" i="5"/>
  <c r="G6825" i="5"/>
  <c r="B6826" i="5"/>
  <c r="G6827" i="5"/>
  <c r="G6829" i="5"/>
  <c r="B6830" i="5"/>
  <c r="G6830" i="5"/>
  <c r="G6831" i="5"/>
  <c r="G6833" i="5"/>
  <c r="B6834" i="5"/>
  <c r="G6835" i="5"/>
  <c r="G6837" i="5"/>
  <c r="B6838" i="5"/>
  <c r="G6839" i="5"/>
  <c r="G6841" i="5"/>
  <c r="B6842" i="5"/>
  <c r="G6842" i="5"/>
  <c r="G6843" i="5"/>
  <c r="G6845" i="5"/>
  <c r="B6846" i="5"/>
  <c r="G6846" i="5"/>
  <c r="G6847" i="5"/>
  <c r="G6849" i="5"/>
  <c r="B6850" i="5"/>
  <c r="G6850" i="5"/>
  <c r="G6851" i="5"/>
  <c r="G6853" i="5"/>
  <c r="B6854" i="5"/>
  <c r="G6854" i="5"/>
  <c r="G6855" i="5"/>
  <c r="G6857" i="5"/>
  <c r="B6858" i="5"/>
  <c r="G6858" i="5"/>
  <c r="G6859" i="5"/>
  <c r="G6861" i="5"/>
  <c r="B6862" i="5"/>
  <c r="G6863" i="5"/>
  <c r="G6865" i="5"/>
  <c r="B6866" i="5"/>
  <c r="G6867" i="5"/>
  <c r="G6869" i="5"/>
  <c r="B6870" i="5"/>
  <c r="G6870" i="5"/>
  <c r="G6871" i="5"/>
  <c r="G6873" i="5"/>
  <c r="B6874" i="5"/>
  <c r="G6875" i="5"/>
  <c r="G6877" i="5"/>
  <c r="B6878" i="5"/>
  <c r="G6879" i="5"/>
  <c r="G6881" i="5"/>
  <c r="B6882" i="5"/>
  <c r="G6883" i="5"/>
  <c r="G6885" i="5"/>
  <c r="B6886" i="5"/>
  <c r="G6887" i="5"/>
  <c r="G6889" i="5"/>
  <c r="B6890" i="5"/>
  <c r="G6891" i="5"/>
  <c r="G6893" i="5"/>
  <c r="B6894" i="5"/>
  <c r="G6895" i="5"/>
  <c r="G6897" i="5"/>
  <c r="B6898" i="5"/>
  <c r="G6899" i="5"/>
  <c r="G6901" i="5"/>
  <c r="B6902" i="5"/>
  <c r="G6903" i="5"/>
  <c r="G6905" i="5"/>
  <c r="B6906" i="5"/>
  <c r="G6907" i="5"/>
  <c r="G6909" i="5"/>
  <c r="B6910" i="5"/>
  <c r="G6911" i="5"/>
  <c r="G6913" i="5"/>
  <c r="B6914" i="5"/>
  <c r="G6915" i="5"/>
  <c r="G6917" i="5"/>
  <c r="B6918" i="5"/>
  <c r="G6919" i="5"/>
  <c r="G6921" i="5"/>
  <c r="B6922" i="5"/>
  <c r="G6922" i="5"/>
  <c r="G6923" i="5"/>
  <c r="G6925" i="5"/>
  <c r="B6926" i="5"/>
  <c r="G6926" i="5"/>
  <c r="G6927" i="5"/>
  <c r="G6929" i="5"/>
  <c r="B6930" i="5"/>
  <c r="G6930" i="5"/>
  <c r="G6931" i="5"/>
  <c r="G6933" i="5"/>
  <c r="B6934" i="5"/>
  <c r="G6934" i="5"/>
  <c r="G6935" i="5"/>
  <c r="G6937" i="5"/>
  <c r="B6938" i="5"/>
  <c r="G6938" i="5"/>
  <c r="G6939" i="5"/>
  <c r="G6941" i="5"/>
  <c r="B6942" i="5"/>
  <c r="G6942" i="5"/>
  <c r="G6943" i="5"/>
  <c r="G6945" i="5"/>
  <c r="B6946" i="5"/>
  <c r="G6947" i="5"/>
  <c r="G6949" i="5"/>
  <c r="B6950" i="5"/>
  <c r="G6951" i="5"/>
  <c r="G6953" i="5"/>
  <c r="B6954" i="5"/>
  <c r="G6954" i="5"/>
  <c r="G6955" i="5"/>
  <c r="G6957" i="5"/>
  <c r="B6958" i="5"/>
  <c r="G6959" i="5"/>
  <c r="G6961" i="5"/>
  <c r="B6962" i="5"/>
  <c r="G6963" i="5"/>
  <c r="G6965" i="5"/>
  <c r="B6966" i="5"/>
  <c r="G6967" i="5"/>
  <c r="G6969" i="5"/>
  <c r="B6970" i="5"/>
  <c r="G6971" i="5"/>
  <c r="G6973" i="5"/>
  <c r="B6974" i="5"/>
  <c r="G6974" i="5"/>
  <c r="G6975" i="5"/>
  <c r="G6977" i="5"/>
  <c r="B6978" i="5"/>
  <c r="G6978" i="5"/>
  <c r="G6979" i="5"/>
  <c r="G6981" i="5"/>
  <c r="B6982" i="5"/>
  <c r="G6983" i="5"/>
  <c r="G6985" i="5"/>
  <c r="B6986" i="5"/>
  <c r="G6987" i="5"/>
  <c r="G6989" i="5"/>
  <c r="B6990" i="5"/>
  <c r="G6991" i="5"/>
  <c r="G6993" i="5"/>
  <c r="B6994" i="5"/>
  <c r="G6994" i="5"/>
  <c r="G6995" i="5"/>
  <c r="G6997" i="5"/>
  <c r="B6998" i="5"/>
  <c r="G6998" i="5"/>
  <c r="G6999" i="5"/>
  <c r="G7001" i="5"/>
  <c r="B7002" i="5"/>
  <c r="G7002" i="5"/>
  <c r="G7003" i="5"/>
  <c r="G7005" i="5"/>
  <c r="B7006" i="5"/>
  <c r="G7006" i="5"/>
  <c r="G7007" i="5"/>
  <c r="G7009" i="5"/>
  <c r="B7010" i="5"/>
  <c r="G7011" i="5"/>
  <c r="G7013" i="5"/>
  <c r="B7014" i="5"/>
  <c r="G7014" i="5"/>
  <c r="G7015" i="5"/>
  <c r="G7017" i="5"/>
  <c r="B7018" i="5"/>
  <c r="G7018" i="5"/>
  <c r="G7019" i="5"/>
  <c r="G7021" i="5"/>
  <c r="B7022" i="5"/>
  <c r="G7023" i="5"/>
  <c r="G7025" i="5"/>
  <c r="B7026" i="5"/>
  <c r="G7026" i="5"/>
  <c r="G7027" i="5"/>
  <c r="G7029" i="5"/>
  <c r="B7030" i="5"/>
  <c r="G7031" i="5"/>
  <c r="G7033" i="5"/>
  <c r="B7034" i="5"/>
  <c r="G7034" i="5"/>
  <c r="G7035" i="5"/>
  <c r="G7037" i="5"/>
  <c r="B7038" i="5"/>
  <c r="G7038" i="5"/>
  <c r="G7039" i="5"/>
  <c r="G7041" i="5"/>
  <c r="B7042" i="5"/>
  <c r="G7042" i="5"/>
  <c r="G7043" i="5"/>
  <c r="G7045" i="5"/>
  <c r="B7046" i="5"/>
  <c r="G7047" i="5"/>
  <c r="G7049" i="5"/>
  <c r="B7050" i="5"/>
  <c r="G7050" i="5"/>
  <c r="G7051" i="5"/>
  <c r="G7053" i="5"/>
  <c r="B7054" i="5"/>
  <c r="G7055" i="5"/>
  <c r="G7057" i="5"/>
  <c r="B7058" i="5"/>
  <c r="G7059" i="5"/>
  <c r="G7061" i="5"/>
  <c r="B7062" i="5"/>
  <c r="G7063" i="5"/>
  <c r="G7065" i="5"/>
  <c r="B7066" i="5"/>
  <c r="G7067" i="5"/>
  <c r="G7069" i="5"/>
  <c r="B7070" i="5"/>
  <c r="G7071" i="5"/>
  <c r="G7073" i="5"/>
  <c r="B7074" i="5"/>
  <c r="G7074" i="5"/>
  <c r="G7075" i="5"/>
  <c r="G7077" i="5"/>
  <c r="B7078" i="5"/>
  <c r="G7078" i="5"/>
  <c r="G7079" i="5"/>
  <c r="G7081" i="5"/>
  <c r="B7082" i="5"/>
  <c r="G7082" i="5"/>
  <c r="G7083" i="5"/>
  <c r="G7085" i="5"/>
  <c r="B7086" i="5"/>
  <c r="G7087" i="5"/>
  <c r="G7089" i="5"/>
  <c r="B7090" i="5"/>
  <c r="G7091" i="5"/>
  <c r="G7093" i="5"/>
  <c r="B7094" i="5"/>
  <c r="G7095" i="5"/>
  <c r="G7097" i="5"/>
  <c r="B7098" i="5"/>
  <c r="G7098" i="5"/>
  <c r="G7099" i="5"/>
  <c r="G7101" i="5"/>
  <c r="B7102" i="5"/>
  <c r="G7102" i="5"/>
  <c r="G7103" i="5"/>
  <c r="G7105" i="5"/>
  <c r="B7106" i="5"/>
  <c r="G7107" i="5"/>
  <c r="G7109" i="5"/>
  <c r="B7110" i="5"/>
  <c r="G7111" i="5"/>
  <c r="G7113" i="5"/>
  <c r="B7114" i="5"/>
  <c r="G7114" i="5"/>
  <c r="G7115" i="5"/>
  <c r="G7117" i="5"/>
  <c r="B7118" i="5"/>
  <c r="G7119" i="5"/>
  <c r="G7121" i="5"/>
  <c r="B7122" i="5"/>
  <c r="G7123" i="5"/>
  <c r="G7125" i="5"/>
  <c r="B7126" i="5"/>
  <c r="G7127" i="5"/>
  <c r="G7129" i="5"/>
  <c r="B7130" i="5"/>
  <c r="G7130" i="5"/>
  <c r="G7131" i="5"/>
  <c r="G7133" i="5"/>
  <c r="B7134" i="5"/>
  <c r="G7135" i="5"/>
  <c r="G7137" i="5"/>
  <c r="B7138" i="5"/>
  <c r="G7138" i="5"/>
  <c r="G7139" i="5"/>
  <c r="G7141" i="5"/>
  <c r="B7142" i="5"/>
  <c r="G7142" i="5"/>
  <c r="G7143" i="5"/>
  <c r="G7145" i="5"/>
  <c r="B7146" i="5"/>
  <c r="G7146" i="5"/>
  <c r="G7147" i="5"/>
  <c r="E7148" i="5"/>
  <c r="G7149" i="5"/>
  <c r="G7150" i="5"/>
  <c r="G7151" i="5"/>
  <c r="B7152" i="5"/>
  <c r="G7152" i="5"/>
  <c r="G7153" i="5"/>
  <c r="E7154" i="5"/>
  <c r="G7155" i="5"/>
  <c r="G7156" i="5"/>
  <c r="G7157" i="5"/>
  <c r="B7158" i="5"/>
  <c r="G7158" i="5"/>
  <c r="G7159" i="5"/>
  <c r="E7160" i="5"/>
  <c r="G7161" i="5"/>
  <c r="G7162" i="5"/>
  <c r="G7163" i="5"/>
  <c r="B7164" i="5"/>
  <c r="G7164" i="5"/>
  <c r="G7165" i="5"/>
  <c r="E7166" i="5"/>
  <c r="G7167" i="5"/>
  <c r="G7168" i="5"/>
  <c r="G7169" i="5"/>
  <c r="B7170" i="5"/>
  <c r="G7170" i="5"/>
  <c r="G7171" i="5"/>
  <c r="E7172" i="5"/>
  <c r="G7173" i="5"/>
  <c r="G7174" i="5"/>
  <c r="G7175" i="5"/>
  <c r="B7176" i="5"/>
  <c r="G7176" i="5"/>
  <c r="G7177" i="5"/>
  <c r="E7178" i="5"/>
  <c r="G7179" i="5"/>
  <c r="G7180" i="5"/>
  <c r="G7181" i="5"/>
  <c r="B7182" i="5"/>
  <c r="G7182" i="5"/>
  <c r="G7183" i="5"/>
  <c r="E7184" i="5"/>
  <c r="G7185" i="5"/>
  <c r="G7186" i="5"/>
  <c r="G7187" i="5"/>
  <c r="B7188" i="5"/>
  <c r="G7188" i="5"/>
  <c r="G7189" i="5"/>
  <c r="E7190" i="5"/>
  <c r="G7191" i="5"/>
  <c r="G7192" i="5"/>
  <c r="G7193" i="5"/>
  <c r="B7194" i="5"/>
  <c r="G7194" i="5"/>
  <c r="G7195" i="5"/>
  <c r="E7196" i="5"/>
  <c r="G7197" i="5"/>
  <c r="G7198" i="5"/>
  <c r="G7199" i="5"/>
  <c r="B7200" i="5"/>
  <c r="G7200" i="5"/>
  <c r="G7201" i="5"/>
  <c r="E7202" i="5"/>
  <c r="G7203" i="5"/>
  <c r="G7204" i="5"/>
  <c r="G7205" i="5"/>
  <c r="B7206" i="5"/>
  <c r="G7207" i="5"/>
  <c r="G7209" i="5"/>
  <c r="B7210" i="5"/>
  <c r="G7210" i="5"/>
  <c r="G7211" i="5"/>
  <c r="G7213" i="5"/>
  <c r="B7214" i="5"/>
  <c r="G7215" i="5"/>
  <c r="G7217" i="5"/>
  <c r="B7218" i="5"/>
  <c r="G7218" i="5"/>
  <c r="G7219" i="5"/>
  <c r="G7221" i="5"/>
  <c r="B7222" i="5"/>
  <c r="G7222" i="5"/>
  <c r="G7223" i="5"/>
  <c r="G7227" i="5"/>
  <c r="B7228" i="5"/>
  <c r="G7228" i="5"/>
  <c r="G7229" i="5"/>
  <c r="B7234" i="5"/>
  <c r="G7234" i="5"/>
  <c r="G7235" i="5"/>
  <c r="G7240" i="5"/>
  <c r="B7241" i="5"/>
  <c r="G7241" i="5"/>
  <c r="G7242" i="5"/>
  <c r="G7245" i="5"/>
  <c r="B7246" i="5"/>
  <c r="G7246" i="5"/>
  <c r="G7247" i="5"/>
  <c r="G7250" i="5"/>
  <c r="B7251" i="5"/>
  <c r="G7251" i="5"/>
  <c r="G7252" i="5"/>
  <c r="G7255" i="5"/>
  <c r="B7256" i="5"/>
  <c r="G7257" i="5"/>
  <c r="G7259" i="5"/>
  <c r="B7260" i="5"/>
  <c r="G7261" i="5"/>
  <c r="G7263" i="5"/>
  <c r="B7264" i="5"/>
  <c r="G7265" i="5"/>
  <c r="G7267" i="5"/>
  <c r="B7268" i="5"/>
  <c r="G7268" i="5"/>
  <c r="G7269" i="5"/>
  <c r="G7271" i="5"/>
  <c r="B7272" i="5"/>
  <c r="G7272" i="5"/>
  <c r="G7273" i="5"/>
  <c r="G7275" i="5"/>
  <c r="B7276" i="5"/>
  <c r="G7277" i="5"/>
  <c r="G7279" i="5"/>
  <c r="B7280" i="5"/>
  <c r="G7280" i="5"/>
  <c r="G7281" i="5"/>
  <c r="G7283" i="5"/>
  <c r="B7284" i="5"/>
  <c r="G7285" i="5"/>
  <c r="G7287" i="5"/>
  <c r="B7288" i="5"/>
  <c r="G7288" i="5"/>
  <c r="G7289" i="5"/>
  <c r="G7291" i="5"/>
  <c r="B7292" i="5"/>
  <c r="G7292" i="5"/>
  <c r="G7293" i="5"/>
  <c r="G7295" i="5"/>
  <c r="B7296" i="5"/>
  <c r="G7296" i="5"/>
  <c r="G7297" i="5"/>
  <c r="G7299" i="5"/>
  <c r="B7300" i="5"/>
  <c r="G7300" i="5"/>
  <c r="G7301" i="5"/>
  <c r="G7303" i="5"/>
  <c r="B7304" i="5"/>
  <c r="G7304" i="5"/>
  <c r="G7305" i="5"/>
  <c r="G7307" i="5"/>
  <c r="B7308" i="5"/>
  <c r="G7309" i="5"/>
  <c r="G7311" i="5"/>
  <c r="B7312" i="5"/>
  <c r="G7312" i="5"/>
  <c r="G7313" i="5"/>
  <c r="G7315" i="5"/>
  <c r="B7316" i="5"/>
  <c r="G7316" i="5"/>
  <c r="G7317" i="5"/>
  <c r="G7322" i="5"/>
  <c r="B7323" i="5"/>
  <c r="G7324" i="5"/>
  <c r="G7328" i="5"/>
  <c r="B7329" i="5"/>
  <c r="G7330" i="5"/>
  <c r="G7336" i="5"/>
  <c r="B7337" i="5"/>
  <c r="G7338" i="5"/>
  <c r="G7344" i="5"/>
  <c r="B7345" i="5"/>
  <c r="G7345" i="5"/>
  <c r="G7346" i="5"/>
  <c r="G7350" i="5"/>
  <c r="B7351" i="5"/>
  <c r="G7351" i="5"/>
  <c r="G7352" i="5"/>
  <c r="G7355" i="5"/>
  <c r="B7356" i="5"/>
  <c r="G7356" i="5"/>
  <c r="G7357" i="5"/>
  <c r="G7360" i="5"/>
  <c r="B7361" i="5"/>
  <c r="G7362" i="5"/>
  <c r="G7367" i="5"/>
  <c r="B7368" i="5"/>
  <c r="G7368" i="5"/>
  <c r="G7369" i="5"/>
  <c r="G7374" i="5"/>
  <c r="B7375" i="5"/>
  <c r="G7376" i="5"/>
  <c r="G7382" i="5"/>
  <c r="B7383" i="5"/>
  <c r="G7383" i="5"/>
  <c r="G7384" i="5"/>
  <c r="G7388" i="5"/>
  <c r="B7389" i="5"/>
  <c r="G7389" i="5"/>
  <c r="G7390" i="5"/>
  <c r="G7395" i="5"/>
  <c r="B7396" i="5"/>
  <c r="G7396" i="5"/>
  <c r="G7397" i="5"/>
  <c r="G7401" i="5"/>
  <c r="B7402" i="5"/>
  <c r="G7402" i="5"/>
  <c r="G7403" i="5"/>
  <c r="G7407" i="5"/>
  <c r="B7408" i="5"/>
  <c r="G7408" i="5"/>
  <c r="G7409" i="5"/>
  <c r="G7413" i="5"/>
  <c r="B7414" i="5"/>
  <c r="G7414" i="5"/>
  <c r="G7415" i="5"/>
  <c r="G7419" i="5"/>
  <c r="B7420" i="5"/>
  <c r="G7420" i="5"/>
  <c r="G7421" i="5"/>
  <c r="G7424" i="5"/>
  <c r="B7425" i="5"/>
  <c r="G7426" i="5"/>
  <c r="G7432" i="5"/>
  <c r="B7433" i="5"/>
  <c r="G7433" i="5"/>
  <c r="G7434" i="5"/>
  <c r="G7438" i="5"/>
  <c r="B7439" i="5"/>
  <c r="G7439" i="5"/>
  <c r="G7440" i="5"/>
  <c r="G7445" i="5"/>
  <c r="B7446" i="5"/>
  <c r="G7446" i="5"/>
  <c r="G7447" i="5"/>
  <c r="G7452" i="5"/>
  <c r="B7453" i="5"/>
  <c r="G7454" i="5"/>
  <c r="G7459" i="5"/>
  <c r="B7460" i="5"/>
  <c r="G7460" i="5"/>
  <c r="G7461" i="5"/>
  <c r="G7466" i="5"/>
  <c r="B7467" i="5"/>
  <c r="G7468" i="5"/>
  <c r="G7474" i="5"/>
  <c r="B7475" i="5"/>
  <c r="G7475" i="5"/>
  <c r="G7476" i="5"/>
  <c r="G7482" i="5"/>
  <c r="B7483" i="5"/>
  <c r="G7483" i="5"/>
  <c r="G7484" i="5"/>
  <c r="G7490" i="5"/>
  <c r="B7491" i="5"/>
  <c r="G7491" i="5"/>
  <c r="G7492" i="5"/>
  <c r="G7499" i="5"/>
  <c r="B7500" i="5"/>
  <c r="G7500" i="5"/>
  <c r="G7501" i="5"/>
  <c r="G7505" i="5"/>
  <c r="B7506" i="5"/>
  <c r="G7506" i="5"/>
  <c r="G7507" i="5"/>
  <c r="G7511" i="5"/>
  <c r="B7512" i="5"/>
  <c r="G7512" i="5"/>
  <c r="G7513" i="5"/>
  <c r="G7525" i="5"/>
  <c r="B7526" i="5"/>
  <c r="G7526" i="5"/>
  <c r="G7527" i="5"/>
  <c r="G7539" i="5"/>
  <c r="B7540" i="5"/>
  <c r="G7541" i="5"/>
  <c r="G7546" i="5"/>
  <c r="B7547" i="5"/>
  <c r="G7548" i="5"/>
  <c r="G7550" i="5"/>
  <c r="B7551" i="5"/>
  <c r="G7552" i="5"/>
  <c r="G7554" i="5"/>
  <c r="B7555" i="5"/>
  <c r="G7556" i="5"/>
  <c r="G7558" i="5"/>
  <c r="B7559" i="5"/>
  <c r="G7560" i="5"/>
  <c r="G7562" i="5"/>
  <c r="B7563" i="5"/>
  <c r="G7564" i="5"/>
  <c r="G7566" i="5"/>
  <c r="B7567" i="5"/>
  <c r="G7568" i="5"/>
  <c r="G7570" i="5"/>
  <c r="B7571" i="5"/>
  <c r="G7572" i="5"/>
  <c r="G7574" i="5"/>
  <c r="B7575" i="5"/>
  <c r="G7576" i="5"/>
  <c r="G7578" i="5"/>
  <c r="B7579" i="5"/>
  <c r="G7580" i="5"/>
  <c r="G7582" i="5"/>
  <c r="B7583" i="5"/>
  <c r="G7584" i="5"/>
  <c r="G7586" i="5"/>
  <c r="B7587" i="5"/>
  <c r="G7588" i="5"/>
  <c r="G7590" i="5"/>
  <c r="B7591" i="5"/>
  <c r="G7592" i="5"/>
  <c r="G7594" i="5"/>
  <c r="B7595" i="5"/>
  <c r="G7595" i="5"/>
  <c r="G7596" i="5"/>
  <c r="G7598" i="5"/>
  <c r="B7599" i="5"/>
  <c r="G7600" i="5"/>
  <c r="G7602" i="5"/>
  <c r="B7603" i="5"/>
  <c r="G7604" i="5"/>
  <c r="G7606" i="5"/>
  <c r="B7607" i="5"/>
  <c r="G7608" i="5"/>
  <c r="G7610" i="5"/>
  <c r="B7611" i="5"/>
  <c r="G7611" i="5"/>
  <c r="G7612" i="5"/>
  <c r="G7614" i="5"/>
  <c r="B7615" i="5"/>
  <c r="G7615" i="5"/>
  <c r="G7616" i="5"/>
  <c r="G7618" i="5"/>
  <c r="B7619" i="5"/>
  <c r="G7620" i="5"/>
  <c r="G7622" i="5"/>
  <c r="B7623" i="5"/>
  <c r="G7623" i="5"/>
  <c r="G7624" i="5"/>
  <c r="G7626" i="5"/>
  <c r="B7627" i="5"/>
  <c r="G7627" i="5"/>
  <c r="G7628" i="5"/>
  <c r="G7630" i="5"/>
  <c r="B7631" i="5"/>
  <c r="G7632" i="5"/>
  <c r="G7634" i="5"/>
  <c r="B7635" i="5"/>
  <c r="G7636" i="5"/>
  <c r="G7638" i="5"/>
  <c r="B7639" i="5"/>
  <c r="G7640" i="5"/>
  <c r="G7642" i="5"/>
  <c r="B7643" i="5"/>
  <c r="G7644" i="5"/>
  <c r="G7646" i="5"/>
  <c r="B7647" i="5"/>
  <c r="G7647" i="5"/>
  <c r="G7648" i="5"/>
  <c r="G7650" i="5"/>
  <c r="B7651" i="5"/>
  <c r="G7652" i="5"/>
  <c r="G7654" i="5"/>
  <c r="B7655" i="5"/>
  <c r="G7655" i="5"/>
  <c r="G7656" i="5"/>
  <c r="G7658" i="5"/>
  <c r="B7659" i="5"/>
  <c r="G7660" i="5"/>
  <c r="G7662" i="5"/>
  <c r="B7663" i="5"/>
  <c r="G7663" i="5"/>
  <c r="G7664" i="5"/>
  <c r="G7666" i="5"/>
  <c r="B7667" i="5"/>
  <c r="G7667" i="5"/>
  <c r="G7668" i="5"/>
  <c r="G7670" i="5"/>
  <c r="B7671" i="5"/>
  <c r="G7671" i="5"/>
  <c r="G7672" i="5"/>
  <c r="G7674" i="5"/>
  <c r="B7675" i="5"/>
  <c r="G7676" i="5"/>
  <c r="G7678" i="5"/>
  <c r="B7679" i="5"/>
  <c r="G7679" i="5"/>
  <c r="G7680" i="5"/>
  <c r="G7682" i="5"/>
  <c r="B7683" i="5"/>
  <c r="G7684" i="5"/>
  <c r="G7686" i="5"/>
  <c r="B7687" i="5"/>
  <c r="G7687" i="5"/>
  <c r="G7688" i="5"/>
  <c r="G7690" i="5"/>
  <c r="B7691" i="5"/>
  <c r="G7692" i="5"/>
  <c r="G7694" i="5"/>
  <c r="B7695" i="5"/>
  <c r="G7695" i="5"/>
  <c r="G7696" i="5"/>
  <c r="G7698" i="5"/>
  <c r="B7699" i="5"/>
  <c r="G7699" i="5"/>
  <c r="G7700" i="5"/>
  <c r="G7702" i="5"/>
  <c r="B7703" i="5"/>
  <c r="G7703" i="5"/>
  <c r="G7704" i="5"/>
  <c r="G7706" i="5"/>
  <c r="B7707" i="5"/>
  <c r="G7708" i="5"/>
  <c r="G7710" i="5"/>
  <c r="B7711" i="5"/>
  <c r="G7711" i="5"/>
  <c r="G7712" i="5"/>
  <c r="G7714" i="5"/>
  <c r="B7715" i="5"/>
  <c r="G7715" i="5"/>
  <c r="G7716" i="5"/>
  <c r="G7718" i="5"/>
  <c r="B7719" i="5"/>
  <c r="G7719" i="5"/>
  <c r="G7720" i="5"/>
  <c r="G7722" i="5"/>
  <c r="B7723" i="5"/>
  <c r="G7724" i="5"/>
  <c r="G7726" i="5"/>
  <c r="B7727" i="5"/>
  <c r="G7728" i="5"/>
  <c r="G7730" i="5"/>
  <c r="B7731" i="5"/>
  <c r="G7731" i="5"/>
  <c r="G7732" i="5"/>
  <c r="G7734" i="5"/>
  <c r="B7735" i="5"/>
  <c r="G7735" i="5"/>
  <c r="G7736" i="5"/>
  <c r="G7738" i="5"/>
  <c r="B7739" i="5"/>
  <c r="G7740" i="5"/>
  <c r="G7742" i="5"/>
  <c r="B7743" i="5"/>
  <c r="G7743" i="5"/>
  <c r="G7744" i="5"/>
  <c r="G7746" i="5"/>
  <c r="B7747" i="5"/>
  <c r="G7747" i="5"/>
  <c r="G7748" i="5"/>
  <c r="G7750" i="5"/>
  <c r="B7751" i="5"/>
  <c r="G7751" i="5"/>
  <c r="G7752" i="5"/>
  <c r="G7754" i="5"/>
  <c r="B7755" i="5"/>
  <c r="G7756" i="5"/>
  <c r="G7758" i="5"/>
  <c r="B7759" i="5"/>
  <c r="G7759" i="5"/>
  <c r="G7760" i="5"/>
  <c r="G7762" i="5"/>
  <c r="B7763" i="5"/>
  <c r="G7764" i="5"/>
  <c r="G7766" i="5"/>
  <c r="B7767" i="5"/>
  <c r="G7767" i="5"/>
  <c r="G7768" i="5"/>
  <c r="G7770" i="5"/>
  <c r="B7771" i="5"/>
  <c r="G7772" i="5"/>
  <c r="G7774" i="5"/>
  <c r="B7775" i="5"/>
  <c r="G7776" i="5"/>
  <c r="G7778" i="5"/>
  <c r="B7779" i="5"/>
  <c r="G7779" i="5"/>
  <c r="G7780" i="5"/>
  <c r="G7782" i="5"/>
  <c r="B7783" i="5"/>
  <c r="G7784" i="5"/>
  <c r="G7786" i="5"/>
  <c r="B7787" i="5"/>
  <c r="G7787" i="5"/>
  <c r="G7788" i="5"/>
  <c r="G7790" i="5"/>
  <c r="B7791" i="5"/>
  <c r="G7792" i="5"/>
  <c r="G7794" i="5"/>
  <c r="B7795" i="5"/>
  <c r="G7795" i="5"/>
  <c r="G7796" i="5"/>
  <c r="G7798" i="5"/>
  <c r="B7799" i="5"/>
  <c r="G7800" i="5"/>
  <c r="G7802" i="5"/>
  <c r="B7803" i="5"/>
  <c r="G7803" i="5"/>
  <c r="G7804" i="5"/>
  <c r="G7806" i="5"/>
  <c r="B7807" i="5"/>
  <c r="G7808" i="5"/>
  <c r="G7810" i="5"/>
  <c r="B7811" i="5"/>
  <c r="G7811" i="5"/>
  <c r="G7812" i="5"/>
  <c r="G7814" i="5"/>
  <c r="B7815" i="5"/>
  <c r="G7816" i="5"/>
  <c r="G7818" i="5"/>
  <c r="B7819" i="5"/>
  <c r="G7820" i="5"/>
  <c r="G7822" i="5"/>
  <c r="B7823" i="5"/>
  <c r="G7823" i="5"/>
  <c r="G7824" i="5"/>
  <c r="G7826" i="5"/>
  <c r="B7827" i="5"/>
  <c r="G7827" i="5"/>
  <c r="G7828" i="5"/>
  <c r="G7830" i="5"/>
  <c r="B7831" i="5"/>
  <c r="G7832" i="5"/>
  <c r="G7834" i="5"/>
  <c r="B7835" i="5"/>
  <c r="G7835" i="5"/>
  <c r="G7836" i="5"/>
  <c r="G7838" i="5"/>
  <c r="B7839" i="5"/>
  <c r="G7840" i="5"/>
  <c r="G7842" i="5"/>
  <c r="B7843" i="5"/>
  <c r="G7843" i="5"/>
  <c r="G7844" i="5"/>
  <c r="G7846" i="5"/>
  <c r="B7847" i="5"/>
  <c r="G7848" i="5"/>
  <c r="G7850" i="5"/>
  <c r="B7851" i="5"/>
  <c r="G7851" i="5"/>
  <c r="G7852" i="5"/>
  <c r="G7854" i="5"/>
  <c r="B7855" i="5"/>
  <c r="G7855" i="5"/>
  <c r="G7856" i="5"/>
  <c r="G7858" i="5"/>
  <c r="B7859" i="5"/>
  <c r="G7860" i="5"/>
  <c r="G7862" i="5"/>
  <c r="B7863" i="5"/>
  <c r="G7863" i="5"/>
  <c r="G7864" i="5"/>
  <c r="G7866" i="5"/>
  <c r="B7867" i="5"/>
  <c r="G7867" i="5"/>
  <c r="G7868" i="5"/>
  <c r="G7870" i="5"/>
  <c r="B7871" i="5"/>
  <c r="G7872" i="5"/>
  <c r="G7874" i="5"/>
  <c r="G7875" i="5"/>
  <c r="G7876" i="5"/>
  <c r="G7878" i="5"/>
  <c r="B7879" i="5"/>
  <c r="G7880" i="5"/>
  <c r="G7882" i="5"/>
  <c r="B7883" i="5"/>
  <c r="G7883" i="5"/>
  <c r="G7884" i="5"/>
  <c r="G7886" i="5"/>
  <c r="B7887" i="5"/>
  <c r="G7887" i="5"/>
  <c r="G7888" i="5"/>
  <c r="G7890" i="5"/>
  <c r="B7891" i="5"/>
  <c r="G7891" i="5"/>
  <c r="G7892" i="5"/>
  <c r="G7894" i="5"/>
  <c r="B7895" i="5"/>
  <c r="G7895" i="5"/>
  <c r="G7896" i="5"/>
  <c r="G7898" i="5"/>
  <c r="B7899" i="5"/>
  <c r="G7899" i="5"/>
  <c r="G7900" i="5"/>
  <c r="G7902" i="5"/>
  <c r="B7903" i="5"/>
  <c r="G7904" i="5"/>
  <c r="G7906" i="5"/>
  <c r="B7907" i="5"/>
  <c r="G7908" i="5"/>
  <c r="G7910" i="5"/>
  <c r="B7911" i="5"/>
  <c r="G7912" i="5"/>
  <c r="G7914" i="5"/>
  <c r="B7915" i="5"/>
  <c r="G7915" i="5"/>
  <c r="G7916" i="5"/>
  <c r="G7918" i="5"/>
  <c r="B7919" i="5"/>
  <c r="G7919" i="5"/>
  <c r="G7920" i="5"/>
  <c r="G7922" i="5"/>
  <c r="B7923" i="5"/>
  <c r="G7924" i="5"/>
  <c r="G7926" i="5"/>
  <c r="B7927" i="5"/>
  <c r="G7927" i="5"/>
  <c r="G7928" i="5"/>
  <c r="G7930" i="5"/>
  <c r="B7931" i="5"/>
  <c r="G7931" i="5"/>
  <c r="G7932" i="5"/>
  <c r="G7934" i="5"/>
  <c r="B7935" i="5"/>
  <c r="G7935" i="5"/>
  <c r="G7936" i="5"/>
  <c r="G7938" i="5"/>
  <c r="B7939" i="5"/>
  <c r="G7939" i="5"/>
  <c r="G7940" i="5"/>
  <c r="G7942" i="5"/>
  <c r="B7943" i="5"/>
  <c r="G7943" i="5"/>
  <c r="G7944" i="5"/>
  <c r="G7946" i="5"/>
  <c r="B7947" i="5"/>
  <c r="G7948" i="5"/>
  <c r="G7950" i="5"/>
  <c r="B7951" i="5"/>
  <c r="G7951" i="5"/>
  <c r="G7952" i="5"/>
  <c r="G7954" i="5"/>
  <c r="B7955" i="5"/>
  <c r="G7956" i="5"/>
  <c r="G7958" i="5"/>
  <c r="B7959" i="5"/>
  <c r="G7959" i="5"/>
  <c r="G7960" i="5"/>
  <c r="G7962" i="5"/>
  <c r="B7963" i="5"/>
  <c r="G7963" i="5"/>
  <c r="G7964" i="5"/>
  <c r="G7966" i="5"/>
  <c r="B7967" i="5"/>
  <c r="G7967" i="5"/>
  <c r="G7968" i="5"/>
  <c r="G7970" i="5"/>
  <c r="B7971" i="5"/>
  <c r="G7972" i="5"/>
  <c r="G7974" i="5"/>
  <c r="B7975" i="5"/>
  <c r="G7975" i="5"/>
  <c r="G7976" i="5"/>
  <c r="G7978" i="5"/>
  <c r="B7979" i="5"/>
  <c r="G7980" i="5"/>
  <c r="G7982" i="5"/>
  <c r="B7983" i="5"/>
  <c r="G7983" i="5"/>
  <c r="G7984" i="5"/>
  <c r="G7986" i="5"/>
  <c r="B7987" i="5"/>
  <c r="G7988" i="5"/>
  <c r="G7990" i="5"/>
  <c r="B7991" i="5"/>
  <c r="G7992" i="5"/>
  <c r="G7994" i="5"/>
  <c r="B7995" i="5"/>
  <c r="G7996" i="5"/>
  <c r="G7998" i="5"/>
  <c r="B7999" i="5"/>
  <c r="G8000" i="5"/>
  <c r="G8002" i="5"/>
  <c r="B8003" i="5"/>
  <c r="G8004" i="5"/>
  <c r="G8006" i="5"/>
  <c r="B8007" i="5"/>
  <c r="G8007" i="5"/>
  <c r="G8008" i="5"/>
  <c r="G8010" i="5"/>
  <c r="B8011" i="5"/>
  <c r="G8012" i="5"/>
  <c r="G8014" i="5"/>
  <c r="B8015" i="5"/>
  <c r="G8015" i="5"/>
  <c r="G8016" i="5"/>
  <c r="G8018" i="5"/>
  <c r="B8019" i="5"/>
  <c r="G8019" i="5"/>
  <c r="G8020" i="5"/>
  <c r="G8022" i="5"/>
  <c r="B8023" i="5"/>
  <c r="G8023" i="5"/>
  <c r="G8024" i="5"/>
  <c r="G8026" i="5"/>
  <c r="B8027" i="5"/>
  <c r="G8028" i="5"/>
  <c r="G8030" i="5"/>
  <c r="B8031" i="5"/>
  <c r="G8032" i="5"/>
  <c r="G8034" i="5"/>
  <c r="B8035" i="5"/>
  <c r="G8035" i="5"/>
  <c r="G8036" i="5"/>
  <c r="G8038" i="5"/>
  <c r="B8039" i="5"/>
  <c r="G8039" i="5"/>
  <c r="G8040" i="5"/>
  <c r="G8042" i="5"/>
  <c r="B8043" i="5"/>
  <c r="G8044" i="5"/>
  <c r="G8046" i="5"/>
  <c r="B8047" i="5"/>
  <c r="G8048" i="5"/>
  <c r="G8050" i="5"/>
  <c r="B8051" i="5"/>
  <c r="G8052" i="5"/>
  <c r="G8054" i="5"/>
  <c r="B8055" i="5"/>
  <c r="G8055" i="5"/>
  <c r="G8056" i="5"/>
  <c r="G8058" i="5"/>
  <c r="B8059" i="5"/>
  <c r="G8059" i="5"/>
  <c r="G8060" i="5"/>
  <c r="G8062" i="5"/>
  <c r="B8063" i="5"/>
  <c r="G8064" i="5"/>
  <c r="G8066" i="5"/>
  <c r="B8067" i="5"/>
  <c r="G8068" i="5"/>
  <c r="G8070" i="5"/>
  <c r="B8071" i="5"/>
  <c r="G8072" i="5"/>
  <c r="G8074" i="5"/>
  <c r="B8075" i="5"/>
  <c r="G8075" i="5"/>
  <c r="G8076" i="5"/>
  <c r="G8078" i="5"/>
  <c r="B8079" i="5"/>
  <c r="G8079" i="5"/>
  <c r="G8080" i="5"/>
  <c r="G8082" i="5"/>
  <c r="B8083" i="5"/>
  <c r="G8084" i="5"/>
  <c r="G8086" i="5"/>
  <c r="B8087" i="5"/>
  <c r="G8087" i="5"/>
  <c r="G8088" i="5"/>
  <c r="G8090" i="5"/>
  <c r="B8091" i="5"/>
  <c r="G8091" i="5"/>
  <c r="G8092" i="5"/>
  <c r="G8094" i="5"/>
  <c r="B8095" i="5"/>
  <c r="G8096" i="5"/>
  <c r="G8098" i="5"/>
  <c r="B8099" i="5"/>
  <c r="G8099" i="5"/>
  <c r="G8100" i="5"/>
  <c r="G8102" i="5"/>
  <c r="B8103" i="5"/>
  <c r="G8104" i="5"/>
  <c r="G8106" i="5"/>
  <c r="B8107" i="5"/>
  <c r="G8108" i="5"/>
  <c r="G8110" i="5"/>
  <c r="B8111" i="5"/>
  <c r="G8111" i="5"/>
  <c r="G8112" i="5"/>
  <c r="G8114" i="5"/>
  <c r="B8115" i="5"/>
  <c r="G8115" i="5"/>
  <c r="G8116" i="5"/>
  <c r="G8118" i="5"/>
  <c r="B8119" i="5"/>
  <c r="G8120" i="5"/>
  <c r="G8122" i="5"/>
  <c r="B8123" i="5"/>
  <c r="G8123" i="5"/>
  <c r="G8124" i="5"/>
  <c r="G8126" i="5"/>
  <c r="B8127" i="5"/>
  <c r="G8127" i="5"/>
  <c r="G8128" i="5"/>
  <c r="G8130" i="5"/>
  <c r="B8131" i="5"/>
  <c r="G8132" i="5"/>
  <c r="G8134" i="5"/>
  <c r="B8135" i="5"/>
  <c r="G8136" i="5"/>
  <c r="G8138" i="5"/>
  <c r="B8139" i="5"/>
  <c r="G8139" i="5"/>
  <c r="G8140" i="5"/>
  <c r="G8142" i="5"/>
  <c r="B8143" i="5"/>
  <c r="G8144" i="5"/>
  <c r="G8146" i="5"/>
  <c r="B8147" i="5"/>
  <c r="G8147" i="5"/>
  <c r="G8148" i="5"/>
  <c r="G8150" i="5"/>
  <c r="B8151" i="5"/>
  <c r="G8151" i="5"/>
  <c r="G8152" i="5"/>
  <c r="G8154" i="5"/>
  <c r="B8155" i="5"/>
  <c r="G8156" i="5"/>
  <c r="G8158" i="5"/>
  <c r="B8159" i="5"/>
  <c r="G8159" i="5"/>
  <c r="G8160" i="5"/>
  <c r="G8162" i="5"/>
  <c r="B8163" i="5"/>
  <c r="G8163" i="5"/>
  <c r="G8164" i="5"/>
  <c r="G8166" i="5"/>
  <c r="B8167" i="5"/>
  <c r="G8168" i="5"/>
  <c r="G8170" i="5"/>
  <c r="B8171" i="5"/>
  <c r="G8172" i="5"/>
  <c r="G8174" i="5"/>
  <c r="B8175" i="5"/>
  <c r="G8176" i="5"/>
  <c r="G8178" i="5"/>
  <c r="B8179" i="5"/>
  <c r="G8179" i="5"/>
  <c r="G8180" i="5"/>
  <c r="G8188" i="5"/>
  <c r="B8189" i="5"/>
  <c r="G8189" i="5"/>
  <c r="G8190" i="5"/>
  <c r="G8198" i="5"/>
  <c r="B8199" i="5"/>
  <c r="G8199" i="5"/>
  <c r="G8200" i="5"/>
  <c r="G8210" i="5"/>
  <c r="B8211" i="5"/>
  <c r="G8211" i="5"/>
  <c r="G8212" i="5"/>
  <c r="G8214" i="5"/>
  <c r="B8215" i="5"/>
  <c r="G8215" i="5"/>
  <c r="G8216" i="5"/>
  <c r="E8218" i="5"/>
  <c r="G8219" i="5"/>
  <c r="B8220" i="5"/>
  <c r="G8220" i="5"/>
  <c r="G8221" i="5"/>
  <c r="G8224" i="5"/>
  <c r="B8225" i="5"/>
  <c r="G8225" i="5"/>
  <c r="G8226" i="5"/>
  <c r="G8230" i="5"/>
  <c r="B8231" i="5"/>
  <c r="G8231" i="5"/>
  <c r="G8232" i="5"/>
  <c r="G8237" i="5"/>
  <c r="F59" i="8"/>
  <c r="F61" i="8"/>
  <c r="F63" i="8"/>
  <c r="F64" i="8"/>
  <c r="F65" i="8"/>
  <c r="F67" i="8"/>
  <c r="F68" i="8"/>
  <c r="F69" i="8"/>
  <c r="F71" i="8"/>
  <c r="F72" i="8"/>
  <c r="F76" i="8"/>
  <c r="F137" i="8"/>
  <c r="F140" i="8"/>
  <c r="F141" i="8"/>
  <c r="F167" i="8"/>
  <c r="F168" i="8"/>
  <c r="F294" i="8"/>
  <c r="F295" i="8"/>
  <c r="F388" i="8"/>
  <c r="F389" i="8"/>
  <c r="F390" i="8"/>
  <c r="F391" i="8"/>
  <c r="F392" i="8"/>
  <c r="F393" i="8"/>
  <c r="F395" i="8"/>
  <c r="F397" i="8"/>
  <c r="F399" i="8"/>
  <c r="F400" i="8"/>
  <c r="F401" i="8"/>
  <c r="F403" i="8"/>
  <c r="F406" i="8"/>
  <c r="F407" i="8"/>
  <c r="F408" i="8"/>
  <c r="F409" i="8"/>
  <c r="F411" i="8"/>
  <c r="F417" i="8"/>
  <c r="F418" i="8"/>
  <c r="F422" i="8"/>
  <c r="F423" i="8"/>
  <c r="F424" i="8"/>
  <c r="F428" i="8"/>
  <c r="F429" i="8"/>
  <c r="F430" i="8"/>
  <c r="F431" i="8"/>
  <c r="F432" i="8"/>
  <c r="F433" i="8"/>
  <c r="F436" i="8"/>
  <c r="F438" i="8"/>
  <c r="F440" i="8"/>
  <c r="F444" i="8"/>
  <c r="F446" i="8"/>
  <c r="F447" i="8"/>
  <c r="F449" i="8"/>
  <c r="F451" i="8"/>
  <c r="F453" i="8"/>
  <c r="F455" i="8"/>
  <c r="F457" i="8"/>
  <c r="F459" i="8"/>
  <c r="F461" i="8"/>
  <c r="F462" i="8"/>
  <c r="F463" i="8"/>
  <c r="F465" i="8"/>
  <c r="F467" i="8"/>
  <c r="F468" i="8"/>
  <c r="F471" i="8"/>
  <c r="F474" i="8"/>
  <c r="F478" i="8"/>
  <c r="F479" i="8"/>
  <c r="F480" i="8"/>
  <c r="F483" i="8"/>
  <c r="F486" i="8"/>
  <c r="F487" i="8"/>
  <c r="F491" i="8"/>
  <c r="F502" i="8"/>
  <c r="F504" i="8"/>
  <c r="F520" i="8"/>
  <c r="F524" i="8"/>
  <c r="F525" i="8"/>
  <c r="F526" i="8"/>
  <c r="F530" i="8"/>
  <c r="F533" i="8"/>
  <c r="F534" i="8"/>
  <c r="F538" i="8"/>
  <c r="F540" i="8"/>
  <c r="F541" i="8"/>
  <c r="F542" i="8"/>
  <c r="F544" i="8"/>
  <c r="F546" i="8"/>
  <c r="F548" i="8"/>
  <c r="F549" i="8"/>
  <c r="F552" i="8"/>
  <c r="F554" i="8"/>
  <c r="F556" i="8"/>
  <c r="F557" i="8"/>
  <c r="F558" i="8"/>
  <c r="F560" i="8"/>
  <c r="F589" i="8"/>
  <c r="F594" i="8"/>
  <c r="F595" i="8"/>
  <c r="F598" i="8"/>
  <c r="F599" i="8"/>
  <c r="F600" i="8"/>
  <c r="F602" i="8"/>
  <c r="F604" i="8"/>
  <c r="F606" i="8"/>
  <c r="F607" i="8"/>
  <c r="F608" i="8"/>
  <c r="F610" i="8"/>
  <c r="F611" i="8"/>
  <c r="F612" i="8"/>
  <c r="F614" i="8"/>
  <c r="F618" i="8"/>
  <c r="F622" i="8"/>
  <c r="F623" i="8"/>
  <c r="F626" i="8"/>
  <c r="F630" i="8"/>
  <c r="F631" i="8"/>
  <c r="F634" i="8"/>
  <c r="F638" i="8"/>
  <c r="F639" i="8"/>
  <c r="F642" i="8"/>
  <c r="F643" i="8"/>
  <c r="F646" i="8"/>
  <c r="F647" i="8"/>
  <c r="F650" i="8"/>
  <c r="F654" i="8"/>
  <c r="F656" i="8"/>
  <c r="F659" i="8"/>
  <c r="F662" i="8"/>
  <c r="F663" i="8"/>
  <c r="F666" i="8"/>
  <c r="F670" i="8"/>
  <c r="F671" i="8"/>
  <c r="F672" i="8"/>
  <c r="F674" i="8"/>
  <c r="F675" i="8"/>
  <c r="F678" i="8"/>
  <c r="F682" i="8"/>
  <c r="F683" i="8"/>
  <c r="F686" i="8"/>
  <c r="F687" i="8"/>
  <c r="F688" i="8"/>
  <c r="F694" i="8"/>
  <c r="F695" i="8"/>
  <c r="F698" i="8"/>
  <c r="F700" i="8"/>
  <c r="F702" i="8"/>
  <c r="F703" i="8"/>
  <c r="F704" i="8"/>
  <c r="F707" i="8"/>
  <c r="F710" i="8"/>
  <c r="F711" i="8"/>
  <c r="F724" i="8"/>
  <c r="F727" i="8"/>
  <c r="H731" i="8"/>
  <c r="F732" i="8"/>
  <c r="F734" i="8"/>
  <c r="F735" i="8"/>
  <c r="I736" i="8"/>
  <c r="F738" i="8"/>
  <c r="F746" i="8"/>
  <c r="F752" i="8"/>
  <c r="F756" i="8"/>
  <c r="F760" i="8"/>
  <c r="F764" i="8"/>
  <c r="F768" i="8"/>
  <c r="F772" i="8"/>
  <c r="F781" i="8"/>
  <c r="F782" i="8"/>
  <c r="F784" i="8"/>
  <c r="F785" i="8"/>
  <c r="F790" i="8"/>
  <c r="F793" i="8"/>
  <c r="F798" i="8"/>
  <c r="F801" i="8"/>
  <c r="F806" i="8"/>
  <c r="F808" i="8"/>
  <c r="F809" i="8"/>
  <c r="F812" i="8"/>
  <c r="F814" i="8"/>
  <c r="F817" i="8"/>
  <c r="F840" i="8"/>
  <c r="F842" i="8"/>
  <c r="F998" i="8"/>
  <c r="F1008" i="8"/>
  <c r="F1014" i="8"/>
  <c r="F1024" i="8"/>
  <c r="F1026" i="8"/>
  <c r="F1032" i="8"/>
  <c r="F1090" i="8"/>
  <c r="F1101" i="8"/>
  <c r="F1104" i="8"/>
  <c r="F1200" i="8"/>
  <c r="F1305" i="8"/>
  <c r="F1329" i="8"/>
  <c r="F1342" i="8"/>
  <c r="F1385" i="8"/>
  <c r="F1398" i="8"/>
  <c r="F1401" i="8"/>
  <c r="F1405" i="8"/>
  <c r="F1479" i="8"/>
  <c r="F1494" i="8"/>
  <c r="F1509" i="8"/>
  <c r="F1525" i="8"/>
  <c r="F1530" i="8"/>
  <c r="F1539" i="8"/>
  <c r="F1560" i="8"/>
  <c r="F1632" i="8"/>
  <c r="F1634" i="8"/>
  <c r="F1640" i="8"/>
  <c r="F1648" i="8"/>
  <c r="F1650" i="8"/>
  <c r="F1658" i="8"/>
  <c r="F1664" i="8"/>
  <c r="F1666" i="8"/>
  <c r="F1672" i="8"/>
  <c r="F1680" i="8"/>
  <c r="F1682" i="8"/>
  <c r="F1688" i="8"/>
  <c r="F1690" i="8"/>
  <c r="F1698" i="8"/>
  <c r="F1704" i="8"/>
  <c r="F1706" i="8"/>
  <c r="F1722" i="8"/>
  <c r="F1728" i="8"/>
  <c r="F1730" i="8"/>
  <c r="F1738" i="8"/>
  <c r="F1744" i="8"/>
  <c r="F1746" i="8"/>
  <c r="F1754" i="8"/>
  <c r="F1762" i="8"/>
  <c r="F1770" i="8"/>
  <c r="F1778" i="8"/>
  <c r="F1786" i="8"/>
  <c r="F1794" i="8"/>
  <c r="F1802" i="8"/>
  <c r="F1810" i="8"/>
  <c r="F1822" i="8"/>
  <c r="F1826" i="8"/>
  <c r="F1910" i="8"/>
  <c r="F1914" i="8"/>
  <c r="F1925" i="8"/>
  <c r="F1937" i="8"/>
  <c r="F1957" i="8"/>
  <c r="F1965" i="8"/>
  <c r="F1967" i="8"/>
  <c r="F1981" i="8"/>
  <c r="F1989" i="8"/>
  <c r="F2114" i="8"/>
  <c r="F2130" i="8"/>
  <c r="F2178" i="8"/>
  <c r="F2186" i="8"/>
  <c r="F2231" i="8"/>
  <c r="F2241" i="8"/>
  <c r="F2266" i="8"/>
  <c r="F2303" i="8"/>
  <c r="F2316" i="8"/>
  <c r="F2341" i="8"/>
  <c r="F2349" i="8"/>
  <c r="F2460" i="8"/>
  <c r="F2531" i="8"/>
  <c r="F2545" i="8"/>
  <c r="H2569" i="8"/>
  <c r="F2674" i="8"/>
  <c r="I2769" i="8"/>
  <c r="F2777" i="8"/>
  <c r="F2786" i="8"/>
  <c r="I2795" i="8"/>
  <c r="H2799" i="8"/>
  <c r="F2845" i="8"/>
  <c r="F2849" i="8"/>
  <c r="F2919" i="8"/>
  <c r="F2925" i="8"/>
  <c r="F2941" i="8"/>
  <c r="H2956" i="8"/>
  <c r="F2972" i="8"/>
  <c r="F3134" i="8"/>
  <c r="F3139" i="8"/>
  <c r="F3176" i="8"/>
  <c r="F3440" i="8"/>
  <c r="F134" i="6"/>
  <c r="F129" i="6"/>
  <c r="F124" i="6"/>
  <c r="F123" i="6"/>
  <c r="F118" i="6"/>
  <c r="F116" i="6"/>
  <c r="F117" i="6"/>
  <c r="F128" i="6"/>
  <c r="F112" i="6"/>
  <c r="F122" i="6"/>
  <c r="F130" i="6"/>
  <c r="F135" i="6"/>
  <c r="F114" i="6"/>
  <c r="F126" i="6"/>
  <c r="F127" i="6"/>
  <c r="F132" i="6"/>
  <c r="F120" i="6"/>
  <c r="F133" i="6"/>
  <c r="F121" i="6"/>
  <c r="F113" i="6"/>
  <c r="F119" i="6"/>
  <c r="F125" i="6"/>
  <c r="F131" i="6"/>
  <c r="F115" i="6"/>
  <c r="B17" i="9"/>
  <c r="D101" i="6"/>
  <c r="D102" i="6"/>
  <c r="D236" i="6"/>
  <c r="D237" i="6"/>
  <c r="D280" i="6"/>
  <c r="D281" i="6"/>
  <c r="D308" i="6"/>
  <c r="D309" i="6"/>
  <c r="D399" i="6"/>
  <c r="D400" i="6"/>
  <c r="D411" i="6"/>
  <c r="D412" i="6"/>
  <c r="D559" i="6"/>
  <c r="D560" i="6"/>
  <c r="D31" i="7"/>
  <c r="D32" i="7"/>
  <c r="D53" i="7"/>
  <c r="D54" i="7"/>
  <c r="F55" i="7"/>
  <c r="D67" i="7"/>
  <c r="D68" i="7"/>
  <c r="F71" i="7"/>
  <c r="F562" i="6"/>
  <c r="F642" i="6"/>
  <c r="F641" i="6"/>
  <c r="F136" i="7"/>
  <c r="F135" i="7"/>
  <c r="F624" i="6"/>
  <c r="F620" i="6"/>
  <c r="F614" i="6"/>
  <c r="F613" i="6"/>
  <c r="F609" i="6"/>
  <c r="F608" i="6"/>
  <c r="F607" i="6"/>
  <c r="F601" i="6"/>
  <c r="F600" i="6"/>
  <c r="F134" i="7"/>
  <c r="F130" i="7"/>
  <c r="F121" i="7"/>
  <c r="F110" i="7"/>
  <c r="F108" i="7"/>
  <c r="F96" i="7"/>
  <c r="F92" i="7"/>
  <c r="F82" i="7"/>
  <c r="F81" i="7"/>
  <c r="F80" i="7"/>
  <c r="F74" i="7"/>
  <c r="F73" i="7"/>
  <c r="F60" i="7"/>
  <c r="F59" i="7"/>
  <c r="F58" i="7"/>
  <c r="F46" i="7"/>
  <c r="F45" i="7"/>
  <c r="F37" i="7"/>
  <c r="F36" i="7"/>
  <c r="F34" i="7"/>
  <c r="F33" i="7"/>
  <c r="F25" i="7"/>
  <c r="F24" i="7"/>
  <c r="F16" i="7"/>
  <c r="F12" i="7"/>
  <c r="F7" i="7"/>
  <c r="F596" i="6"/>
  <c r="F583" i="6"/>
  <c r="F582" i="6"/>
  <c r="F581" i="6"/>
  <c r="F576" i="6"/>
  <c r="F569" i="6"/>
  <c r="F565" i="6"/>
  <c r="F564" i="6"/>
  <c r="F563" i="6"/>
  <c r="F552" i="6"/>
  <c r="F551" i="6"/>
  <c r="F550" i="6"/>
  <c r="F544" i="6"/>
  <c r="F543" i="6"/>
  <c r="F539" i="6"/>
  <c r="F538" i="6"/>
  <c r="F533" i="6"/>
  <c r="F531" i="6"/>
  <c r="F527" i="6"/>
  <c r="F520" i="6"/>
  <c r="F519" i="6"/>
  <c r="F514" i="6"/>
  <c r="F513" i="6"/>
  <c r="F503" i="6"/>
  <c r="F473" i="6"/>
  <c r="F472" i="6"/>
  <c r="F458" i="6"/>
  <c r="F457" i="6"/>
  <c r="F440" i="6"/>
  <c r="F438" i="6"/>
  <c r="F428" i="6"/>
  <c r="F426" i="6"/>
  <c r="F417" i="6"/>
  <c r="F416" i="6"/>
  <c r="F415" i="6"/>
  <c r="F404" i="6"/>
  <c r="F403" i="6"/>
  <c r="F393" i="6"/>
  <c r="F392" i="6"/>
  <c r="F391" i="6"/>
  <c r="F374" i="6"/>
  <c r="F368" i="6"/>
  <c r="F367" i="6"/>
  <c r="F362" i="6"/>
  <c r="F360" i="6"/>
  <c r="F353" i="6"/>
  <c r="F352" i="6"/>
  <c r="F345" i="6"/>
  <c r="F339" i="6"/>
  <c r="F338" i="6"/>
  <c r="F328" i="6"/>
  <c r="F327" i="6"/>
  <c r="F326" i="6"/>
  <c r="F325" i="6"/>
  <c r="F324" i="6"/>
  <c r="F314" i="6"/>
  <c r="F312" i="6"/>
  <c r="F311" i="6"/>
  <c r="F310" i="6"/>
  <c r="F300" i="6"/>
  <c r="F299" i="6"/>
  <c r="F294" i="6"/>
  <c r="F293" i="6"/>
  <c r="F286" i="6"/>
  <c r="F285" i="6"/>
  <c r="F284" i="6"/>
  <c r="F283" i="6"/>
  <c r="F282" i="6"/>
  <c r="F274" i="6"/>
  <c r="F273" i="6"/>
  <c r="F267" i="6"/>
  <c r="F264" i="6"/>
  <c r="F263" i="6"/>
  <c r="F257" i="6"/>
  <c r="F255" i="6"/>
  <c r="F254" i="6"/>
  <c r="F253" i="6"/>
  <c r="F242" i="6"/>
  <c r="F241" i="6"/>
  <c r="F240" i="6"/>
  <c r="F239" i="6"/>
  <c r="F228" i="6"/>
  <c r="F227" i="6"/>
  <c r="F226" i="6"/>
  <c r="F225" i="6"/>
  <c r="F224" i="6"/>
  <c r="F214" i="6"/>
  <c r="F213" i="6"/>
  <c r="F209" i="6"/>
  <c r="F207" i="6"/>
  <c r="F195" i="6"/>
  <c r="F194" i="6"/>
  <c r="F191" i="6"/>
  <c r="F187" i="6"/>
  <c r="F186" i="6"/>
  <c r="F179" i="6"/>
  <c r="F175" i="6"/>
  <c r="F174" i="6"/>
  <c r="F173" i="6"/>
  <c r="F168" i="6"/>
  <c r="F166" i="6"/>
  <c r="F157" i="6"/>
  <c r="F155" i="6"/>
  <c r="F154" i="6"/>
  <c r="F153" i="6"/>
  <c r="F143" i="6"/>
  <c r="F142" i="6"/>
  <c r="F141" i="6"/>
  <c r="F137" i="6"/>
  <c r="F136" i="6"/>
  <c r="F111" i="6"/>
  <c r="F107" i="6"/>
  <c r="F104" i="6"/>
  <c r="F103" i="6"/>
  <c r="F97" i="6"/>
  <c r="F95" i="6"/>
  <c r="F94" i="6"/>
  <c r="F86" i="6"/>
  <c r="F85" i="6"/>
  <c r="F80" i="6"/>
  <c r="F78" i="6"/>
  <c r="F77" i="6"/>
  <c r="F76" i="6"/>
  <c r="F70" i="6"/>
  <c r="F69" i="6"/>
  <c r="F68" i="6"/>
  <c r="F61" i="6"/>
  <c r="F60" i="6"/>
  <c r="F58" i="6"/>
  <c r="F38" i="6"/>
  <c r="F27" i="6"/>
  <c r="F21" i="6"/>
  <c r="F20" i="6"/>
  <c r="F14" i="6"/>
  <c r="F13" i="6"/>
  <c r="F7" i="6"/>
  <c r="F599" i="6"/>
  <c r="F6" i="6"/>
  <c r="A1" i="9"/>
  <c r="E17" i="9"/>
  <c r="G3205" i="8"/>
  <c r="G3177" i="8"/>
  <c r="G3169" i="8"/>
  <c r="G3227" i="8"/>
  <c r="G3208" i="8"/>
  <c r="G3188" i="8"/>
  <c r="G3184" i="8"/>
  <c r="G3168" i="8"/>
  <c r="G3140" i="8"/>
  <c r="G3162" i="8"/>
  <c r="G3207" i="8"/>
  <c r="G3199" i="8"/>
  <c r="G3183" i="8"/>
  <c r="G3167" i="8"/>
  <c r="G3163" i="8"/>
  <c r="G3198" i="8"/>
  <c r="G3190" i="8"/>
  <c r="G3159" i="8"/>
  <c r="G3131" i="8"/>
  <c r="G3138" i="8"/>
  <c r="G3134" i="8"/>
  <c r="G3129" i="8"/>
  <c r="G3106" i="8"/>
  <c r="G3069" i="8"/>
  <c r="G3055" i="8"/>
  <c r="G3032" i="8"/>
  <c r="G2998" i="8"/>
  <c r="G2956" i="8"/>
  <c r="G2908" i="8"/>
  <c r="G2851" i="8"/>
  <c r="G2842" i="8"/>
  <c r="G2823" i="8"/>
  <c r="G3067" i="8"/>
  <c r="G3057" i="8"/>
  <c r="G2977" i="8"/>
  <c r="G2958" i="8"/>
  <c r="G2925" i="8"/>
  <c r="G2863" i="8"/>
  <c r="G2849" i="8"/>
  <c r="G3097" i="8"/>
  <c r="G3024" i="8"/>
  <c r="G3019" i="8"/>
  <c r="G2986" i="8"/>
  <c r="G2953" i="8"/>
  <c r="G2910" i="8"/>
  <c r="G2867" i="8"/>
  <c r="G2839" i="8"/>
  <c r="G2820" i="8"/>
  <c r="G3046" i="8"/>
  <c r="G3013" i="8"/>
  <c r="G2848" i="8"/>
  <c r="G2835" i="8"/>
  <c r="G2803" i="8"/>
  <c r="G2779" i="8"/>
  <c r="G2771" i="8"/>
  <c r="G2759" i="8"/>
  <c r="G2731" i="8"/>
  <c r="G2719" i="8"/>
  <c r="G2966" i="8"/>
  <c r="G2954" i="8"/>
  <c r="G2897" i="8"/>
  <c r="G2859" i="8"/>
  <c r="G2847" i="8"/>
  <c r="G2815" i="8"/>
  <c r="G3026" i="8"/>
  <c r="G3086" i="8"/>
  <c r="G3018" i="8"/>
  <c r="G2980" i="8"/>
  <c r="G2973" i="8"/>
  <c r="G2933" i="8"/>
  <c r="G2806" i="8"/>
  <c r="G2762" i="8"/>
  <c r="G2754" i="8"/>
  <c r="G2750" i="8"/>
  <c r="G2738" i="8"/>
  <c r="G2918" i="8"/>
  <c r="G2899" i="8"/>
  <c r="G3094" i="8"/>
  <c r="G3070" i="8"/>
  <c r="G2997" i="8"/>
  <c r="G2914" i="8"/>
  <c r="G2895" i="8"/>
  <c r="G2833" i="8"/>
  <c r="G3044" i="8"/>
  <c r="G3030" i="8"/>
  <c r="G2931" i="8"/>
  <c r="G2919" i="8"/>
  <c r="G2857" i="8"/>
  <c r="G2793" i="8"/>
  <c r="G2781" i="8"/>
  <c r="G2773" i="8"/>
  <c r="G2745" i="8"/>
  <c r="G2725" i="8"/>
  <c r="G3083" i="8"/>
  <c r="G3068" i="8"/>
  <c r="G2964" i="8"/>
  <c r="G3075" i="8"/>
  <c r="G3049" i="8"/>
  <c r="G3002" i="8"/>
  <c r="G2930" i="8"/>
  <c r="G2893" i="8"/>
  <c r="G2800" i="8"/>
  <c r="G2792" i="8"/>
  <c r="G2772" i="8"/>
  <c r="G2748" i="8"/>
  <c r="G2740" i="8"/>
  <c r="G2728" i="8"/>
  <c r="G2982" i="8"/>
  <c r="G2917" i="8"/>
  <c r="G2866" i="8"/>
  <c r="G2855" i="8"/>
  <c r="G2843" i="8"/>
  <c r="G3114" i="8"/>
  <c r="G2697" i="8"/>
  <c r="G2703" i="8"/>
  <c r="G2682" i="8"/>
  <c r="G2683" i="8"/>
  <c r="G2692" i="8"/>
  <c r="G2644" i="8"/>
  <c r="G2640" i="8"/>
  <c r="G2628" i="8"/>
  <c r="G2667" i="8"/>
  <c r="G2659" i="8"/>
  <c r="G2643" i="8"/>
  <c r="G2666" i="8"/>
  <c r="G2650" i="8"/>
  <c r="G2626" i="8"/>
  <c r="G2677" i="8"/>
  <c r="G2661" i="8"/>
  <c r="G2633" i="8"/>
  <c r="G2625" i="8"/>
  <c r="G1377" i="8"/>
  <c r="G2614" i="8"/>
  <c r="G2590" i="8"/>
  <c r="G2566" i="8"/>
  <c r="G2562" i="8"/>
  <c r="G2542" i="8"/>
  <c r="G2522" i="8"/>
  <c r="G2510" i="8"/>
  <c r="G2466" i="8"/>
  <c r="G2462" i="8"/>
  <c r="G2458" i="8"/>
  <c r="G2418" i="8"/>
  <c r="G2414" i="8"/>
  <c r="G2398" i="8"/>
  <c r="G1357" i="8"/>
  <c r="G1373" i="8"/>
  <c r="G1367" i="8"/>
  <c r="G2585" i="8"/>
  <c r="G2535" i="8"/>
  <c r="G2471" i="8"/>
  <c r="G2457" i="8"/>
  <c r="G2448" i="8"/>
  <c r="G2621" i="8"/>
  <c r="G2557" i="8"/>
  <c r="G2493" i="8"/>
  <c r="G2475" i="8"/>
  <c r="G2452" i="8"/>
  <c r="G2420" i="8"/>
  <c r="G2366" i="8"/>
  <c r="G2318" i="8"/>
  <c r="G2314" i="8"/>
  <c r="G2306" i="8"/>
  <c r="G2294" i="8"/>
  <c r="G2270" i="8"/>
  <c r="G2262" i="8"/>
  <c r="G2250" i="8"/>
  <c r="G2210" i="8"/>
  <c r="G2194" i="8"/>
  <c r="G2174" i="8"/>
  <c r="G2166" i="8"/>
  <c r="G2146" i="8"/>
  <c r="G2616" i="8"/>
  <c r="G2575" i="8"/>
  <c r="G2488" i="8"/>
  <c r="G2456" i="8"/>
  <c r="G2415" i="8"/>
  <c r="G2620" i="8"/>
  <c r="G2597" i="8"/>
  <c r="G2556" i="8"/>
  <c r="G2483" i="8"/>
  <c r="G2428" i="8"/>
  <c r="G2583" i="8"/>
  <c r="G2560" i="8"/>
  <c r="G2551" i="8"/>
  <c r="G2441" i="8"/>
  <c r="G2432" i="8"/>
  <c r="G2377" i="8"/>
  <c r="G2573" i="8"/>
  <c r="G2564" i="8"/>
  <c r="G2523" i="8"/>
  <c r="G2445" i="8"/>
  <c r="G2395" i="8"/>
  <c r="G2600" i="8"/>
  <c r="G2568" i="8"/>
  <c r="G2527" i="8"/>
  <c r="G2449" i="8"/>
  <c r="G2399" i="8"/>
  <c r="G2572" i="8"/>
  <c r="G2563" i="8"/>
  <c r="G2540" i="8"/>
  <c r="G2517" i="8"/>
  <c r="G2435" i="8"/>
  <c r="G2288" i="8"/>
  <c r="G2279" i="8"/>
  <c r="G2256" i="8"/>
  <c r="G2224" i="8"/>
  <c r="G2160" i="8"/>
  <c r="G2151" i="8"/>
  <c r="G2251" i="8"/>
  <c r="G2219" i="8"/>
  <c r="G2196" i="8"/>
  <c r="G2419" i="8"/>
  <c r="G2405" i="8"/>
  <c r="G2337" i="8"/>
  <c r="G2273" i="8"/>
  <c r="G2223" i="8"/>
  <c r="G2145" i="8"/>
  <c r="G2136" i="8"/>
  <c r="G2128" i="8"/>
  <c r="G2116" i="8"/>
  <c r="G2092" i="8"/>
  <c r="G2080" i="8"/>
  <c r="G2044" i="8"/>
  <c r="G2040" i="8"/>
  <c r="G2032" i="8"/>
  <c r="G2016" i="8"/>
  <c r="G1996" i="8"/>
  <c r="G1984" i="8"/>
  <c r="G1968" i="8"/>
  <c r="G2385" i="8"/>
  <c r="G2355" i="8"/>
  <c r="G2323" i="8"/>
  <c r="G2268" i="8"/>
  <c r="G2227" i="8"/>
  <c r="G2195" i="8"/>
  <c r="G2368" i="8"/>
  <c r="G2336" i="8"/>
  <c r="G2304" i="8"/>
  <c r="G2231" i="8"/>
  <c r="G2208" i="8"/>
  <c r="G2176" i="8"/>
  <c r="G2127" i="8"/>
  <c r="G2119" i="8"/>
  <c r="G2103" i="8"/>
  <c r="G2075" i="8"/>
  <c r="G2067" i="8"/>
  <c r="G2051" i="8"/>
  <c r="G2031" i="8"/>
  <c r="G2023" i="8"/>
  <c r="G2019" i="8"/>
  <c r="G1979" i="8"/>
  <c r="G1967" i="8"/>
  <c r="G1955" i="8"/>
  <c r="G1935" i="8"/>
  <c r="G1923" i="8"/>
  <c r="G1915" i="8"/>
  <c r="G1907" i="8"/>
  <c r="G2372" i="8"/>
  <c r="G2340" i="8"/>
  <c r="G2267" i="8"/>
  <c r="G2253" i="8"/>
  <c r="G2235" i="8"/>
  <c r="G2212" i="8"/>
  <c r="G2353" i="8"/>
  <c r="G2303" i="8"/>
  <c r="G2225" i="8"/>
  <c r="G2216" i="8"/>
  <c r="G2193" i="8"/>
  <c r="G2161" i="8"/>
  <c r="G2348" i="8"/>
  <c r="G2339" i="8"/>
  <c r="G2275" i="8"/>
  <c r="G2220" i="8"/>
  <c r="G2211" i="8"/>
  <c r="G2179" i="8"/>
  <c r="G2156" i="8"/>
  <c r="G2098" i="8"/>
  <c r="G2082" i="8"/>
  <c r="G2045" i="8"/>
  <c r="G1997" i="8"/>
  <c r="G1981" i="8"/>
  <c r="G1970" i="8"/>
  <c r="G1954" i="8"/>
  <c r="G1889" i="8"/>
  <c r="G2148" i="8"/>
  <c r="G2134" i="8"/>
  <c r="G2086" i="8"/>
  <c r="G2070" i="8"/>
  <c r="G2065" i="8"/>
  <c r="G2049" i="8"/>
  <c r="G1990" i="8"/>
  <c r="G1985" i="8"/>
  <c r="G1929" i="8"/>
  <c r="G2139" i="8"/>
  <c r="G1933" i="8"/>
  <c r="G1924" i="8"/>
  <c r="G1883" i="8"/>
  <c r="G1863" i="8"/>
  <c r="G1859" i="8"/>
  <c r="G1847" i="8"/>
  <c r="G1835" i="8"/>
  <c r="G1815" i="8"/>
  <c r="G1803" i="8"/>
  <c r="G1799" i="8"/>
  <c r="G1787" i="8"/>
  <c r="G1763" i="8"/>
  <c r="G1755" i="8"/>
  <c r="G1751" i="8"/>
  <c r="G1739" i="8"/>
  <c r="G1711" i="8"/>
  <c r="G1707" i="8"/>
  <c r="G1703" i="8"/>
  <c r="G1691" i="8"/>
  <c r="G1667" i="8"/>
  <c r="G1659" i="8"/>
  <c r="G1655" i="8"/>
  <c r="G1643" i="8"/>
  <c r="G1615" i="8"/>
  <c r="G1611" i="8"/>
  <c r="G1607" i="8"/>
  <c r="G1591" i="8"/>
  <c r="G1571" i="8"/>
  <c r="G1563" i="8"/>
  <c r="G1559" i="8"/>
  <c r="G1543" i="8"/>
  <c r="G1519" i="8"/>
  <c r="G1515" i="8"/>
  <c r="G1507" i="8"/>
  <c r="G1495" i="8"/>
  <c r="G1475" i="8"/>
  <c r="G1463" i="8"/>
  <c r="G1455" i="8"/>
  <c r="G1447" i="8"/>
  <c r="G1419" i="8"/>
  <c r="G1415" i="8"/>
  <c r="G1411" i="8"/>
  <c r="G1399" i="8"/>
  <c r="G2101" i="8"/>
  <c r="G2090" i="8"/>
  <c r="G2074" i="8"/>
  <c r="G2058" i="8"/>
  <c r="G2005" i="8"/>
  <c r="G1994" i="8"/>
  <c r="G1989" i="8"/>
  <c r="G1962" i="8"/>
  <c r="G1896" i="8"/>
  <c r="G1941" i="8"/>
  <c r="G1918" i="8"/>
  <c r="G1886" i="8"/>
  <c r="G1862" i="8"/>
  <c r="G1858" i="8"/>
  <c r="G1854" i="8"/>
  <c r="G1834" i="8"/>
  <c r="G1814" i="8"/>
  <c r="G1810" i="8"/>
  <c r="G1798" i="8"/>
  <c r="G1790" i="8"/>
  <c r="G1766" i="8"/>
  <c r="G1758" i="8"/>
  <c r="G1750" i="8"/>
  <c r="G1738" i="8"/>
  <c r="G1714" i="8"/>
  <c r="G1706" i="8"/>
  <c r="G1702" i="8"/>
  <c r="G1694" i="8"/>
  <c r="G1666" i="8"/>
  <c r="G1662" i="8"/>
  <c r="G1654" i="8"/>
  <c r="G1642" i="8"/>
  <c r="G1618" i="8"/>
  <c r="G1610" i="8"/>
  <c r="G1606" i="8"/>
  <c r="G1598" i="8"/>
  <c r="G1570" i="8"/>
  <c r="G2137" i="8"/>
  <c r="G2121" i="8"/>
  <c r="G2089" i="8"/>
  <c r="G2046" i="8"/>
  <c r="G2030" i="8"/>
  <c r="G2025" i="8"/>
  <c r="G1993" i="8"/>
  <c r="G1950" i="8"/>
  <c r="G1945" i="8"/>
  <c r="G1913" i="8"/>
  <c r="G1926" i="8"/>
  <c r="G1852" i="8"/>
  <c r="G1825" i="8"/>
  <c r="G1820" i="8"/>
  <c r="G1793" i="8"/>
  <c r="G1745" i="8"/>
  <c r="G1729" i="8"/>
  <c r="G1724" i="8"/>
  <c r="G1697" i="8"/>
  <c r="G1660" i="8"/>
  <c r="G1644" i="8"/>
  <c r="G1633" i="8"/>
  <c r="G1617" i="8"/>
  <c r="G1569" i="8"/>
  <c r="G1560" i="8"/>
  <c r="G1546" i="8"/>
  <c r="G1514" i="8"/>
  <c r="G1464" i="8"/>
  <c r="G1441" i="8"/>
  <c r="G1432" i="8"/>
  <c r="G1400" i="8"/>
  <c r="G1477" i="8"/>
  <c r="G1436" i="8"/>
  <c r="G1422" i="8"/>
  <c r="G1390" i="8"/>
  <c r="G1541" i="8"/>
  <c r="G1509" i="8"/>
  <c r="G1486" i="8"/>
  <c r="G1413" i="8"/>
  <c r="G1872" i="8"/>
  <c r="G1856" i="8"/>
  <c r="G1845" i="8"/>
  <c r="G1824" i="8"/>
  <c r="G1781" i="8"/>
  <c r="G1765" i="8"/>
  <c r="G1760" i="8"/>
  <c r="G1744" i="8"/>
  <c r="G1696" i="8"/>
  <c r="G1685" i="8"/>
  <c r="G1680" i="8"/>
  <c r="G1653" i="8"/>
  <c r="G1616" i="8"/>
  <c r="G1600" i="8"/>
  <c r="G1589" i="8"/>
  <c r="G1568" i="8"/>
  <c r="G1513" i="8"/>
  <c r="G1490" i="8"/>
  <c r="G1481" i="8"/>
  <c r="G1458" i="8"/>
  <c r="G1394" i="8"/>
  <c r="G1540" i="8"/>
  <c r="G1526" i="8"/>
  <c r="G1476" i="8"/>
  <c r="G1428" i="8"/>
  <c r="G1558" i="8"/>
  <c r="G1549" i="8"/>
  <c r="G1908" i="8"/>
  <c r="G1849" i="8"/>
  <c r="G1833" i="8"/>
  <c r="G1828" i="8"/>
  <c r="G1812" i="8"/>
  <c r="G1764" i="8"/>
  <c r="G1753" i="8"/>
  <c r="G1748" i="8"/>
  <c r="G1721" i="8"/>
  <c r="G1684" i="8"/>
  <c r="G1668" i="8"/>
  <c r="G1657" i="8"/>
  <c r="G1636" i="8"/>
  <c r="G1593" i="8"/>
  <c r="G1577" i="8"/>
  <c r="G1572" i="8"/>
  <c r="G1553" i="8"/>
  <c r="G1489" i="8"/>
  <c r="G1480" i="8"/>
  <c r="G1466" i="8"/>
  <c r="G1434" i="8"/>
  <c r="G1516" i="8"/>
  <c r="G1484" i="8"/>
  <c r="G1470" i="8"/>
  <c r="G1429" i="8"/>
  <c r="G1566" i="8"/>
  <c r="G1548" i="8"/>
  <c r="G1534" i="8"/>
  <c r="G1493" i="8"/>
  <c r="G1885" i="8"/>
  <c r="G1880" i="8"/>
  <c r="G1869" i="8"/>
  <c r="G1848" i="8"/>
  <c r="G1805" i="8"/>
  <c r="G1789" i="8"/>
  <c r="G1784" i="8"/>
  <c r="G1757" i="8"/>
  <c r="G1720" i="8"/>
  <c r="G1704" i="8"/>
  <c r="G1693" i="8"/>
  <c r="G1677" i="8"/>
  <c r="G1629" i="8"/>
  <c r="G1624" i="8"/>
  <c r="G1613" i="8"/>
  <c r="G1592" i="8"/>
  <c r="G1538" i="8"/>
  <c r="G1520" i="8"/>
  <c r="G1506" i="8"/>
  <c r="G1474" i="8"/>
  <c r="G1424" i="8"/>
  <c r="G1401" i="8"/>
  <c r="G1392" i="8"/>
  <c r="G1542" i="8"/>
  <c r="G1533" i="8"/>
  <c r="G1501" i="8"/>
  <c r="G1469" i="8"/>
  <c r="G1386" i="8"/>
  <c r="G1350" i="8"/>
  <c r="G1346" i="8"/>
  <c r="G1347" i="8"/>
  <c r="G1344" i="8"/>
  <c r="G1304" i="8"/>
  <c r="G1306" i="8"/>
  <c r="G1329" i="8"/>
  <c r="G1335" i="8"/>
  <c r="G1330" i="8"/>
  <c r="G1313" i="8"/>
  <c r="G1342" i="8"/>
  <c r="G1318" i="8"/>
  <c r="G1321" i="8"/>
  <c r="G1333" i="8"/>
  <c r="G1325" i="8"/>
  <c r="G1301" i="8"/>
  <c r="G1332" i="8"/>
  <c r="G1316" i="8"/>
  <c r="G1308" i="8"/>
  <c r="G1323" i="8"/>
  <c r="G1284" i="8"/>
  <c r="G1280" i="8"/>
  <c r="G1276" i="8"/>
  <c r="G1264" i="8"/>
  <c r="G1244" i="8"/>
  <c r="G1299" i="8"/>
  <c r="G1287" i="8"/>
  <c r="G1263" i="8"/>
  <c r="G1290" i="8"/>
  <c r="G1282" i="8"/>
  <c r="G1278" i="8"/>
  <c r="G1270" i="8"/>
  <c r="G1246" i="8"/>
  <c r="G1242" i="8"/>
  <c r="G1295" i="8"/>
  <c r="G1271" i="8"/>
  <c r="G1293" i="8"/>
  <c r="G1285" i="8"/>
  <c r="G1281" i="8"/>
  <c r="G1269" i="8"/>
  <c r="G1249" i="8"/>
  <c r="G1241" i="8"/>
  <c r="G1255" i="8"/>
  <c r="G21" i="8"/>
  <c r="G23" i="8"/>
  <c r="G25" i="8"/>
  <c r="G31" i="8"/>
  <c r="G41" i="8"/>
  <c r="G45" i="8"/>
  <c r="G47" i="8"/>
  <c r="G53" i="8"/>
  <c r="G63" i="8"/>
  <c r="G67" i="8"/>
  <c r="G69" i="8"/>
  <c r="G73" i="8"/>
  <c r="G85" i="8"/>
  <c r="G87" i="8"/>
  <c r="G89" i="8"/>
  <c r="G95" i="8"/>
  <c r="G105" i="8"/>
  <c r="G109" i="8"/>
  <c r="G111" i="8"/>
  <c r="G117" i="8"/>
  <c r="G127" i="8"/>
  <c r="G131" i="8"/>
  <c r="G133" i="8"/>
  <c r="G137" i="8"/>
  <c r="G151" i="8"/>
  <c r="G153" i="8"/>
  <c r="G159" i="8"/>
  <c r="G169" i="8"/>
  <c r="G173" i="8"/>
  <c r="G175" i="8"/>
  <c r="G181" i="8"/>
  <c r="G191" i="8"/>
  <c r="G195" i="8"/>
  <c r="G197" i="8"/>
  <c r="G201" i="8"/>
  <c r="G16" i="8"/>
  <c r="G18" i="8"/>
  <c r="G24" i="8"/>
  <c r="G34" i="8"/>
  <c r="G38" i="8"/>
  <c r="G40" i="8"/>
  <c r="G46" i="8"/>
  <c r="G56" i="8"/>
  <c r="G60" i="8"/>
  <c r="G62" i="8"/>
  <c r="G66" i="8"/>
  <c r="G78" i="8"/>
  <c r="G80" i="8"/>
  <c r="G82" i="8"/>
  <c r="G88" i="8"/>
  <c r="G96" i="8"/>
  <c r="G98" i="8"/>
  <c r="G102" i="8"/>
  <c r="G106" i="8"/>
  <c r="G114" i="8"/>
  <c r="G116" i="8"/>
  <c r="G118" i="8"/>
  <c r="G122" i="8"/>
  <c r="G130" i="8"/>
  <c r="G132" i="8"/>
  <c r="G134" i="8"/>
  <c r="G138" i="8"/>
  <c r="G146" i="8"/>
  <c r="G148" i="8"/>
  <c r="G150" i="8"/>
  <c r="G154" i="8"/>
  <c r="G162" i="8"/>
  <c r="G164" i="8"/>
  <c r="G166" i="8"/>
  <c r="G170" i="8"/>
  <c r="G178" i="8"/>
  <c r="G180" i="8"/>
  <c r="G182" i="8"/>
  <c r="G186" i="8"/>
  <c r="G194" i="8"/>
  <c r="G196" i="8"/>
  <c r="G198" i="8"/>
  <c r="G202" i="8"/>
  <c r="G210" i="8"/>
  <c r="G212" i="8"/>
  <c r="G214" i="8"/>
  <c r="G218" i="8"/>
  <c r="G215" i="8"/>
  <c r="G223" i="8"/>
  <c r="G227" i="8"/>
  <c r="G235" i="8"/>
  <c r="G255" i="8"/>
  <c r="G259" i="8"/>
  <c r="G267" i="8"/>
  <c r="G283" i="8"/>
  <c r="G287" i="8"/>
  <c r="G295" i="8"/>
  <c r="G303" i="8"/>
  <c r="G319" i="8"/>
  <c r="G327" i="8"/>
  <c r="G355" i="8"/>
  <c r="G358" i="8"/>
  <c r="G366" i="8"/>
  <c r="G382" i="8"/>
  <c r="G387" i="8"/>
  <c r="G390" i="8"/>
  <c r="G398" i="8"/>
  <c r="G414" i="8"/>
  <c r="G419" i="8"/>
  <c r="G422" i="8"/>
  <c r="G430" i="8"/>
  <c r="G228" i="8"/>
  <c r="G232" i="8"/>
  <c r="G236" i="8"/>
  <c r="G244" i="8"/>
  <c r="G260" i="8"/>
  <c r="G264" i="8"/>
  <c r="G268" i="8"/>
  <c r="G276" i="8"/>
  <c r="G292" i="8"/>
  <c r="G300" i="8"/>
  <c r="G304" i="8"/>
  <c r="G312" i="8"/>
  <c r="G328" i="8"/>
  <c r="G332" i="8"/>
  <c r="G336" i="8"/>
  <c r="G344" i="8"/>
  <c r="G361" i="8"/>
  <c r="G364" i="8"/>
  <c r="G369" i="8"/>
  <c r="G377" i="8"/>
  <c r="G393" i="8"/>
  <c r="G396" i="8"/>
  <c r="G401" i="8"/>
  <c r="G409" i="8"/>
  <c r="G425" i="8"/>
  <c r="G428" i="8"/>
  <c r="G433" i="8"/>
  <c r="G437" i="8"/>
  <c r="G445" i="8"/>
  <c r="G447" i="8"/>
  <c r="G449" i="8"/>
  <c r="G453" i="8"/>
  <c r="G461" i="8"/>
  <c r="G463" i="8"/>
  <c r="G465" i="8"/>
  <c r="G469" i="8"/>
  <c r="G477" i="8"/>
  <c r="G479" i="8"/>
  <c r="G481" i="8"/>
  <c r="G485" i="8"/>
  <c r="G493" i="8"/>
  <c r="G495" i="8"/>
  <c r="G497" i="8"/>
  <c r="G501" i="8"/>
  <c r="G509" i="8"/>
  <c r="G511" i="8"/>
  <c r="G513" i="8"/>
  <c r="G517" i="8"/>
  <c r="G525" i="8"/>
  <c r="G527" i="8"/>
  <c r="G529" i="8"/>
  <c r="G533" i="8"/>
  <c r="G541" i="8"/>
  <c r="G543" i="8"/>
  <c r="G545" i="8"/>
  <c r="G549" i="8"/>
  <c r="G557" i="8"/>
  <c r="G559" i="8"/>
  <c r="G561" i="8"/>
  <c r="G565" i="8"/>
  <c r="G219" i="8"/>
  <c r="G225" i="8"/>
  <c r="G229" i="8"/>
  <c r="G237" i="8"/>
  <c r="G253" i="8"/>
  <c r="G257" i="8"/>
  <c r="G261" i="8"/>
  <c r="G269" i="8"/>
  <c r="G293" i="8"/>
  <c r="G305" i="8"/>
  <c r="G321" i="8"/>
  <c r="G325" i="8"/>
  <c r="G329" i="8"/>
  <c r="G359" i="8"/>
  <c r="G362" i="8"/>
  <c r="G370" i="8"/>
  <c r="G386" i="8"/>
  <c r="G391" i="8"/>
  <c r="G394" i="8"/>
  <c r="G402" i="8"/>
  <c r="G418" i="8"/>
  <c r="G423" i="8"/>
  <c r="G426" i="8"/>
  <c r="G213" i="8"/>
  <c r="G234" i="8"/>
  <c r="G238" i="8"/>
  <c r="G242" i="8"/>
  <c r="G270" i="8"/>
  <c r="G274" i="8"/>
  <c r="G282" i="8"/>
  <c r="G302" i="8"/>
  <c r="G306" i="8"/>
  <c r="G310" i="8"/>
  <c r="G318" i="8"/>
  <c r="G342" i="8"/>
  <c r="G365" i="8"/>
  <c r="G368" i="8"/>
  <c r="G373" i="8"/>
  <c r="G381" i="8"/>
  <c r="G397" i="8"/>
  <c r="G400" i="8"/>
  <c r="G405" i="8"/>
  <c r="G413" i="8"/>
  <c r="G429" i="8"/>
  <c r="G432" i="8"/>
  <c r="G434" i="8"/>
  <c r="G438" i="8"/>
  <c r="G446" i="8"/>
  <c r="G448" i="8"/>
  <c r="G450" i="8"/>
  <c r="G454" i="8"/>
  <c r="G462" i="8"/>
  <c r="G464" i="8"/>
  <c r="G466" i="8"/>
  <c r="G470" i="8"/>
  <c r="G478" i="8"/>
  <c r="G480" i="8"/>
  <c r="G482" i="8"/>
  <c r="G486" i="8"/>
  <c r="G494" i="8"/>
  <c r="G496" i="8"/>
  <c r="G498" i="8"/>
  <c r="G502" i="8"/>
  <c r="G510" i="8"/>
  <c r="G512" i="8"/>
  <c r="G514" i="8"/>
  <c r="G518" i="8"/>
  <c r="G526" i="8"/>
  <c r="G528" i="8"/>
  <c r="G530" i="8"/>
  <c r="G534" i="8"/>
  <c r="G542" i="8"/>
  <c r="G544" i="8"/>
  <c r="G546" i="8"/>
  <c r="G550" i="8"/>
  <c r="G558" i="8"/>
  <c r="G560" i="8"/>
  <c r="G562" i="8"/>
  <c r="G574" i="8"/>
  <c r="G590" i="8"/>
  <c r="G594" i="8"/>
  <c r="G598" i="8"/>
  <c r="G606" i="8"/>
  <c r="G622" i="8"/>
  <c r="G626" i="8"/>
  <c r="G630" i="8"/>
  <c r="G638" i="8"/>
  <c r="G653" i="8"/>
  <c r="G564" i="8"/>
  <c r="G571" i="8"/>
  <c r="G579" i="8"/>
  <c r="G595" i="8"/>
  <c r="G599" i="8"/>
  <c r="G603" i="8"/>
  <c r="G611" i="8"/>
  <c r="G627" i="8"/>
  <c r="G631" i="8"/>
  <c r="G635" i="8"/>
  <c r="G643" i="8"/>
  <c r="G658" i="8"/>
  <c r="G660" i="8"/>
  <c r="G662" i="8"/>
  <c r="G666" i="8"/>
  <c r="G674" i="8"/>
  <c r="G676" i="8"/>
  <c r="G678" i="8"/>
  <c r="G682" i="8"/>
  <c r="G690" i="8"/>
  <c r="G692" i="8"/>
  <c r="G694" i="8"/>
  <c r="G698" i="8"/>
  <c r="G706" i="8"/>
  <c r="G708" i="8"/>
  <c r="G710" i="8"/>
  <c r="G714" i="8"/>
  <c r="G722" i="8"/>
  <c r="G724" i="8"/>
  <c r="G726" i="8"/>
  <c r="G730" i="8"/>
  <c r="G738" i="8"/>
  <c r="G740" i="8"/>
  <c r="G742" i="8"/>
  <c r="G746" i="8"/>
  <c r="G754" i="8"/>
  <c r="G756" i="8"/>
  <c r="G758" i="8"/>
  <c r="G762" i="8"/>
  <c r="G770" i="8"/>
  <c r="G772" i="8"/>
  <c r="G774" i="8"/>
  <c r="G778" i="8"/>
  <c r="G786" i="8"/>
  <c r="G788" i="8"/>
  <c r="G790" i="8"/>
  <c r="G794" i="8"/>
  <c r="G802" i="8"/>
  <c r="G804" i="8"/>
  <c r="G806" i="8"/>
  <c r="G810" i="8"/>
  <c r="G818" i="8"/>
  <c r="G820" i="8"/>
  <c r="G822" i="8"/>
  <c r="G826" i="8"/>
  <c r="G834" i="8"/>
  <c r="G836" i="8"/>
  <c r="G838" i="8"/>
  <c r="G842" i="8"/>
  <c r="G850" i="8"/>
  <c r="G852" i="8"/>
  <c r="G854" i="8"/>
  <c r="G858" i="8"/>
  <c r="G866" i="8"/>
  <c r="G868" i="8"/>
  <c r="G870" i="8"/>
  <c r="G874" i="8"/>
  <c r="G882" i="8"/>
  <c r="G884" i="8"/>
  <c r="G886" i="8"/>
  <c r="G890" i="8"/>
  <c r="G898" i="8"/>
  <c r="G900" i="8"/>
  <c r="G902" i="8"/>
  <c r="G906" i="8"/>
  <c r="G914" i="8"/>
  <c r="G916" i="8"/>
  <c r="G918" i="8"/>
  <c r="G922" i="8"/>
  <c r="G930" i="8"/>
  <c r="G932" i="8"/>
  <c r="G938" i="8"/>
  <c r="G946" i="8"/>
  <c r="G948" i="8"/>
  <c r="G950" i="8"/>
  <c r="G954" i="8"/>
  <c r="G962" i="8"/>
  <c r="G964" i="8"/>
  <c r="G966" i="8"/>
  <c r="G970" i="8"/>
  <c r="G978" i="8"/>
  <c r="G980" i="8"/>
  <c r="G982" i="8"/>
  <c r="G986" i="8"/>
  <c r="G994" i="8"/>
  <c r="G996" i="8"/>
  <c r="G998" i="8"/>
  <c r="G1002" i="8"/>
  <c r="G1010" i="8"/>
  <c r="G566" i="8"/>
  <c r="G572" i="8"/>
  <c r="G580" i="8"/>
  <c r="G596" i="8"/>
  <c r="G600" i="8"/>
  <c r="G604" i="8"/>
  <c r="G612" i="8"/>
  <c r="G628" i="8"/>
  <c r="G632" i="8"/>
  <c r="G636" i="8"/>
  <c r="G646" i="8"/>
  <c r="G573" i="8"/>
  <c r="G577" i="8"/>
  <c r="G581" i="8"/>
  <c r="G589" i="8"/>
  <c r="G605" i="8"/>
  <c r="G609" i="8"/>
  <c r="G613" i="8"/>
  <c r="G621" i="8"/>
  <c r="G637" i="8"/>
  <c r="G641" i="8"/>
  <c r="G644" i="8"/>
  <c r="G652" i="8"/>
  <c r="G661" i="8"/>
  <c r="G663" i="8"/>
  <c r="G665" i="8"/>
  <c r="G669" i="8"/>
  <c r="G677" i="8"/>
  <c r="G679" i="8"/>
  <c r="G681" i="8"/>
  <c r="G685" i="8"/>
  <c r="G693" i="8"/>
  <c r="G695" i="8"/>
  <c r="G697" i="8"/>
  <c r="G701" i="8"/>
  <c r="G709" i="8"/>
  <c r="G711" i="8"/>
  <c r="G713" i="8"/>
  <c r="G717" i="8"/>
  <c r="G725" i="8"/>
  <c r="G727" i="8"/>
  <c r="G729" i="8"/>
  <c r="G733" i="8"/>
  <c r="G741" i="8"/>
  <c r="G743" i="8"/>
  <c r="G745" i="8"/>
  <c r="G749" i="8"/>
  <c r="G757" i="8"/>
  <c r="G759" i="8"/>
  <c r="G761" i="8"/>
  <c r="G765" i="8"/>
  <c r="G773" i="8"/>
  <c r="G775" i="8"/>
  <c r="G777" i="8"/>
  <c r="G781" i="8"/>
  <c r="G789" i="8"/>
  <c r="G791" i="8"/>
  <c r="G793" i="8"/>
  <c r="G797" i="8"/>
  <c r="G805" i="8"/>
  <c r="G807" i="8"/>
  <c r="G809" i="8"/>
  <c r="G813" i="8"/>
  <c r="G821" i="8"/>
  <c r="G823" i="8"/>
  <c r="G825" i="8"/>
  <c r="G829" i="8"/>
  <c r="G837" i="8"/>
  <c r="G839" i="8"/>
  <c r="G841" i="8"/>
  <c r="G845" i="8"/>
  <c r="G853" i="8"/>
  <c r="G855" i="8"/>
  <c r="G857" i="8"/>
  <c r="G861" i="8"/>
  <c r="G869" i="8"/>
  <c r="G871" i="8"/>
  <c r="G873" i="8"/>
  <c r="G877" i="8"/>
  <c r="G885" i="8"/>
  <c r="G887" i="8"/>
  <c r="G889" i="8"/>
  <c r="G893" i="8"/>
  <c r="G901" i="8"/>
  <c r="G903" i="8"/>
  <c r="G905" i="8"/>
  <c r="G909" i="8"/>
  <c r="G917" i="8"/>
  <c r="G919" i="8"/>
  <c r="G921" i="8"/>
  <c r="G933" i="8"/>
  <c r="G935" i="8"/>
  <c r="G937" i="8"/>
  <c r="G941" i="8"/>
  <c r="G949" i="8"/>
  <c r="G951" i="8"/>
  <c r="G953" i="8"/>
  <c r="G957" i="8"/>
  <c r="G965" i="8"/>
  <c r="G967" i="8"/>
  <c r="G969" i="8"/>
  <c r="G973" i="8"/>
  <c r="G981" i="8"/>
  <c r="G983" i="8"/>
  <c r="G985" i="8"/>
  <c r="G989" i="8"/>
  <c r="G997" i="8"/>
  <c r="G999" i="8"/>
  <c r="G1007" i="8"/>
  <c r="G1017" i="8"/>
  <c r="G1033" i="8"/>
  <c r="G1037" i="8"/>
  <c r="G1041" i="8"/>
  <c r="G1049" i="8"/>
  <c r="G1065" i="8"/>
  <c r="G1069" i="8"/>
  <c r="G1073" i="8"/>
  <c r="G1081" i="8"/>
  <c r="G1097" i="8"/>
  <c r="G1101" i="8"/>
  <c r="G1105" i="8"/>
  <c r="G1113" i="8"/>
  <c r="G1129" i="8"/>
  <c r="G1133" i="8"/>
  <c r="G1137" i="8"/>
  <c r="G1145" i="8"/>
  <c r="G1161" i="8"/>
  <c r="G1165" i="8"/>
  <c r="G1169" i="8"/>
  <c r="G1177" i="8"/>
  <c r="G1193" i="8"/>
  <c r="G1197" i="8"/>
  <c r="G1201" i="8"/>
  <c r="G1209" i="8"/>
  <c r="G1225" i="8"/>
  <c r="G1229" i="8"/>
  <c r="G1233" i="8"/>
  <c r="G1001" i="8"/>
  <c r="G1022" i="8"/>
  <c r="G1026" i="8"/>
  <c r="G1030" i="8"/>
  <c r="G1038" i="8"/>
  <c r="G1054" i="8"/>
  <c r="G1058" i="8"/>
  <c r="G1062" i="8"/>
  <c r="G1086" i="8"/>
  <c r="G1090" i="8"/>
  <c r="G1094" i="8"/>
  <c r="G1102" i="8"/>
  <c r="G1118" i="8"/>
  <c r="G1122" i="8"/>
  <c r="G1126" i="8"/>
  <c r="G1134" i="8"/>
  <c r="G1150" i="8"/>
  <c r="G1154" i="8"/>
  <c r="G1158" i="8"/>
  <c r="G1166" i="8"/>
  <c r="G1182" i="8"/>
  <c r="G1186" i="8"/>
  <c r="G1190" i="8"/>
  <c r="G1198" i="8"/>
  <c r="G1214" i="8"/>
  <c r="G1218" i="8"/>
  <c r="G1222" i="8"/>
  <c r="G1230" i="8"/>
  <c r="G1011" i="8"/>
  <c r="G1015" i="8"/>
  <c r="G1019" i="8"/>
  <c r="G1027" i="8"/>
  <c r="G1043" i="8"/>
  <c r="G1047" i="8"/>
  <c r="G1051" i="8"/>
  <c r="G1059" i="8"/>
  <c r="G1063" i="8"/>
  <c r="G1075" i="8"/>
  <c r="G1079" i="8"/>
  <c r="G1083" i="8"/>
  <c r="G1091" i="8"/>
  <c r="G1095" i="8"/>
  <c r="G1107" i="8"/>
  <c r="G1111" i="8"/>
  <c r="G1115" i="8"/>
  <c r="G1123" i="8"/>
  <c r="G1127" i="8"/>
  <c r="G1139" i="8"/>
  <c r="G1143" i="8"/>
  <c r="G1147" i="8"/>
  <c r="G1155" i="8"/>
  <c r="G1159" i="8"/>
  <c r="G1171" i="8"/>
  <c r="G1175" i="8"/>
  <c r="G1179" i="8"/>
  <c r="G1187" i="8"/>
  <c r="G1191" i="8"/>
  <c r="G1203" i="8"/>
  <c r="G1207" i="8"/>
  <c r="G1211" i="8"/>
  <c r="G1219" i="8"/>
  <c r="G1223" i="8"/>
  <c r="G1235" i="8"/>
  <c r="G1239" i="8"/>
  <c r="G1005" i="8"/>
  <c r="G1016" i="8"/>
  <c r="G1020" i="8"/>
  <c r="G1032" i="8"/>
  <c r="G1036" i="8"/>
  <c r="G1040" i="8"/>
  <c r="G1048" i="8"/>
  <c r="G1052" i="8"/>
  <c r="G1064" i="8"/>
  <c r="G1068" i="8"/>
  <c r="G1072" i="8"/>
  <c r="G1080" i="8"/>
  <c r="G1084" i="8"/>
  <c r="G1096" i="8"/>
  <c r="G1100" i="8"/>
  <c r="G1104" i="8"/>
  <c r="G1112" i="8"/>
  <c r="G1116" i="8"/>
  <c r="G1128" i="8"/>
  <c r="G1132" i="8"/>
  <c r="G1136" i="8"/>
  <c r="G1144" i="8"/>
  <c r="G1148" i="8"/>
  <c r="G1160" i="8"/>
  <c r="G1164" i="8"/>
  <c r="G1168" i="8"/>
  <c r="G1176" i="8"/>
  <c r="G1180" i="8"/>
  <c r="G1192" i="8"/>
  <c r="G1196" i="8"/>
  <c r="G1200" i="8"/>
  <c r="G1208" i="8"/>
  <c r="G1212" i="8"/>
  <c r="G1224" i="8"/>
  <c r="G1228" i="8"/>
  <c r="G1232" i="8"/>
  <c r="G3489" i="8"/>
  <c r="G3487" i="8"/>
  <c r="G3485" i="8"/>
  <c r="G3481" i="8"/>
  <c r="G3477" i="8"/>
  <c r="G3484" i="8"/>
  <c r="G3480" i="8"/>
  <c r="G3476" i="8"/>
  <c r="G3483" i="8"/>
  <c r="G3479" i="8"/>
  <c r="G3482" i="8"/>
  <c r="G3486" i="8"/>
  <c r="G3478" i="8"/>
  <c r="G3463" i="8"/>
  <c r="G3461" i="8"/>
  <c r="G3459" i="8"/>
  <c r="G3457" i="8"/>
  <c r="G3455" i="8"/>
  <c r="G3453" i="8"/>
  <c r="G3451" i="8"/>
  <c r="G3449" i="8"/>
  <c r="G3447" i="8"/>
  <c r="G3445" i="8"/>
  <c r="G3443" i="8"/>
  <c r="G3441" i="8"/>
  <c r="G3439" i="8"/>
  <c r="G3437" i="8"/>
  <c r="G3435" i="8"/>
  <c r="G3433" i="8"/>
  <c r="G3431" i="8"/>
  <c r="G3429" i="8"/>
  <c r="G3427" i="8"/>
  <c r="G3425" i="8"/>
  <c r="G3423" i="8"/>
  <c r="G3421" i="8"/>
  <c r="G3419" i="8"/>
  <c r="G3417" i="8"/>
  <c r="G3456" i="8"/>
  <c r="G3448" i="8"/>
  <c r="G3440" i="8"/>
  <c r="G3432" i="8"/>
  <c r="G3424" i="8"/>
  <c r="G3416" i="8"/>
  <c r="G3414" i="8"/>
  <c r="G3475" i="8"/>
  <c r="G3473" i="8"/>
  <c r="G3471" i="8"/>
  <c r="G3469" i="8"/>
  <c r="G3467" i="8"/>
  <c r="G3465" i="8"/>
  <c r="G3458" i="8"/>
  <c r="G3450" i="8"/>
  <c r="G3442" i="8"/>
  <c r="G3434" i="8"/>
  <c r="G3460" i="8"/>
  <c r="G3452" i="8"/>
  <c r="G3444" i="8"/>
  <c r="G3436" i="8"/>
  <c r="G3428" i="8"/>
  <c r="G3420" i="8"/>
  <c r="G3415" i="8"/>
  <c r="G3413" i="8"/>
  <c r="G3411" i="8"/>
  <c r="G3409" i="8"/>
  <c r="G3407" i="8"/>
  <c r="G3405" i="8"/>
  <c r="G3403" i="8"/>
  <c r="G3401" i="8"/>
  <c r="G3399" i="8"/>
  <c r="G3397" i="8"/>
  <c r="G3395" i="8"/>
  <c r="G3393" i="8"/>
  <c r="G3391" i="8"/>
  <c r="G3389" i="8"/>
  <c r="G3387" i="8"/>
  <c r="G3385" i="8"/>
  <c r="G3383" i="8"/>
  <c r="G3381" i="8"/>
  <c r="G3379" i="8"/>
  <c r="G3377" i="8"/>
  <c r="G3375" i="8"/>
  <c r="G3373" i="8"/>
  <c r="G3371" i="8"/>
  <c r="G3369" i="8"/>
  <c r="G3367" i="8"/>
  <c r="G3365" i="8"/>
  <c r="G3363" i="8"/>
  <c r="G3361" i="8"/>
  <c r="G3359" i="8"/>
  <c r="G3357" i="8"/>
  <c r="G3355" i="8"/>
  <c r="G3353" i="8"/>
  <c r="G3351" i="8"/>
  <c r="G3349" i="8"/>
  <c r="G3347" i="8"/>
  <c r="G3345" i="8"/>
  <c r="G3343" i="8"/>
  <c r="G3341" i="8"/>
  <c r="G3339" i="8"/>
  <c r="G3337" i="8"/>
  <c r="G3335" i="8"/>
  <c r="G3333" i="8"/>
  <c r="G3331" i="8"/>
  <c r="G3329" i="8"/>
  <c r="G3327" i="8"/>
  <c r="G3325" i="8"/>
  <c r="G3323" i="8"/>
  <c r="G3321" i="8"/>
  <c r="G3319" i="8"/>
  <c r="G3317" i="8"/>
  <c r="G3315" i="8"/>
  <c r="G3313" i="8"/>
  <c r="G3311" i="8"/>
  <c r="G3309" i="8"/>
  <c r="G3307" i="8"/>
  <c r="G3305" i="8"/>
  <c r="G3303" i="8"/>
  <c r="G3301" i="8"/>
  <c r="G3299" i="8"/>
  <c r="G3297" i="8"/>
  <c r="G3295" i="8"/>
  <c r="G3293" i="8"/>
  <c r="G3291" i="8"/>
  <c r="G3289" i="8"/>
  <c r="G3287" i="8"/>
  <c r="G3285" i="8"/>
  <c r="G3283" i="8"/>
  <c r="G3281" i="8"/>
  <c r="G3279" i="8"/>
  <c r="G3474" i="8"/>
  <c r="G3472" i="8"/>
  <c r="G3470" i="8"/>
  <c r="G3468" i="8"/>
  <c r="G3466" i="8"/>
  <c r="G3464" i="8"/>
  <c r="G3462" i="8"/>
  <c r="G3454" i="8"/>
  <c r="G3446" i="8"/>
  <c r="G3438" i="8"/>
  <c r="G3430" i="8"/>
  <c r="G3422" i="8"/>
  <c r="G3418" i="8"/>
  <c r="G3406" i="8"/>
  <c r="G3398" i="8"/>
  <c r="G3390" i="8"/>
  <c r="G3382" i="8"/>
  <c r="G3374" i="8"/>
  <c r="G3366" i="8"/>
  <c r="G3358" i="8"/>
  <c r="G3350" i="8"/>
  <c r="G3342" i="8"/>
  <c r="G3334" i="8"/>
  <c r="G3326" i="8"/>
  <c r="G3318" i="8"/>
  <c r="G3310" i="8"/>
  <c r="G3302" i="8"/>
  <c r="G3294" i="8"/>
  <c r="G3286" i="8"/>
  <c r="G3296" i="8"/>
  <c r="G3280" i="8"/>
  <c r="G3356" i="8"/>
  <c r="G3308" i="8"/>
  <c r="G3284" i="8"/>
  <c r="G3408" i="8"/>
  <c r="G3400" i="8"/>
  <c r="G3392" i="8"/>
  <c r="G3384" i="8"/>
  <c r="G3376" i="8"/>
  <c r="G3368" i="8"/>
  <c r="G3360" i="8"/>
  <c r="G3352" i="8"/>
  <c r="G3344" i="8"/>
  <c r="G3336" i="8"/>
  <c r="G3328" i="8"/>
  <c r="G3320" i="8"/>
  <c r="G3312" i="8"/>
  <c r="G3304" i="8"/>
  <c r="G3288" i="8"/>
  <c r="G3372" i="8"/>
  <c r="G3348" i="8"/>
  <c r="G3332" i="8"/>
  <c r="G3316" i="8"/>
  <c r="G3300" i="8"/>
  <c r="G3410" i="8"/>
  <c r="G3402" i="8"/>
  <c r="G3394" i="8"/>
  <c r="G3386" i="8"/>
  <c r="G3378" i="8"/>
  <c r="G3370" i="8"/>
  <c r="G3362" i="8"/>
  <c r="G3354" i="8"/>
  <c r="G3346" i="8"/>
  <c r="G3338" i="8"/>
  <c r="G3330" i="8"/>
  <c r="G3322" i="8"/>
  <c r="G3314" i="8"/>
  <c r="G3306" i="8"/>
  <c r="G3298" i="8"/>
  <c r="G3290" i="8"/>
  <c r="G3282" i="8"/>
  <c r="G3396" i="8"/>
  <c r="G3380" i="8"/>
  <c r="G3340" i="8"/>
  <c r="G3324" i="8"/>
  <c r="G3292" i="8"/>
  <c r="G3426" i="8"/>
  <c r="G3412" i="8"/>
  <c r="G3404" i="8"/>
  <c r="G3388" i="8"/>
  <c r="G3364" i="8"/>
  <c r="G3264" i="8"/>
  <c r="G3276" i="8"/>
  <c r="G3272" i="8"/>
  <c r="G3268" i="8"/>
  <c r="G3275" i="8"/>
  <c r="G3271" i="8"/>
  <c r="G3267" i="8"/>
  <c r="G3277" i="8"/>
  <c r="G3273" i="8"/>
  <c r="G3269" i="8"/>
  <c r="G3265" i="8"/>
  <c r="G3278" i="8"/>
  <c r="G3274" i="8"/>
  <c r="G3270" i="8"/>
  <c r="G3266" i="8"/>
  <c r="G3240" i="8"/>
  <c r="G3229" i="8"/>
  <c r="G3245" i="8"/>
  <c r="G3235" i="8"/>
  <c r="G3237" i="8"/>
  <c r="G3234" i="8"/>
  <c r="G3238" i="8"/>
  <c r="G3233" i="8"/>
  <c r="G3236" i="8"/>
  <c r="G3244" i="8"/>
  <c r="F437" i="6"/>
  <c r="G3231" i="8"/>
  <c r="G3242" i="8"/>
  <c r="G3232" i="8"/>
  <c r="G3246" i="8"/>
  <c r="G3239" i="8"/>
  <c r="G3241" i="8"/>
  <c r="F425" i="6"/>
  <c r="F512" i="6"/>
  <c r="F500" i="6"/>
  <c r="F592" i="6"/>
  <c r="F470" i="6"/>
  <c r="F424" i="6"/>
  <c r="F455" i="6"/>
  <c r="F436" i="6"/>
  <c r="F456" i="6"/>
  <c r="F488" i="6"/>
  <c r="G3250" i="8"/>
  <c r="G3257" i="8"/>
  <c r="G3260" i="8"/>
  <c r="G3253" i="8"/>
  <c r="G3262" i="8"/>
  <c r="G3248" i="8"/>
  <c r="G3254" i="8"/>
  <c r="G3261" i="8"/>
  <c r="G3263" i="8"/>
  <c r="G3249" i="8"/>
  <c r="G3258" i="8"/>
  <c r="G3252" i="8"/>
  <c r="G3247" i="8"/>
  <c r="G3251" i="8"/>
  <c r="G3255" i="8"/>
  <c r="G3259" i="8"/>
  <c r="F108" i="6"/>
  <c r="H530" i="8"/>
  <c r="I530" i="8"/>
  <c r="I546" i="8"/>
  <c r="H451" i="8"/>
  <c r="I451" i="8"/>
  <c r="I1305" i="8"/>
  <c r="F540" i="6"/>
  <c r="H546" i="8"/>
  <c r="H600" i="8"/>
  <c r="I436" i="8"/>
  <c r="I392" i="8"/>
  <c r="H487" i="8"/>
  <c r="H417" i="8"/>
  <c r="I63" i="8"/>
  <c r="H167" i="8"/>
  <c r="I520" i="8"/>
  <c r="I400" i="8"/>
  <c r="I606" i="8"/>
  <c r="H465" i="8"/>
  <c r="I72" i="8"/>
  <c r="I544" i="8"/>
  <c r="I608" i="8"/>
  <c r="I647" i="8"/>
  <c r="H2841" i="8"/>
  <c r="H1690" i="8"/>
  <c r="H429" i="8"/>
  <c r="I429" i="8"/>
  <c r="H638" i="8"/>
  <c r="I638" i="8"/>
  <c r="I611" i="8"/>
  <c r="H1342" i="8"/>
  <c r="I65" i="8"/>
  <c r="H65" i="8"/>
  <c r="H483" i="8"/>
  <c r="I397" i="8"/>
  <c r="H397" i="8"/>
  <c r="I756" i="8"/>
  <c r="H69" i="8"/>
  <c r="I69" i="8"/>
  <c r="I549" i="8"/>
  <c r="H687" i="8"/>
  <c r="H607" i="8"/>
  <c r="I607" i="8"/>
  <c r="H552" i="8"/>
  <c r="I552" i="8"/>
  <c r="I1530" i="8"/>
  <c r="H1530" i="8"/>
  <c r="H670" i="8"/>
  <c r="I670" i="8"/>
  <c r="H678" i="8"/>
  <c r="I678" i="8"/>
  <c r="H654" i="8"/>
  <c r="I654" i="8"/>
  <c r="H738" i="8"/>
  <c r="H58" i="8"/>
  <c r="I58" i="8"/>
  <c r="I772" i="8"/>
  <c r="I554" i="8"/>
  <c r="H554" i="8"/>
  <c r="I2849" i="8"/>
  <c r="H401" i="8"/>
  <c r="H402" i="8"/>
  <c r="I402" i="8"/>
  <c r="I538" i="8"/>
  <c r="H538" i="8"/>
  <c r="I478" i="8"/>
  <c r="H478" i="8"/>
  <c r="H622" i="8"/>
  <c r="I622" i="8"/>
  <c r="I598" i="8"/>
  <c r="H598" i="8"/>
  <c r="I614" i="8"/>
  <c r="H614" i="8"/>
  <c r="H686" i="8"/>
  <c r="I686" i="8"/>
  <c r="H702" i="8"/>
  <c r="I702" i="8"/>
  <c r="I68" i="8"/>
  <c r="H68" i="8"/>
  <c r="I694" i="8"/>
  <c r="H694" i="8"/>
  <c r="H486" i="8"/>
  <c r="I486" i="8"/>
  <c r="H672" i="8"/>
  <c r="I672" i="8"/>
  <c r="H394" i="8"/>
  <c r="I394" i="8"/>
  <c r="H426" i="8"/>
  <c r="I426" i="8"/>
  <c r="I704" i="8"/>
  <c r="H704" i="8"/>
  <c r="I656" i="8"/>
  <c r="H656" i="8"/>
  <c r="I442" i="8"/>
  <c r="H442" i="8"/>
  <c r="H434" i="8"/>
  <c r="I434" i="8"/>
  <c r="H595" i="8"/>
  <c r="I428" i="8"/>
  <c r="H428" i="8"/>
  <c r="H138" i="8"/>
  <c r="I138" i="8"/>
  <c r="I449" i="8"/>
  <c r="H449" i="8"/>
  <c r="H457" i="8"/>
  <c r="I457" i="8"/>
  <c r="H59" i="8"/>
  <c r="I59" i="8"/>
  <c r="I170" i="8"/>
  <c r="H170" i="8"/>
  <c r="H467" i="8"/>
  <c r="H168" i="8"/>
  <c r="I168" i="8"/>
  <c r="I67" i="8"/>
  <c r="H67" i="8"/>
  <c r="I459" i="8"/>
  <c r="H459" i="8"/>
  <c r="I1008" i="8"/>
  <c r="I998" i="8"/>
  <c r="I395" i="8"/>
  <c r="H395" i="8"/>
  <c r="H526" i="8"/>
  <c r="H403" i="8"/>
  <c r="I403" i="8"/>
  <c r="I542" i="8"/>
  <c r="H1305" i="8"/>
  <c r="I504" i="8"/>
  <c r="H504" i="8"/>
  <c r="I491" i="8"/>
  <c r="H480" i="8"/>
  <c r="I480" i="8"/>
  <c r="H141" i="8"/>
  <c r="I141" i="8"/>
  <c r="H623" i="8"/>
  <c r="I500" i="8"/>
  <c r="H612" i="8"/>
  <c r="I474" i="8"/>
  <c r="H474" i="8"/>
  <c r="H1682" i="8"/>
  <c r="I453" i="8"/>
  <c r="H453" i="8"/>
  <c r="H1650" i="8"/>
  <c r="I61" i="8"/>
  <c r="H61" i="8"/>
  <c r="I461" i="8"/>
  <c r="H461" i="8"/>
  <c r="I479" i="8"/>
  <c r="H479" i="8"/>
  <c r="I782" i="8"/>
  <c r="H782" i="8"/>
  <c r="I390" i="8"/>
  <c r="H390" i="8"/>
  <c r="I468" i="8"/>
  <c r="H468" i="8"/>
  <c r="H659" i="8"/>
  <c r="H71" i="8"/>
  <c r="I71" i="8"/>
  <c r="H1539" i="8"/>
  <c r="H1401" i="8"/>
  <c r="I590" i="8"/>
  <c r="I630" i="8"/>
  <c r="H630" i="8"/>
  <c r="I1658" i="8"/>
  <c r="I746" i="8"/>
  <c r="H455" i="8"/>
  <c r="I688" i="8"/>
  <c r="H688" i="8"/>
  <c r="H389" i="8"/>
  <c r="I389" i="8"/>
  <c r="H744" i="8"/>
  <c r="I438" i="8"/>
  <c r="H1032" i="8"/>
  <c r="I560" i="8"/>
  <c r="H400" i="8"/>
  <c r="H409" i="8"/>
  <c r="H438" i="8"/>
  <c r="H408" i="8"/>
  <c r="I167" i="8"/>
  <c r="I408" i="8"/>
  <c r="I465" i="8"/>
  <c r="H662" i="8"/>
  <c r="H560" i="8"/>
  <c r="I662" i="8"/>
  <c r="I646" i="8"/>
  <c r="H646" i="8"/>
  <c r="H606" i="8"/>
  <c r="H520" i="8"/>
  <c r="I417" i="8"/>
  <c r="H392" i="8"/>
  <c r="H63" i="8"/>
  <c r="I487" i="8"/>
  <c r="I600" i="8"/>
  <c r="I599" i="8"/>
  <c r="H814" i="8"/>
  <c r="I814" i="8"/>
  <c r="I1024" i="8"/>
  <c r="H544" i="8"/>
  <c r="H768" i="8"/>
  <c r="H710" i="8"/>
  <c r="I710" i="8"/>
  <c r="H608" i="8"/>
  <c r="I424" i="8"/>
  <c r="I411" i="8"/>
  <c r="H66" i="8"/>
  <c r="I66" i="8"/>
  <c r="I842" i="8"/>
  <c r="H604" i="8"/>
  <c r="H444" i="8"/>
  <c r="I388" i="8"/>
  <c r="H388" i="8"/>
  <c r="I294" i="8"/>
  <c r="H294" i="8"/>
  <c r="H446" i="8"/>
  <c r="I446" i="8"/>
  <c r="I430" i="8"/>
  <c r="H406" i="8"/>
  <c r="I406" i="8"/>
  <c r="H798" i="8"/>
  <c r="I798" i="8"/>
  <c r="I806" i="8"/>
  <c r="H806" i="8"/>
  <c r="H76" i="8"/>
  <c r="I76" i="8"/>
  <c r="H790" i="8"/>
  <c r="I790" i="8"/>
  <c r="H422" i="8"/>
  <c r="I422" i="8"/>
  <c r="I140" i="8"/>
  <c r="G296" i="8" l="1"/>
  <c r="G291" i="8"/>
  <c r="G290" i="8"/>
  <c r="G297" i="8"/>
  <c r="G3491" i="8"/>
  <c r="G2707" i="8"/>
  <c r="G925" i="8"/>
  <c r="G339" i="8"/>
  <c r="G289" i="8"/>
  <c r="G256" i="8"/>
  <c r="G104" i="8"/>
  <c r="G6" i="8"/>
  <c r="G2706" i="8"/>
  <c r="G924" i="8"/>
  <c r="G338" i="8"/>
  <c r="G288" i="8"/>
  <c r="G254" i="8"/>
  <c r="G49" i="8"/>
  <c r="G1378" i="8"/>
  <c r="G356" i="8"/>
  <c r="G337" i="8"/>
  <c r="G286" i="8"/>
  <c r="G251" i="8"/>
  <c r="G30" i="8"/>
  <c r="G262" i="8"/>
  <c r="G349" i="8"/>
  <c r="G108" i="8"/>
  <c r="G3490" i="8"/>
  <c r="G1106" i="8"/>
  <c r="G354" i="8"/>
  <c r="G335" i="8"/>
  <c r="G285" i="8"/>
  <c r="G250" i="8"/>
  <c r="G14" i="8"/>
  <c r="G1070" i="8"/>
  <c r="G266" i="8"/>
  <c r="G9" i="8"/>
  <c r="G3243" i="8"/>
  <c r="G350" i="8"/>
  <c r="G8" i="8"/>
  <c r="G3132" i="8"/>
  <c r="G320" i="8"/>
  <c r="G7" i="8"/>
  <c r="G3488" i="8"/>
  <c r="G1082" i="8"/>
  <c r="G353" i="8"/>
  <c r="G334" i="8"/>
  <c r="G284" i="8"/>
  <c r="G176" i="8"/>
  <c r="G13" i="8"/>
  <c r="G3256" i="8"/>
  <c r="G352" i="8"/>
  <c r="G323" i="8"/>
  <c r="G172" i="8"/>
  <c r="G936" i="8"/>
  <c r="G322" i="8"/>
  <c r="G149" i="8"/>
  <c r="G934" i="8"/>
  <c r="G258" i="8"/>
  <c r="I409" i="8"/>
  <c r="I1385" i="8"/>
  <c r="H700" i="8"/>
  <c r="I526" i="8"/>
  <c r="I1698" i="8"/>
  <c r="I393" i="8"/>
  <c r="I589" i="8"/>
  <c r="H1024" i="8"/>
  <c r="H433" i="8"/>
  <c r="I700" i="8"/>
  <c r="H393" i="8"/>
  <c r="H589" i="8"/>
  <c r="I433" i="8"/>
  <c r="I612" i="8"/>
  <c r="H1730" i="8"/>
  <c r="H502" i="8"/>
  <c r="I534" i="8"/>
  <c r="I1494" i="8"/>
  <c r="I604" i="8"/>
  <c r="I64" i="8"/>
  <c r="H491" i="8"/>
  <c r="H542" i="8"/>
  <c r="H998" i="8"/>
  <c r="I137" i="8"/>
  <c r="I401" i="8"/>
  <c r="I483" i="8"/>
  <c r="H1104" i="8"/>
  <c r="H64" i="8"/>
  <c r="H534" i="8"/>
  <c r="I502" i="8"/>
  <c r="I1032" i="8"/>
  <c r="I558" i="8"/>
  <c r="H137" i="8"/>
  <c r="I1104" i="8"/>
  <c r="H842" i="8"/>
  <c r="H72" i="8"/>
  <c r="I1634" i="8"/>
  <c r="I1479" i="8"/>
  <c r="H1101" i="8"/>
  <c r="H558" i="8"/>
  <c r="H1008" i="8"/>
  <c r="H1525" i="8"/>
  <c r="H140" i="8"/>
  <c r="I444" i="8"/>
  <c r="H411" i="8"/>
  <c r="I663" i="8"/>
  <c r="H436" i="8"/>
  <c r="I703" i="8"/>
  <c r="H724" i="8"/>
  <c r="I732" i="8"/>
  <c r="I467" i="8"/>
  <c r="H639" i="8"/>
  <c r="H760" i="8"/>
  <c r="H703" i="8"/>
  <c r="I724" i="8"/>
  <c r="I687" i="8"/>
  <c r="H647" i="8"/>
  <c r="I752" i="8"/>
  <c r="H746" i="8"/>
  <c r="I623" i="8"/>
  <c r="I760" i="8"/>
  <c r="I631" i="8"/>
  <c r="I768" i="8"/>
  <c r="H599" i="8"/>
  <c r="I781" i="8"/>
  <c r="H711" i="8"/>
  <c r="H631" i="8"/>
  <c r="H695" i="8"/>
  <c r="H781" i="8"/>
  <c r="I711" i="8"/>
  <c r="I695" i="8"/>
  <c r="I671" i="8"/>
  <c r="H671" i="8"/>
  <c r="H663" i="8"/>
  <c r="H752" i="8"/>
  <c r="H732" i="8"/>
  <c r="I639" i="8"/>
  <c r="I840" i="8"/>
  <c r="I812" i="8"/>
  <c r="H399" i="8"/>
  <c r="H556" i="8"/>
  <c r="H423" i="8"/>
  <c r="F501" i="6"/>
  <c r="I295" i="8"/>
  <c r="H391" i="8"/>
  <c r="H295" i="8"/>
  <c r="I391" i="8"/>
  <c r="H524" i="8"/>
  <c r="H682" i="8"/>
  <c r="I418" i="8"/>
  <c r="I407" i="8"/>
  <c r="H431" i="8"/>
  <c r="H418" i="8"/>
  <c r="H462" i="8"/>
  <c r="H784" i="8"/>
  <c r="I682" i="8"/>
  <c r="H808" i="8"/>
  <c r="I1014" i="8"/>
  <c r="H602" i="8"/>
  <c r="I548" i="8"/>
  <c r="H447" i="8"/>
  <c r="I618" i="8"/>
  <c r="I610" i="8"/>
  <c r="H666" i="8"/>
  <c r="H540" i="8"/>
  <c r="I447" i="8"/>
  <c r="H1200" i="8"/>
  <c r="H618" i="8"/>
  <c r="H674" i="8"/>
  <c r="I594" i="8"/>
  <c r="I556" i="8"/>
  <c r="H440" i="8"/>
  <c r="H764" i="8"/>
  <c r="I801" i="8"/>
  <c r="I683" i="8"/>
  <c r="H533" i="8"/>
  <c r="H549" i="8"/>
  <c r="I541" i="8"/>
  <c r="I785" i="8"/>
  <c r="H683" i="8"/>
  <c r="I533" i="8"/>
  <c r="H432" i="8"/>
  <c r="I463" i="8"/>
  <c r="H785" i="8"/>
  <c r="H643" i="8"/>
  <c r="H707" i="8"/>
  <c r="H2674" i="8"/>
  <c r="H557" i="8"/>
  <c r="H772" i="8"/>
  <c r="H756" i="8"/>
  <c r="H611" i="8"/>
  <c r="H541" i="8"/>
  <c r="I432" i="8"/>
  <c r="H1398" i="8"/>
  <c r="I764" i="8"/>
  <c r="H801" i="8"/>
  <c r="I471" i="8"/>
  <c r="H463" i="8"/>
  <c r="H675" i="8"/>
  <c r="I643" i="8"/>
  <c r="I707" i="8"/>
  <c r="I525" i="8"/>
  <c r="I675" i="8"/>
  <c r="H793" i="8"/>
  <c r="H809" i="8"/>
  <c r="I735" i="8"/>
  <c r="I817" i="8"/>
  <c r="H424" i="8"/>
  <c r="I793" i="8"/>
  <c r="I809" i="8"/>
  <c r="H735" i="8"/>
  <c r="H817" i="8"/>
  <c r="H471" i="8"/>
  <c r="H525" i="8"/>
  <c r="I440" i="8"/>
  <c r="I455" i="8"/>
  <c r="I659" i="8"/>
  <c r="I1101" i="8"/>
  <c r="I595" i="8"/>
  <c r="I557" i="8"/>
  <c r="H430" i="8"/>
  <c r="I1026" i="8"/>
  <c r="I431" i="8"/>
  <c r="I734" i="8"/>
  <c r="H610" i="8"/>
  <c r="H650" i="8"/>
  <c r="H727" i="8"/>
  <c r="I423" i="8"/>
  <c r="I602" i="8"/>
  <c r="I650" i="8"/>
  <c r="H1090" i="8"/>
  <c r="H642" i="8"/>
  <c r="H626" i="8"/>
  <c r="I634" i="8"/>
  <c r="H548" i="8"/>
  <c r="H407" i="8"/>
  <c r="I642" i="8"/>
  <c r="H698" i="8"/>
  <c r="H734" i="8"/>
  <c r="I727" i="8"/>
  <c r="I698" i="8"/>
  <c r="I1405" i="8"/>
  <c r="I626" i="8"/>
  <c r="H634" i="8"/>
  <c r="I674" i="8"/>
  <c r="I666" i="8"/>
  <c r="I524" i="8"/>
  <c r="H594" i="8"/>
  <c r="I540" i="8"/>
  <c r="I399" i="8"/>
  <c r="I462" i="8"/>
  <c r="I808" i="8"/>
  <c r="I1200" i="8"/>
  <c r="H840" i="8"/>
  <c r="I1539" i="8"/>
  <c r="H1014" i="8"/>
  <c r="I1090" i="8"/>
  <c r="I738" i="8"/>
  <c r="H1754" i="8"/>
  <c r="F1618" i="8"/>
  <c r="H1026" i="8"/>
  <c r="H812" i="8"/>
  <c r="I784" i="8"/>
  <c r="F731" i="8"/>
  <c r="I731" i="8"/>
  <c r="H1666" i="8"/>
  <c r="I1746" i="8"/>
  <c r="H1405" i="8"/>
  <c r="I1722" i="8"/>
  <c r="I1401" i="8"/>
  <c r="I1560" i="8"/>
  <c r="I1342" i="8"/>
  <c r="H1632" i="8"/>
  <c r="I1329" i="8"/>
  <c r="I1706" i="8"/>
  <c r="F744" i="8"/>
  <c r="I744" i="8"/>
  <c r="F590" i="8"/>
  <c r="H590" i="8"/>
  <c r="F500" i="8"/>
  <c r="H500" i="8"/>
  <c r="H1658" i="8"/>
  <c r="H1494" i="8"/>
  <c r="H1479" i="8"/>
  <c r="H1385" i="8"/>
  <c r="I1730" i="8"/>
  <c r="I1642" i="8"/>
  <c r="I1525" i="8"/>
  <c r="I1666" i="8"/>
  <c r="H1698" i="8"/>
  <c r="H1706" i="8"/>
  <c r="I1690" i="8"/>
  <c r="H1634" i="8"/>
  <c r="I1762" i="8"/>
  <c r="I1650" i="8"/>
  <c r="I1682" i="8"/>
  <c r="H1722" i="8"/>
  <c r="H1509" i="8"/>
  <c r="I1509" i="8"/>
  <c r="I1640" i="8"/>
  <c r="I1672" i="8"/>
  <c r="H1560" i="8"/>
  <c r="H1640" i="8"/>
  <c r="I1728" i="8"/>
  <c r="I1680" i="8"/>
  <c r="H1762" i="8"/>
  <c r="H1746" i="8"/>
  <c r="I1770" i="8"/>
  <c r="I1754" i="8"/>
  <c r="I1738" i="8"/>
  <c r="H1738" i="8"/>
  <c r="H1786" i="8"/>
  <c r="H1802" i="8"/>
  <c r="I1957" i="8"/>
  <c r="I1967" i="8"/>
  <c r="H1704" i="8"/>
  <c r="I1794" i="8"/>
  <c r="I2341" i="8"/>
  <c r="H2316" i="8"/>
  <c r="H1810" i="8"/>
  <c r="H1822" i="8"/>
  <c r="I1981" i="8"/>
  <c r="H1794" i="8"/>
  <c r="I1786" i="8"/>
  <c r="H1778" i="8"/>
  <c r="H1910" i="8"/>
  <c r="H1770" i="8"/>
  <c r="H1672" i="8"/>
  <c r="H1728" i="8"/>
  <c r="I1914" i="8"/>
  <c r="I1704" i="8"/>
  <c r="I2777" i="8"/>
  <c r="I1688" i="8"/>
  <c r="H1664" i="8"/>
  <c r="I1664" i="8"/>
  <c r="I1648" i="8"/>
  <c r="I2349" i="8"/>
  <c r="H1967" i="8"/>
  <c r="I2241" i="8"/>
  <c r="I1822" i="8"/>
  <c r="H1826" i="8"/>
  <c r="I1632" i="8"/>
  <c r="H1648" i="8"/>
  <c r="I2809" i="8"/>
  <c r="F1973" i="8"/>
  <c r="F1877" i="8"/>
  <c r="H2349" i="8"/>
  <c r="I2186" i="8"/>
  <c r="I1744" i="8"/>
  <c r="H1925" i="8"/>
  <c r="H1965" i="8"/>
  <c r="I2545" i="8"/>
  <c r="H1680" i="8"/>
  <c r="H2341" i="8"/>
  <c r="H1744" i="8"/>
  <c r="I1937" i="8"/>
  <c r="H1688" i="8"/>
  <c r="I3440" i="8"/>
  <c r="I3139" i="8"/>
  <c r="H2241" i="8"/>
  <c r="H1914" i="8"/>
  <c r="I2316" i="8"/>
  <c r="I1910" i="8"/>
  <c r="H1937" i="8"/>
  <c r="I1925" i="8"/>
  <c r="I1778" i="8"/>
  <c r="I1810" i="8"/>
  <c r="I1826" i="8"/>
  <c r="I1802" i="8"/>
  <c r="H1957" i="8"/>
  <c r="H3139" i="8"/>
  <c r="I3470" i="8"/>
  <c r="H2964" i="8"/>
  <c r="I2222" i="8"/>
  <c r="H2004" i="8"/>
  <c r="I1927" i="8"/>
  <c r="I1741" i="8"/>
  <c r="I1442" i="8"/>
  <c r="H1004" i="8"/>
  <c r="H2303" i="8"/>
  <c r="I2266" i="8"/>
  <c r="H2460" i="8"/>
  <c r="I2178" i="8"/>
  <c r="H2130" i="8"/>
  <c r="I2114" i="8"/>
  <c r="H2231" i="8"/>
  <c r="I2303" i="8"/>
  <c r="H2186" i="8"/>
  <c r="I2130" i="8"/>
  <c r="I1965" i="8"/>
  <c r="H2266" i="8"/>
  <c r="H2178" i="8"/>
  <c r="H2114" i="8"/>
  <c r="I2231" i="8"/>
  <c r="H1981" i="8"/>
  <c r="I1989" i="8"/>
  <c r="H1989" i="8"/>
  <c r="H2531" i="8"/>
  <c r="H2786" i="8"/>
  <c r="F2841" i="8"/>
  <c r="I2841" i="8"/>
  <c r="H2845" i="8"/>
  <c r="H2919" i="8"/>
  <c r="I2531" i="8"/>
  <c r="I2786" i="8"/>
  <c r="H3176" i="8"/>
  <c r="I2941" i="8"/>
  <c r="I3176" i="8"/>
  <c r="I2845" i="8"/>
  <c r="H2849" i="8"/>
  <c r="I2925" i="8"/>
  <c r="H2925" i="8"/>
  <c r="H2941" i="8"/>
  <c r="F301" i="6"/>
  <c r="H2777" i="8"/>
  <c r="H3445" i="8"/>
  <c r="I3277" i="8"/>
  <c r="F2987" i="8"/>
  <c r="I2987" i="8"/>
  <c r="F2799" i="8"/>
  <c r="I2799" i="8"/>
  <c r="F2795" i="8"/>
  <c r="H2795" i="8"/>
  <c r="F2769" i="8"/>
  <c r="H2769" i="8"/>
  <c r="I2801" i="8"/>
  <c r="I2793" i="8"/>
  <c r="H3440" i="8"/>
  <c r="I2460" i="8"/>
  <c r="I1398" i="8"/>
  <c r="I2674" i="8"/>
  <c r="F2956" i="8"/>
  <c r="I2956" i="8"/>
  <c r="H2972" i="8"/>
  <c r="I3134" i="8"/>
  <c r="H3134" i="8"/>
  <c r="F270" i="6"/>
  <c r="G3201" i="8"/>
  <c r="G3152" i="8"/>
  <c r="G3150" i="8"/>
  <c r="G3128" i="8"/>
  <c r="G2861" i="8"/>
  <c r="G2944" i="8"/>
  <c r="G2957" i="8"/>
  <c r="G2968" i="8"/>
  <c r="G2727" i="8"/>
  <c r="G3096" i="8"/>
  <c r="G2786" i="8"/>
  <c r="G3077" i="8"/>
  <c r="G3017" i="8"/>
  <c r="G2741" i="8"/>
  <c r="G2942" i="8"/>
  <c r="G2736" i="8"/>
  <c r="G2955" i="8"/>
  <c r="G2656" i="8"/>
  <c r="G2662" i="8"/>
  <c r="G2622" i="8"/>
  <c r="G2494" i="8"/>
  <c r="G1365" i="8"/>
  <c r="G2393" i="8"/>
  <c r="G2358" i="8"/>
  <c r="G2218" i="8"/>
  <c r="G2543" i="8"/>
  <c r="G2469" i="8"/>
  <c r="G2596" i="8"/>
  <c r="G2545" i="8"/>
  <c r="G2444" i="8"/>
  <c r="G2315" i="8"/>
  <c r="G2241" i="8"/>
  <c r="G2072" i="8"/>
  <c r="G1948" i="8"/>
  <c r="G2345" i="8"/>
  <c r="G2115" i="8"/>
  <c r="G2003" i="8"/>
  <c r="G2396" i="8"/>
  <c r="G2335" i="8"/>
  <c r="G2325" i="8"/>
  <c r="G2066" i="8"/>
  <c r="G1925" i="8"/>
  <c r="G1969" i="8"/>
  <c r="F61" i="7"/>
  <c r="G3161" i="8"/>
  <c r="G3174" i="8"/>
  <c r="G3225" i="8"/>
  <c r="G3125" i="8"/>
  <c r="G2937" i="8"/>
  <c r="G3029" i="8"/>
  <c r="G3038" i="8"/>
  <c r="G2853" i="8"/>
  <c r="G2816" i="8"/>
  <c r="G3006" i="8"/>
  <c r="G3052" i="8"/>
  <c r="G2802" i="8"/>
  <c r="G2845" i="8"/>
  <c r="G3093" i="8"/>
  <c r="G2789" i="8"/>
  <c r="G3056" i="8"/>
  <c r="G2856" i="8"/>
  <c r="G3007" i="8"/>
  <c r="G2710" i="8"/>
  <c r="G2676" i="8"/>
  <c r="G2670" i="8"/>
  <c r="G2629" i="8"/>
  <c r="G2554" i="8"/>
  <c r="G2446" i="8"/>
  <c r="G2599" i="8"/>
  <c r="G2612" i="8"/>
  <c r="G2346" i="8"/>
  <c r="G2222" i="8"/>
  <c r="G2607" i="8"/>
  <c r="G2588" i="8"/>
  <c r="G2519" i="8"/>
  <c r="G2459" i="8"/>
  <c r="G2440" i="8"/>
  <c r="G2361" i="8"/>
  <c r="G2260" i="8"/>
  <c r="G2255" i="8"/>
  <c r="G2084" i="8"/>
  <c r="G1988" i="8"/>
  <c r="G2236" i="8"/>
  <c r="G2217" i="8"/>
  <c r="G2071" i="8"/>
  <c r="G1975" i="8"/>
  <c r="G2389" i="8"/>
  <c r="G2344" i="8"/>
  <c r="F2569" i="8"/>
  <c r="I2569" i="8"/>
  <c r="H2553" i="8"/>
  <c r="G8119" i="5"/>
  <c r="G7555" i="5"/>
  <c r="G7122" i="5"/>
  <c r="G6990" i="5"/>
  <c r="G6970" i="5"/>
  <c r="G6882" i="5"/>
  <c r="G6722" i="5"/>
  <c r="G6650" i="5"/>
  <c r="G6550" i="5"/>
  <c r="G6450" i="5"/>
  <c r="G6399" i="5"/>
  <c r="G6069" i="5"/>
  <c r="G5921" i="5"/>
  <c r="G5697" i="5"/>
  <c r="G5665" i="5"/>
  <c r="G5633" i="5"/>
  <c r="G5367" i="5"/>
  <c r="G5354" i="5"/>
  <c r="G5239" i="5"/>
  <c r="G5194" i="5"/>
  <c r="G5041" i="5"/>
  <c r="G4679" i="5"/>
  <c r="G4416" i="5"/>
  <c r="G4283" i="5"/>
  <c r="G4181" i="5"/>
  <c r="G4074" i="5"/>
  <c r="G3957" i="5"/>
  <c r="G3662" i="5"/>
  <c r="G3618" i="5"/>
  <c r="G3376" i="5"/>
  <c r="G3341" i="5"/>
  <c r="G3266" i="5"/>
  <c r="G3202" i="5"/>
  <c r="G3132" i="5"/>
  <c r="G2719" i="5"/>
  <c r="G2439" i="5"/>
  <c r="G2419" i="5"/>
  <c r="G1962" i="5"/>
  <c r="G1246" i="5"/>
  <c r="G1187" i="5"/>
  <c r="G1099" i="5"/>
  <c r="G954" i="5"/>
  <c r="G7947" i="5"/>
  <c r="G7879" i="5"/>
  <c r="G7847" i="5"/>
  <c r="G7763" i="5"/>
  <c r="G7683" i="5"/>
  <c r="G7651" i="5"/>
  <c r="G7619" i="5"/>
  <c r="G7467" i="5"/>
  <c r="G7062" i="5"/>
  <c r="G6878" i="5"/>
  <c r="G6718" i="5"/>
  <c r="G6714" i="5"/>
  <c r="G6542" i="5"/>
  <c r="G6357" i="5"/>
  <c r="G6309" i="5"/>
  <c r="G6145" i="5"/>
  <c r="G6101" i="5"/>
  <c r="G6085" i="5"/>
  <c r="G5985" i="5"/>
  <c r="G5937" i="5"/>
  <c r="G5825" i="5"/>
  <c r="G5809" i="5"/>
  <c r="G5777" i="5"/>
  <c r="G5575" i="5"/>
  <c r="G8095" i="5"/>
  <c r="G8071" i="5"/>
  <c r="G7106" i="5"/>
  <c r="G6962" i="5"/>
  <c r="G6730" i="5"/>
  <c r="G6626" i="5"/>
  <c r="G6562" i="5"/>
  <c r="G120" i="6"/>
  <c r="G8175" i="5"/>
  <c r="G7971" i="5"/>
  <c r="G7955" i="5"/>
  <c r="G7871" i="5"/>
  <c r="G7755" i="5"/>
  <c r="G7723" i="5"/>
  <c r="G7707" i="5"/>
  <c r="G7675" i="5"/>
  <c r="G7643" i="5"/>
  <c r="G8103" i="5"/>
  <c r="G7603" i="5"/>
  <c r="G7090" i="5"/>
  <c r="G7010" i="5"/>
  <c r="G6814" i="5"/>
  <c r="G6686" i="5"/>
  <c r="G6582" i="5"/>
  <c r="G6558" i="5"/>
  <c r="G3189" i="8"/>
  <c r="G3193" i="8"/>
  <c r="G3153" i="8"/>
  <c r="G3195" i="8"/>
  <c r="G3186" i="8"/>
  <c r="G3124" i="8"/>
  <c r="G2927" i="8"/>
  <c r="G3043" i="8"/>
  <c r="G2830" i="8"/>
  <c r="G2929" i="8"/>
  <c r="G2993" i="8"/>
  <c r="G2767" i="8"/>
  <c r="G2928" i="8"/>
  <c r="G3118" i="8"/>
  <c r="G2798" i="8"/>
  <c r="G2888" i="8"/>
  <c r="G2869" i="8"/>
  <c r="G2907" i="8"/>
  <c r="G2737" i="8"/>
  <c r="G3042" i="8"/>
  <c r="G2784" i="8"/>
  <c r="G2969" i="8"/>
  <c r="G2709" i="8"/>
  <c r="G2691" i="8"/>
  <c r="G2655" i="8"/>
  <c r="G2673" i="8"/>
  <c r="G2606" i="8"/>
  <c r="G2502" i="8"/>
  <c r="G2406" i="8"/>
  <c r="G2567" i="8"/>
  <c r="G2580" i="8"/>
  <c r="G2354" i="8"/>
  <c r="G2258" i="8"/>
  <c r="G2162" i="8"/>
  <c r="G2447" i="8"/>
  <c r="G2460" i="8"/>
  <c r="G2423" i="8"/>
  <c r="G2427" i="8"/>
  <c r="G2431" i="8"/>
  <c r="G2421" i="8"/>
  <c r="G2365" i="8"/>
  <c r="G2369" i="8"/>
  <c r="G8171" i="5"/>
  <c r="G8155" i="5"/>
  <c r="G7591" i="5"/>
  <c r="G7323" i="5"/>
  <c r="G7308" i="5"/>
  <c r="G7260" i="5"/>
  <c r="G7134" i="5"/>
  <c r="G7058" i="5"/>
  <c r="G6966" i="5"/>
  <c r="G6910" i="5"/>
  <c r="G6778" i="5"/>
  <c r="G6618" i="5"/>
  <c r="G6602" i="5"/>
  <c r="G6473" i="5"/>
  <c r="G6438" i="5"/>
  <c r="F511" i="6"/>
  <c r="G5869" i="5"/>
  <c r="G5805" i="5"/>
  <c r="G5611" i="5"/>
  <c r="G5563" i="5"/>
  <c r="G8027" i="5"/>
  <c r="G7783" i="5"/>
  <c r="G7587" i="5"/>
  <c r="G7571" i="5"/>
  <c r="G7276" i="5"/>
  <c r="G7256" i="5"/>
  <c r="G6906" i="5"/>
  <c r="G6866" i="5"/>
  <c r="G6734" i="5"/>
  <c r="G6710" i="5"/>
  <c r="G6678" i="5"/>
  <c r="G6514" i="5"/>
  <c r="G5881" i="5"/>
  <c r="G5865" i="5"/>
  <c r="G5801" i="5"/>
  <c r="G5621" i="5"/>
  <c r="G5400" i="5"/>
  <c r="G5310" i="5"/>
  <c r="G5126" i="5"/>
  <c r="G4748" i="5"/>
  <c r="G3230" i="8"/>
  <c r="G1216" i="8"/>
  <c r="G1184" i="8"/>
  <c r="G1152" i="8"/>
  <c r="G1120" i="8"/>
  <c r="G1088" i="8"/>
  <c r="G1056" i="8"/>
  <c r="G1024" i="8"/>
  <c r="G1227" i="8"/>
  <c r="G1195" i="8"/>
  <c r="G1163" i="8"/>
  <c r="G1131" i="8"/>
  <c r="G1099" i="8"/>
  <c r="G1067" i="8"/>
  <c r="G1035" i="8"/>
  <c r="G1238" i="8"/>
  <c r="G1206" i="8"/>
  <c r="G1174" i="8"/>
  <c r="G1142" i="8"/>
  <c r="G1110" i="8"/>
  <c r="G1078" i="8"/>
  <c r="G1046" i="8"/>
  <c r="G1014" i="8"/>
  <c r="G1217" i="8"/>
  <c r="G1185" i="8"/>
  <c r="G1153" i="8"/>
  <c r="G1121" i="8"/>
  <c r="G1089" i="8"/>
  <c r="G1057" i="8"/>
  <c r="G1025" i="8"/>
  <c r="G993" i="8"/>
  <c r="G977" i="8"/>
  <c r="G961" i="8"/>
  <c r="G945" i="8"/>
  <c r="G929" i="8"/>
  <c r="G913" i="8"/>
  <c r="G897" i="8"/>
  <c r="G881" i="8"/>
  <c r="G865" i="8"/>
  <c r="G849" i="8"/>
  <c r="G833" i="8"/>
  <c r="G817" i="8"/>
  <c r="G801" i="8"/>
  <c r="G785" i="8"/>
  <c r="G769" i="8"/>
  <c r="G753" i="8"/>
  <c r="G737" i="8"/>
  <c r="G721" i="8"/>
  <c r="G705" i="8"/>
  <c r="G689" i="8"/>
  <c r="G673" i="8"/>
  <c r="G657" i="8"/>
  <c r="G629" i="8"/>
  <c r="G597" i="8"/>
  <c r="G654" i="8"/>
  <c r="G620" i="8"/>
  <c r="G588" i="8"/>
  <c r="G1006" i="8"/>
  <c r="G990" i="8"/>
  <c r="G974" i="8"/>
  <c r="G958" i="8"/>
  <c r="G942" i="8"/>
  <c r="G926" i="8"/>
  <c r="G910" i="8"/>
  <c r="G894" i="8"/>
  <c r="G878" i="8"/>
  <c r="G862" i="8"/>
  <c r="G846" i="8"/>
  <c r="G830" i="8"/>
  <c r="G814" i="8"/>
  <c r="G798" i="8"/>
  <c r="G782" i="8"/>
  <c r="G766" i="8"/>
  <c r="G750" i="8"/>
  <c r="G734" i="8"/>
  <c r="G718" i="8"/>
  <c r="G702" i="8"/>
  <c r="G686" i="8"/>
  <c r="G670" i="8"/>
  <c r="G651" i="8"/>
  <c r="G619" i="8"/>
  <c r="G587" i="8"/>
  <c r="G645" i="8"/>
  <c r="G614" i="8"/>
  <c r="G582" i="8"/>
  <c r="G554" i="8"/>
  <c r="G538" i="8"/>
  <c r="G522" i="8"/>
  <c r="G506" i="8"/>
  <c r="G490" i="8"/>
  <c r="G474" i="8"/>
  <c r="G458" i="8"/>
  <c r="G442" i="8"/>
  <c r="G421" i="8"/>
  <c r="G389" i="8"/>
  <c r="G357" i="8"/>
  <c r="G326" i="8"/>
  <c r="G294" i="8"/>
  <c r="G226" i="8"/>
  <c r="G410" i="8"/>
  <c r="G378" i="8"/>
  <c r="G345" i="8"/>
  <c r="G313" i="8"/>
  <c r="G277" i="8"/>
  <c r="G245" i="8"/>
  <c r="G569" i="8"/>
  <c r="G553" i="8"/>
  <c r="G537" i="8"/>
  <c r="G521" i="8"/>
  <c r="G505" i="8"/>
  <c r="G489" i="8"/>
  <c r="G473" i="8"/>
  <c r="G457" i="8"/>
  <c r="G441" i="8"/>
  <c r="G417" i="8"/>
  <c r="G385" i="8"/>
  <c r="G252" i="8"/>
  <c r="G217" i="8"/>
  <c r="G406" i="8"/>
  <c r="G374" i="8"/>
  <c r="G343" i="8"/>
  <c r="G311" i="8"/>
  <c r="G275" i="8"/>
  <c r="G243" i="8"/>
  <c r="G222" i="8"/>
  <c r="G206" i="8"/>
  <c r="G190" i="8"/>
  <c r="G174" i="8"/>
  <c r="G158" i="8"/>
  <c r="G142" i="8"/>
  <c r="G126" i="8"/>
  <c r="G110" i="8"/>
  <c r="G92" i="8"/>
  <c r="G72" i="8"/>
  <c r="G50" i="8"/>
  <c r="G185" i="8"/>
  <c r="G165" i="8"/>
  <c r="G143" i="8"/>
  <c r="G121" i="8"/>
  <c r="G101" i="8"/>
  <c r="G79" i="8"/>
  <c r="G57" i="8"/>
  <c r="G37" i="8"/>
  <c r="G15" i="8"/>
  <c r="G1261" i="8"/>
  <c r="G1243" i="8"/>
  <c r="G1258" i="8"/>
  <c r="G1267" i="8"/>
  <c r="G1252" i="8"/>
  <c r="G1296" i="8"/>
  <c r="G1322" i="8"/>
  <c r="G1331" i="8"/>
  <c r="G1311" i="8"/>
  <c r="G1328" i="8"/>
  <c r="G1385" i="8"/>
  <c r="G1492" i="8"/>
  <c r="G1456" i="8"/>
  <c r="G1561" i="8"/>
  <c r="G1656" i="8"/>
  <c r="G1741" i="8"/>
  <c r="G1821" i="8"/>
  <c r="G1397" i="8"/>
  <c r="G1446" i="8"/>
  <c r="G1402" i="8"/>
  <c r="G1521" i="8"/>
  <c r="G1620" i="8"/>
  <c r="G1700" i="8"/>
  <c r="G1785" i="8"/>
  <c r="G1876" i="8"/>
  <c r="G1398" i="8"/>
  <c r="G1426" i="8"/>
  <c r="G1545" i="8"/>
  <c r="G1632" i="8"/>
  <c r="G1717" i="8"/>
  <c r="G1808" i="8"/>
  <c r="G1917" i="8"/>
  <c r="G1405" i="8"/>
  <c r="G1532" i="8"/>
  <c r="G1482" i="8"/>
  <c r="G1596" i="8"/>
  <c r="G1681" i="8"/>
  <c r="G1772" i="8"/>
  <c r="G1873" i="8"/>
  <c r="G1966" i="8"/>
  <c r="G2073" i="8"/>
  <c r="G1578" i="8"/>
  <c r="G1630" i="8"/>
  <c r="G1682" i="8"/>
  <c r="G1730" i="8"/>
  <c r="G1778" i="8"/>
  <c r="G1826" i="8"/>
  <c r="G1874" i="8"/>
  <c r="G1928" i="8"/>
  <c r="G2026" i="8"/>
  <c r="G2133" i="8"/>
  <c r="G1435" i="8"/>
  <c r="G1483" i="8"/>
  <c r="G1531" i="8"/>
  <c r="G1579" i="8"/>
  <c r="G1627" i="8"/>
  <c r="G1675" i="8"/>
  <c r="G1731" i="8"/>
  <c r="G1775" i="8"/>
  <c r="G1827" i="8"/>
  <c r="G1871" i="8"/>
  <c r="G1906" i="8"/>
  <c r="G2006" i="8"/>
  <c r="G2113" i="8"/>
  <c r="G1930" i="8"/>
  <c r="G2029" i="8"/>
  <c r="G2125" i="8"/>
  <c r="G2252" i="8"/>
  <c r="G2376" i="8"/>
  <c r="G2257" i="8"/>
  <c r="G2171" i="8"/>
  <c r="G2308" i="8"/>
  <c r="G1895" i="8"/>
  <c r="G1943" i="8"/>
  <c r="G1991" i="8"/>
  <c r="G2039" i="8"/>
  <c r="G2087" i="8"/>
  <c r="G2135" i="8"/>
  <c r="G2281" i="8"/>
  <c r="G2163" i="8"/>
  <c r="G2300" i="8"/>
  <c r="G1956" i="8"/>
  <c r="G2008" i="8"/>
  <c r="G2052" i="8"/>
  <c r="G2104" i="8"/>
  <c r="G2191" i="8"/>
  <c r="G2319" i="8"/>
  <c r="G2164" i="8"/>
  <c r="G2292" i="8"/>
  <c r="G2192" i="8"/>
  <c r="G2320" i="8"/>
  <c r="G2476" i="8"/>
  <c r="G2613" i="8"/>
  <c r="G2495" i="8"/>
  <c r="G2623" i="8"/>
  <c r="G2491" i="8"/>
  <c r="G2619" i="8"/>
  <c r="G2473" i="8"/>
  <c r="G2601" i="8"/>
  <c r="G2533" i="8"/>
  <c r="G2383" i="8"/>
  <c r="G2520" i="8"/>
  <c r="G1362" i="8"/>
  <c r="G2186" i="8"/>
  <c r="G2230" i="8"/>
  <c r="G2282" i="8"/>
  <c r="G2334" i="8"/>
  <c r="G2397" i="8"/>
  <c r="G2525" i="8"/>
  <c r="G2375" i="8"/>
  <c r="G2503" i="8"/>
  <c r="G1374" i="8"/>
  <c r="G2382" i="8"/>
  <c r="G2434" i="8"/>
  <c r="G2482" i="8"/>
  <c r="G2530" i="8"/>
  <c r="G2578" i="8"/>
  <c r="G1372" i="8"/>
  <c r="G2645" i="8"/>
  <c r="G2634" i="8"/>
  <c r="G2635" i="8"/>
  <c r="G2675" i="8"/>
  <c r="G2668" i="8"/>
  <c r="G2685" i="8"/>
  <c r="G2705" i="8"/>
  <c r="G3054" i="8"/>
  <c r="G2898" i="8"/>
  <c r="G2716" i="8"/>
  <c r="G2764" i="8"/>
  <c r="G2812" i="8"/>
  <c r="G2983" i="8"/>
  <c r="G3115" i="8"/>
  <c r="G3116" i="8"/>
  <c r="G2757" i="8"/>
  <c r="G2809" i="8"/>
  <c r="G2985" i="8"/>
  <c r="G3109" i="8"/>
  <c r="G2945" i="8"/>
  <c r="G2819" i="8"/>
  <c r="G2722" i="8"/>
  <c r="G2770" i="8"/>
  <c r="G2902" i="8"/>
  <c r="G3051" i="8"/>
  <c r="G3072" i="8"/>
  <c r="G2871" i="8"/>
  <c r="G2992" i="8"/>
  <c r="G2739" i="8"/>
  <c r="G2791" i="8"/>
  <c r="G2935" i="8"/>
  <c r="G3112" i="8"/>
  <c r="G2891" i="8"/>
  <c r="G2972" i="8"/>
  <c r="G3071" i="8"/>
  <c r="G2887" i="8"/>
  <c r="G2996" i="8"/>
  <c r="G3113" i="8"/>
  <c r="G2884" i="8"/>
  <c r="G2970" i="8"/>
  <c r="G3090" i="8"/>
  <c r="G3126" i="8"/>
  <c r="G3143" i="8"/>
  <c r="G3206" i="8"/>
  <c r="G3160" i="8"/>
  <c r="G3222" i="8"/>
  <c r="G3149" i="8"/>
  <c r="G3196" i="8"/>
  <c r="G3154" i="8"/>
  <c r="G3216" i="8"/>
  <c r="G1031" i="8"/>
  <c r="G1234" i="8"/>
  <c r="G1202" i="8"/>
  <c r="G1170" i="8"/>
  <c r="G1138" i="8"/>
  <c r="G1074" i="8"/>
  <c r="G1042" i="8"/>
  <c r="G1009" i="8"/>
  <c r="G1213" i="8"/>
  <c r="G1181" i="8"/>
  <c r="G1149" i="8"/>
  <c r="G1117" i="8"/>
  <c r="G1085" i="8"/>
  <c r="G1053" i="8"/>
  <c r="G1021" i="8"/>
  <c r="G991" i="8"/>
  <c r="G975" i="8"/>
  <c r="G959" i="8"/>
  <c r="G943" i="8"/>
  <c r="G927" i="8"/>
  <c r="G911" i="8"/>
  <c r="G895" i="8"/>
  <c r="G879" i="8"/>
  <c r="G863" i="8"/>
  <c r="G847" i="8"/>
  <c r="G831" i="8"/>
  <c r="G815" i="8"/>
  <c r="G799" i="8"/>
  <c r="G783" i="8"/>
  <c r="G767" i="8"/>
  <c r="G751" i="8"/>
  <c r="G735" i="8"/>
  <c r="G719" i="8"/>
  <c r="G703" i="8"/>
  <c r="G687" i="8"/>
  <c r="G671" i="8"/>
  <c r="G655" i="8"/>
  <c r="G625" i="8"/>
  <c r="G593" i="8"/>
  <c r="G649" i="8"/>
  <c r="G616" i="8"/>
  <c r="G584" i="8"/>
  <c r="G1004" i="8"/>
  <c r="G988" i="8"/>
  <c r="G972" i="8"/>
  <c r="G956" i="8"/>
  <c r="G940" i="8"/>
  <c r="G908" i="8"/>
  <c r="G892" i="8"/>
  <c r="G876" i="8"/>
  <c r="G860" i="8"/>
  <c r="G844" i="8"/>
  <c r="G828" i="8"/>
  <c r="G812" i="8"/>
  <c r="G796" i="8"/>
  <c r="G780" i="8"/>
  <c r="G764" i="8"/>
  <c r="G748" i="8"/>
  <c r="G732" i="8"/>
  <c r="G716" i="8"/>
  <c r="G700" i="8"/>
  <c r="G684" i="8"/>
  <c r="G668" i="8"/>
  <c r="G648" i="8"/>
  <c r="G615" i="8"/>
  <c r="G583" i="8"/>
  <c r="G642" i="8"/>
  <c r="G610" i="8"/>
  <c r="G578" i="8"/>
  <c r="G552" i="8"/>
  <c r="G536" i="8"/>
  <c r="G520" i="8"/>
  <c r="G504" i="8"/>
  <c r="G488" i="8"/>
  <c r="G472" i="8"/>
  <c r="G456" i="8"/>
  <c r="G440" i="8"/>
  <c r="G416" i="8"/>
  <c r="G384" i="8"/>
  <c r="G221" i="8"/>
  <c r="G407" i="8"/>
  <c r="G375" i="8"/>
  <c r="G341" i="8"/>
  <c r="G309" i="8"/>
  <c r="G273" i="8"/>
  <c r="G241" i="8"/>
  <c r="G567" i="8"/>
  <c r="G551" i="8"/>
  <c r="G535" i="8"/>
  <c r="G519" i="8"/>
  <c r="G503" i="8"/>
  <c r="G487" i="8"/>
  <c r="G471" i="8"/>
  <c r="G455" i="8"/>
  <c r="G439" i="8"/>
  <c r="G412" i="8"/>
  <c r="G380" i="8"/>
  <c r="G348" i="8"/>
  <c r="G316" i="8"/>
  <c r="G280" i="8"/>
  <c r="G248" i="8"/>
  <c r="G209" i="8"/>
  <c r="G403" i="8"/>
  <c r="G371" i="8"/>
  <c r="G307" i="8"/>
  <c r="G271" i="8"/>
  <c r="G239" i="8"/>
  <c r="G220" i="8"/>
  <c r="G204" i="8"/>
  <c r="G188" i="8"/>
  <c r="G156" i="8"/>
  <c r="G140" i="8"/>
  <c r="G124" i="8"/>
  <c r="G90" i="8"/>
  <c r="G70" i="8"/>
  <c r="G48" i="8"/>
  <c r="G28" i="8"/>
  <c r="G205" i="8"/>
  <c r="G183" i="8"/>
  <c r="G163" i="8"/>
  <c r="G141" i="8"/>
  <c r="G119" i="8"/>
  <c r="G99" i="8"/>
  <c r="G77" i="8"/>
  <c r="G55" i="8"/>
  <c r="G35" i="8"/>
  <c r="G1265" i="8"/>
  <c r="G1251" i="8"/>
  <c r="G1262" i="8"/>
  <c r="G1247" i="8"/>
  <c r="G1256" i="8"/>
  <c r="G1337" i="8"/>
  <c r="G1339" i="8"/>
  <c r="G1302" i="8"/>
  <c r="G1319" i="8"/>
  <c r="G1336" i="8"/>
  <c r="G1384" i="8"/>
  <c r="G1510" i="8"/>
  <c r="G1465" i="8"/>
  <c r="G1576" i="8"/>
  <c r="G1661" i="8"/>
  <c r="G1752" i="8"/>
  <c r="G1832" i="8"/>
  <c r="G1420" i="8"/>
  <c r="G1406" i="8"/>
  <c r="G1416" i="8"/>
  <c r="G1530" i="8"/>
  <c r="G1625" i="8"/>
  <c r="G1705" i="8"/>
  <c r="G1796" i="8"/>
  <c r="G1881" i="8"/>
  <c r="G1412" i="8"/>
  <c r="G1440" i="8"/>
  <c r="G1554" i="8"/>
  <c r="G1637" i="8"/>
  <c r="G1728" i="8"/>
  <c r="G1813" i="8"/>
  <c r="G1421" i="8"/>
  <c r="G1430" i="8"/>
  <c r="G1564" i="8"/>
  <c r="G1496" i="8"/>
  <c r="G1601" i="8"/>
  <c r="G1692" i="8"/>
  <c r="G1788" i="8"/>
  <c r="G1884" i="8"/>
  <c r="G1982" i="8"/>
  <c r="G2078" i="8"/>
  <c r="G1586" i="8"/>
  <c r="G1638" i="8"/>
  <c r="G1686" i="8"/>
  <c r="G1734" i="8"/>
  <c r="G1782" i="8"/>
  <c r="G1830" i="8"/>
  <c r="G1878" i="8"/>
  <c r="G1937" i="8"/>
  <c r="G2053" i="8"/>
  <c r="G1391" i="8"/>
  <c r="G1443" i="8"/>
  <c r="G1487" i="8"/>
  <c r="G1539" i="8"/>
  <c r="G1583" i="8"/>
  <c r="G1635" i="8"/>
  <c r="G1687" i="8"/>
  <c r="G1735" i="8"/>
  <c r="G1783" i="8"/>
  <c r="G1831" i="8"/>
  <c r="G1879" i="8"/>
  <c r="G1920" i="8"/>
  <c r="G2022" i="8"/>
  <c r="G2129" i="8"/>
  <c r="G1944" i="8"/>
  <c r="G2034" i="8"/>
  <c r="G2130" i="8"/>
  <c r="G2261" i="8"/>
  <c r="G2143" i="8"/>
  <c r="G2271" i="8"/>
  <c r="G2203" i="8"/>
  <c r="G2317" i="8"/>
  <c r="G1903" i="8"/>
  <c r="G1947" i="8"/>
  <c r="G1999" i="8"/>
  <c r="G2043" i="8"/>
  <c r="G2095" i="8"/>
  <c r="G2167" i="8"/>
  <c r="G2295" i="8"/>
  <c r="G2181" i="8"/>
  <c r="G2309" i="8"/>
  <c r="G1964" i="8"/>
  <c r="G2012" i="8"/>
  <c r="G2060" i="8"/>
  <c r="G2112" i="8"/>
  <c r="G2200" i="8"/>
  <c r="G2328" i="8"/>
  <c r="G2173" i="8"/>
  <c r="G2301" i="8"/>
  <c r="G2201" i="8"/>
  <c r="G2329" i="8"/>
  <c r="G2508" i="8"/>
  <c r="G1371" i="8"/>
  <c r="G2513" i="8"/>
  <c r="G1370" i="8"/>
  <c r="G2509" i="8"/>
  <c r="G1368" i="8"/>
  <c r="G2496" i="8"/>
  <c r="G1366" i="8"/>
  <c r="G2547" i="8"/>
  <c r="G2401" i="8"/>
  <c r="G2529" i="8"/>
  <c r="G2142" i="8"/>
  <c r="G2190" i="8"/>
  <c r="G2238" i="8"/>
  <c r="G2290" i="8"/>
  <c r="G2338" i="8"/>
  <c r="G2411" i="8"/>
  <c r="G2539" i="8"/>
  <c r="G2384" i="8"/>
  <c r="G2512" i="8"/>
  <c r="G1358" i="8"/>
  <c r="G2394" i="8"/>
  <c r="G2438" i="8"/>
  <c r="G2490" i="8"/>
  <c r="G2534" i="8"/>
  <c r="G2586" i="8"/>
  <c r="G1364" i="8"/>
  <c r="G2653" i="8"/>
  <c r="G2646" i="8"/>
  <c r="G2639" i="8"/>
  <c r="G2624" i="8"/>
  <c r="G2672" i="8"/>
  <c r="G2693" i="8"/>
  <c r="G2701" i="8"/>
  <c r="G3073" i="8"/>
  <c r="G2911" i="8"/>
  <c r="G2720" i="8"/>
  <c r="G2768" i="8"/>
  <c r="G2818" i="8"/>
  <c r="G2994" i="8"/>
  <c r="G3009" i="8"/>
  <c r="G2713" i="8"/>
  <c r="G2769" i="8"/>
  <c r="G2813" i="8"/>
  <c r="G3004" i="8"/>
  <c r="G2821" i="8"/>
  <c r="G2959" i="8"/>
  <c r="G2826" i="8"/>
  <c r="G2730" i="8"/>
  <c r="G2782" i="8"/>
  <c r="G2909" i="8"/>
  <c r="G3078" i="8"/>
  <c r="G3088" i="8"/>
  <c r="G2890" i="8"/>
  <c r="G2999" i="8"/>
  <c r="G2747" i="8"/>
  <c r="G2799" i="8"/>
  <c r="G2941" i="8"/>
  <c r="G2814" i="8"/>
  <c r="G2896" i="8"/>
  <c r="G2976" i="8"/>
  <c r="G3076" i="8"/>
  <c r="G2901" i="8"/>
  <c r="G3015" i="8"/>
  <c r="G3119" i="8"/>
  <c r="G2904" i="8"/>
  <c r="G2979" i="8"/>
  <c r="G3100" i="8"/>
  <c r="G3213" i="8"/>
  <c r="G3221" i="8"/>
  <c r="G3179" i="8"/>
  <c r="G3147" i="8"/>
  <c r="G3164" i="8"/>
  <c r="G3204" i="8"/>
  <c r="G3158" i="8"/>
  <c r="G3224" i="8"/>
  <c r="G1236" i="8"/>
  <c r="G1204" i="8"/>
  <c r="G1172" i="8"/>
  <c r="G1140" i="8"/>
  <c r="G1108" i="8"/>
  <c r="G1076" i="8"/>
  <c r="G1044" i="8"/>
  <c r="G1012" i="8"/>
  <c r="G1215" i="8"/>
  <c r="G1183" i="8"/>
  <c r="G1151" i="8"/>
  <c r="G1119" i="8"/>
  <c r="G1087" i="8"/>
  <c r="G1055" i="8"/>
  <c r="G1023" i="8"/>
  <c r="G1226" i="8"/>
  <c r="G1194" i="8"/>
  <c r="G1162" i="8"/>
  <c r="G1130" i="8"/>
  <c r="G1098" i="8"/>
  <c r="G1066" i="8"/>
  <c r="G1034" i="8"/>
  <c r="G1237" i="8"/>
  <c r="G1205" i="8"/>
  <c r="G1173" i="8"/>
  <c r="G1141" i="8"/>
  <c r="G1109" i="8"/>
  <c r="G1077" i="8"/>
  <c r="G1045" i="8"/>
  <c r="G1013" i="8"/>
  <c r="G987" i="8"/>
  <c r="G971" i="8"/>
  <c r="G955" i="8"/>
  <c r="G939" i="8"/>
  <c r="G923" i="8"/>
  <c r="G907" i="8"/>
  <c r="G891" i="8"/>
  <c r="G875" i="8"/>
  <c r="G859" i="8"/>
  <c r="G843" i="8"/>
  <c r="G827" i="8"/>
  <c r="G811" i="8"/>
  <c r="G795" i="8"/>
  <c r="G779" i="8"/>
  <c r="G763" i="8"/>
  <c r="G747" i="8"/>
  <c r="G731" i="8"/>
  <c r="G715" i="8"/>
  <c r="G699" i="8"/>
  <c r="G683" i="8"/>
  <c r="G667" i="8"/>
  <c r="G647" i="8"/>
  <c r="G617" i="8"/>
  <c r="G585" i="8"/>
  <c r="G640" i="8"/>
  <c r="G608" i="8"/>
  <c r="G576" i="8"/>
  <c r="G1000" i="8"/>
  <c r="G984" i="8"/>
  <c r="G968" i="8"/>
  <c r="G952" i="8"/>
  <c r="G920" i="8"/>
  <c r="G904" i="8"/>
  <c r="G888" i="8"/>
  <c r="G872" i="8"/>
  <c r="G856" i="8"/>
  <c r="G840" i="8"/>
  <c r="G824" i="8"/>
  <c r="G808" i="8"/>
  <c r="G792" i="8"/>
  <c r="G776" i="8"/>
  <c r="G760" i="8"/>
  <c r="G744" i="8"/>
  <c r="G728" i="8"/>
  <c r="G712" i="8"/>
  <c r="G696" i="8"/>
  <c r="G680" i="8"/>
  <c r="G664" i="8"/>
  <c r="G639" i="8"/>
  <c r="G607" i="8"/>
  <c r="G575" i="8"/>
  <c r="G634" i="8"/>
  <c r="G602" i="8"/>
  <c r="G570" i="8"/>
  <c r="G548" i="8"/>
  <c r="G532" i="8"/>
  <c r="G516" i="8"/>
  <c r="G500" i="8"/>
  <c r="G484" i="8"/>
  <c r="G468" i="8"/>
  <c r="G452" i="8"/>
  <c r="G436" i="8"/>
  <c r="G408" i="8"/>
  <c r="G376" i="8"/>
  <c r="G346" i="8"/>
  <c r="G314" i="8"/>
  <c r="G278" i="8"/>
  <c r="G246" i="8"/>
  <c r="G431" i="8"/>
  <c r="G399" i="8"/>
  <c r="G367" i="8"/>
  <c r="G333" i="8"/>
  <c r="G301" i="8"/>
  <c r="G265" i="8"/>
  <c r="G233" i="8"/>
  <c r="G563" i="8"/>
  <c r="G547" i="8"/>
  <c r="G531" i="8"/>
  <c r="G515" i="8"/>
  <c r="G499" i="8"/>
  <c r="G483" i="8"/>
  <c r="G467" i="8"/>
  <c r="G451" i="8"/>
  <c r="G435" i="8"/>
  <c r="G404" i="8"/>
  <c r="G372" i="8"/>
  <c r="G340" i="8"/>
  <c r="G308" i="8"/>
  <c r="G272" i="8"/>
  <c r="G240" i="8"/>
  <c r="G427" i="8"/>
  <c r="G395" i="8"/>
  <c r="G363" i="8"/>
  <c r="G331" i="8"/>
  <c r="G299" i="8"/>
  <c r="G263" i="8"/>
  <c r="G231" i="8"/>
  <c r="G216" i="8"/>
  <c r="G200" i="8"/>
  <c r="G184" i="8"/>
  <c r="G168" i="8"/>
  <c r="G152" i="8"/>
  <c r="G136" i="8"/>
  <c r="G120" i="8"/>
  <c r="G86" i="8"/>
  <c r="G64" i="8"/>
  <c r="G44" i="8"/>
  <c r="G22" i="8"/>
  <c r="G199" i="8"/>
  <c r="G179" i="8"/>
  <c r="G157" i="8"/>
  <c r="G135" i="8"/>
  <c r="G115" i="8"/>
  <c r="G93" i="8"/>
  <c r="G71" i="8"/>
  <c r="G51" i="8"/>
  <c r="G29" i="8"/>
  <c r="G1273" i="8"/>
  <c r="G1279" i="8"/>
  <c r="G1274" i="8"/>
  <c r="G1275" i="8"/>
  <c r="G1268" i="8"/>
  <c r="G1300" i="8"/>
  <c r="G1309" i="8"/>
  <c r="G1326" i="8"/>
  <c r="G1343" i="8"/>
  <c r="G1349" i="8"/>
  <c r="G1387" i="8"/>
  <c r="G1565" i="8"/>
  <c r="G1488" i="8"/>
  <c r="G1597" i="8"/>
  <c r="G1688" i="8"/>
  <c r="G1768" i="8"/>
  <c r="G1853" i="8"/>
  <c r="G1525" i="8"/>
  <c r="G1438" i="8"/>
  <c r="G1448" i="8"/>
  <c r="G1562" i="8"/>
  <c r="G1641" i="8"/>
  <c r="G1732" i="8"/>
  <c r="G1817" i="8"/>
  <c r="G1485" i="8"/>
  <c r="G1508" i="8"/>
  <c r="G1472" i="8"/>
  <c r="G1573" i="8"/>
  <c r="G1664" i="8"/>
  <c r="G1749" i="8"/>
  <c r="G1829" i="8"/>
  <c r="G1445" i="8"/>
  <c r="G1404" i="8"/>
  <c r="G1409" i="8"/>
  <c r="G1528" i="8"/>
  <c r="G1628" i="8"/>
  <c r="G1708" i="8"/>
  <c r="G1809" i="8"/>
  <c r="G1890" i="8"/>
  <c r="G2009" i="8"/>
  <c r="G2110" i="8"/>
  <c r="G1602" i="8"/>
  <c r="G1650" i="8"/>
  <c r="G1698" i="8"/>
  <c r="G1746" i="8"/>
  <c r="G1794" i="8"/>
  <c r="G1842" i="8"/>
  <c r="G1909" i="8"/>
  <c r="G1973" i="8"/>
  <c r="G2069" i="8"/>
  <c r="G1403" i="8"/>
  <c r="G1451" i="8"/>
  <c r="G1499" i="8"/>
  <c r="G1547" i="8"/>
  <c r="G1603" i="8"/>
  <c r="G1647" i="8"/>
  <c r="G1699" i="8"/>
  <c r="G1743" i="8"/>
  <c r="G1795" i="8"/>
  <c r="G1839" i="8"/>
  <c r="G1901" i="8"/>
  <c r="G1958" i="8"/>
  <c r="G2054" i="8"/>
  <c r="G1916" i="8"/>
  <c r="G1965" i="8"/>
  <c r="G2061" i="8"/>
  <c r="G2165" i="8"/>
  <c r="G2293" i="8"/>
  <c r="G2184" i="8"/>
  <c r="G2312" i="8"/>
  <c r="G2221" i="8"/>
  <c r="G2349" i="8"/>
  <c r="G1911" i="8"/>
  <c r="G1959" i="8"/>
  <c r="G2007" i="8"/>
  <c r="G2063" i="8"/>
  <c r="G2107" i="8"/>
  <c r="G2199" i="8"/>
  <c r="G2313" i="8"/>
  <c r="G2213" i="8"/>
  <c r="G2332" i="8"/>
  <c r="G1976" i="8"/>
  <c r="G2028" i="8"/>
  <c r="G2076" i="8"/>
  <c r="G2124" i="8"/>
  <c r="G2232" i="8"/>
  <c r="G2360" i="8"/>
  <c r="G2205" i="8"/>
  <c r="G2333" i="8"/>
  <c r="G2247" i="8"/>
  <c r="G2381" i="8"/>
  <c r="G2531" i="8"/>
  <c r="G2408" i="8"/>
  <c r="G2536" i="8"/>
  <c r="G2404" i="8"/>
  <c r="G2532" i="8"/>
  <c r="G2409" i="8"/>
  <c r="G2528" i="8"/>
  <c r="G2451" i="8"/>
  <c r="G2565" i="8"/>
  <c r="G2433" i="8"/>
  <c r="G2552" i="8"/>
  <c r="G2154" i="8"/>
  <c r="G2206" i="8"/>
  <c r="G2254" i="8"/>
  <c r="G2302" i="8"/>
  <c r="G2350" i="8"/>
  <c r="G2443" i="8"/>
  <c r="G2571" i="8"/>
  <c r="G2416" i="8"/>
  <c r="G2553" i="8"/>
  <c r="G1359" i="8"/>
  <c r="G2402" i="8"/>
  <c r="G2450" i="8"/>
  <c r="G2498" i="8"/>
  <c r="G2546" i="8"/>
  <c r="G2594" i="8"/>
  <c r="G1353" i="8"/>
  <c r="G2665" i="8"/>
  <c r="G2658" i="8"/>
  <c r="G2647" i="8"/>
  <c r="G2636" i="8"/>
  <c r="G2680" i="8"/>
  <c r="G2690" i="8"/>
  <c r="G2696" i="8"/>
  <c r="G2836" i="8"/>
  <c r="G2936" i="8"/>
  <c r="G2732" i="8"/>
  <c r="G2780" i="8"/>
  <c r="G2879" i="8"/>
  <c r="G3016" i="8"/>
  <c r="G3036" i="8"/>
  <c r="G2729" i="8"/>
  <c r="G2777" i="8"/>
  <c r="G2868" i="8"/>
  <c r="G3023" i="8"/>
  <c r="G2846" i="8"/>
  <c r="G3025" i="8"/>
  <c r="G2874" i="8"/>
  <c r="G2742" i="8"/>
  <c r="G2794" i="8"/>
  <c r="G2940" i="8"/>
  <c r="G3110" i="8"/>
  <c r="G3104" i="8"/>
  <c r="G2916" i="8"/>
  <c r="G2715" i="8"/>
  <c r="G2763" i="8"/>
  <c r="G2811" i="8"/>
  <c r="G2988" i="8"/>
  <c r="G2834" i="8"/>
  <c r="G2920" i="8"/>
  <c r="G3000" i="8"/>
  <c r="G3108" i="8"/>
  <c r="G2934" i="8"/>
  <c r="G3034" i="8"/>
  <c r="G2828" i="8"/>
  <c r="G2913" i="8"/>
  <c r="G3003" i="8"/>
  <c r="G3123" i="8"/>
  <c r="G3130" i="8"/>
  <c r="G3178" i="8"/>
  <c r="G3146" i="8"/>
  <c r="G3187" i="8"/>
  <c r="G3170" i="8"/>
  <c r="G3172" i="8"/>
  <c r="G3219" i="8"/>
  <c r="G3228" i="8"/>
  <c r="G3181" i="8"/>
  <c r="G3223" i="8"/>
  <c r="G3157" i="8"/>
  <c r="G3144" i="8"/>
  <c r="G3211" i="8"/>
  <c r="G3214" i="8"/>
  <c r="G3210" i="8"/>
  <c r="G3155" i="8"/>
  <c r="G3133" i="8"/>
  <c r="G3127" i="8"/>
  <c r="G3041" i="8"/>
  <c r="G2946" i="8"/>
  <c r="G2870" i="8"/>
  <c r="G3103" i="8"/>
  <c r="G3001" i="8"/>
  <c r="G2906" i="8"/>
  <c r="G3102" i="8"/>
  <c r="G3005" i="8"/>
  <c r="G2943" i="8"/>
  <c r="G2858" i="8"/>
  <c r="G3060" i="8"/>
  <c r="G2872" i="8"/>
  <c r="G2795" i="8"/>
  <c r="G2751" i="8"/>
  <c r="G3012" i="8"/>
  <c r="G2922" i="8"/>
  <c r="G2822" i="8"/>
  <c r="G3033" i="8"/>
  <c r="G3039" i="8"/>
  <c r="G2852" i="8"/>
  <c r="G2774" i="8"/>
  <c r="G2734" i="8"/>
  <c r="G2850" i="8"/>
  <c r="G3031" i="8"/>
  <c r="G2889" i="8"/>
  <c r="G3050" i="8"/>
  <c r="G2938" i="8"/>
  <c r="G2805" i="8"/>
  <c r="G2761" i="8"/>
  <c r="G2717" i="8"/>
  <c r="G2989" i="8"/>
  <c r="G3028" i="8"/>
  <c r="G2912" i="8"/>
  <c r="G2796" i="8"/>
  <c r="G2752" i="8"/>
  <c r="G3027" i="8"/>
  <c r="G2905" i="8"/>
  <c r="G3089" i="8"/>
  <c r="G2704" i="8"/>
  <c r="G2694" i="8"/>
  <c r="G2684" i="8"/>
  <c r="G2648" i="8"/>
  <c r="G2610" i="8"/>
  <c r="G2627" i="8"/>
  <c r="G2638" i="8"/>
  <c r="G2657" i="8"/>
  <c r="G1369" i="8"/>
  <c r="G2598" i="8"/>
  <c r="G2558" i="8"/>
  <c r="G2514" i="8"/>
  <c r="G2470" i="8"/>
  <c r="G2430" i="8"/>
  <c r="G2386" i="8"/>
  <c r="G1383" i="8"/>
  <c r="G2544" i="8"/>
  <c r="G2425" i="8"/>
  <c r="G2589" i="8"/>
  <c r="G2484" i="8"/>
  <c r="G2370" i="8"/>
  <c r="G2326" i="8"/>
  <c r="G2286" i="8"/>
  <c r="G2242" i="8"/>
  <c r="G2198" i="8"/>
  <c r="G2158" i="8"/>
  <c r="G2584" i="8"/>
  <c r="G2465" i="8"/>
  <c r="G1379" i="8"/>
  <c r="G2515" i="8"/>
  <c r="G2615" i="8"/>
  <c r="G2505" i="8"/>
  <c r="G2391" i="8"/>
  <c r="G2541" i="8"/>
  <c r="G2436" i="8"/>
  <c r="G2577" i="8"/>
  <c r="G2463" i="8"/>
  <c r="G2604" i="8"/>
  <c r="G2485" i="8"/>
  <c r="G2343" i="8"/>
  <c r="G2233" i="8"/>
  <c r="G2347" i="8"/>
  <c r="G2228" i="8"/>
  <c r="G2412" i="8"/>
  <c r="G2287" i="8"/>
  <c r="G2168" i="8"/>
  <c r="G2108" i="8"/>
  <c r="G2064" i="8"/>
  <c r="G2020" i="8"/>
  <c r="G1980" i="8"/>
  <c r="G2364" i="8"/>
  <c r="G2245" i="8"/>
  <c r="G2140" i="8"/>
  <c r="G2263" i="8"/>
  <c r="G2144" i="8"/>
  <c r="G2099" i="8"/>
  <c r="G2055" i="8"/>
  <c r="G2011" i="8"/>
  <c r="G1971" i="8"/>
  <c r="G1927" i="8"/>
  <c r="G2403" i="8"/>
  <c r="G2299" i="8"/>
  <c r="G2180" i="8"/>
  <c r="G2280" i="8"/>
  <c r="G2175" i="8"/>
  <c r="G2307" i="8"/>
  <c r="G2188" i="8"/>
  <c r="G2093" i="8"/>
  <c r="G2002" i="8"/>
  <c r="G1912" i="8"/>
  <c r="G2118" i="8"/>
  <c r="G2033" i="8"/>
  <c r="G1938" i="8"/>
  <c r="G1910" i="8"/>
  <c r="G1851" i="8"/>
  <c r="G1807" i="8"/>
  <c r="G1767" i="8"/>
  <c r="G1723" i="8"/>
  <c r="G1679" i="8"/>
  <c r="G1639" i="8"/>
  <c r="G1595" i="8"/>
  <c r="G1551" i="8"/>
  <c r="G1511" i="8"/>
  <c r="G1467" i="8"/>
  <c r="G1423" i="8"/>
  <c r="G2122" i="8"/>
  <c r="G2037" i="8"/>
  <c r="G1946" i="8"/>
  <c r="G1900" i="8"/>
  <c r="G1846" i="8"/>
  <c r="G1802" i="8"/>
  <c r="G1762" i="8"/>
  <c r="G1718" i="8"/>
  <c r="G1674" i="8"/>
  <c r="G1634" i="8"/>
  <c r="G1590" i="8"/>
  <c r="G2094" i="8"/>
  <c r="G2014" i="8"/>
  <c r="G1922" i="8"/>
  <c r="G1836" i="8"/>
  <c r="G1756" i="8"/>
  <c r="G1220" i="8"/>
  <c r="G1188" i="8"/>
  <c r="G1156" i="8"/>
  <c r="G1124" i="8"/>
  <c r="G1092" i="8"/>
  <c r="G1060" i="8"/>
  <c r="G1028" i="8"/>
  <c r="G1231" i="8"/>
  <c r="G1199" i="8"/>
  <c r="G1167" i="8"/>
  <c r="G1135" i="8"/>
  <c r="G1103" i="8"/>
  <c r="G1071" i="8"/>
  <c r="G1039" i="8"/>
  <c r="G1003" i="8"/>
  <c r="G1210" i="8"/>
  <c r="G1178" i="8"/>
  <c r="G1146" i="8"/>
  <c r="G1114" i="8"/>
  <c r="G1050" i="8"/>
  <c r="G1018" i="8"/>
  <c r="G1221" i="8"/>
  <c r="G1189" i="8"/>
  <c r="G1157" i="8"/>
  <c r="G1125" i="8"/>
  <c r="G1093" i="8"/>
  <c r="G1061" i="8"/>
  <c r="G1029" i="8"/>
  <c r="G995" i="8"/>
  <c r="G979" i="8"/>
  <c r="G963" i="8"/>
  <c r="G947" i="8"/>
  <c r="G931" i="8"/>
  <c r="G915" i="8"/>
  <c r="G899" i="8"/>
  <c r="G883" i="8"/>
  <c r="G867" i="8"/>
  <c r="G851" i="8"/>
  <c r="G835" i="8"/>
  <c r="G819" i="8"/>
  <c r="G803" i="8"/>
  <c r="G787" i="8"/>
  <c r="G771" i="8"/>
  <c r="G755" i="8"/>
  <c r="G739" i="8"/>
  <c r="G723" i="8"/>
  <c r="G707" i="8"/>
  <c r="G691" i="8"/>
  <c r="G675" i="8"/>
  <c r="G659" i="8"/>
  <c r="G633" i="8"/>
  <c r="G601" i="8"/>
  <c r="G568" i="8"/>
  <c r="G624" i="8"/>
  <c r="G592" i="8"/>
  <c r="G1008" i="8"/>
  <c r="G992" i="8"/>
  <c r="G976" i="8"/>
  <c r="G960" i="8"/>
  <c r="G944" i="8"/>
  <c r="G928" i="8"/>
  <c r="G912" i="8"/>
  <c r="G896" i="8"/>
  <c r="G880" i="8"/>
  <c r="G864" i="8"/>
  <c r="G848" i="8"/>
  <c r="G832" i="8"/>
  <c r="G816" i="8"/>
  <c r="G800" i="8"/>
  <c r="G784" i="8"/>
  <c r="G768" i="8"/>
  <c r="G752" i="8"/>
  <c r="G736" i="8"/>
  <c r="G720" i="8"/>
  <c r="G704" i="8"/>
  <c r="G688" i="8"/>
  <c r="G672" i="8"/>
  <c r="G656" i="8"/>
  <c r="G623" i="8"/>
  <c r="G591" i="8"/>
  <c r="G650" i="8"/>
  <c r="G618" i="8"/>
  <c r="G586" i="8"/>
  <c r="G556" i="8"/>
  <c r="G540" i="8"/>
  <c r="G524" i="8"/>
  <c r="G508" i="8"/>
  <c r="G492" i="8"/>
  <c r="G476" i="8"/>
  <c r="G460" i="8"/>
  <c r="G444" i="8"/>
  <c r="G424" i="8"/>
  <c r="G392" i="8"/>
  <c r="G360" i="8"/>
  <c r="G330" i="8"/>
  <c r="G298" i="8"/>
  <c r="G230" i="8"/>
  <c r="G415" i="8"/>
  <c r="G383" i="8"/>
  <c r="G351" i="8"/>
  <c r="G317" i="8"/>
  <c r="G281" i="8"/>
  <c r="G249" i="8"/>
  <c r="G211" i="8"/>
  <c r="G555" i="8"/>
  <c r="G539" i="8"/>
  <c r="G523" i="8"/>
  <c r="G507" i="8"/>
  <c r="G491" i="8"/>
  <c r="G475" i="8"/>
  <c r="G459" i="8"/>
  <c r="G443" i="8"/>
  <c r="G420" i="8"/>
  <c r="G388" i="8"/>
  <c r="G324" i="8"/>
  <c r="G224" i="8"/>
  <c r="G411" i="8"/>
  <c r="G379" i="8"/>
  <c r="G347" i="8"/>
  <c r="G315" i="8"/>
  <c r="G279" i="8"/>
  <c r="G247" i="8"/>
  <c r="G207" i="8"/>
  <c r="G208" i="8"/>
  <c r="G192" i="8"/>
  <c r="G160" i="8"/>
  <c r="G144" i="8"/>
  <c r="G128" i="8"/>
  <c r="G112" i="8"/>
  <c r="G94" i="8"/>
  <c r="G76" i="8"/>
  <c r="G54" i="8"/>
  <c r="G32" i="8"/>
  <c r="G12" i="8"/>
  <c r="G189" i="8"/>
  <c r="G167" i="8"/>
  <c r="G147" i="8"/>
  <c r="G125" i="8"/>
  <c r="G103" i="8"/>
  <c r="G83" i="8"/>
  <c r="G61" i="8"/>
  <c r="G39" i="8"/>
  <c r="G19" i="8"/>
  <c r="G1253" i="8"/>
  <c r="G1297" i="8"/>
  <c r="G1250" i="8"/>
  <c r="G1294" i="8"/>
  <c r="G1248" i="8"/>
  <c r="G1288" i="8"/>
  <c r="G1340" i="8"/>
  <c r="G1314" i="8"/>
  <c r="G1307" i="8"/>
  <c r="G1312" i="8"/>
  <c r="G1351" i="8"/>
  <c r="G1556" i="8"/>
  <c r="G1433" i="8"/>
  <c r="G1552" i="8"/>
  <c r="G1640" i="8"/>
  <c r="G1725" i="8"/>
  <c r="G1816" i="8"/>
  <c r="G1396" i="8"/>
  <c r="G1893" i="8"/>
  <c r="G1393" i="8"/>
  <c r="G1498" i="8"/>
  <c r="G1604" i="8"/>
  <c r="G1689" i="8"/>
  <c r="G1769" i="8"/>
  <c r="G1860" i="8"/>
  <c r="G1389" i="8"/>
  <c r="G1408" i="8"/>
  <c r="G1522" i="8"/>
  <c r="G1621" i="8"/>
  <c r="G1701" i="8"/>
  <c r="G1792" i="8"/>
  <c r="G1877" i="8"/>
  <c r="G1550" i="8"/>
  <c r="G1500" i="8"/>
  <c r="G1473" i="8"/>
  <c r="G1580" i="8"/>
  <c r="G1665" i="8"/>
  <c r="G1761" i="8"/>
  <c r="G1857" i="8"/>
  <c r="G1961" i="8"/>
  <c r="G2057" i="8"/>
  <c r="G1574" i="8"/>
  <c r="G1622" i="8"/>
  <c r="G1670" i="8"/>
  <c r="G1726" i="8"/>
  <c r="G1770" i="8"/>
  <c r="G1822" i="8"/>
  <c r="G1866" i="8"/>
  <c r="G1914" i="8"/>
  <c r="G2010" i="8"/>
  <c r="G2117" i="8"/>
  <c r="G1431" i="8"/>
  <c r="G1479" i="8"/>
  <c r="G1527" i="8"/>
  <c r="G1575" i="8"/>
  <c r="G1623" i="8"/>
  <c r="G1671" i="8"/>
  <c r="G1719" i="8"/>
  <c r="G1771" i="8"/>
  <c r="G1819" i="8"/>
  <c r="G1867" i="8"/>
  <c r="G1888" i="8"/>
  <c r="G2001" i="8"/>
  <c r="G2097" i="8"/>
  <c r="G1898" i="8"/>
  <c r="G2018" i="8"/>
  <c r="G2109" i="8"/>
  <c r="G2243" i="8"/>
  <c r="G2357" i="8"/>
  <c r="G2248" i="8"/>
  <c r="G2367" i="8"/>
  <c r="G2285" i="8"/>
  <c r="G1891" i="8"/>
  <c r="G1939" i="8"/>
  <c r="G1987" i="8"/>
  <c r="G2035" i="8"/>
  <c r="G2083" i="8"/>
  <c r="G2131" i="8"/>
  <c r="G2249" i="8"/>
  <c r="G2149" i="8"/>
  <c r="G2277" i="8"/>
  <c r="G1952" i="8"/>
  <c r="G2000" i="8"/>
  <c r="G2048" i="8"/>
  <c r="G2096" i="8"/>
  <c r="G2159" i="8"/>
  <c r="G2305" i="8"/>
  <c r="G2141" i="8"/>
  <c r="G2283" i="8"/>
  <c r="G2169" i="8"/>
  <c r="G2311" i="8"/>
  <c r="G2453" i="8"/>
  <c r="G2595" i="8"/>
  <c r="G2481" i="8"/>
  <c r="G2609" i="8"/>
  <c r="G2477" i="8"/>
  <c r="G2605" i="8"/>
  <c r="G2464" i="8"/>
  <c r="G2592" i="8"/>
  <c r="G2501" i="8"/>
  <c r="G1363" i="8"/>
  <c r="G2497" i="8"/>
  <c r="G2178" i="8"/>
  <c r="G2226" i="8"/>
  <c r="G2274" i="8"/>
  <c r="G2322" i="8"/>
  <c r="G2388" i="8"/>
  <c r="G2507" i="8"/>
  <c r="G1360" i="8"/>
  <c r="G2480" i="8"/>
  <c r="G2617" i="8"/>
  <c r="G2374" i="8"/>
  <c r="G2426" i="8"/>
  <c r="G2478" i="8"/>
  <c r="G2526" i="8"/>
  <c r="G2574" i="8"/>
  <c r="G1380" i="8"/>
  <c r="G2641" i="8"/>
  <c r="G2630" i="8"/>
  <c r="G2678" i="8"/>
  <c r="G2671" i="8"/>
  <c r="G2660" i="8"/>
  <c r="G2695" i="8"/>
  <c r="G2702" i="8"/>
  <c r="G3047" i="8"/>
  <c r="G2885" i="8"/>
  <c r="G3021" i="8"/>
  <c r="G2760" i="8"/>
  <c r="G2804" i="8"/>
  <c r="G2963" i="8"/>
  <c r="G3091" i="8"/>
  <c r="G3107" i="8"/>
  <c r="G2749" i="8"/>
  <c r="G2801" i="8"/>
  <c r="G2978" i="8"/>
  <c r="G3099" i="8"/>
  <c r="G2926" i="8"/>
  <c r="G3117" i="8"/>
  <c r="G2718" i="8"/>
  <c r="G2766" i="8"/>
  <c r="G2841" i="8"/>
  <c r="G3045" i="8"/>
  <c r="G3059" i="8"/>
  <c r="G2865" i="8"/>
  <c r="G2974" i="8"/>
  <c r="G2735" i="8"/>
  <c r="G2783" i="8"/>
  <c r="G2854" i="8"/>
  <c r="G3080" i="8"/>
  <c r="G2877" i="8"/>
  <c r="G2967" i="8"/>
  <c r="G3048" i="8"/>
  <c r="G2882" i="8"/>
  <c r="G2981" i="8"/>
  <c r="G3087" i="8"/>
  <c r="G2880" i="8"/>
  <c r="G2960" i="8"/>
  <c r="G3079" i="8"/>
  <c r="G3122" i="8"/>
  <c r="G3139" i="8"/>
  <c r="G3202" i="8"/>
  <c r="G3175" i="8"/>
  <c r="G3218" i="8"/>
  <c r="G3141" i="8"/>
  <c r="G3192" i="8"/>
  <c r="G3173" i="8"/>
  <c r="G3209" i="8"/>
  <c r="G132" i="6"/>
  <c r="G8167" i="5"/>
  <c r="G8043" i="5"/>
  <c r="G8011" i="5"/>
  <c r="G7995" i="5"/>
  <c r="G7979" i="5"/>
  <c r="G7831" i="5"/>
  <c r="G7815" i="5"/>
  <c r="G7799" i="5"/>
  <c r="G7639" i="5"/>
  <c r="G7607" i="5"/>
  <c r="G7575" i="5"/>
  <c r="G7559" i="5"/>
  <c r="G7425" i="5"/>
  <c r="G7375" i="5"/>
  <c r="G7284" i="5"/>
  <c r="G7214" i="5"/>
  <c r="G7126" i="5"/>
  <c r="G7054" i="5"/>
  <c r="G7030" i="5"/>
  <c r="G6874" i="5"/>
  <c r="G6782" i="5"/>
  <c r="G6726" i="5"/>
  <c r="G6694" i="5"/>
  <c r="G6690" i="5"/>
  <c r="G6654" i="5"/>
  <c r="G6638" i="5"/>
  <c r="G6622" i="5"/>
  <c r="G6590" i="5"/>
  <c r="G6534" i="5"/>
  <c r="G6510" i="5"/>
  <c r="G6480" i="5"/>
  <c r="G6459" i="5"/>
  <c r="G6445" i="5"/>
  <c r="G8107" i="5"/>
  <c r="G7923" i="5"/>
  <c r="G7907" i="5"/>
  <c r="G7739" i="5"/>
  <c r="G7691" i="5"/>
  <c r="G7659" i="5"/>
  <c r="G7329" i="5"/>
  <c r="G7110" i="5"/>
  <c r="G6986" i="5"/>
  <c r="G6886" i="5"/>
  <c r="G6834" i="5"/>
  <c r="G6806" i="5"/>
  <c r="G6498" i="5"/>
  <c r="G6247" i="5"/>
  <c r="F597" i="6"/>
  <c r="G6204" i="5"/>
  <c r="G5649" i="5"/>
  <c r="G5605" i="5"/>
  <c r="G5509" i="5"/>
  <c r="G5322" i="5"/>
  <c r="G5298" i="5"/>
  <c r="G5172" i="5"/>
  <c r="G5019" i="5"/>
  <c r="G4942" i="5"/>
  <c r="G8143" i="5"/>
  <c r="G7911" i="5"/>
  <c r="G7859" i="5"/>
  <c r="G7727" i="5"/>
  <c r="G7206" i="5"/>
  <c r="G6958" i="5"/>
  <c r="G6902" i="5"/>
  <c r="G6758" i="5"/>
  <c r="G6738" i="5"/>
  <c r="G6570" i="5"/>
  <c r="G6554" i="5"/>
  <c r="G6221" i="5"/>
  <c r="G3220" i="8"/>
  <c r="G3185" i="8"/>
  <c r="G3165" i="8"/>
  <c r="G3200" i="8"/>
  <c r="G3176" i="8"/>
  <c r="G3148" i="8"/>
  <c r="G3226" i="8"/>
  <c r="G3191" i="8"/>
  <c r="G3171" i="8"/>
  <c r="G3217" i="8"/>
  <c r="G3182" i="8"/>
  <c r="G3135" i="8"/>
  <c r="G3136" i="8"/>
  <c r="G3120" i="8"/>
  <c r="G3074" i="8"/>
  <c r="G2984" i="8"/>
  <c r="G2932" i="8"/>
  <c r="G2875" i="8"/>
  <c r="G2817" i="8"/>
  <c r="G3053" i="8"/>
  <c r="G2991" i="8"/>
  <c r="G2915" i="8"/>
  <c r="G2840" i="8"/>
  <c r="G3062" i="8"/>
  <c r="G2995" i="8"/>
  <c r="G2948" i="8"/>
  <c r="G2886" i="8"/>
  <c r="G2825" i="8"/>
  <c r="G3020" i="8"/>
  <c r="G2878" i="8"/>
  <c r="G2807" i="8"/>
  <c r="G2775" i="8"/>
  <c r="G2743" i="8"/>
  <c r="G2711" i="8"/>
  <c r="G2961" i="8"/>
  <c r="G2883" i="8"/>
  <c r="G3111" i="8"/>
  <c r="G3040" i="8"/>
  <c r="G3058" i="8"/>
  <c r="G2965" i="8"/>
  <c r="G2810" i="8"/>
  <c r="G2778" i="8"/>
  <c r="G2746" i="8"/>
  <c r="G2714" i="8"/>
  <c r="G2832" i="8"/>
  <c r="G3064" i="8"/>
  <c r="G2921" i="8"/>
  <c r="G2827" i="8"/>
  <c r="G3037" i="8"/>
  <c r="G2971" i="8"/>
  <c r="G2838" i="8"/>
  <c r="G2785" i="8"/>
  <c r="G2753" i="8"/>
  <c r="G2721" i="8"/>
  <c r="G3063" i="8"/>
  <c r="G3098" i="8"/>
  <c r="G3008" i="8"/>
  <c r="G2924" i="8"/>
  <c r="G2808" i="8"/>
  <c r="G2776" i="8"/>
  <c r="G2744" i="8"/>
  <c r="G2712" i="8"/>
  <c r="G2923" i="8"/>
  <c r="G2860" i="8"/>
  <c r="G3061" i="8"/>
  <c r="G2700" i="8"/>
  <c r="G2699" i="8"/>
  <c r="G2689" i="8"/>
  <c r="G2687" i="8"/>
  <c r="G2652" i="8"/>
  <c r="G2679" i="8"/>
  <c r="G2651" i="8"/>
  <c r="G2674" i="8"/>
  <c r="G2642" i="8"/>
  <c r="G2669" i="8"/>
  <c r="G2637" i="8"/>
  <c r="G1356" i="8"/>
  <c r="G2602" i="8"/>
  <c r="G2570" i="8"/>
  <c r="G2538" i="8"/>
  <c r="G2506" i="8"/>
  <c r="G2474" i="8"/>
  <c r="G2442" i="8"/>
  <c r="G2410" i="8"/>
  <c r="G2378" i="8"/>
  <c r="G1375" i="8"/>
  <c r="G2576" i="8"/>
  <c r="G2489" i="8"/>
  <c r="G2407" i="8"/>
  <c r="G2603" i="8"/>
  <c r="G2516" i="8"/>
  <c r="G2429" i="8"/>
  <c r="G2362" i="8"/>
  <c r="G2330" i="8"/>
  <c r="G2298" i="8"/>
  <c r="G2266" i="8"/>
  <c r="G2234" i="8"/>
  <c r="G2202" i="8"/>
  <c r="G2170" i="8"/>
  <c r="G2138" i="8"/>
  <c r="G2561" i="8"/>
  <c r="G2479" i="8"/>
  <c r="G2392" i="8"/>
  <c r="G2579" i="8"/>
  <c r="G2492" i="8"/>
  <c r="G1382" i="8"/>
  <c r="G2537" i="8"/>
  <c r="G2455" i="8"/>
  <c r="G1352" i="8"/>
  <c r="G2555" i="8"/>
  <c r="G2468" i="8"/>
  <c r="G1354" i="8"/>
  <c r="G2559" i="8"/>
  <c r="G2472" i="8"/>
  <c r="G1355" i="8"/>
  <c r="G2549" i="8"/>
  <c r="G2467" i="8"/>
  <c r="G2352" i="8"/>
  <c r="G2265" i="8"/>
  <c r="G2183" i="8"/>
  <c r="G2324" i="8"/>
  <c r="G2237" i="8"/>
  <c r="G2155" i="8"/>
  <c r="G2351" i="8"/>
  <c r="G2264" i="8"/>
  <c r="G2177" i="8"/>
  <c r="G2120" i="8"/>
  <c r="G2088" i="8"/>
  <c r="G2056" i="8"/>
  <c r="G2024" i="8"/>
  <c r="G1992" i="8"/>
  <c r="G1960" i="8"/>
  <c r="G2341" i="8"/>
  <c r="G2259" i="8"/>
  <c r="G2172" i="8"/>
  <c r="G2327" i="8"/>
  <c r="G2240" i="8"/>
  <c r="G2153" i="8"/>
  <c r="G2111" i="8"/>
  <c r="G2079" i="8"/>
  <c r="G2047" i="8"/>
  <c r="G2015" i="8"/>
  <c r="G1983" i="8"/>
  <c r="G1951" i="8"/>
  <c r="G1919" i="8"/>
  <c r="G1887" i="8"/>
  <c r="G2331" i="8"/>
  <c r="G2244" i="8"/>
  <c r="G2157" i="8"/>
  <c r="G2289" i="8"/>
  <c r="G2207" i="8"/>
  <c r="G2371" i="8"/>
  <c r="G2284" i="8"/>
  <c r="G2197" i="8"/>
  <c r="G2114" i="8"/>
  <c r="G2050" i="8"/>
  <c r="G1986" i="8"/>
  <c r="G1921" i="8"/>
  <c r="G1902" i="8"/>
  <c r="G2081" i="8"/>
  <c r="G2017" i="8"/>
  <c r="G1953" i="8"/>
  <c r="G1942" i="8"/>
  <c r="G1875" i="8"/>
  <c r="G1843" i="8"/>
  <c r="G1811" i="8"/>
  <c r="G1779" i="8"/>
  <c r="G1747" i="8"/>
  <c r="G1715" i="8"/>
  <c r="G1683" i="8"/>
  <c r="G1651" i="8"/>
  <c r="G1619" i="8"/>
  <c r="G1587" i="8"/>
  <c r="G1555" i="8"/>
  <c r="G1523" i="8"/>
  <c r="G1491" i="8"/>
  <c r="G1459" i="8"/>
  <c r="G1427" i="8"/>
  <c r="G1395" i="8"/>
  <c r="G2085" i="8"/>
  <c r="G2021" i="8"/>
  <c r="G1957" i="8"/>
  <c r="G1932" i="8"/>
  <c r="G1870" i="8"/>
  <c r="G1838" i="8"/>
  <c r="G1806" i="8"/>
  <c r="G1774" i="8"/>
  <c r="G1742" i="8"/>
  <c r="G1710" i="8"/>
  <c r="G1678" i="8"/>
  <c r="G1646" i="8"/>
  <c r="G1614" i="8"/>
  <c r="G1582" i="8"/>
  <c r="G2105" i="8"/>
  <c r="G2041" i="8"/>
  <c r="G1977" i="8"/>
  <c r="G1904" i="8"/>
  <c r="G1841" i="8"/>
  <c r="G1777" i="8"/>
  <c r="G1713" i="8"/>
  <c r="G1649" i="8"/>
  <c r="G1585" i="8"/>
  <c r="G1505" i="8"/>
  <c r="G1418" i="8"/>
  <c r="G1454" i="8"/>
  <c r="G1940" i="8"/>
  <c r="G1444" i="8"/>
  <c r="G1840" i="8"/>
  <c r="G1776" i="8"/>
  <c r="G1712" i="8"/>
  <c r="G1648" i="8"/>
  <c r="G1584" i="8"/>
  <c r="G1504" i="8"/>
  <c r="G1417" i="8"/>
  <c r="G1462" i="8"/>
  <c r="G1494" i="8"/>
  <c r="G1844" i="8"/>
  <c r="G1780" i="8"/>
  <c r="G1716" i="8"/>
  <c r="G1652" i="8"/>
  <c r="G1588" i="8"/>
  <c r="G1512" i="8"/>
  <c r="G1425" i="8"/>
  <c r="G1452" i="8"/>
  <c r="G1557" i="8"/>
  <c r="G1437" i="8"/>
  <c r="G1837" i="8"/>
  <c r="G1773" i="8"/>
  <c r="G1709" i="8"/>
  <c r="G1645" i="8"/>
  <c r="G1581" i="8"/>
  <c r="G1497" i="8"/>
  <c r="G1410" i="8"/>
  <c r="G1478" i="8"/>
  <c r="G1388" i="8"/>
  <c r="G1348" i="8"/>
  <c r="G1315" i="8"/>
  <c r="G1303" i="8"/>
  <c r="G1310" i="8"/>
  <c r="G1317" i="8"/>
  <c r="G1324" i="8"/>
  <c r="G1292" i="8"/>
  <c r="G1260" i="8"/>
  <c r="G1283" i="8"/>
  <c r="G1286" i="8"/>
  <c r="G1254" i="8"/>
  <c r="G1259" i="8"/>
  <c r="G1277" i="8"/>
  <c r="G1245" i="8"/>
  <c r="G17" i="8"/>
  <c r="G33" i="8"/>
  <c r="G65" i="8"/>
  <c r="G81" i="8"/>
  <c r="G97" i="8"/>
  <c r="G113" i="8"/>
  <c r="G129" i="8"/>
  <c r="G145" i="8"/>
  <c r="G161" i="8"/>
  <c r="G177" i="8"/>
  <c r="G193" i="8"/>
  <c r="G10" i="8"/>
  <c r="G26" i="8"/>
  <c r="G42" i="8"/>
  <c r="G58" i="8"/>
  <c r="G74" i="8"/>
  <c r="G3197" i="8"/>
  <c r="G3212" i="8"/>
  <c r="G3215" i="8"/>
  <c r="G3180" i="8"/>
  <c r="G3145" i="8"/>
  <c r="G3166" i="8"/>
  <c r="G3203" i="8"/>
  <c r="G3156" i="8"/>
  <c r="G3142" i="8"/>
  <c r="G3194" i="8"/>
  <c r="G3151" i="8"/>
  <c r="G3137" i="8"/>
  <c r="G3121" i="8"/>
  <c r="G3095" i="8"/>
  <c r="G3022" i="8"/>
  <c r="G2951" i="8"/>
  <c r="G2894" i="8"/>
  <c r="G2837" i="8"/>
  <c r="G3082" i="8"/>
  <c r="G3010" i="8"/>
  <c r="G2939" i="8"/>
  <c r="G2873" i="8"/>
  <c r="G3081" i="8"/>
  <c r="G3014" i="8"/>
  <c r="G2962" i="8"/>
  <c r="G2900" i="8"/>
  <c r="G2844" i="8"/>
  <c r="G3066" i="8"/>
  <c r="G2947" i="8"/>
  <c r="G2824" i="8"/>
  <c r="G2787" i="8"/>
  <c r="G2755" i="8"/>
  <c r="G2723" i="8"/>
  <c r="G2987" i="8"/>
  <c r="G2903" i="8"/>
  <c r="G2829" i="8"/>
  <c r="G3065" i="8"/>
  <c r="G3101" i="8"/>
  <c r="G3011" i="8"/>
  <c r="G2876" i="8"/>
  <c r="G2790" i="8"/>
  <c r="G2758" i="8"/>
  <c r="G2726" i="8"/>
  <c r="G2862" i="8"/>
  <c r="G3085" i="8"/>
  <c r="G2952" i="8"/>
  <c r="G2864" i="8"/>
  <c r="G3084" i="8"/>
  <c r="G2990" i="8"/>
  <c r="G2881" i="8"/>
  <c r="G2797" i="8"/>
  <c r="G2765" i="8"/>
  <c r="G2733" i="8"/>
  <c r="G3092" i="8"/>
  <c r="G2950" i="8"/>
  <c r="G3035" i="8"/>
  <c r="G2949" i="8"/>
  <c r="G2831" i="8"/>
  <c r="G2788" i="8"/>
  <c r="G2756" i="8"/>
  <c r="G2724" i="8"/>
  <c r="G2975" i="8"/>
  <c r="G2892" i="8"/>
  <c r="G3105" i="8"/>
  <c r="G2708" i="8"/>
  <c r="G2698" i="8"/>
  <c r="G2686" i="8"/>
  <c r="G2688" i="8"/>
  <c r="G2664" i="8"/>
  <c r="G2632" i="8"/>
  <c r="G2663" i="8"/>
  <c r="G2631" i="8"/>
  <c r="G2654" i="8"/>
  <c r="G2681" i="8"/>
  <c r="G2649" i="8"/>
  <c r="G1361" i="8"/>
  <c r="G2618" i="8"/>
  <c r="G2582" i="8"/>
  <c r="G2550" i="8"/>
  <c r="G2518" i="8"/>
  <c r="G2486" i="8"/>
  <c r="G2454" i="8"/>
  <c r="G2422" i="8"/>
  <c r="G2390" i="8"/>
  <c r="G1381" i="8"/>
  <c r="G2608" i="8"/>
  <c r="G2521" i="8"/>
  <c r="G2439" i="8"/>
  <c r="G1376" i="8"/>
  <c r="G2548" i="8"/>
  <c r="G2461" i="8"/>
  <c r="G2379" i="8"/>
  <c r="G2342" i="8"/>
  <c r="G2310" i="8"/>
  <c r="G2278" i="8"/>
  <c r="G2246" i="8"/>
  <c r="G2214" i="8"/>
  <c r="G2182" i="8"/>
  <c r="G2150" i="8"/>
  <c r="G2593" i="8"/>
  <c r="G2511" i="8"/>
  <c r="G2424" i="8"/>
  <c r="G2611" i="8"/>
  <c r="G2524" i="8"/>
  <c r="G2437" i="8"/>
  <c r="G2569" i="8"/>
  <c r="G2487" i="8"/>
  <c r="G2400" i="8"/>
  <c r="G2587" i="8"/>
  <c r="G2500" i="8"/>
  <c r="G2413" i="8"/>
  <c r="G2591" i="8"/>
  <c r="G2504" i="8"/>
  <c r="G2417" i="8"/>
  <c r="G2581" i="8"/>
  <c r="G2499" i="8"/>
  <c r="G2387" i="8"/>
  <c r="G2297" i="8"/>
  <c r="G2215" i="8"/>
  <c r="G2356" i="8"/>
  <c r="G2269" i="8"/>
  <c r="G2187" i="8"/>
  <c r="G2380" i="8"/>
  <c r="G2296" i="8"/>
  <c r="G2209" i="8"/>
  <c r="G2132" i="8"/>
  <c r="G2100" i="8"/>
  <c r="G2068" i="8"/>
  <c r="G2036" i="8"/>
  <c r="G2004" i="8"/>
  <c r="G1972" i="8"/>
  <c r="G2373" i="8"/>
  <c r="G2291" i="8"/>
  <c r="G2204" i="8"/>
  <c r="G2359" i="8"/>
  <c r="G2272" i="8"/>
  <c r="G2185" i="8"/>
  <c r="G2123" i="8"/>
  <c r="G2091" i="8"/>
  <c r="G2059" i="8"/>
  <c r="G2027" i="8"/>
  <c r="G1995" i="8"/>
  <c r="G1963" i="8"/>
  <c r="G1931" i="8"/>
  <c r="G1899" i="8"/>
  <c r="G2363" i="8"/>
  <c r="G2276" i="8"/>
  <c r="G2189" i="8"/>
  <c r="G2321" i="8"/>
  <c r="G2239" i="8"/>
  <c r="G2152" i="8"/>
  <c r="G2316" i="8"/>
  <c r="G2229" i="8"/>
  <c r="G2147" i="8"/>
  <c r="G2077" i="8"/>
  <c r="G2013" i="8"/>
  <c r="G1949" i="8"/>
  <c r="G1934" i="8"/>
  <c r="G2102" i="8"/>
  <c r="G2038" i="8"/>
  <c r="G1974" i="8"/>
  <c r="G1897" i="8"/>
  <c r="G1892" i="8"/>
  <c r="G1855" i="8"/>
  <c r="G1823" i="8"/>
  <c r="G1791" i="8"/>
  <c r="G1759" i="8"/>
  <c r="G1727" i="8"/>
  <c r="G1695" i="8"/>
  <c r="G1663" i="8"/>
  <c r="G1631" i="8"/>
  <c r="G1599" i="8"/>
  <c r="G1567" i="8"/>
  <c r="G1535" i="8"/>
  <c r="G1503" i="8"/>
  <c r="G1471" i="8"/>
  <c r="G1439" i="8"/>
  <c r="G1407" i="8"/>
  <c r="G2106" i="8"/>
  <c r="G2042" i="8"/>
  <c r="G1978" i="8"/>
  <c r="G1905" i="8"/>
  <c r="G1882" i="8"/>
  <c r="G1850" i="8"/>
  <c r="G1818" i="8"/>
  <c r="G1786" i="8"/>
  <c r="G1754" i="8"/>
  <c r="G1722" i="8"/>
  <c r="G1690" i="8"/>
  <c r="G1658" i="8"/>
  <c r="G1626" i="8"/>
  <c r="G1594" i="8"/>
  <c r="G2126" i="8"/>
  <c r="G2062" i="8"/>
  <c r="G1998" i="8"/>
  <c r="G1936" i="8"/>
  <c r="G1868" i="8"/>
  <c r="G1804" i="8"/>
  <c r="G1740" i="8"/>
  <c r="G1676" i="8"/>
  <c r="G1612" i="8"/>
  <c r="G1537" i="8"/>
  <c r="G1450" i="8"/>
  <c r="G1518" i="8"/>
  <c r="G1453" i="8"/>
  <c r="G1468" i="8"/>
  <c r="G1861" i="8"/>
  <c r="G1797" i="8"/>
  <c r="G1733" i="8"/>
  <c r="G1669" i="8"/>
  <c r="G1605" i="8"/>
  <c r="G1536" i="8"/>
  <c r="G1449" i="8"/>
  <c r="G1517" i="8"/>
  <c r="G1894" i="8"/>
  <c r="G1865" i="8"/>
  <c r="G1801" i="8"/>
  <c r="G1737" i="8"/>
  <c r="G1673" i="8"/>
  <c r="G1609" i="8"/>
  <c r="G1544" i="8"/>
  <c r="G1457" i="8"/>
  <c r="G1502" i="8"/>
  <c r="G1414" i="8"/>
  <c r="G1461" i="8"/>
  <c r="G1864" i="8"/>
  <c r="G1800" i="8"/>
  <c r="G1736" i="8"/>
  <c r="G1672" i="8"/>
  <c r="G1608" i="8"/>
  <c r="G1529" i="8"/>
  <c r="G1442" i="8"/>
  <c r="G1524" i="8"/>
  <c r="G1460" i="8"/>
  <c r="G1345" i="8"/>
  <c r="G1320" i="8"/>
  <c r="G1327" i="8"/>
  <c r="G1334" i="8"/>
  <c r="G1341" i="8"/>
  <c r="G1305" i="8"/>
  <c r="G1338" i="8"/>
  <c r="G1272" i="8"/>
  <c r="G1240" i="8"/>
  <c r="G1298" i="8"/>
  <c r="G1266" i="8"/>
  <c r="G1291" i="8"/>
  <c r="G1289" i="8"/>
  <c r="G1257" i="8"/>
  <c r="G11" i="8"/>
  <c r="G27" i="8"/>
  <c r="G43" i="8"/>
  <c r="G59" i="8"/>
  <c r="G75" i="8"/>
  <c r="G91" i="8"/>
  <c r="G107" i="8"/>
  <c r="G123" i="8"/>
  <c r="G139" i="8"/>
  <c r="G155" i="8"/>
  <c r="G171" i="8"/>
  <c r="G187" i="8"/>
  <c r="G203" i="8"/>
  <c r="G20" i="8"/>
  <c r="G36" i="8"/>
  <c r="G52" i="8"/>
  <c r="G68" i="8"/>
  <c r="G84" i="8"/>
  <c r="G100" i="8"/>
  <c r="G8131" i="5"/>
  <c r="G8047" i="5"/>
  <c r="G7999" i="5"/>
  <c r="G7819" i="5"/>
  <c r="G7771" i="5"/>
  <c r="G7579" i="5"/>
  <c r="G7563" i="5"/>
  <c r="G7547" i="5"/>
  <c r="G7361" i="5"/>
  <c r="G7264" i="5"/>
  <c r="G6386" i="5"/>
  <c r="G6262" i="5"/>
  <c r="G6037" i="5"/>
  <c r="G5993" i="5"/>
  <c r="G5977" i="5"/>
  <c r="G5945" i="5"/>
  <c r="G5889" i="5"/>
  <c r="G5761" i="5"/>
  <c r="G5521" i="5"/>
  <c r="G5503" i="5"/>
  <c r="G5347" i="5"/>
  <c r="G8083" i="5"/>
  <c r="G8063" i="5"/>
  <c r="G8031" i="5"/>
  <c r="G7903" i="5"/>
  <c r="G43" i="5"/>
  <c r="G6117" i="5"/>
  <c r="G5837" i="5"/>
  <c r="G5773" i="5"/>
  <c r="G2595" i="5"/>
  <c r="G737" i="5"/>
  <c r="G6946" i="5"/>
  <c r="G6826" i="5"/>
  <c r="G6518" i="5"/>
  <c r="G1138" i="5"/>
  <c r="G7991" i="5"/>
  <c r="G7635" i="5"/>
  <c r="G7094" i="5"/>
  <c r="G7070" i="5"/>
  <c r="G6918" i="5"/>
  <c r="G6766" i="5"/>
  <c r="G6646" i="5"/>
  <c r="G7337" i="5"/>
  <c r="G5258" i="5"/>
  <c r="G2099" i="5"/>
  <c r="G4981" i="5"/>
  <c r="G2727" i="5"/>
  <c r="F489" i="6"/>
  <c r="G2185" i="5"/>
  <c r="F629" i="6"/>
  <c r="H1329" i="8"/>
  <c r="F736" i="8"/>
  <c r="H736" i="8"/>
  <c r="G8135" i="5"/>
  <c r="G8067" i="5"/>
  <c r="G8051" i="5"/>
  <c r="G8003" i="5"/>
  <c r="G7987" i="5"/>
  <c r="G7839" i="5"/>
  <c r="G7807" i="5"/>
  <c r="G7791" i="5"/>
  <c r="G7775" i="5"/>
  <c r="G7631" i="5"/>
  <c r="G7599" i="5"/>
  <c r="G7583" i="5"/>
  <c r="G7567" i="5"/>
  <c r="G7551" i="5"/>
  <c r="G7540" i="5"/>
  <c r="G7453" i="5"/>
  <c r="G7118" i="5"/>
  <c r="G7086" i="5"/>
  <c r="G7066" i="5"/>
  <c r="G7046" i="5"/>
  <c r="G7022" i="5"/>
  <c r="G6982" i="5"/>
  <c r="G6950" i="5"/>
  <c r="G6914" i="5"/>
  <c r="G6898" i="5"/>
  <c r="G6894" i="5"/>
  <c r="G6890" i="5"/>
  <c r="G6862" i="5"/>
  <c r="G6838" i="5"/>
  <c r="G6762" i="5"/>
  <c r="G6746" i="5"/>
  <c r="G6702" i="5"/>
  <c r="G6674" i="5"/>
  <c r="G6658" i="5"/>
  <c r="G6642" i="5"/>
  <c r="G6522" i="5"/>
  <c r="G6502" i="5"/>
  <c r="G6487" i="5"/>
  <c r="G6466" i="5"/>
  <c r="F593" i="6"/>
  <c r="G6253" i="5"/>
  <c r="G6077" i="5"/>
  <c r="G6057" i="5"/>
  <c r="G6041" i="5"/>
  <c r="G5997" i="5"/>
  <c r="G5981" i="5"/>
  <c r="G5965" i="5"/>
  <c r="G5949" i="5"/>
  <c r="G5917" i="5"/>
  <c r="G5897" i="5"/>
  <c r="G5873" i="5"/>
  <c r="G5765" i="5"/>
  <c r="G5749" i="5"/>
  <c r="G5587" i="5"/>
  <c r="G5569" i="5"/>
  <c r="G5551" i="5"/>
  <c r="G5533" i="5"/>
  <c r="G5515" i="5"/>
  <c r="G5470" i="5"/>
  <c r="G5457" i="5"/>
  <c r="G5291" i="5"/>
  <c r="F469" i="6"/>
  <c r="G5246" i="5"/>
  <c r="G5232" i="5"/>
  <c r="G5186" i="5"/>
  <c r="G4930" i="5"/>
  <c r="G4653" i="5"/>
  <c r="G4127" i="5"/>
  <c r="G4095" i="5"/>
  <c r="G4083" i="5"/>
  <c r="G4003" i="5"/>
  <c r="G3844" i="5"/>
  <c r="G3380" i="5"/>
  <c r="G2631" i="5"/>
  <c r="G2431" i="5"/>
  <c r="G2411" i="5"/>
  <c r="G2395" i="5"/>
  <c r="G2382" i="5"/>
  <c r="G2232" i="5"/>
  <c r="G2067" i="5"/>
  <c r="G2035" i="5"/>
  <c r="G1969" i="5"/>
  <c r="G1783" i="5"/>
  <c r="G1762" i="5"/>
  <c r="G1704" i="5"/>
  <c r="G1676" i="5"/>
  <c r="G1614" i="5"/>
  <c r="G1584" i="5"/>
  <c r="G1555" i="5"/>
  <c r="G1374" i="5"/>
  <c r="G1336" i="5"/>
  <c r="G1260" i="5"/>
  <c r="G1215" i="5"/>
  <c r="G974" i="5"/>
  <c r="G930" i="5"/>
  <c r="G597" i="5"/>
  <c r="G505" i="5"/>
  <c r="G435" i="5"/>
  <c r="G416" i="5"/>
  <c r="G372" i="5"/>
  <c r="G162" i="5"/>
  <c r="F70" i="7"/>
  <c r="F23" i="6"/>
  <c r="G114" i="6"/>
  <c r="G126" i="6"/>
  <c r="H3214" i="8"/>
  <c r="H2545" i="8"/>
  <c r="I2972" i="8"/>
  <c r="I2919" i="8"/>
  <c r="H2987" i="8"/>
  <c r="F355" i="6"/>
  <c r="F105" i="6"/>
  <c r="F167" i="6"/>
  <c r="F504" i="6"/>
  <c r="F69" i="7"/>
  <c r="E3672" i="5"/>
  <c r="E3673" i="5"/>
  <c r="F79" i="6"/>
  <c r="F96" i="6"/>
  <c r="F56" i="7"/>
  <c r="F298" i="6"/>
  <c r="F39" i="6"/>
  <c r="F265" i="6"/>
  <c r="F59" i="6"/>
  <c r="F382" i="6"/>
  <c r="F354" i="6"/>
  <c r="F35" i="7"/>
  <c r="F137" i="7"/>
  <c r="F180" i="6"/>
  <c r="F577" i="6"/>
  <c r="F491" i="6"/>
  <c r="F48" i="6"/>
  <c r="F525" i="6"/>
  <c r="F99" i="6"/>
  <c r="F631" i="6"/>
  <c r="F490" i="6"/>
  <c r="F571" i="6"/>
  <c r="F492" i="6"/>
  <c r="F106" i="7"/>
  <c r="F124" i="7"/>
  <c r="F139" i="7"/>
  <c r="F62" i="6"/>
  <c r="F182" i="6"/>
  <c r="F123" i="7"/>
  <c r="F122" i="7"/>
  <c r="F625" i="6"/>
  <c r="F405" i="6"/>
  <c r="F643" i="6"/>
  <c r="F49" i="6"/>
  <c r="F347" i="6"/>
  <c r="F57" i="7"/>
  <c r="F414" i="6"/>
  <c r="F515" i="6"/>
  <c r="F313" i="6"/>
  <c r="F618" i="6"/>
  <c r="F176" i="6"/>
  <c r="F401" i="6"/>
  <c r="F256" i="6"/>
  <c r="F15" i="6"/>
  <c r="F93" i="7"/>
  <c r="F381" i="6"/>
  <c r="F109" i="7"/>
  <c r="F129" i="7"/>
  <c r="F72" i="7"/>
  <c r="F615" i="6"/>
  <c r="F6" i="7"/>
  <c r="F94" i="7"/>
  <c r="F361" i="6"/>
  <c r="F570" i="6"/>
  <c r="F292" i="6"/>
  <c r="F17" i="7"/>
  <c r="F106" i="6"/>
  <c r="F203" i="6"/>
  <c r="F202" i="6"/>
  <c r="F537" i="6"/>
  <c r="F17" i="6"/>
  <c r="F125" i="7"/>
  <c r="F22" i="6"/>
  <c r="F16" i="6"/>
  <c r="F28" i="6"/>
  <c r="F196" i="6"/>
  <c r="F208" i="6"/>
  <c r="F23" i="7"/>
  <c r="F181" i="6"/>
  <c r="F337" i="6"/>
  <c r="F165" i="6"/>
  <c r="F383" i="6"/>
  <c r="F619" i="6"/>
  <c r="F37" i="6"/>
  <c r="F169" i="6"/>
  <c r="F275" i="6"/>
  <c r="F373" i="6"/>
  <c r="F526" i="6"/>
  <c r="F630" i="6"/>
  <c r="F561" i="6"/>
  <c r="F521" i="6"/>
  <c r="F413" i="6"/>
  <c r="F459" i="6"/>
  <c r="F502" i="6"/>
  <c r="F156" i="6"/>
  <c r="F190" i="6"/>
  <c r="F204" i="6"/>
  <c r="F340" i="6"/>
  <c r="F439" i="6"/>
  <c r="F545" i="6"/>
  <c r="F594" i="6"/>
  <c r="F128" i="7"/>
  <c r="F532" i="6"/>
  <c r="F595" i="6"/>
  <c r="F18" i="7"/>
  <c r="F95" i="7"/>
  <c r="F26" i="6"/>
  <c r="F47" i="6"/>
  <c r="F192" i="6"/>
  <c r="F266" i="6"/>
  <c r="F346" i="6"/>
  <c r="F238" i="6"/>
  <c r="F623" i="6"/>
  <c r="F87" i="6"/>
  <c r="F212" i="6"/>
  <c r="F336" i="6"/>
  <c r="F10" i="7"/>
  <c r="F47" i="7"/>
  <c r="F107" i="7"/>
  <c r="F578" i="6"/>
  <c r="F93" i="6"/>
  <c r="F185" i="6"/>
  <c r="F427" i="6"/>
  <c r="F471" i="6"/>
  <c r="F11" i="7"/>
  <c r="F402" i="6"/>
  <c r="H1618" i="8" l="1"/>
  <c r="F2943" i="8"/>
  <c r="F1652" i="8"/>
  <c r="F1377" i="8"/>
  <c r="I1377" i="8"/>
  <c r="F1642" i="8"/>
  <c r="H1642" i="8"/>
  <c r="I1618" i="8"/>
  <c r="F792" i="8"/>
  <c r="I792" i="8"/>
  <c r="H792" i="8"/>
  <c r="H1377" i="8"/>
  <c r="F303" i="6"/>
  <c r="F230" i="6"/>
  <c r="H1973" i="8"/>
  <c r="H1877" i="8"/>
  <c r="I1877" i="8"/>
  <c r="I1973" i="8"/>
  <c r="F2809" i="8"/>
  <c r="H2809" i="8"/>
  <c r="F1927" i="8"/>
  <c r="H1927" i="8"/>
  <c r="F2964" i="8"/>
  <c r="I2964" i="8"/>
  <c r="F1004" i="8"/>
  <c r="I1004" i="8"/>
  <c r="F1741" i="8"/>
  <c r="H1741" i="8"/>
  <c r="F1442" i="8"/>
  <c r="H1442" i="8"/>
  <c r="F2004" i="8"/>
  <c r="I2004" i="8"/>
  <c r="F2222" i="8"/>
  <c r="H2222" i="8"/>
  <c r="F3470" i="8"/>
  <c r="H3470" i="8"/>
  <c r="H2746" i="8"/>
  <c r="F3481" i="8"/>
  <c r="I3481" i="8"/>
  <c r="H3481" i="8"/>
  <c r="G4278" i="5"/>
  <c r="F2801" i="8"/>
  <c r="H2801" i="8"/>
  <c r="F2784" i="8"/>
  <c r="H2784" i="8"/>
  <c r="I2784" i="8"/>
  <c r="F2793" i="8"/>
  <c r="H2793" i="8"/>
  <c r="F2791" i="8"/>
  <c r="I2791" i="8"/>
  <c r="H2791" i="8"/>
  <c r="F3277" i="8"/>
  <c r="H3277" i="8"/>
  <c r="F3445" i="8"/>
  <c r="I3445" i="8"/>
  <c r="F356" i="6"/>
  <c r="G4330" i="5"/>
  <c r="G4329" i="5"/>
  <c r="G4277" i="5"/>
  <c r="F2490" i="8"/>
  <c r="I2490" i="8"/>
  <c r="H2490" i="8"/>
  <c r="F2553" i="8"/>
  <c r="I2553" i="8"/>
  <c r="F692" i="8"/>
  <c r="H692" i="8"/>
  <c r="I692" i="8"/>
  <c r="F644" i="8"/>
  <c r="I644" i="8"/>
  <c r="H644" i="8"/>
  <c r="F2702" i="8"/>
  <c r="H2702" i="8"/>
  <c r="I2702" i="8"/>
  <c r="F706" i="8"/>
  <c r="H706" i="8"/>
  <c r="I706" i="8"/>
  <c r="F566" i="6"/>
  <c r="F584" i="6"/>
  <c r="F585" i="6"/>
  <c r="F534" i="6"/>
  <c r="F3477" i="8"/>
  <c r="I3477" i="8"/>
  <c r="H3477" i="8"/>
  <c r="F1535" i="8"/>
  <c r="I1535" i="8"/>
  <c r="H1535" i="8"/>
  <c r="F268" i="6"/>
  <c r="F3204" i="8"/>
  <c r="H3204" i="8"/>
  <c r="I3204" i="8"/>
  <c r="F3146" i="8"/>
  <c r="H3146" i="8"/>
  <c r="I3146" i="8"/>
  <c r="H3459" i="8"/>
  <c r="F278" i="6"/>
  <c r="F3273" i="8"/>
  <c r="F76" i="7"/>
  <c r="F111" i="7"/>
  <c r="F84" i="7"/>
  <c r="F75" i="7"/>
  <c r="F13" i="7"/>
  <c r="F97" i="7"/>
  <c r="F131" i="7"/>
  <c r="F99" i="7"/>
  <c r="F2862" i="8"/>
  <c r="I2862" i="8"/>
  <c r="H2862" i="8"/>
  <c r="F3194" i="8"/>
  <c r="H3194" i="8"/>
  <c r="I3194" i="8"/>
  <c r="F3214" i="8"/>
  <c r="I3214" i="8"/>
  <c r="F277" i="6"/>
  <c r="F302" i="6"/>
  <c r="F98" i="6"/>
  <c r="F384" i="6"/>
  <c r="F63" i="6"/>
  <c r="F63" i="7"/>
  <c r="F295" i="6"/>
  <c r="F406" i="6"/>
  <c r="F40" i="7"/>
  <c r="F126" i="7"/>
  <c r="F287" i="6"/>
  <c r="F375" i="6"/>
  <c r="F407" i="6"/>
  <c r="F27" i="7"/>
  <c r="F553" i="6"/>
  <c r="F555" i="6"/>
  <c r="F377" i="6"/>
  <c r="I1652" i="8" l="1"/>
  <c r="H1652" i="8"/>
  <c r="F2771" i="8"/>
  <c r="F2194" i="8"/>
  <c r="I2703" i="8"/>
  <c r="F2041" i="8"/>
  <c r="H2943" i="8"/>
  <c r="I2943" i="8"/>
  <c r="F788" i="8"/>
  <c r="H788" i="8"/>
  <c r="I788" i="8"/>
  <c r="F1020" i="8"/>
  <c r="I1020" i="8"/>
  <c r="H1020" i="8"/>
  <c r="F745" i="8"/>
  <c r="H745" i="8"/>
  <c r="I745" i="8"/>
  <c r="F1591" i="8"/>
  <c r="H1591" i="8"/>
  <c r="I1591" i="8"/>
  <c r="F1327" i="8"/>
  <c r="I1327" i="8"/>
  <c r="H1327" i="8"/>
  <c r="F804" i="8"/>
  <c r="H804" i="8"/>
  <c r="I804" i="8"/>
  <c r="F1325" i="8"/>
  <c r="I1325" i="8"/>
  <c r="H1325" i="8"/>
  <c r="F1005" i="8"/>
  <c r="I1005" i="8"/>
  <c r="H1005" i="8"/>
  <c r="F826" i="8"/>
  <c r="H826" i="8"/>
  <c r="I826" i="8"/>
  <c r="F1501" i="8"/>
  <c r="H1501" i="8"/>
  <c r="I1501" i="8"/>
  <c r="F1373" i="8"/>
  <c r="I1373" i="8"/>
  <c r="H1373" i="8"/>
  <c r="F1429" i="8"/>
  <c r="I1429" i="8"/>
  <c r="H1429" i="8"/>
  <c r="F1003" i="8"/>
  <c r="I1003" i="8"/>
  <c r="H1003" i="8"/>
  <c r="F755" i="8"/>
  <c r="H755" i="8"/>
  <c r="I755" i="8"/>
  <c r="F1626" i="8"/>
  <c r="I1626" i="8"/>
  <c r="H1626" i="8"/>
  <c r="F1281" i="8"/>
  <c r="I1281" i="8"/>
  <c r="H1281" i="8"/>
  <c r="F1243" i="8"/>
  <c r="H1243" i="8"/>
  <c r="I1243" i="8"/>
  <c r="F767" i="8"/>
  <c r="I767" i="8"/>
  <c r="H767" i="8"/>
  <c r="F1452" i="8"/>
  <c r="H1452" i="8"/>
  <c r="I1452" i="8"/>
  <c r="F1009" i="8"/>
  <c r="H1009" i="8"/>
  <c r="I1009" i="8"/>
  <c r="F601" i="8"/>
  <c r="H601" i="8"/>
  <c r="I601" i="8"/>
  <c r="F543" i="8"/>
  <c r="H543" i="8"/>
  <c r="I543" i="8"/>
  <c r="F762" i="8"/>
  <c r="I762" i="8"/>
  <c r="H762" i="8"/>
  <c r="F1514" i="8"/>
  <c r="H1514" i="8"/>
  <c r="I1514" i="8"/>
  <c r="F1048" i="8"/>
  <c r="H1048" i="8"/>
  <c r="I1048" i="8"/>
  <c r="F839" i="8"/>
  <c r="H839" i="8"/>
  <c r="I839" i="8"/>
  <c r="F787" i="8"/>
  <c r="I787" i="8"/>
  <c r="H787" i="8"/>
  <c r="F497" i="8"/>
  <c r="I497" i="8"/>
  <c r="H497" i="8"/>
  <c r="F488" i="8"/>
  <c r="H488" i="8"/>
  <c r="I488" i="8"/>
  <c r="F737" i="8"/>
  <c r="H737" i="8"/>
  <c r="I737" i="8"/>
  <c r="F633" i="8"/>
  <c r="H633" i="8"/>
  <c r="I633" i="8"/>
  <c r="F2746" i="8"/>
  <c r="F1502" i="8"/>
  <c r="H1502" i="8"/>
  <c r="I1502" i="8"/>
  <c r="F1428" i="8"/>
  <c r="I1428" i="8"/>
  <c r="H1428" i="8"/>
  <c r="F1150" i="8"/>
  <c r="I1150" i="8"/>
  <c r="H1150" i="8"/>
  <c r="F1072" i="8"/>
  <c r="I1072" i="8"/>
  <c r="H1072" i="8"/>
  <c r="F1945" i="8"/>
  <c r="H1945" i="8"/>
  <c r="I1945" i="8"/>
  <c r="F2703" i="8"/>
  <c r="F1244" i="8"/>
  <c r="H1244" i="8"/>
  <c r="I1244" i="8"/>
  <c r="F1105" i="8"/>
  <c r="H1105" i="8"/>
  <c r="I1105" i="8"/>
  <c r="I2426" i="8"/>
  <c r="F3063" i="8"/>
  <c r="H3063" i="8"/>
  <c r="I3063" i="8"/>
  <c r="F1430" i="8"/>
  <c r="H1430" i="8"/>
  <c r="I1430" i="8"/>
  <c r="F1964" i="8"/>
  <c r="H1964" i="8"/>
  <c r="I1964" i="8"/>
  <c r="F1091" i="8"/>
  <c r="H1091" i="8"/>
  <c r="I1091" i="8"/>
  <c r="I2746" i="8"/>
  <c r="F2691" i="8"/>
  <c r="I2691" i="8"/>
  <c r="H2691" i="8"/>
  <c r="F2624" i="8"/>
  <c r="I2624" i="8"/>
  <c r="H2624" i="8"/>
  <c r="F2155" i="8"/>
  <c r="H2155" i="8"/>
  <c r="I2155" i="8"/>
  <c r="F2119" i="8"/>
  <c r="I2119" i="8"/>
  <c r="H2119" i="8"/>
  <c r="F1683" i="8"/>
  <c r="H1683" i="8"/>
  <c r="I1683" i="8"/>
  <c r="F1671" i="8"/>
  <c r="I1671" i="8"/>
  <c r="H1671" i="8"/>
  <c r="F2139" i="8"/>
  <c r="I2139" i="8"/>
  <c r="H2139" i="8"/>
  <c r="F2680" i="8"/>
  <c r="H2680" i="8"/>
  <c r="I2680" i="8"/>
  <c r="F2564" i="8"/>
  <c r="H2564" i="8"/>
  <c r="I2564" i="8"/>
  <c r="F1767" i="8"/>
  <c r="H1767" i="8"/>
  <c r="I1767" i="8"/>
  <c r="F2091" i="8"/>
  <c r="H2091" i="8"/>
  <c r="I2091" i="8"/>
  <c r="F1875" i="8"/>
  <c r="I1875" i="8"/>
  <c r="H1875" i="8"/>
  <c r="F2106" i="8"/>
  <c r="H2106" i="8"/>
  <c r="I2106" i="8"/>
  <c r="F2202" i="8"/>
  <c r="H2202" i="8"/>
  <c r="I2202" i="8"/>
  <c r="F2239" i="8"/>
  <c r="H2239" i="8"/>
  <c r="I2239" i="8"/>
  <c r="F2301" i="8"/>
  <c r="H2301" i="8"/>
  <c r="I2301" i="8"/>
  <c r="F2264" i="8"/>
  <c r="I2264" i="8"/>
  <c r="H2264" i="8"/>
  <c r="F2031" i="8"/>
  <c r="I2031" i="8"/>
  <c r="H2031" i="8"/>
  <c r="F2428" i="8"/>
  <c r="H2428" i="8"/>
  <c r="I2428" i="8"/>
  <c r="F2077" i="8"/>
  <c r="I2077" i="8"/>
  <c r="H2077" i="8"/>
  <c r="F2108" i="8"/>
  <c r="I2108" i="8"/>
  <c r="H2108" i="8"/>
  <c r="F1768" i="8"/>
  <c r="H1768" i="8"/>
  <c r="I1768" i="8"/>
  <c r="F2025" i="8"/>
  <c r="H2025" i="8"/>
  <c r="I2025" i="8"/>
  <c r="F1556" i="8"/>
  <c r="I1556" i="8"/>
  <c r="H1556" i="8"/>
  <c r="F2069" i="8"/>
  <c r="I2069" i="8"/>
  <c r="H2069" i="8"/>
  <c r="F2309" i="8"/>
  <c r="I2309" i="8"/>
  <c r="H2309" i="8"/>
  <c r="F2359" i="8"/>
  <c r="I2359" i="8"/>
  <c r="H2359" i="8"/>
  <c r="F2284" i="8"/>
  <c r="I2284" i="8"/>
  <c r="H2284" i="8"/>
  <c r="F2116" i="8"/>
  <c r="I2116" i="8"/>
  <c r="H2116" i="8"/>
  <c r="F1963" i="8"/>
  <c r="H1963" i="8"/>
  <c r="I1963" i="8"/>
  <c r="F2029" i="8"/>
  <c r="I2029" i="8"/>
  <c r="H2029" i="8"/>
  <c r="F1550" i="8"/>
  <c r="I1550" i="8"/>
  <c r="H1550" i="8"/>
  <c r="F2579" i="8"/>
  <c r="H2579" i="8"/>
  <c r="I2579" i="8"/>
  <c r="F2229" i="8"/>
  <c r="H2229" i="8"/>
  <c r="I2229" i="8"/>
  <c r="F2007" i="8"/>
  <c r="H2007" i="8"/>
  <c r="I2007" i="8"/>
  <c r="F1523" i="8"/>
  <c r="H1523" i="8"/>
  <c r="I1523" i="8"/>
  <c r="F188" i="6"/>
  <c r="F3203" i="8"/>
  <c r="I3203" i="8"/>
  <c r="H3203" i="8"/>
  <c r="F2958" i="8"/>
  <c r="I2958" i="8"/>
  <c r="H2958" i="8"/>
  <c r="F2842" i="8"/>
  <c r="H2842" i="8"/>
  <c r="I2842" i="8"/>
  <c r="F2950" i="8"/>
  <c r="I2950" i="8"/>
  <c r="H2950" i="8"/>
  <c r="F2779" i="8"/>
  <c r="H2779" i="8"/>
  <c r="I2779" i="8"/>
  <c r="F2635" i="8"/>
  <c r="I2635" i="8"/>
  <c r="H2635" i="8"/>
  <c r="F3457" i="8"/>
  <c r="H3457" i="8"/>
  <c r="I3457" i="8"/>
  <c r="F2966" i="8"/>
  <c r="I2966" i="8"/>
  <c r="H2966" i="8"/>
  <c r="F2434" i="8"/>
  <c r="H2434" i="8"/>
  <c r="I2434" i="8"/>
  <c r="F2962" i="8"/>
  <c r="I2962" i="8"/>
  <c r="H2962" i="8"/>
  <c r="F2474" i="8"/>
  <c r="I2474" i="8"/>
  <c r="H2474" i="8"/>
  <c r="F2193" i="8"/>
  <c r="H2193" i="8"/>
  <c r="I2193" i="8"/>
  <c r="F1765" i="8"/>
  <c r="I1765" i="8"/>
  <c r="H1765" i="8"/>
  <c r="F2254" i="8"/>
  <c r="H2254" i="8"/>
  <c r="I2254" i="8"/>
  <c r="F1913" i="8"/>
  <c r="I1913" i="8"/>
  <c r="H1913" i="8"/>
  <c r="H2381" i="8"/>
  <c r="F2381" i="8"/>
  <c r="I2381" i="8"/>
  <c r="I2083" i="8"/>
  <c r="F2083" i="8"/>
  <c r="H2083" i="8"/>
  <c r="F1234" i="8"/>
  <c r="I1234" i="8"/>
  <c r="H1234" i="8"/>
  <c r="F1697" i="8"/>
  <c r="I1697" i="8"/>
  <c r="H1697" i="8"/>
  <c r="F1478" i="8"/>
  <c r="I1478" i="8"/>
  <c r="H1478" i="8"/>
  <c r="F3450" i="8"/>
  <c r="H3450" i="8"/>
  <c r="I3450" i="8"/>
  <c r="F3474" i="8"/>
  <c r="H3474" i="8"/>
  <c r="I3474" i="8"/>
  <c r="F3215" i="8"/>
  <c r="H3215" i="8"/>
  <c r="I3215" i="8"/>
  <c r="F3061" i="8"/>
  <c r="I3061" i="8"/>
  <c r="H3061" i="8"/>
  <c r="F3221" i="8"/>
  <c r="I3221" i="8"/>
  <c r="H3221" i="8"/>
  <c r="F3017" i="8"/>
  <c r="H3017" i="8"/>
  <c r="I3017" i="8"/>
  <c r="F2052" i="8"/>
  <c r="H2052" i="8"/>
  <c r="I2052" i="8"/>
  <c r="F2953" i="8"/>
  <c r="I2953" i="8"/>
  <c r="H2953" i="8"/>
  <c r="F506" i="6"/>
  <c r="F505" i="6"/>
  <c r="F112" i="7"/>
  <c r="F586" i="6"/>
  <c r="F634" i="6"/>
  <c r="F507" i="6"/>
  <c r="F113" i="7"/>
  <c r="F572" i="6"/>
  <c r="F85" i="7"/>
  <c r="F259" i="6"/>
  <c r="F429" i="6"/>
  <c r="F258" i="6"/>
  <c r="F51" i="6"/>
  <c r="F602" i="6"/>
  <c r="F442" i="6"/>
  <c r="F329" i="6"/>
  <c r="F83" i="7"/>
  <c r="F98" i="7"/>
  <c r="F633" i="6"/>
  <c r="F330" i="6"/>
  <c r="F159" i="6"/>
  <c r="F40" i="6"/>
  <c r="F474" i="6"/>
  <c r="F418" i="6"/>
  <c r="F215" i="6"/>
  <c r="F317" i="6"/>
  <c r="F316" i="6"/>
  <c r="F430" i="6"/>
  <c r="F245" i="6"/>
  <c r="F603" i="6"/>
  <c r="F632" i="6"/>
  <c r="F315" i="6"/>
  <c r="F244" i="6"/>
  <c r="F1477" i="8"/>
  <c r="I1477" i="8"/>
  <c r="H1477" i="8"/>
  <c r="F2498" i="8"/>
  <c r="I2498" i="8"/>
  <c r="H2498" i="8"/>
  <c r="F2637" i="8"/>
  <c r="I2637" i="8"/>
  <c r="H2637" i="8"/>
  <c r="F1756" i="8"/>
  <c r="F1397" i="8"/>
  <c r="I1397" i="8"/>
  <c r="H1397" i="8"/>
  <c r="F2221" i="8"/>
  <c r="I2221" i="8"/>
  <c r="H2221" i="8"/>
  <c r="F1469" i="8"/>
  <c r="I1469" i="8"/>
  <c r="H1469" i="8"/>
  <c r="F2332" i="8"/>
  <c r="H2332" i="8"/>
  <c r="I2332" i="8"/>
  <c r="F2413" i="8"/>
  <c r="H2413" i="8"/>
  <c r="I2413" i="8"/>
  <c r="F2866" i="8"/>
  <c r="H2866" i="8"/>
  <c r="I2866" i="8"/>
  <c r="F1371" i="8"/>
  <c r="H1371" i="8"/>
  <c r="I1371" i="8"/>
  <c r="F2677" i="8"/>
  <c r="H2677" i="8"/>
  <c r="I2677" i="8"/>
  <c r="F2402" i="8"/>
  <c r="H2402" i="8"/>
  <c r="I2402" i="8"/>
  <c r="F1485" i="8"/>
  <c r="I1485" i="8"/>
  <c r="H1485" i="8"/>
  <c r="F2629" i="8"/>
  <c r="H2629" i="8"/>
  <c r="I2629" i="8"/>
  <c r="F2324" i="8"/>
  <c r="I2324" i="8"/>
  <c r="H2324" i="8"/>
  <c r="F2203" i="8"/>
  <c r="I2203" i="8"/>
  <c r="H2203" i="8"/>
  <c r="F528" i="8"/>
  <c r="I528" i="8"/>
  <c r="H528" i="8"/>
  <c r="F815" i="8"/>
  <c r="I815" i="8"/>
  <c r="H815" i="8"/>
  <c r="F2224" i="8"/>
  <c r="I2224" i="8"/>
  <c r="H2224" i="8"/>
  <c r="F2561" i="8"/>
  <c r="I2561" i="8"/>
  <c r="H2561" i="8"/>
  <c r="F2291" i="8"/>
  <c r="H2291" i="8"/>
  <c r="I2291" i="8"/>
  <c r="F2410" i="8"/>
  <c r="I2410" i="8"/>
  <c r="H2410" i="8"/>
  <c r="F52" i="6"/>
  <c r="F8" i="6"/>
  <c r="F2205" i="8"/>
  <c r="I2205" i="8"/>
  <c r="H2205" i="8"/>
  <c r="F1086" i="8"/>
  <c r="I1086" i="8"/>
  <c r="H1086" i="8"/>
  <c r="F1980" i="8"/>
  <c r="H1980" i="8"/>
  <c r="I1980" i="8"/>
  <c r="F74" i="8"/>
  <c r="H74" i="8"/>
  <c r="I74" i="8"/>
  <c r="F1825" i="8"/>
  <c r="I1825" i="8"/>
  <c r="H1825" i="8"/>
  <c r="F1482" i="8"/>
  <c r="H1482" i="8"/>
  <c r="I1482" i="8"/>
  <c r="F1582" i="8"/>
  <c r="I1582" i="8"/>
  <c r="H1582" i="8"/>
  <c r="F676" i="8"/>
  <c r="H676" i="8"/>
  <c r="I676" i="8"/>
  <c r="F1223" i="8"/>
  <c r="H1223" i="8"/>
  <c r="I1223" i="8"/>
  <c r="F1474" i="8"/>
  <c r="H1474" i="8"/>
  <c r="I1474" i="8"/>
  <c r="F2210" i="8"/>
  <c r="I2210" i="8"/>
  <c r="H2210" i="8"/>
  <c r="F652" i="8"/>
  <c r="H652" i="8"/>
  <c r="I652" i="8"/>
  <c r="F620" i="8"/>
  <c r="I620" i="8"/>
  <c r="H620" i="8"/>
  <c r="F2764" i="8"/>
  <c r="I2764" i="8"/>
  <c r="H2764" i="8"/>
  <c r="F50" i="6"/>
  <c r="F72" i="6"/>
  <c r="F419" i="6"/>
  <c r="F145" i="6"/>
  <c r="F89" i="6"/>
  <c r="F9" i="6"/>
  <c r="F2372" i="8"/>
  <c r="I2372" i="8"/>
  <c r="H2372" i="8"/>
  <c r="F2804" i="8"/>
  <c r="I2804" i="8"/>
  <c r="H2804" i="8"/>
  <c r="F2682" i="8"/>
  <c r="I2682" i="8"/>
  <c r="H2682" i="8"/>
  <c r="F3151" i="8"/>
  <c r="H3151" i="8"/>
  <c r="I3151" i="8"/>
  <c r="F452" i="8"/>
  <c r="H452" i="8"/>
  <c r="I452" i="8"/>
  <c r="F2023" i="8"/>
  <c r="I2023" i="8"/>
  <c r="H2023" i="8"/>
  <c r="F1438" i="8"/>
  <c r="I1438" i="8"/>
  <c r="H1438" i="8"/>
  <c r="F2738" i="8"/>
  <c r="I2738" i="8"/>
  <c r="H2738" i="8"/>
  <c r="F2506" i="8"/>
  <c r="I2506" i="8"/>
  <c r="H2506" i="8"/>
  <c r="F2790" i="8"/>
  <c r="H2790" i="8"/>
  <c r="I2790" i="8"/>
  <c r="F2009" i="8"/>
  <c r="H2009" i="8"/>
  <c r="I2009" i="8"/>
  <c r="F2626" i="8"/>
  <c r="I2626" i="8"/>
  <c r="H2626" i="8"/>
  <c r="F2489" i="8"/>
  <c r="H2489" i="8"/>
  <c r="I2489" i="8"/>
  <c r="F2305" i="8"/>
  <c r="I2305" i="8"/>
  <c r="H2305" i="8"/>
  <c r="F1049" i="8"/>
  <c r="I1049" i="8"/>
  <c r="H1049" i="8"/>
  <c r="F2443" i="8"/>
  <c r="I2443" i="8"/>
  <c r="H2443" i="8"/>
  <c r="H2914" i="8"/>
  <c r="F2998" i="8"/>
  <c r="I2998" i="8"/>
  <c r="H2998" i="8"/>
  <c r="F1379" i="8"/>
  <c r="H1379" i="8"/>
  <c r="I1379" i="8"/>
  <c r="F1258" i="8"/>
  <c r="H1258" i="8"/>
  <c r="I1258" i="8"/>
  <c r="F3181" i="8"/>
  <c r="H3181" i="8"/>
  <c r="I3181" i="8"/>
  <c r="F2260" i="8"/>
  <c r="H2260" i="8"/>
  <c r="I2260" i="8"/>
  <c r="F1311" i="8"/>
  <c r="I1311" i="8"/>
  <c r="H1311" i="8"/>
  <c r="F55" i="8"/>
  <c r="I55" i="8"/>
  <c r="H55" i="8"/>
  <c r="F88" i="6"/>
  <c r="H297" i="8"/>
  <c r="I297" i="8" s="1"/>
  <c r="F144" i="6"/>
  <c r="F2834" i="8"/>
  <c r="I2834" i="8"/>
  <c r="H2834" i="8"/>
  <c r="F2534" i="8"/>
  <c r="I2534" i="8"/>
  <c r="H2534" i="8"/>
  <c r="F2444" i="8"/>
  <c r="I2444" i="8"/>
  <c r="H2444" i="8"/>
  <c r="F2555" i="8"/>
  <c r="I2555" i="8"/>
  <c r="H2555" i="8"/>
  <c r="F2492" i="8"/>
  <c r="H2492" i="8"/>
  <c r="I2492" i="8"/>
  <c r="F2098" i="8"/>
  <c r="I2098" i="8"/>
  <c r="H2098" i="8"/>
  <c r="F1969" i="8"/>
  <c r="I1969" i="8"/>
  <c r="H1969" i="8"/>
  <c r="F2111" i="8"/>
  <c r="H2111" i="8"/>
  <c r="I2111" i="8"/>
  <c r="F1587" i="8"/>
  <c r="H1587" i="8"/>
  <c r="I1587" i="8"/>
  <c r="F1279" i="8"/>
  <c r="H1279" i="8"/>
  <c r="I1279" i="8"/>
  <c r="F3187" i="8"/>
  <c r="H3187" i="8"/>
  <c r="I3187" i="8"/>
  <c r="F2230" i="8"/>
  <c r="I2230" i="8"/>
  <c r="H2230" i="8"/>
  <c r="F1993" i="8"/>
  <c r="I1993" i="8"/>
  <c r="H1993" i="8"/>
  <c r="F1047" i="8"/>
  <c r="I1047" i="8"/>
  <c r="H1047" i="8"/>
  <c r="F2363" i="8"/>
  <c r="H2363" i="8"/>
  <c r="I2363" i="8"/>
  <c r="F847" i="8"/>
  <c r="H847" i="8"/>
  <c r="I847" i="8"/>
  <c r="F797" i="8"/>
  <c r="I797" i="8"/>
  <c r="H797" i="8"/>
  <c r="F2763" i="8"/>
  <c r="H2763" i="8"/>
  <c r="I2763" i="8"/>
  <c r="F2017" i="8"/>
  <c r="I2017" i="8"/>
  <c r="H2017" i="8"/>
  <c r="F41" i="6"/>
  <c r="F42" i="6"/>
  <c r="F29" i="6"/>
  <c r="F81" i="6"/>
  <c r="F476" i="6"/>
  <c r="F477" i="6"/>
  <c r="F114" i="7"/>
  <c r="F3459" i="8"/>
  <c r="H3273" i="8"/>
  <c r="I3273" i="8"/>
  <c r="I3459" i="8"/>
  <c r="F1668" i="8"/>
  <c r="H1668" i="8"/>
  <c r="I1668" i="8"/>
  <c r="F1612" i="8"/>
  <c r="I1612" i="8"/>
  <c r="H1612" i="8"/>
  <c r="F2565" i="8"/>
  <c r="I2565" i="8"/>
  <c r="H2565" i="8"/>
  <c r="F596" i="8"/>
  <c r="H596" i="8"/>
  <c r="I596" i="8"/>
  <c r="F1578" i="8"/>
  <c r="H1578" i="8"/>
  <c r="I1578" i="8"/>
  <c r="F2174" i="8"/>
  <c r="H2174" i="8"/>
  <c r="I2174" i="8"/>
  <c r="F2775" i="8"/>
  <c r="H2775" i="8"/>
  <c r="I2775" i="8"/>
  <c r="F836" i="8"/>
  <c r="H836" i="8"/>
  <c r="I836" i="8"/>
  <c r="F2317" i="8"/>
  <c r="I2317" i="8"/>
  <c r="H2317" i="8"/>
  <c r="F2462" i="8"/>
  <c r="I2462" i="8"/>
  <c r="H2462" i="8"/>
  <c r="F2377" i="8"/>
  <c r="H2377" i="8"/>
  <c r="I2377" i="8"/>
  <c r="F2494" i="8"/>
  <c r="I2494" i="8"/>
  <c r="H2494" i="8"/>
  <c r="F1676" i="8"/>
  <c r="I1676" i="8"/>
  <c r="H1676" i="8"/>
  <c r="F1503" i="8"/>
  <c r="I1503" i="8"/>
  <c r="H1503" i="8"/>
  <c r="F2122" i="8"/>
  <c r="H2122" i="8"/>
  <c r="I2122" i="8"/>
  <c r="F1792" i="8"/>
  <c r="I1792" i="8"/>
  <c r="H1792" i="8"/>
  <c r="F1028" i="8"/>
  <c r="I1028" i="8"/>
  <c r="H1028" i="8"/>
  <c r="F1461" i="8"/>
  <c r="I1461" i="8"/>
  <c r="H1461" i="8"/>
  <c r="F2380" i="8"/>
  <c r="H2380" i="8"/>
  <c r="I2380" i="8"/>
  <c r="F3021" i="8"/>
  <c r="I3021" i="8"/>
  <c r="H3021" i="8"/>
  <c r="F2653" i="8"/>
  <c r="I2653" i="8"/>
  <c r="H2653" i="8"/>
  <c r="F1845" i="8"/>
  <c r="I1845" i="8"/>
  <c r="H1845" i="8"/>
  <c r="F539" i="8"/>
  <c r="I539" i="8"/>
  <c r="H539" i="8"/>
  <c r="F2015" i="8"/>
  <c r="I2015" i="8"/>
  <c r="H2015" i="8"/>
  <c r="F2350" i="8"/>
  <c r="I2350" i="8"/>
  <c r="H2350" i="8"/>
  <c r="F1800" i="8"/>
  <c r="I1800" i="8"/>
  <c r="H1800" i="8"/>
  <c r="F1215" i="8"/>
  <c r="H1215" i="8"/>
  <c r="I1215" i="8"/>
  <c r="F1776" i="8"/>
  <c r="H1776" i="8"/>
  <c r="I1776" i="8"/>
  <c r="F386" i="8"/>
  <c r="H386" i="8"/>
  <c r="I386" i="8"/>
  <c r="F1764" i="8"/>
  <c r="H1764" i="8"/>
  <c r="I1764" i="8"/>
  <c r="F2166" i="8"/>
  <c r="I2166" i="8"/>
  <c r="H2166" i="8"/>
  <c r="I1756" i="8"/>
  <c r="F3160" i="8"/>
  <c r="I3160" i="8"/>
  <c r="H3160" i="8"/>
  <c r="F2338" i="8"/>
  <c r="H2338" i="8"/>
  <c r="I2338" i="8"/>
  <c r="F1780" i="8"/>
  <c r="H1780" i="8"/>
  <c r="I1780" i="8"/>
  <c r="F1998" i="8"/>
  <c r="I1998" i="8"/>
  <c r="H1998" i="8"/>
  <c r="F1740" i="8"/>
  <c r="H1740" i="8"/>
  <c r="I1740" i="8"/>
  <c r="F2354" i="8"/>
  <c r="I2354" i="8"/>
  <c r="H2354" i="8"/>
  <c r="F2843" i="8"/>
  <c r="I2843" i="8"/>
  <c r="H2843" i="8"/>
  <c r="F2459" i="8"/>
  <c r="H2459" i="8"/>
  <c r="I2459" i="8"/>
  <c r="F2973" i="8"/>
  <c r="I2973" i="8"/>
  <c r="H2973" i="8"/>
  <c r="F2807" i="8"/>
  <c r="I2807" i="8"/>
  <c r="H2807" i="8"/>
  <c r="F2491" i="8"/>
  <c r="I2491" i="8"/>
  <c r="H2491" i="8"/>
  <c r="F2549" i="8"/>
  <c r="H2549" i="8"/>
  <c r="I2549" i="8"/>
  <c r="F2351" i="8"/>
  <c r="H2351" i="8"/>
  <c r="I2351" i="8"/>
  <c r="F2435" i="8"/>
  <c r="H2435" i="8"/>
  <c r="I2435" i="8"/>
  <c r="F2427" i="8"/>
  <c r="H2427" i="8"/>
  <c r="I2427" i="8"/>
  <c r="F1498" i="8"/>
  <c r="I1498" i="8"/>
  <c r="H1498" i="8"/>
  <c r="F3076" i="8"/>
  <c r="H3076" i="8"/>
  <c r="I3076" i="8"/>
  <c r="F2160" i="8"/>
  <c r="I2160" i="8"/>
  <c r="H2160" i="8"/>
  <c r="F2659" i="8"/>
  <c r="H2659" i="8"/>
  <c r="I2659" i="8"/>
  <c r="F1857" i="8"/>
  <c r="I1857" i="8"/>
  <c r="H1857" i="8"/>
  <c r="F1795" i="8"/>
  <c r="I1795" i="8"/>
  <c r="H1795" i="8"/>
  <c r="F2692" i="8"/>
  <c r="I2692" i="8"/>
  <c r="H2692" i="8"/>
  <c r="F1821" i="8"/>
  <c r="H1821" i="8"/>
  <c r="I1821" i="8"/>
  <c r="F1524" i="8"/>
  <c r="H1524" i="8"/>
  <c r="I1524" i="8"/>
  <c r="F3067" i="8"/>
  <c r="H3067" i="8"/>
  <c r="I3067" i="8"/>
  <c r="F2240" i="8"/>
  <c r="I2240" i="8"/>
  <c r="H2240" i="8"/>
  <c r="F2704" i="8"/>
  <c r="H2704" i="8"/>
  <c r="I2704" i="8"/>
  <c r="F2518" i="8"/>
  <c r="I2518" i="8"/>
  <c r="H2518" i="8"/>
  <c r="F1958" i="8"/>
  <c r="I1958" i="8"/>
  <c r="H1958" i="8"/>
  <c r="F1213" i="8"/>
  <c r="H1213" i="8"/>
  <c r="I1213" i="8"/>
  <c r="F2939" i="8"/>
  <c r="H2939" i="8"/>
  <c r="I2939" i="8"/>
  <c r="F3183" i="8"/>
  <c r="H3183" i="8"/>
  <c r="I3183" i="8"/>
  <c r="F3280" i="8"/>
  <c r="I3280" i="8"/>
  <c r="H3280" i="8"/>
  <c r="F3110" i="8"/>
  <c r="I3110" i="8"/>
  <c r="H3110" i="8"/>
  <c r="F3233" i="8"/>
  <c r="H3233" i="8"/>
  <c r="I3233" i="8"/>
  <c r="F3206" i="8"/>
  <c r="H3206" i="8"/>
  <c r="I3206" i="8"/>
  <c r="F2997" i="8"/>
  <c r="I2997" i="8"/>
  <c r="H2997" i="8"/>
  <c r="F3054" i="8"/>
  <c r="I3054" i="8"/>
  <c r="H3054" i="8"/>
  <c r="F2772" i="8"/>
  <c r="I2772" i="8"/>
  <c r="H2772" i="8"/>
  <c r="G4673" i="5"/>
  <c r="G4402" i="5"/>
  <c r="G2830" i="5"/>
  <c r="G2820" i="5"/>
  <c r="G3528" i="5"/>
  <c r="G1502" i="5"/>
  <c r="G1447" i="5"/>
  <c r="G1688" i="5"/>
  <c r="G1493" i="5"/>
  <c r="G1418" i="5"/>
  <c r="G1440" i="5"/>
  <c r="G339" i="5"/>
  <c r="G4386" i="5"/>
  <c r="G4117" i="5"/>
  <c r="G3558" i="5"/>
  <c r="G4440" i="5"/>
  <c r="G4280" i="5"/>
  <c r="G3538" i="5"/>
  <c r="G3456" i="5"/>
  <c r="G1491" i="5"/>
  <c r="G1485" i="5"/>
  <c r="G1463" i="5"/>
  <c r="G3602" i="5"/>
  <c r="G3490" i="5"/>
  <c r="G2894" i="5"/>
  <c r="G1489" i="5"/>
  <c r="G1414" i="5"/>
  <c r="G262" i="5"/>
  <c r="F376" i="6"/>
  <c r="G2872" i="5"/>
  <c r="G4395" i="5"/>
  <c r="G4403" i="5"/>
  <c r="G3516" i="5"/>
  <c r="G3537" i="5"/>
  <c r="G1687" i="5"/>
  <c r="G4173" i="5"/>
  <c r="G4315" i="5"/>
  <c r="G1459" i="5"/>
  <c r="G1478" i="5"/>
  <c r="G1448" i="5"/>
  <c r="G338" i="5"/>
  <c r="G476" i="5"/>
  <c r="G3289" i="5"/>
  <c r="G4441" i="5"/>
  <c r="G4674" i="5"/>
  <c r="G3601" i="5"/>
  <c r="G4677" i="5"/>
  <c r="G3529" i="5"/>
  <c r="G2825" i="5"/>
  <c r="G2815" i="5"/>
  <c r="G4257" i="5"/>
  <c r="G3515" i="5"/>
  <c r="G4584" i="5"/>
  <c r="G1579" i="5"/>
  <c r="G3467" i="5"/>
  <c r="G1759" i="5"/>
  <c r="G1433" i="5"/>
  <c r="G1446" i="5"/>
  <c r="G1490" i="5"/>
  <c r="G1474" i="5"/>
  <c r="G1444" i="5"/>
  <c r="G1429" i="5"/>
  <c r="G1442" i="5"/>
  <c r="G260" i="5"/>
  <c r="G1574" i="5"/>
  <c r="G1500" i="5"/>
  <c r="G1487" i="5"/>
  <c r="G3466" i="5"/>
  <c r="G1475" i="5"/>
  <c r="G1580" i="5"/>
  <c r="G1461" i="5"/>
  <c r="G1432" i="5"/>
  <c r="G1410" i="5"/>
  <c r="G253" i="5"/>
  <c r="G337" i="5"/>
  <c r="G3491" i="5"/>
  <c r="G2984" i="5"/>
  <c r="G3446" i="5"/>
  <c r="G4394" i="5"/>
  <c r="G3557" i="5"/>
  <c r="G4160" i="5"/>
  <c r="G1575" i="5"/>
  <c r="G1506" i="5"/>
  <c r="G1492" i="5"/>
  <c r="G1903" i="5"/>
  <c r="G1462" i="5"/>
  <c r="G1576" i="5"/>
  <c r="G1457" i="5"/>
  <c r="G1470" i="5"/>
  <c r="G1430" i="5"/>
  <c r="G1455" i="5"/>
  <c r="G1416" i="5"/>
  <c r="G1415" i="5"/>
  <c r="G331" i="5"/>
  <c r="G334" i="5"/>
  <c r="G6142" i="5"/>
  <c r="G4471" i="5"/>
  <c r="G4675" i="5"/>
  <c r="G2964" i="5"/>
  <c r="G4388" i="5"/>
  <c r="G4396" i="5"/>
  <c r="G2974" i="5"/>
  <c r="G1582" i="5"/>
  <c r="G2959" i="5"/>
  <c r="G1897" i="5"/>
  <c r="G4404" i="5"/>
  <c r="G1578" i="5"/>
  <c r="G1477" i="5"/>
  <c r="G1476" i="5"/>
  <c r="G1508" i="5"/>
  <c r="G1445" i="5"/>
  <c r="G1431" i="5"/>
  <c r="G1417" i="5"/>
  <c r="G1412" i="5"/>
  <c r="G1829" i="5"/>
  <c r="G340" i="5"/>
  <c r="G6143" i="5"/>
  <c r="G3455" i="5"/>
  <c r="G4472" i="5"/>
  <c r="G4384" i="5"/>
  <c r="G3714" i="5"/>
  <c r="G3445" i="5"/>
  <c r="G2939" i="5"/>
  <c r="G1752" i="5"/>
  <c r="G3715" i="5"/>
  <c r="G1460" i="5"/>
  <c r="G1505" i="5"/>
  <c r="G1472" i="5"/>
  <c r="G1504" i="5"/>
  <c r="G1581" i="5"/>
  <c r="G1507" i="5"/>
  <c r="G1427" i="5"/>
  <c r="G1425" i="5"/>
  <c r="G359" i="5"/>
  <c r="F554" i="6"/>
  <c r="F288" i="6"/>
  <c r="F64" i="6"/>
  <c r="F394" i="6"/>
  <c r="F138" i="6"/>
  <c r="F229" i="6"/>
  <c r="F825" i="8"/>
  <c r="H825" i="8"/>
  <c r="I825" i="8"/>
  <c r="F1643" i="8"/>
  <c r="H1643" i="8"/>
  <c r="I1643" i="8"/>
  <c r="F269" i="6"/>
  <c r="F1631" i="8"/>
  <c r="H1631" i="8"/>
  <c r="I1631" i="8"/>
  <c r="F2477" i="8"/>
  <c r="H2477" i="8"/>
  <c r="I2477" i="8"/>
  <c r="F231" i="6"/>
  <c r="F1613" i="8"/>
  <c r="H1613" i="8"/>
  <c r="I1613" i="8"/>
  <c r="F49" i="7"/>
  <c r="F1637" i="8"/>
  <c r="I1637" i="8"/>
  <c r="H1637" i="8"/>
  <c r="F1623" i="8"/>
  <c r="I1623" i="8"/>
  <c r="H1623" i="8"/>
  <c r="F38" i="7"/>
  <c r="F3231" i="8"/>
  <c r="H3231" i="8"/>
  <c r="I3231" i="8"/>
  <c r="F58" i="8" l="1"/>
  <c r="F138" i="8"/>
  <c r="F394" i="8"/>
  <c r="F170" i="8"/>
  <c r="F442" i="8"/>
  <c r="F434" i="8"/>
  <c r="F402" i="8"/>
  <c r="F426" i="8"/>
  <c r="F66" i="8"/>
  <c r="H1756" i="8"/>
  <c r="I2771" i="8"/>
  <c r="I2194" i="8"/>
  <c r="H2771" i="8"/>
  <c r="F2426" i="8"/>
  <c r="I2041" i="8"/>
  <c r="H2041" i="8"/>
  <c r="H2194" i="8"/>
  <c r="H2703" i="8"/>
  <c r="F1351" i="8"/>
  <c r="I1351" i="8"/>
  <c r="H1351" i="8"/>
  <c r="F759" i="8"/>
  <c r="H759" i="8"/>
  <c r="I759" i="8"/>
  <c r="F796" i="8"/>
  <c r="H796" i="8"/>
  <c r="I796" i="8"/>
  <c r="F1307" i="8"/>
  <c r="H1307" i="8"/>
  <c r="I1307" i="8"/>
  <c r="F780" i="8"/>
  <c r="H780" i="8"/>
  <c r="I780" i="8"/>
  <c r="F1227" i="8"/>
  <c r="I1227" i="8"/>
  <c r="H1227" i="8"/>
  <c r="F1714" i="8"/>
  <c r="I1714" i="8"/>
  <c r="H1714" i="8"/>
  <c r="F1192" i="8"/>
  <c r="I1192" i="8"/>
  <c r="H1192" i="8"/>
  <c r="F1295" i="8"/>
  <c r="H1295" i="8"/>
  <c r="I1295" i="8"/>
  <c r="F1345" i="8"/>
  <c r="H1345" i="8"/>
  <c r="I1345" i="8"/>
  <c r="F769" i="8"/>
  <c r="I769" i="8"/>
  <c r="H769" i="8"/>
  <c r="F1309" i="8"/>
  <c r="I1309" i="8"/>
  <c r="H1309" i="8"/>
  <c r="F1533" i="8"/>
  <c r="I1533" i="8"/>
  <c r="H1533" i="8"/>
  <c r="F1674" i="8"/>
  <c r="I1674" i="8"/>
  <c r="H1674" i="8"/>
  <c r="F729" i="8"/>
  <c r="I729" i="8"/>
  <c r="H729" i="8"/>
  <c r="F1471" i="8"/>
  <c r="I1471" i="8"/>
  <c r="H1471" i="8"/>
  <c r="F1063" i="8"/>
  <c r="H1063" i="8"/>
  <c r="I1063" i="8"/>
  <c r="F1299" i="8"/>
  <c r="H1299" i="8"/>
  <c r="I1299" i="8"/>
  <c r="F1100" i="8"/>
  <c r="I1100" i="8"/>
  <c r="H1100" i="8"/>
  <c r="F1186" i="8"/>
  <c r="I1186" i="8"/>
  <c r="H1186" i="8"/>
  <c r="F1092" i="8"/>
  <c r="I1092" i="8"/>
  <c r="H1092" i="8"/>
  <c r="F771" i="8"/>
  <c r="I771" i="8"/>
  <c r="H771" i="8"/>
  <c r="F1390" i="8"/>
  <c r="H1390" i="8"/>
  <c r="I1390" i="8"/>
  <c r="F1369" i="8"/>
  <c r="H1369" i="8"/>
  <c r="I1369" i="8"/>
  <c r="F1198" i="8"/>
  <c r="H1198" i="8"/>
  <c r="I1198" i="8"/>
  <c r="F1399" i="8"/>
  <c r="I1399" i="8"/>
  <c r="H1399" i="8"/>
  <c r="F1515" i="8"/>
  <c r="I1515" i="8"/>
  <c r="H1515" i="8"/>
  <c r="F1610" i="8"/>
  <c r="I1610" i="8"/>
  <c r="H1610" i="8"/>
  <c r="F1407" i="8"/>
  <c r="I1407" i="8"/>
  <c r="H1407" i="8"/>
  <c r="F753" i="8"/>
  <c r="H753" i="8"/>
  <c r="I753" i="8"/>
  <c r="F758" i="8"/>
  <c r="I758" i="8"/>
  <c r="H758" i="8"/>
  <c r="F766" i="8"/>
  <c r="I766" i="8"/>
  <c r="H766" i="8"/>
  <c r="F791" i="8"/>
  <c r="H791" i="8"/>
  <c r="I791" i="8"/>
  <c r="F527" i="8"/>
  <c r="H527" i="8"/>
  <c r="I527" i="8"/>
  <c r="F551" i="8"/>
  <c r="H551" i="8"/>
  <c r="I551" i="8"/>
  <c r="F1400" i="8"/>
  <c r="I1400" i="8"/>
  <c r="H1400" i="8"/>
  <c r="F1464" i="8"/>
  <c r="H1464" i="8"/>
  <c r="I1464" i="8"/>
  <c r="F617" i="8"/>
  <c r="H617" i="8"/>
  <c r="I617" i="8"/>
  <c r="F641" i="8"/>
  <c r="I641" i="8"/>
  <c r="H641" i="8"/>
  <c r="F811" i="8"/>
  <c r="H811" i="8"/>
  <c r="I811" i="8"/>
  <c r="F492" i="8"/>
  <c r="I492" i="8"/>
  <c r="H492" i="8"/>
  <c r="F559" i="8"/>
  <c r="H559" i="8"/>
  <c r="I559" i="8"/>
  <c r="F779" i="8"/>
  <c r="I779" i="8"/>
  <c r="H779" i="8"/>
  <c r="F821" i="8"/>
  <c r="I821" i="8"/>
  <c r="H821" i="8"/>
  <c r="F1506" i="8"/>
  <c r="H1506" i="8"/>
  <c r="I1506" i="8"/>
  <c r="H2426" i="8"/>
  <c r="F1918" i="8"/>
  <c r="H1918" i="8"/>
  <c r="I1918" i="8"/>
  <c r="F1484" i="8"/>
  <c r="H1484" i="8"/>
  <c r="I1484" i="8"/>
  <c r="F2648" i="8"/>
  <c r="H2648" i="8"/>
  <c r="I2648" i="8"/>
  <c r="F1167" i="8"/>
  <c r="I1167" i="8"/>
  <c r="H1167" i="8"/>
  <c r="F1195" i="8"/>
  <c r="I1195" i="8"/>
  <c r="H1195" i="8"/>
  <c r="F1203" i="8"/>
  <c r="H1203" i="8"/>
  <c r="I1203" i="8"/>
  <c r="F1216" i="8"/>
  <c r="H1216" i="8"/>
  <c r="I1216" i="8"/>
  <c r="F1232" i="8"/>
  <c r="H1232" i="8"/>
  <c r="I1232" i="8"/>
  <c r="F1328" i="8"/>
  <c r="H1328" i="8"/>
  <c r="I1328" i="8"/>
  <c r="F1436" i="8"/>
  <c r="I1436" i="8"/>
  <c r="H1436" i="8"/>
  <c r="F1448" i="8"/>
  <c r="I1448" i="8"/>
  <c r="H1448" i="8"/>
  <c r="F1468" i="8"/>
  <c r="I1468" i="8"/>
  <c r="H1468" i="8"/>
  <c r="F1476" i="8"/>
  <c r="H1476" i="8"/>
  <c r="I1476" i="8"/>
  <c r="F1510" i="8"/>
  <c r="I1510" i="8"/>
  <c r="H1510" i="8"/>
  <c r="F1522" i="8"/>
  <c r="H1522" i="8"/>
  <c r="I1522" i="8"/>
  <c r="F1538" i="8"/>
  <c r="H1538" i="8"/>
  <c r="I1538" i="8"/>
  <c r="F1584" i="8"/>
  <c r="H1584" i="8"/>
  <c r="I1584" i="8"/>
  <c r="F2469" i="8"/>
  <c r="I2469" i="8"/>
  <c r="H2469" i="8"/>
  <c r="F1191" i="8"/>
  <c r="I1191" i="8"/>
  <c r="H1191" i="8"/>
  <c r="F1199" i="8"/>
  <c r="I1199" i="8"/>
  <c r="H1199" i="8"/>
  <c r="F1212" i="8"/>
  <c r="H1212" i="8"/>
  <c r="I1212" i="8"/>
  <c r="F1226" i="8"/>
  <c r="H1226" i="8"/>
  <c r="I1226" i="8"/>
  <c r="F1236" i="8"/>
  <c r="H1236" i="8"/>
  <c r="I1236" i="8"/>
  <c r="F1280" i="8"/>
  <c r="I1280" i="8"/>
  <c r="H1280" i="8"/>
  <c r="F1444" i="8"/>
  <c r="H1444" i="8"/>
  <c r="I1444" i="8"/>
  <c r="F1460" i="8"/>
  <c r="I1460" i="8"/>
  <c r="H1460" i="8"/>
  <c r="F1472" i="8"/>
  <c r="H1472" i="8"/>
  <c r="I1472" i="8"/>
  <c r="F1518" i="8"/>
  <c r="H1518" i="8"/>
  <c r="I1518" i="8"/>
  <c r="F1534" i="8"/>
  <c r="I1534" i="8"/>
  <c r="H1534" i="8"/>
  <c r="F1555" i="8"/>
  <c r="I1555" i="8"/>
  <c r="H1555" i="8"/>
  <c r="I2585" i="8"/>
  <c r="F2585" i="8"/>
  <c r="H2585" i="8"/>
  <c r="F1060" i="8"/>
  <c r="H1060" i="8"/>
  <c r="I1060" i="8"/>
  <c r="F2012" i="8"/>
  <c r="H2012" i="8"/>
  <c r="I2012" i="8"/>
  <c r="F1000" i="8"/>
  <c r="I1000" i="8"/>
  <c r="H1000" i="8"/>
  <c r="F1805" i="8"/>
  <c r="H1805" i="8"/>
  <c r="I1805" i="8"/>
  <c r="F1054" i="8"/>
  <c r="H1054" i="8"/>
  <c r="I1054" i="8"/>
  <c r="F823" i="8"/>
  <c r="I823" i="8"/>
  <c r="H823" i="8"/>
  <c r="F1050" i="8"/>
  <c r="I1050" i="8"/>
  <c r="H1050" i="8"/>
  <c r="F837" i="8"/>
  <c r="H837" i="8"/>
  <c r="I837" i="8"/>
  <c r="F2093" i="8"/>
  <c r="H2093" i="8"/>
  <c r="I2093" i="8"/>
  <c r="F1031" i="8"/>
  <c r="H1031" i="8"/>
  <c r="I1031" i="8"/>
  <c r="F1486" i="8"/>
  <c r="H1486" i="8"/>
  <c r="I1486" i="8"/>
  <c r="F1096" i="8"/>
  <c r="I1096" i="8"/>
  <c r="H1096" i="8"/>
  <c r="F2153" i="8"/>
  <c r="H2153" i="8"/>
  <c r="I2153" i="8"/>
  <c r="F1221" i="8"/>
  <c r="I1221" i="8"/>
  <c r="H1221" i="8"/>
  <c r="F1023" i="8"/>
  <c r="I1023" i="8"/>
  <c r="H1023" i="8"/>
  <c r="F1629" i="8"/>
  <c r="H1629" i="8"/>
  <c r="I1629" i="8"/>
  <c r="H2044" i="8"/>
  <c r="F2044" i="8"/>
  <c r="I2044" i="8"/>
  <c r="F1544" i="8"/>
  <c r="I1544" i="8"/>
  <c r="H1544" i="8"/>
  <c r="F831" i="8"/>
  <c r="H831" i="8"/>
  <c r="I831" i="8"/>
  <c r="F887" i="8"/>
  <c r="H887" i="8"/>
  <c r="I887" i="8"/>
  <c r="F1208" i="8"/>
  <c r="I1208" i="8"/>
  <c r="H1208" i="8"/>
  <c r="F1685" i="8"/>
  <c r="H1685" i="8"/>
  <c r="I1685" i="8"/>
  <c r="F1771" i="8"/>
  <c r="I1771" i="8"/>
  <c r="H1771" i="8"/>
  <c r="F2131" i="8"/>
  <c r="H2131" i="8"/>
  <c r="I2131" i="8"/>
  <c r="F2323" i="8"/>
  <c r="H2323" i="8"/>
  <c r="I2323" i="8"/>
  <c r="F1600" i="8"/>
  <c r="H1600" i="8"/>
  <c r="I1600" i="8"/>
  <c r="F1647" i="8"/>
  <c r="H1647" i="8"/>
  <c r="I1647" i="8"/>
  <c r="F1667" i="8"/>
  <c r="I1667" i="8"/>
  <c r="H1667" i="8"/>
  <c r="F1675" i="8"/>
  <c r="I1675" i="8"/>
  <c r="H1675" i="8"/>
  <c r="F1691" i="8"/>
  <c r="I1691" i="8"/>
  <c r="H1691" i="8"/>
  <c r="F1715" i="8"/>
  <c r="I1715" i="8"/>
  <c r="H1715" i="8"/>
  <c r="F2127" i="8"/>
  <c r="I2127" i="8"/>
  <c r="H2127" i="8"/>
  <c r="F2147" i="8"/>
  <c r="I2147" i="8"/>
  <c r="H2147" i="8"/>
  <c r="F2294" i="8"/>
  <c r="I2294" i="8"/>
  <c r="H2294" i="8"/>
  <c r="F2723" i="8"/>
  <c r="I2723" i="8"/>
  <c r="H2723" i="8"/>
  <c r="F1592" i="8"/>
  <c r="I1592" i="8"/>
  <c r="H1592" i="8"/>
  <c r="F1850" i="8"/>
  <c r="I1850" i="8"/>
  <c r="H1850" i="8"/>
  <c r="F1962" i="8"/>
  <c r="H1962" i="8"/>
  <c r="I1962" i="8"/>
  <c r="F2159" i="8"/>
  <c r="H2159" i="8"/>
  <c r="I2159" i="8"/>
  <c r="F1635" i="8"/>
  <c r="H1635" i="8"/>
  <c r="I1635" i="8"/>
  <c r="F1663" i="8"/>
  <c r="I1663" i="8"/>
  <c r="H1663" i="8"/>
  <c r="F1703" i="8"/>
  <c r="I1703" i="8"/>
  <c r="H1703" i="8"/>
  <c r="F1727" i="8"/>
  <c r="H1727" i="8"/>
  <c r="I1727" i="8"/>
  <c r="F2540" i="8"/>
  <c r="I2540" i="8"/>
  <c r="H2540" i="8"/>
  <c r="F62" i="7"/>
  <c r="F2138" i="8"/>
  <c r="I2138" i="8"/>
  <c r="H2138" i="8"/>
  <c r="F1760" i="8"/>
  <c r="I1760" i="8"/>
  <c r="H1760" i="8"/>
  <c r="F2170" i="8"/>
  <c r="H2170" i="8"/>
  <c r="I2170" i="8"/>
  <c r="F2276" i="8"/>
  <c r="I2276" i="8"/>
  <c r="H2276" i="8"/>
  <c r="F2021" i="8"/>
  <c r="H2021" i="8"/>
  <c r="I2021" i="8"/>
  <c r="I3118" i="8"/>
  <c r="F3118" i="8"/>
  <c r="H3118" i="8"/>
  <c r="F2033" i="8"/>
  <c r="H2033" i="8"/>
  <c r="I2033" i="8"/>
  <c r="F2053" i="8"/>
  <c r="I2053" i="8"/>
  <c r="H2053" i="8"/>
  <c r="F2326" i="8"/>
  <c r="I2326" i="8"/>
  <c r="H2326" i="8"/>
  <c r="H2529" i="8"/>
  <c r="F2529" i="8"/>
  <c r="I2529" i="8"/>
  <c r="F2049" i="8"/>
  <c r="I2049" i="8"/>
  <c r="H2049" i="8"/>
  <c r="F2146" i="8"/>
  <c r="H2146" i="8"/>
  <c r="I2146" i="8"/>
  <c r="F1564" i="8"/>
  <c r="H1564" i="8"/>
  <c r="I1564" i="8"/>
  <c r="F1531" i="8"/>
  <c r="I1531" i="8"/>
  <c r="H1531" i="8"/>
  <c r="F2298" i="8"/>
  <c r="I2298" i="8"/>
  <c r="H2298" i="8"/>
  <c r="F1997" i="8"/>
  <c r="I1997" i="8"/>
  <c r="H1997" i="8"/>
  <c r="F2627" i="8"/>
  <c r="H2627" i="8"/>
  <c r="I2627" i="8"/>
  <c r="F3452" i="8"/>
  <c r="I3452" i="8"/>
  <c r="H3452" i="8"/>
  <c r="F2803" i="8"/>
  <c r="H2803" i="8"/>
  <c r="I2803" i="8"/>
  <c r="F2625" i="8"/>
  <c r="H2625" i="8"/>
  <c r="I2625" i="8"/>
  <c r="F2728" i="8"/>
  <c r="I2728" i="8"/>
  <c r="H2728" i="8"/>
  <c r="F2521" i="8"/>
  <c r="I2521" i="8"/>
  <c r="H2521" i="8"/>
  <c r="F2458" i="8"/>
  <c r="I2458" i="8"/>
  <c r="H2458" i="8"/>
  <c r="F2482" i="8"/>
  <c r="I2482" i="8"/>
  <c r="H2482" i="8"/>
  <c r="F3291" i="8"/>
  <c r="H3291" i="8"/>
  <c r="I3291" i="8"/>
  <c r="H2675" i="8"/>
  <c r="F2675" i="8"/>
  <c r="I2675" i="8"/>
  <c r="F2755" i="8"/>
  <c r="H2755" i="8"/>
  <c r="I2755" i="8"/>
  <c r="F2826" i="8"/>
  <c r="H2826" i="8"/>
  <c r="I2826" i="8"/>
  <c r="F2711" i="8"/>
  <c r="I2711" i="8"/>
  <c r="H2711" i="8"/>
  <c r="F2641" i="8"/>
  <c r="H2641" i="8"/>
  <c r="I2641" i="8"/>
  <c r="F2537" i="8"/>
  <c r="I2537" i="8"/>
  <c r="H2537" i="8"/>
  <c r="F2808" i="8"/>
  <c r="H2808" i="8"/>
  <c r="I2808" i="8"/>
  <c r="F2633" i="8"/>
  <c r="H2633" i="8"/>
  <c r="I2633" i="8"/>
  <c r="F2577" i="8"/>
  <c r="H2577" i="8"/>
  <c r="I2577" i="8"/>
  <c r="F1717" i="8"/>
  <c r="H1717" i="8"/>
  <c r="I1717" i="8"/>
  <c r="F2121" i="8"/>
  <c r="H2121" i="8"/>
  <c r="I2121" i="8"/>
  <c r="F1561" i="8"/>
  <c r="H1561" i="8"/>
  <c r="I1561" i="8"/>
  <c r="F2238" i="8"/>
  <c r="H2238" i="8"/>
  <c r="I2238" i="8"/>
  <c r="H2856" i="8"/>
  <c r="F2856" i="8"/>
  <c r="I2856" i="8"/>
  <c r="F1504" i="8"/>
  <c r="H1504" i="8"/>
  <c r="I1504" i="8"/>
  <c r="F2770" i="8"/>
  <c r="I2770" i="8"/>
  <c r="H2770" i="8"/>
  <c r="F1661" i="8"/>
  <c r="I1661" i="8"/>
  <c r="H1661" i="8"/>
  <c r="F1709" i="8"/>
  <c r="I1709" i="8"/>
  <c r="H1709" i="8"/>
  <c r="F1793" i="8"/>
  <c r="H1793" i="8"/>
  <c r="I1793" i="8"/>
  <c r="F1840" i="8"/>
  <c r="I1840" i="8"/>
  <c r="H1840" i="8"/>
  <c r="F2145" i="8"/>
  <c r="I2145" i="8"/>
  <c r="H2145" i="8"/>
  <c r="F1242" i="8"/>
  <c r="H1242" i="8"/>
  <c r="I1242" i="8"/>
  <c r="F1553" i="8"/>
  <c r="I1553" i="8"/>
  <c r="H1553" i="8"/>
  <c r="F1653" i="8"/>
  <c r="I1653" i="8"/>
  <c r="H1653" i="8"/>
  <c r="F1729" i="8"/>
  <c r="H1729" i="8"/>
  <c r="I1729" i="8"/>
  <c r="F2177" i="8"/>
  <c r="H2177" i="8"/>
  <c r="I2177" i="8"/>
  <c r="F1609" i="8"/>
  <c r="H1609" i="8"/>
  <c r="I1609" i="8"/>
  <c r="F1757" i="8"/>
  <c r="H1757" i="8"/>
  <c r="I1757" i="8"/>
  <c r="F1641" i="8"/>
  <c r="H1641" i="8"/>
  <c r="I1641" i="8"/>
  <c r="F1797" i="8"/>
  <c r="I1797" i="8"/>
  <c r="H1797" i="8"/>
  <c r="F2105" i="8"/>
  <c r="I2105" i="8"/>
  <c r="H2105" i="8"/>
  <c r="F1308" i="8"/>
  <c r="H1308" i="8"/>
  <c r="I1308" i="8"/>
  <c r="F2261" i="8"/>
  <c r="I2261" i="8"/>
  <c r="H2261" i="8"/>
  <c r="F1725" i="8"/>
  <c r="H1725" i="8"/>
  <c r="I1725" i="8"/>
  <c r="F1865" i="8"/>
  <c r="H1865" i="8"/>
  <c r="I1865" i="8"/>
  <c r="F2129" i="8"/>
  <c r="H2129" i="8"/>
  <c r="I2129" i="8"/>
  <c r="F1228" i="8"/>
  <c r="H1228" i="8"/>
  <c r="I1228" i="8"/>
  <c r="F1520" i="8"/>
  <c r="I1520" i="8"/>
  <c r="H1520" i="8"/>
  <c r="F1773" i="8"/>
  <c r="I1773" i="8"/>
  <c r="H1773" i="8"/>
  <c r="F2161" i="8"/>
  <c r="H2161" i="8"/>
  <c r="I2161" i="8"/>
  <c r="F1645" i="8"/>
  <c r="I1645" i="8"/>
  <c r="H1645" i="8"/>
  <c r="F2269" i="8"/>
  <c r="I2269" i="8"/>
  <c r="H2269" i="8"/>
  <c r="F1665" i="8"/>
  <c r="I1665" i="8"/>
  <c r="H1665" i="8"/>
  <c r="F1621" i="8"/>
  <c r="H1621" i="8"/>
  <c r="I1621" i="8"/>
  <c r="F1693" i="8"/>
  <c r="I1693" i="8"/>
  <c r="H1693" i="8"/>
  <c r="F1749" i="8"/>
  <c r="H1749" i="8"/>
  <c r="I1749" i="8"/>
  <c r="F1879" i="8"/>
  <c r="I1879" i="8"/>
  <c r="H1879" i="8"/>
  <c r="F1785" i="8"/>
  <c r="H1785" i="8"/>
  <c r="I1785" i="8"/>
  <c r="F1972" i="8"/>
  <c r="H1972" i="8"/>
  <c r="I1972" i="8"/>
  <c r="F2209" i="8"/>
  <c r="I2209" i="8"/>
  <c r="H2209" i="8"/>
  <c r="F2113" i="8"/>
  <c r="H2113" i="8"/>
  <c r="I2113" i="8"/>
  <c r="F2185" i="8"/>
  <c r="I2185" i="8"/>
  <c r="H2185" i="8"/>
  <c r="F1512" i="8"/>
  <c r="H1512" i="8"/>
  <c r="I1512" i="8"/>
  <c r="F1733" i="8"/>
  <c r="H1733" i="8"/>
  <c r="I1733" i="8"/>
  <c r="F1705" i="8"/>
  <c r="I1705" i="8"/>
  <c r="H1705" i="8"/>
  <c r="F2137" i="8"/>
  <c r="I2137" i="8"/>
  <c r="H2137" i="8"/>
  <c r="F1536" i="8"/>
  <c r="I1536" i="8"/>
  <c r="H1536" i="8"/>
  <c r="F1669" i="8"/>
  <c r="I1669" i="8"/>
  <c r="H1669" i="8"/>
  <c r="F2246" i="8"/>
  <c r="H2246" i="8"/>
  <c r="I2246" i="8"/>
  <c r="F1677" i="8"/>
  <c r="I1677" i="8"/>
  <c r="H1677" i="8"/>
  <c r="F1944" i="8"/>
  <c r="H1944" i="8"/>
  <c r="I1944" i="8"/>
  <c r="F1214" i="8"/>
  <c r="H1214" i="8"/>
  <c r="I1214" i="8"/>
  <c r="F1701" i="8"/>
  <c r="I1701" i="8"/>
  <c r="H1701" i="8"/>
  <c r="F1781" i="8"/>
  <c r="I1781" i="8"/>
  <c r="H1781" i="8"/>
  <c r="F1956" i="8"/>
  <c r="H1956" i="8"/>
  <c r="I1956" i="8"/>
  <c r="F2165" i="8"/>
  <c r="I2165" i="8"/>
  <c r="H2165" i="8"/>
  <c r="F1470" i="8"/>
  <c r="I1470" i="8"/>
  <c r="H1470" i="8"/>
  <c r="F2201" i="8"/>
  <c r="H2201" i="8"/>
  <c r="I2201" i="8"/>
  <c r="F2792" i="8"/>
  <c r="I2792" i="8"/>
  <c r="H2792" i="8"/>
  <c r="F2109" i="8"/>
  <c r="H2109" i="8"/>
  <c r="I2109" i="8"/>
  <c r="F3210" i="8"/>
  <c r="I3210" i="8"/>
  <c r="H3210" i="8"/>
  <c r="F2285" i="8"/>
  <c r="H2285" i="8"/>
  <c r="I2285" i="8"/>
  <c r="F2189" i="8"/>
  <c r="H2189" i="8"/>
  <c r="I2189" i="8"/>
  <c r="F3486" i="8"/>
  <c r="I3486" i="8"/>
  <c r="H3486" i="8"/>
  <c r="F2141" i="8"/>
  <c r="I2141" i="8"/>
  <c r="H2141" i="8"/>
  <c r="F2550" i="8"/>
  <c r="I2550" i="8"/>
  <c r="H2550" i="8"/>
  <c r="F3005" i="8"/>
  <c r="H3005" i="8"/>
  <c r="I3005" i="8"/>
  <c r="F2149" i="8"/>
  <c r="I2149" i="8"/>
  <c r="H2149" i="8"/>
  <c r="F2974" i="8"/>
  <c r="H2974" i="8"/>
  <c r="I2974" i="8"/>
  <c r="F2835" i="8"/>
  <c r="H2835" i="8"/>
  <c r="I2835" i="8"/>
  <c r="F3079" i="8"/>
  <c r="H3079" i="8"/>
  <c r="I3079" i="8"/>
  <c r="F3087" i="8"/>
  <c r="I3087" i="8"/>
  <c r="H3087" i="8"/>
  <c r="F2388" i="8"/>
  <c r="H2388" i="8"/>
  <c r="I2388" i="8"/>
  <c r="F2510" i="8"/>
  <c r="H2510" i="8"/>
  <c r="I2510" i="8"/>
  <c r="F2060" i="8"/>
  <c r="H2060" i="8"/>
  <c r="I2060" i="8"/>
  <c r="F2863" i="8"/>
  <c r="I2863" i="8"/>
  <c r="H2863" i="8"/>
  <c r="F3274" i="8"/>
  <c r="I3274" i="8"/>
  <c r="H3274" i="8"/>
  <c r="F2913" i="8"/>
  <c r="I2913" i="8"/>
  <c r="H2913" i="8"/>
  <c r="F3103" i="8"/>
  <c r="I3103" i="8"/>
  <c r="H3103" i="8"/>
  <c r="F2342" i="8"/>
  <c r="H2342" i="8"/>
  <c r="I2342" i="8"/>
  <c r="F2811" i="8"/>
  <c r="H2811" i="8"/>
  <c r="I2811" i="8"/>
  <c r="F3478" i="8"/>
  <c r="I3478" i="8"/>
  <c r="H3478" i="8"/>
  <c r="F2314" i="8"/>
  <c r="I2314" i="8"/>
  <c r="H2314" i="8"/>
  <c r="F2756" i="8"/>
  <c r="I2756" i="8"/>
  <c r="H2756" i="8"/>
  <c r="F2643" i="8"/>
  <c r="I2643" i="8"/>
  <c r="H2643" i="8"/>
  <c r="F2800" i="8"/>
  <c r="H2800" i="8"/>
  <c r="I2800" i="8"/>
  <c r="F2292" i="8"/>
  <c r="I2292" i="8"/>
  <c r="H2292" i="8"/>
  <c r="F3105" i="8"/>
  <c r="H3105" i="8"/>
  <c r="I3105" i="8"/>
  <c r="F2403" i="8"/>
  <c r="I2403" i="8"/>
  <c r="H2403" i="8"/>
  <c r="F3126" i="8"/>
  <c r="H3126" i="8"/>
  <c r="I3126" i="8"/>
  <c r="F2036" i="8"/>
  <c r="H2036" i="8"/>
  <c r="I2036" i="8"/>
  <c r="F2028" i="8"/>
  <c r="I2028" i="8"/>
  <c r="H2028" i="8"/>
  <c r="F2734" i="8"/>
  <c r="I2734" i="8"/>
  <c r="H2734" i="8"/>
  <c r="F3430" i="8"/>
  <c r="H3430" i="8"/>
  <c r="I3430" i="8"/>
  <c r="F2306" i="8"/>
  <c r="I2306" i="8"/>
  <c r="H2306" i="8"/>
  <c r="F2727" i="8"/>
  <c r="H2727" i="8"/>
  <c r="I2727" i="8"/>
  <c r="F3275" i="8"/>
  <c r="H3275" i="8"/>
  <c r="I3275" i="8"/>
  <c r="F2358" i="8"/>
  <c r="H2358" i="8"/>
  <c r="I2358" i="8"/>
  <c r="F2646" i="8"/>
  <c r="H2646" i="8"/>
  <c r="I2646" i="8"/>
  <c r="F2181" i="8"/>
  <c r="I2181" i="8"/>
  <c r="H2181" i="8"/>
  <c r="F48" i="7"/>
  <c r="F217" i="6"/>
  <c r="F216" i="6"/>
  <c r="F26" i="7"/>
  <c r="F395" i="6"/>
  <c r="F475" i="6"/>
  <c r="F297" i="8"/>
  <c r="F2914" i="8"/>
  <c r="F420" i="6"/>
  <c r="F158" i="6"/>
  <c r="F146" i="6"/>
  <c r="F71" i="6"/>
  <c r="F243" i="6"/>
  <c r="F748" i="8"/>
  <c r="H748" i="8"/>
  <c r="I748" i="8"/>
  <c r="F2442" i="8"/>
  <c r="I2442" i="8"/>
  <c r="H2442" i="8"/>
  <c r="F1589" i="8"/>
  <c r="I1589" i="8"/>
  <c r="H1589" i="8"/>
  <c r="F609" i="8"/>
  <c r="H609" i="8"/>
  <c r="I609" i="8"/>
  <c r="F2249" i="8"/>
  <c r="I2249" i="8"/>
  <c r="H2249" i="8"/>
  <c r="F3163" i="8"/>
  <c r="H3163" i="8"/>
  <c r="I3163" i="8"/>
  <c r="F1225" i="8"/>
  <c r="H1225" i="8"/>
  <c r="I1225" i="8"/>
  <c r="F2074" i="8"/>
  <c r="I2074" i="8"/>
  <c r="H2074" i="8"/>
  <c r="F358" i="8"/>
  <c r="I358" i="8"/>
  <c r="H358" i="8"/>
  <c r="F1975" i="8"/>
  <c r="I1975" i="8"/>
  <c r="H1975" i="8"/>
  <c r="F454" i="8"/>
  <c r="I454" i="8"/>
  <c r="H454" i="8"/>
  <c r="F2681" i="8"/>
  <c r="I2681" i="8"/>
  <c r="H2681" i="8"/>
  <c r="F493" i="8"/>
  <c r="H493" i="8"/>
  <c r="I493" i="8"/>
  <c r="F1791" i="8"/>
  <c r="I1791" i="8"/>
  <c r="H1791" i="8"/>
  <c r="F2524" i="8"/>
  <c r="H2524" i="8"/>
  <c r="I2524" i="8"/>
  <c r="F2365" i="8"/>
  <c r="I2365" i="8"/>
  <c r="H2365" i="8"/>
  <c r="F2019" i="8"/>
  <c r="I2019" i="8"/>
  <c r="H2019" i="8"/>
  <c r="F1061" i="8"/>
  <c r="I1061" i="8"/>
  <c r="H1061" i="8"/>
  <c r="F2632" i="8"/>
  <c r="I2632" i="8"/>
  <c r="H2632" i="8"/>
  <c r="F2337" i="8"/>
  <c r="H2337" i="8"/>
  <c r="I2337" i="8"/>
  <c r="F2450" i="8"/>
  <c r="I2450" i="8"/>
  <c r="H2450" i="8"/>
  <c r="F1695" i="8"/>
  <c r="I1695" i="8"/>
  <c r="H1695" i="8"/>
  <c r="F2263" i="8"/>
  <c r="I2263" i="8"/>
  <c r="H2263" i="8"/>
  <c r="F1055" i="8"/>
  <c r="I1055" i="8"/>
  <c r="H1055" i="8"/>
  <c r="F2331" i="8"/>
  <c r="H2331" i="8"/>
  <c r="I2331" i="8"/>
  <c r="F2508" i="8"/>
  <c r="I2508" i="8"/>
  <c r="H2508" i="8"/>
  <c r="F2361" i="8"/>
  <c r="I2361" i="8"/>
  <c r="H2361" i="8"/>
  <c r="F2123" i="8"/>
  <c r="H2123" i="8"/>
  <c r="I2123" i="8"/>
  <c r="F2391" i="8"/>
  <c r="I2391" i="8"/>
  <c r="H2391" i="8"/>
  <c r="F1639" i="8"/>
  <c r="I1639" i="8"/>
  <c r="H1639" i="8"/>
  <c r="F1559" i="8"/>
  <c r="H1559" i="8"/>
  <c r="I1559" i="8"/>
  <c r="F3177" i="8"/>
  <c r="I3177" i="8"/>
  <c r="H3177" i="8"/>
  <c r="F1712" i="8"/>
  <c r="H1712" i="8"/>
  <c r="I1712" i="8"/>
  <c r="F1687" i="8"/>
  <c r="H1687" i="8"/>
  <c r="I1687" i="8"/>
  <c r="F2588" i="8"/>
  <c r="I2588" i="8"/>
  <c r="H2588" i="8"/>
  <c r="F2360" i="8"/>
  <c r="I2360" i="8"/>
  <c r="H2360" i="8"/>
  <c r="F2827" i="8"/>
  <c r="I2827" i="8"/>
  <c r="H2827" i="8"/>
  <c r="F950" i="8"/>
  <c r="I950" i="8"/>
  <c r="H950" i="8"/>
  <c r="F2376" i="8"/>
  <c r="H2376" i="8"/>
  <c r="I2376" i="8"/>
  <c r="F1743" i="8"/>
  <c r="I1743" i="8"/>
  <c r="H1743" i="8"/>
  <c r="F2345" i="8"/>
  <c r="H2345" i="8"/>
  <c r="I2345" i="8"/>
  <c r="F57" i="8"/>
  <c r="I57" i="8"/>
  <c r="H57" i="8"/>
  <c r="F3199" i="8"/>
  <c r="H3199" i="8"/>
  <c r="I3199" i="8"/>
  <c r="F2066" i="8"/>
  <c r="I2066" i="8"/>
  <c r="H2066" i="8"/>
  <c r="F1696" i="8"/>
  <c r="I1696" i="8"/>
  <c r="H1696" i="8"/>
  <c r="F1830" i="8"/>
  <c r="I1830" i="8"/>
  <c r="H1830" i="8"/>
  <c r="F523" i="8"/>
  <c r="I523" i="8"/>
  <c r="H523" i="8"/>
  <c r="F1383" i="8"/>
  <c r="H1383" i="8"/>
  <c r="I1383" i="8"/>
  <c r="F2233" i="8"/>
  <c r="H2233" i="8"/>
  <c r="I2233" i="8"/>
  <c r="F1735" i="8"/>
  <c r="I1735" i="8"/>
  <c r="H1735" i="8"/>
  <c r="F1808" i="8"/>
  <c r="H1808" i="8"/>
  <c r="I1808" i="8"/>
  <c r="F1775" i="8"/>
  <c r="I1775" i="8"/>
  <c r="H1775" i="8"/>
  <c r="F1934" i="8"/>
  <c r="H1934" i="8"/>
  <c r="I1934" i="8"/>
  <c r="F1488" i="8"/>
  <c r="I1488" i="8"/>
  <c r="H1488" i="8"/>
  <c r="F1303" i="8"/>
  <c r="I1303" i="8"/>
  <c r="H1303" i="8"/>
  <c r="F2773" i="8"/>
  <c r="H2773" i="8"/>
  <c r="I2773" i="8"/>
  <c r="F2505" i="8"/>
  <c r="I2505" i="8"/>
  <c r="H2505" i="8"/>
  <c r="F2580" i="8"/>
  <c r="I2580" i="8"/>
  <c r="H2580" i="8"/>
  <c r="F139" i="8"/>
  <c r="H139" i="8"/>
  <c r="I139" i="8"/>
  <c r="F2669" i="8"/>
  <c r="I2669" i="8"/>
  <c r="H2669" i="8"/>
  <c r="F2421" i="8"/>
  <c r="I2421" i="8"/>
  <c r="H2421" i="8"/>
  <c r="F1752" i="8"/>
  <c r="I1752" i="8"/>
  <c r="H1752" i="8"/>
  <c r="F1942" i="8"/>
  <c r="H1942" i="8"/>
  <c r="I1942" i="8"/>
  <c r="F3192" i="8"/>
  <c r="I3192" i="8"/>
  <c r="H3192" i="8"/>
  <c r="F481" i="8"/>
  <c r="I481" i="8"/>
  <c r="H481" i="8"/>
  <c r="F1736" i="8"/>
  <c r="I1736" i="8"/>
  <c r="H1736" i="8"/>
  <c r="F2649" i="8"/>
  <c r="H2649" i="8"/>
  <c r="I2649" i="8"/>
  <c r="F2248" i="8"/>
  <c r="I2248" i="8"/>
  <c r="H2248" i="8"/>
  <c r="F2640" i="8"/>
  <c r="H2640" i="8"/>
  <c r="I2640" i="8"/>
  <c r="F2271" i="8"/>
  <c r="I2271" i="8"/>
  <c r="H2271" i="8"/>
  <c r="F2026" i="8"/>
  <c r="I2026" i="8"/>
  <c r="H2026" i="8"/>
  <c r="F829" i="8"/>
  <c r="I829" i="8"/>
  <c r="H829" i="8"/>
  <c r="F470" i="8"/>
  <c r="I470" i="8"/>
  <c r="H470" i="8"/>
  <c r="F2664" i="8"/>
  <c r="I2664" i="8"/>
  <c r="H2664" i="8"/>
  <c r="F3155" i="8"/>
  <c r="H3155" i="8"/>
  <c r="I3155" i="8"/>
  <c r="F1507" i="8"/>
  <c r="I1507" i="8"/>
  <c r="H1507" i="8"/>
  <c r="F1597" i="8"/>
  <c r="I1597" i="8"/>
  <c r="H1597" i="8"/>
  <c r="F835" i="8"/>
  <c r="H835" i="8"/>
  <c r="I835" i="8"/>
  <c r="F625" i="8"/>
  <c r="I625" i="8"/>
  <c r="H625" i="8"/>
  <c r="F2661" i="8"/>
  <c r="H2661" i="8"/>
  <c r="I2661" i="8"/>
  <c r="F2140" i="8"/>
  <c r="I2140" i="8"/>
  <c r="H2140" i="8"/>
  <c r="F2466" i="8"/>
  <c r="H2466" i="8"/>
  <c r="I2466" i="8"/>
  <c r="F2268" i="8"/>
  <c r="H2268" i="8"/>
  <c r="I2268" i="8"/>
  <c r="F2280" i="8"/>
  <c r="I2280" i="8"/>
  <c r="H2280" i="8"/>
  <c r="F946" i="8"/>
  <c r="I946" i="8"/>
  <c r="H946" i="8"/>
  <c r="F1783" i="8"/>
  <c r="H1783" i="8"/>
  <c r="I1783" i="8"/>
  <c r="F1711" i="8"/>
  <c r="H1711" i="8"/>
  <c r="I1711" i="8"/>
  <c r="F387" i="8"/>
  <c r="I387" i="8"/>
  <c r="H387" i="8"/>
  <c r="F2287" i="8"/>
  <c r="I2287" i="8"/>
  <c r="H2287" i="8"/>
  <c r="F2042" i="8"/>
  <c r="H2042" i="8"/>
  <c r="I2042" i="8"/>
  <c r="F1437" i="8"/>
  <c r="I1437" i="8"/>
  <c r="H1437" i="8"/>
  <c r="F1021" i="8"/>
  <c r="H1021" i="8"/>
  <c r="I1021" i="8"/>
  <c r="F1759" i="8"/>
  <c r="I1759" i="8"/>
  <c r="H1759" i="8"/>
  <c r="F1950" i="8"/>
  <c r="I1950" i="8"/>
  <c r="H1950" i="8"/>
  <c r="F2556" i="8"/>
  <c r="I2556" i="8"/>
  <c r="H2556" i="8"/>
  <c r="F1655" i="8"/>
  <c r="I1655" i="8"/>
  <c r="H1655" i="8"/>
  <c r="F1679" i="8"/>
  <c r="I1679" i="8"/>
  <c r="H1679" i="8"/>
  <c r="F2179" i="8"/>
  <c r="I2179" i="8"/>
  <c r="H2179" i="8"/>
  <c r="F536" i="8"/>
  <c r="I536" i="8"/>
  <c r="H536" i="8"/>
  <c r="F2018" i="8"/>
  <c r="I2018" i="8"/>
  <c r="H2018" i="8"/>
  <c r="F2445" i="8"/>
  <c r="H2445" i="8"/>
  <c r="I2445" i="8"/>
  <c r="F2572" i="8"/>
  <c r="I2572" i="8"/>
  <c r="H2572" i="8"/>
  <c r="F2063" i="8"/>
  <c r="H2063" i="8"/>
  <c r="I2063" i="8"/>
  <c r="F1784" i="8"/>
  <c r="H1784" i="8"/>
  <c r="I1784" i="8"/>
  <c r="F439" i="8"/>
  <c r="H439" i="8"/>
  <c r="I439" i="8"/>
  <c r="F591" i="8"/>
  <c r="I591" i="8"/>
  <c r="H591" i="8"/>
  <c r="F1616" i="8"/>
  <c r="H1616" i="8"/>
  <c r="I1616" i="8"/>
  <c r="F1615" i="8"/>
  <c r="I1615" i="8"/>
  <c r="H1615" i="8"/>
  <c r="F2171" i="8"/>
  <c r="I2171" i="8"/>
  <c r="H2171" i="8"/>
  <c r="F807" i="8"/>
  <c r="H807" i="8"/>
  <c r="I807" i="8"/>
  <c r="F776" i="8"/>
  <c r="I776" i="8"/>
  <c r="H776" i="8"/>
  <c r="F2101" i="8"/>
  <c r="I2101" i="8"/>
  <c r="H2101" i="8"/>
  <c r="F2548" i="8"/>
  <c r="H2548" i="8"/>
  <c r="I2548" i="8"/>
  <c r="F292" i="8"/>
  <c r="I292" i="8"/>
  <c r="H292" i="8"/>
  <c r="F2204" i="8"/>
  <c r="H2204" i="8"/>
  <c r="I2204" i="8"/>
  <c r="F2043" i="8"/>
  <c r="I2043" i="8"/>
  <c r="H2043" i="8"/>
  <c r="F1751" i="8"/>
  <c r="I1751" i="8"/>
  <c r="H1751" i="8"/>
  <c r="F2071" i="8"/>
  <c r="H2071" i="8"/>
  <c r="I2071" i="8"/>
  <c r="F2429" i="8"/>
  <c r="I2429" i="8"/>
  <c r="H2429" i="8"/>
  <c r="F1624" i="8"/>
  <c r="H1624" i="8"/>
  <c r="I1624" i="8"/>
  <c r="F1056" i="8"/>
  <c r="H1056" i="8"/>
  <c r="I1056" i="8"/>
  <c r="F1062" i="8"/>
  <c r="H1062" i="8"/>
  <c r="I1062" i="8"/>
  <c r="F2810" i="8"/>
  <c r="I2810" i="8"/>
  <c r="H2810" i="8"/>
  <c r="F2513" i="8"/>
  <c r="H2513" i="8"/>
  <c r="I2513" i="8"/>
  <c r="F799" i="8"/>
  <c r="H799" i="8"/>
  <c r="I799" i="8"/>
  <c r="F3016" i="8"/>
  <c r="H3016" i="8"/>
  <c r="I3016" i="8"/>
  <c r="F1799" i="8"/>
  <c r="H1799" i="8"/>
  <c r="I1799" i="8"/>
  <c r="F2079" i="8"/>
  <c r="I2079" i="8"/>
  <c r="H2079" i="8"/>
  <c r="F1581" i="8"/>
  <c r="H1581" i="8"/>
  <c r="I1581" i="8"/>
  <c r="F2288" i="8"/>
  <c r="H2288" i="8"/>
  <c r="I2288" i="8"/>
  <c r="F689" i="8"/>
  <c r="H689" i="8"/>
  <c r="I689" i="8"/>
  <c r="F2163" i="8"/>
  <c r="I2163" i="8"/>
  <c r="H2163" i="8"/>
  <c r="F795" i="8"/>
  <c r="H795" i="8"/>
  <c r="I795" i="8"/>
  <c r="F754" i="8"/>
  <c r="H754" i="8"/>
  <c r="I754" i="8"/>
  <c r="F2010" i="8"/>
  <c r="I2010" i="8"/>
  <c r="H2010" i="8"/>
  <c r="F697" i="8"/>
  <c r="I697" i="8"/>
  <c r="H697" i="8"/>
  <c r="F2279" i="8"/>
  <c r="H2279" i="8"/>
  <c r="I2279" i="8"/>
  <c r="F60" i="8"/>
  <c r="I60" i="8"/>
  <c r="H60" i="8"/>
  <c r="F783" i="8"/>
  <c r="H783" i="8"/>
  <c r="I783" i="8"/>
  <c r="F2532" i="8"/>
  <c r="H2532" i="8"/>
  <c r="I2532" i="8"/>
  <c r="F1456" i="8"/>
  <c r="H1456" i="8"/>
  <c r="I1456" i="8"/>
  <c r="F1908" i="8"/>
  <c r="I1908" i="8"/>
  <c r="H1908" i="8"/>
  <c r="F673" i="8"/>
  <c r="H673" i="8"/>
  <c r="I673" i="8"/>
  <c r="F3287" i="8"/>
  <c r="H3287" i="8"/>
  <c r="I3287" i="8"/>
  <c r="F1656" i="8"/>
  <c r="I1656" i="8"/>
  <c r="H1656" i="8"/>
  <c r="F1593" i="8"/>
  <c r="I1593" i="8"/>
  <c r="H1593" i="8"/>
  <c r="F1820" i="8"/>
  <c r="I1820" i="8"/>
  <c r="H1820" i="8"/>
  <c r="F770" i="8"/>
  <c r="I770" i="8"/>
  <c r="H770" i="8"/>
  <c r="F2516" i="8"/>
  <c r="I2516" i="8"/>
  <c r="H2516" i="8"/>
  <c r="F1526" i="8"/>
  <c r="I1526" i="8"/>
  <c r="H1526" i="8"/>
  <c r="F2672" i="8"/>
  <c r="H2672" i="8"/>
  <c r="I2672" i="8"/>
  <c r="F843" i="8"/>
  <c r="I843" i="8"/>
  <c r="H843" i="8"/>
  <c r="F657" i="8"/>
  <c r="H657" i="8"/>
  <c r="I657" i="8"/>
  <c r="F705" i="8"/>
  <c r="H705" i="8"/>
  <c r="I705" i="8"/>
  <c r="F3242" i="8"/>
  <c r="I3242" i="8"/>
  <c r="H3242" i="8"/>
  <c r="F2256" i="8"/>
  <c r="H2256" i="8"/>
  <c r="I2256" i="8"/>
  <c r="F747" i="8"/>
  <c r="H747" i="8"/>
  <c r="I747" i="8"/>
  <c r="F1971" i="8"/>
  <c r="I1971" i="8"/>
  <c r="H1971" i="8"/>
  <c r="F2086" i="8"/>
  <c r="H2086" i="8"/>
  <c r="I2086" i="8"/>
  <c r="F2437" i="8"/>
  <c r="I2437" i="8"/>
  <c r="H2437" i="8"/>
  <c r="F2657" i="8"/>
  <c r="I2657" i="8"/>
  <c r="H2657" i="8"/>
  <c r="F1999" i="8"/>
  <c r="H1999" i="8"/>
  <c r="I1999" i="8"/>
  <c r="F1720" i="8"/>
  <c r="H1720" i="8"/>
  <c r="I1720" i="8"/>
  <c r="F803" i="8"/>
  <c r="I803" i="8"/>
  <c r="H803" i="8"/>
  <c r="F2002" i="8"/>
  <c r="I2002" i="8"/>
  <c r="H2002" i="8"/>
  <c r="F726" i="8"/>
  <c r="I726" i="8"/>
  <c r="H726" i="8"/>
  <c r="F848" i="8"/>
  <c r="H848" i="8"/>
  <c r="I848" i="8"/>
  <c r="F1807" i="8"/>
  <c r="H1807" i="8"/>
  <c r="I1807" i="8"/>
  <c r="F1127" i="8"/>
  <c r="I1127" i="8"/>
  <c r="H1127" i="8"/>
  <c r="F3475" i="8"/>
  <c r="I3475" i="8"/>
  <c r="H3475" i="8"/>
  <c r="F1978" i="8"/>
  <c r="I1978" i="8"/>
  <c r="H1978" i="8"/>
  <c r="F649" i="8"/>
  <c r="H649" i="8"/>
  <c r="I649" i="8"/>
  <c r="F681" i="8"/>
  <c r="H681" i="8"/>
  <c r="I681" i="8"/>
  <c r="F2485" i="8"/>
  <c r="H2485" i="8"/>
  <c r="I2485" i="8"/>
  <c r="F469" i="8"/>
  <c r="H469" i="8"/>
  <c r="I469" i="8"/>
  <c r="F1089" i="8"/>
  <c r="H1089" i="8"/>
  <c r="I1089" i="8"/>
  <c r="F1188" i="8"/>
  <c r="H1188" i="8"/>
  <c r="I1188" i="8"/>
  <c r="F665" i="8"/>
  <c r="H665" i="8"/>
  <c r="I665" i="8"/>
  <c r="F761" i="8"/>
  <c r="I761" i="8"/>
  <c r="H761" i="8"/>
  <c r="F1823" i="8"/>
  <c r="I1823" i="8"/>
  <c r="H1823" i="8"/>
  <c r="F2353" i="8"/>
  <c r="H2353" i="8"/>
  <c r="I2353" i="8"/>
  <c r="F2397" i="8"/>
  <c r="H2397" i="8"/>
  <c r="I2397" i="8"/>
  <c r="F2225" i="8"/>
  <c r="H2225" i="8"/>
  <c r="I2225" i="8"/>
  <c r="F1719" i="8"/>
  <c r="I1719" i="8"/>
  <c r="H1719" i="8"/>
  <c r="F2272" i="8"/>
  <c r="I2272" i="8"/>
  <c r="H2272" i="8"/>
  <c r="F1496" i="8"/>
  <c r="I1496" i="8"/>
  <c r="H1496" i="8"/>
  <c r="F2047" i="8"/>
  <c r="H2047" i="8"/>
  <c r="I2047" i="8"/>
  <c r="F2418" i="8"/>
  <c r="I2418" i="8"/>
  <c r="H2418" i="8"/>
  <c r="F1916" i="8"/>
  <c r="H1916" i="8"/>
  <c r="I1916" i="8"/>
  <c r="F1084" i="8"/>
  <c r="H1084" i="8"/>
  <c r="I1084" i="8"/>
  <c r="G2837" i="5"/>
  <c r="I2914" i="8"/>
  <c r="G3569" i="5"/>
  <c r="G4442" i="5"/>
  <c r="G4387" i="5"/>
  <c r="G4676" i="5"/>
  <c r="G3588" i="5"/>
  <c r="G7510" i="5"/>
  <c r="G2979" i="5"/>
  <c r="G6141" i="5"/>
  <c r="G4385" i="5"/>
  <c r="G6341" i="5"/>
  <c r="G4664" i="5"/>
  <c r="G4279" i="5"/>
  <c r="G4625" i="5"/>
  <c r="F739" i="8"/>
  <c r="H739" i="8"/>
  <c r="I739" i="8"/>
  <c r="F1434" i="8"/>
  <c r="I1434" i="8"/>
  <c r="H1434" i="8"/>
  <c r="F1403" i="8"/>
  <c r="H1403" i="8"/>
  <c r="I1403" i="8"/>
  <c r="F1988" i="8"/>
  <c r="I1988" i="8"/>
  <c r="H1988" i="8"/>
  <c r="F2157" i="8"/>
  <c r="I2157" i="8"/>
  <c r="H2157" i="8"/>
  <c r="F684" i="8"/>
  <c r="I684" i="8"/>
  <c r="H684" i="8"/>
  <c r="F3171" i="8"/>
  <c r="H3171" i="8"/>
  <c r="I3171" i="8"/>
  <c r="F1497" i="8"/>
  <c r="I1497" i="8"/>
  <c r="H1497" i="8"/>
  <c r="F1490" i="8"/>
  <c r="I1490" i="8"/>
  <c r="H1490" i="8"/>
  <c r="F668" i="8"/>
  <c r="I668" i="8"/>
  <c r="H668" i="8"/>
  <c r="F547" i="8"/>
  <c r="H547" i="8"/>
  <c r="I547" i="8"/>
  <c r="F1350" i="8"/>
  <c r="I1350" i="8"/>
  <c r="H1350" i="8"/>
  <c r="F2407" i="8"/>
  <c r="I2407" i="8"/>
  <c r="H2407" i="8"/>
  <c r="F1649" i="8"/>
  <c r="H1649" i="8"/>
  <c r="I1649" i="8"/>
  <c r="F1633" i="8"/>
  <c r="I1633" i="8"/>
  <c r="H1633" i="8"/>
  <c r="F1590" i="8"/>
  <c r="H1590" i="8"/>
  <c r="I1590" i="8"/>
  <c r="F1455" i="8"/>
  <c r="H1455" i="8"/>
  <c r="I1455" i="8"/>
  <c r="F1012" i="8"/>
  <c r="H1012" i="8"/>
  <c r="I1012" i="8"/>
  <c r="F2751" i="8"/>
  <c r="I2751" i="8"/>
  <c r="H2751" i="8"/>
  <c r="F1108" i="8"/>
  <c r="I1108" i="8"/>
  <c r="H1108" i="8"/>
  <c r="F1463" i="8"/>
  <c r="I1463" i="8"/>
  <c r="H1463" i="8"/>
  <c r="F398" i="8"/>
  <c r="I398" i="8"/>
  <c r="H398" i="8"/>
  <c r="F1617" i="8"/>
  <c r="I1617" i="8"/>
  <c r="H1617" i="8"/>
  <c r="F1431" i="8"/>
  <c r="I1431" i="8"/>
  <c r="H1431" i="8"/>
  <c r="F1517" i="8"/>
  <c r="H1517" i="8"/>
  <c r="I1517" i="8"/>
  <c r="F1439" i="8"/>
  <c r="H1439" i="8"/>
  <c r="I1439" i="8"/>
  <c r="F2068" i="8"/>
  <c r="I2068" i="8"/>
  <c r="H2068" i="8"/>
  <c r="F1447" i="8"/>
  <c r="I1447" i="8"/>
  <c r="H1447" i="8"/>
  <c r="F655" i="8"/>
  <c r="I655" i="8"/>
  <c r="H655" i="8"/>
  <c r="F636" i="8"/>
  <c r="I636" i="8"/>
  <c r="H636" i="8"/>
  <c r="F2213" i="8"/>
  <c r="H2213" i="8"/>
  <c r="I2213" i="8"/>
  <c r="F1313" i="8"/>
  <c r="H1313" i="8"/>
  <c r="I1313" i="8"/>
  <c r="F1487" i="8"/>
  <c r="I1487" i="8"/>
  <c r="H1487" i="8"/>
  <c r="F2102" i="8"/>
  <c r="I2102" i="8"/>
  <c r="H2102" i="8"/>
  <c r="F2020" i="8"/>
  <c r="I2020" i="8"/>
  <c r="H2020" i="8"/>
  <c r="F1541" i="8"/>
  <c r="H1541" i="8"/>
  <c r="I1541" i="8"/>
  <c r="F2888" i="8"/>
  <c r="H2888" i="8"/>
  <c r="I2888" i="8"/>
  <c r="F2197" i="8"/>
  <c r="I2197" i="8"/>
  <c r="H2197" i="8"/>
  <c r="F2117" i="8"/>
  <c r="H2117" i="8"/>
  <c r="I2117" i="8"/>
  <c r="F2076" i="8"/>
  <c r="H2076" i="8"/>
  <c r="I2076" i="8"/>
  <c r="F2961" i="8"/>
  <c r="I2961" i="8"/>
  <c r="H2961" i="8"/>
  <c r="F550" i="8"/>
  <c r="H550" i="8"/>
  <c r="I550" i="8"/>
  <c r="F660" i="8"/>
  <c r="I660" i="8"/>
  <c r="H660" i="8"/>
  <c r="F679" i="8"/>
  <c r="I679" i="8"/>
  <c r="H679" i="8"/>
  <c r="F555" i="8"/>
  <c r="I555" i="8"/>
  <c r="H555" i="8"/>
  <c r="F1080" i="8"/>
  <c r="I1080" i="8"/>
  <c r="H1080" i="8"/>
  <c r="F2125" i="8"/>
  <c r="H2125" i="8"/>
  <c r="I2125" i="8"/>
  <c r="F708" i="8"/>
  <c r="H708" i="8"/>
  <c r="I708" i="8"/>
  <c r="F1996" i="8"/>
  <c r="I1996" i="8"/>
  <c r="H1996" i="8"/>
  <c r="F1466" i="8"/>
  <c r="H1466" i="8"/>
  <c r="I1466" i="8"/>
  <c r="F1388" i="8"/>
  <c r="I1388" i="8"/>
  <c r="H1388" i="8"/>
  <c r="F2173" i="8"/>
  <c r="I2173" i="8"/>
  <c r="H2173" i="8"/>
  <c r="F531" i="8"/>
  <c r="I531" i="8"/>
  <c r="H531" i="8"/>
  <c r="F425" i="8"/>
  <c r="H425" i="8"/>
  <c r="I425" i="8"/>
  <c r="F1558" i="8"/>
  <c r="I1558" i="8"/>
  <c r="H1558" i="8"/>
  <c r="F1450" i="8"/>
  <c r="I1450" i="8"/>
  <c r="H1450" i="8"/>
  <c r="F2133" i="8"/>
  <c r="I2133" i="8"/>
  <c r="H2133" i="8"/>
  <c r="F628" i="8"/>
  <c r="H628" i="8"/>
  <c r="I628" i="8"/>
  <c r="F2094" i="8"/>
  <c r="H2094" i="8"/>
  <c r="I2094" i="8"/>
  <c r="F2584" i="8"/>
  <c r="H2584" i="8"/>
  <c r="I2584" i="8"/>
  <c r="F1939" i="8"/>
  <c r="I1939" i="8"/>
  <c r="H1939" i="8"/>
  <c r="H2389" i="8"/>
  <c r="F2389" i="8"/>
  <c r="I2389" i="8"/>
  <c r="F2592" i="8"/>
  <c r="H2592" i="8"/>
  <c r="I2592" i="8"/>
  <c r="F2162" i="8"/>
  <c r="I2162" i="8"/>
  <c r="H2162" i="8"/>
  <c r="F2237" i="8"/>
  <c r="H2237" i="8"/>
  <c r="I2237" i="8"/>
  <c r="F2387" i="8"/>
  <c r="I2387" i="8"/>
  <c r="H2387" i="8"/>
  <c r="F2536" i="8"/>
  <c r="I2536" i="8"/>
  <c r="H2536" i="8"/>
  <c r="F2554" i="8"/>
  <c r="H2554" i="8"/>
  <c r="I2554" i="8"/>
  <c r="F3129" i="8"/>
  <c r="I3129" i="8"/>
  <c r="H3129" i="8"/>
  <c r="F2782" i="8"/>
  <c r="I2782" i="8"/>
  <c r="H2782" i="8"/>
  <c r="F485" i="8"/>
  <c r="H485" i="8"/>
  <c r="I485" i="8"/>
  <c r="F2705" i="8"/>
  <c r="H2705" i="8"/>
  <c r="I2705" i="8"/>
  <c r="F498" i="8"/>
  <c r="I498" i="8"/>
  <c r="H498" i="8"/>
  <c r="F2481" i="8"/>
  <c r="I2481" i="8"/>
  <c r="H2481" i="8"/>
  <c r="F990" i="8"/>
  <c r="I990" i="8"/>
  <c r="H990" i="8"/>
  <c r="F2560" i="8"/>
  <c r="I2560" i="8"/>
  <c r="H2560" i="8"/>
  <c r="F2247" i="8"/>
  <c r="I2247" i="8"/>
  <c r="H2247" i="8"/>
  <c r="F2441" i="8"/>
  <c r="H2441" i="8"/>
  <c r="I2441" i="8"/>
  <c r="F1959" i="8"/>
  <c r="I1959" i="8"/>
  <c r="H1959" i="8"/>
  <c r="F2514" i="8"/>
  <c r="H2514" i="8"/>
  <c r="I2514" i="8"/>
  <c r="F2433" i="8"/>
  <c r="H2433" i="8"/>
  <c r="I2433" i="8"/>
  <c r="F1542" i="8"/>
  <c r="I1542" i="8"/>
  <c r="H1542" i="8"/>
  <c r="F3073" i="8"/>
  <c r="H3073" i="8"/>
  <c r="I3073" i="8"/>
  <c r="F1440" i="8"/>
  <c r="H1440" i="8"/>
  <c r="I1440" i="8"/>
  <c r="F2568" i="8"/>
  <c r="H2568" i="8"/>
  <c r="I2568" i="8"/>
  <c r="F1585" i="8"/>
  <c r="H1585" i="8"/>
  <c r="I1585" i="8"/>
  <c r="F3057" i="8"/>
  <c r="I3057" i="8"/>
  <c r="H3057" i="8"/>
  <c r="F2522" i="8"/>
  <c r="I2522" i="8"/>
  <c r="H2522" i="8"/>
  <c r="F816" i="8"/>
  <c r="I816" i="8"/>
  <c r="H816" i="8"/>
  <c r="F2712" i="8"/>
  <c r="H2712" i="8"/>
  <c r="I2712" i="8"/>
  <c r="F3173" i="8"/>
  <c r="H3173" i="8"/>
  <c r="I3173" i="8"/>
  <c r="F2666" i="8"/>
  <c r="I2666" i="8"/>
  <c r="H2666" i="8"/>
  <c r="F2766" i="8"/>
  <c r="H2766" i="8"/>
  <c r="I2766" i="8"/>
  <c r="F2411" i="8"/>
  <c r="I2411" i="8"/>
  <c r="H2411" i="8"/>
  <c r="F2720" i="8"/>
  <c r="H2720" i="8"/>
  <c r="I2720" i="8"/>
  <c r="F2776" i="8"/>
  <c r="I2776" i="8"/>
  <c r="H2776" i="8"/>
  <c r="F2796" i="8"/>
  <c r="I2796" i="8"/>
  <c r="H2796" i="8"/>
  <c r="F2798" i="8"/>
  <c r="I2798" i="8"/>
  <c r="H2798" i="8"/>
  <c r="F2774" i="8"/>
  <c r="H2774" i="8"/>
  <c r="I2774" i="8"/>
  <c r="F2916" i="8"/>
  <c r="I2916" i="8"/>
  <c r="H2916" i="8"/>
  <c r="F2528" i="8"/>
  <c r="I2528" i="8"/>
  <c r="H2528" i="8"/>
  <c r="F658" i="8"/>
  <c r="H658" i="8"/>
  <c r="I658" i="8"/>
  <c r="F445" i="8"/>
  <c r="H445" i="8"/>
  <c r="I445" i="8"/>
  <c r="F2749" i="8"/>
  <c r="H2749" i="8"/>
  <c r="I2749" i="8"/>
  <c r="F2544" i="8"/>
  <c r="H2544" i="8"/>
  <c r="I2544" i="8"/>
  <c r="F1983" i="8"/>
  <c r="H1983" i="8"/>
  <c r="I1983" i="8"/>
  <c r="F2754" i="8"/>
  <c r="I2754" i="8"/>
  <c r="H2754" i="8"/>
  <c r="F2245" i="8"/>
  <c r="I2245" i="8"/>
  <c r="H2245" i="8"/>
  <c r="F2457" i="8"/>
  <c r="H2457" i="8"/>
  <c r="I2457" i="8"/>
  <c r="F2578" i="8"/>
  <c r="I2578" i="8"/>
  <c r="H2578" i="8"/>
  <c r="I1932" i="8"/>
  <c r="F1932" i="8"/>
  <c r="H1932" i="8"/>
  <c r="F3166" i="8"/>
  <c r="H3166" i="8"/>
  <c r="I3166" i="8"/>
  <c r="F3065" i="8"/>
  <c r="I3065" i="8"/>
  <c r="H3065" i="8"/>
  <c r="F2419" i="8"/>
  <c r="H2419" i="8"/>
  <c r="I2419" i="8"/>
  <c r="F2475" i="8"/>
  <c r="I2475" i="8"/>
  <c r="H2475" i="8"/>
  <c r="F460" i="8"/>
  <c r="H460" i="8"/>
  <c r="I460" i="8"/>
  <c r="F3121" i="8"/>
  <c r="I3121" i="8"/>
  <c r="H3121" i="8"/>
  <c r="F1432" i="8"/>
  <c r="H1432" i="8"/>
  <c r="I1432" i="8"/>
  <c r="F1404" i="8"/>
  <c r="I1404" i="8"/>
  <c r="H1404" i="8"/>
  <c r="F1860" i="8"/>
  <c r="I1860" i="8"/>
  <c r="H1860" i="8"/>
  <c r="F3143" i="8"/>
  <c r="H3143" i="8"/>
  <c r="I3143" i="8"/>
  <c r="F2530" i="8"/>
  <c r="H2530" i="8"/>
  <c r="I2530" i="8"/>
  <c r="F2055" i="8"/>
  <c r="H2055" i="8"/>
  <c r="I2055" i="8"/>
  <c r="F2768" i="8"/>
  <c r="I2768" i="8"/>
  <c r="H2768" i="8"/>
  <c r="F2313" i="8"/>
  <c r="H2313" i="8"/>
  <c r="I2313" i="8"/>
  <c r="F2732" i="8"/>
  <c r="I2732" i="8"/>
  <c r="H2732" i="8"/>
  <c r="F2057" i="8"/>
  <c r="I2057" i="8"/>
  <c r="H2057" i="8"/>
  <c r="F2650" i="8"/>
  <c r="I2650" i="8"/>
  <c r="H2650" i="8"/>
  <c r="F2730" i="8"/>
  <c r="I2730" i="8"/>
  <c r="H2730" i="8"/>
  <c r="F1828" i="8"/>
  <c r="H1828" i="8"/>
  <c r="I1828" i="8"/>
  <c r="F1057" i="8"/>
  <c r="H1057" i="8"/>
  <c r="I1057" i="8"/>
  <c r="F2357" i="8"/>
  <c r="I2357" i="8"/>
  <c r="H2357" i="8"/>
  <c r="F740" i="8"/>
  <c r="H740" i="8"/>
  <c r="I740" i="8"/>
  <c r="F2634" i="8"/>
  <c r="H2634" i="8"/>
  <c r="I2634" i="8"/>
  <c r="I1977" i="8"/>
  <c r="F1977" i="8"/>
  <c r="H1977" i="8"/>
  <c r="F2761" i="8"/>
  <c r="H2761" i="8"/>
  <c r="I2761" i="8"/>
  <c r="F2320" i="8"/>
  <c r="H2320" i="8"/>
  <c r="I2320" i="8"/>
  <c r="F2401" i="8"/>
  <c r="I2401" i="8"/>
  <c r="H2401" i="8"/>
  <c r="F2546" i="8"/>
  <c r="I2546" i="8"/>
  <c r="H2546" i="8"/>
  <c r="F640" i="8"/>
  <c r="I640" i="8"/>
  <c r="H640" i="8"/>
  <c r="F1480" i="8"/>
  <c r="H1480" i="8"/>
  <c r="I1480" i="8"/>
  <c r="F2499" i="8"/>
  <c r="I2499" i="8"/>
  <c r="H2499" i="8"/>
  <c r="F535" i="8"/>
  <c r="I535" i="8"/>
  <c r="H535" i="8"/>
  <c r="F2658" i="8"/>
  <c r="H2658" i="8"/>
  <c r="I2658" i="8"/>
  <c r="F2864" i="8"/>
  <c r="H2864" i="8"/>
  <c r="I2864" i="8"/>
  <c r="F2417" i="8"/>
  <c r="I2417" i="8"/>
  <c r="H2417" i="8"/>
  <c r="F2328" i="8"/>
  <c r="H2328" i="8"/>
  <c r="I2328" i="8"/>
  <c r="F2409" i="8"/>
  <c r="I2409" i="8"/>
  <c r="H2409" i="8"/>
  <c r="F690" i="8"/>
  <c r="I690" i="8"/>
  <c r="H690" i="8"/>
  <c r="F1991" i="8"/>
  <c r="H1991" i="8"/>
  <c r="I1991" i="8"/>
  <c r="F1207" i="8"/>
  <c r="H1207" i="8"/>
  <c r="I1207" i="8"/>
  <c r="F2642" i="8"/>
  <c r="H2642" i="8"/>
  <c r="I2642" i="8"/>
  <c r="F2451" i="8"/>
  <c r="I2451" i="8"/>
  <c r="H2451" i="8"/>
  <c r="F437" i="8"/>
  <c r="H437" i="8"/>
  <c r="I437" i="8"/>
  <c r="F3438" i="8"/>
  <c r="I3438" i="8"/>
  <c r="H3438" i="8"/>
  <c r="F2693" i="8"/>
  <c r="I2693" i="8"/>
  <c r="H2693" i="8"/>
  <c r="F1601" i="8"/>
  <c r="I1601" i="8"/>
  <c r="H1601" i="8"/>
  <c r="F3159" i="8"/>
  <c r="H3159" i="8"/>
  <c r="I3159" i="8"/>
  <c r="F813" i="8"/>
  <c r="I813" i="8"/>
  <c r="H813" i="8"/>
  <c r="F2277" i="8"/>
  <c r="I2277" i="8"/>
  <c r="H2277" i="8"/>
  <c r="F984" i="8"/>
  <c r="H984" i="8"/>
  <c r="I984" i="8"/>
  <c r="F789" i="8"/>
  <c r="H789" i="8"/>
  <c r="I789" i="8"/>
  <c r="F2850" i="8"/>
  <c r="I2850" i="8"/>
  <c r="H2850" i="8"/>
  <c r="F20" i="8"/>
  <c r="I20" i="8"/>
  <c r="H20" i="8"/>
  <c r="F2175" i="8"/>
  <c r="I2175" i="8"/>
  <c r="H2175" i="8"/>
  <c r="F2839" i="8"/>
  <c r="H2839" i="8"/>
  <c r="I2839" i="8"/>
  <c r="F2420" i="8"/>
  <c r="I2420" i="8"/>
  <c r="H2420" i="8"/>
  <c r="F2404" i="8"/>
  <c r="I2404" i="8"/>
  <c r="H2404" i="8"/>
  <c r="F2571" i="8"/>
  <c r="H2571" i="8"/>
  <c r="I2571" i="8"/>
  <c r="F2282" i="8"/>
  <c r="H2282" i="8"/>
  <c r="I2282" i="8"/>
  <c r="F2594" i="8"/>
  <c r="H2594" i="8"/>
  <c r="I2594" i="8"/>
  <c r="F2701" i="8"/>
  <c r="I2701" i="8"/>
  <c r="H2701" i="8"/>
  <c r="F1025" i="8"/>
  <c r="I1025" i="8"/>
  <c r="H1025" i="8"/>
  <c r="F725" i="8"/>
  <c r="H725" i="8"/>
  <c r="I725" i="8"/>
  <c r="F2318" i="8"/>
  <c r="H2318" i="8"/>
  <c r="I2318" i="8"/>
  <c r="F2639" i="8"/>
  <c r="H2639" i="8"/>
  <c r="I2639" i="8"/>
  <c r="F2468" i="8"/>
  <c r="H2468" i="8"/>
  <c r="I2468" i="8"/>
  <c r="F2507" i="8"/>
  <c r="I2507" i="8"/>
  <c r="H2507" i="8"/>
  <c r="F2207" i="8"/>
  <c r="H2207" i="8"/>
  <c r="I2207" i="8"/>
  <c r="F2983" i="8"/>
  <c r="H2983" i="8"/>
  <c r="I2983" i="8"/>
  <c r="F2258" i="8"/>
  <c r="H2258" i="8"/>
  <c r="I2258" i="8"/>
  <c r="F2001" i="8"/>
  <c r="I2001" i="8"/>
  <c r="H2001" i="8"/>
  <c r="F2547" i="8"/>
  <c r="H2547" i="8"/>
  <c r="I2547" i="8"/>
  <c r="F2352" i="8"/>
  <c r="H2352" i="8"/>
  <c r="I2352" i="8"/>
  <c r="F2500" i="8"/>
  <c r="I2500" i="8"/>
  <c r="H2500" i="8"/>
  <c r="F1218" i="8"/>
  <c r="I1218" i="8"/>
  <c r="H1218" i="8"/>
  <c r="F3135" i="8"/>
  <c r="H3135" i="8"/>
  <c r="I3135" i="8"/>
  <c r="F2476" i="8"/>
  <c r="I2476" i="8"/>
  <c r="H2476" i="8"/>
  <c r="F52" i="8"/>
  <c r="H52" i="8"/>
  <c r="I52" i="8"/>
  <c r="F2383" i="8"/>
  <c r="I2383" i="8"/>
  <c r="H2383" i="8"/>
  <c r="F405" i="8"/>
  <c r="I405" i="8"/>
  <c r="H405" i="8"/>
  <c r="F2311" i="8"/>
  <c r="H2311" i="8"/>
  <c r="I2311" i="8"/>
  <c r="F1205" i="8"/>
  <c r="I1205" i="8"/>
  <c r="H1205" i="8"/>
  <c r="F805" i="8"/>
  <c r="I805" i="8"/>
  <c r="H805" i="8"/>
  <c r="F624" i="8"/>
  <c r="H624" i="8"/>
  <c r="I624" i="8"/>
  <c r="F1492" i="8"/>
  <c r="I1492" i="8"/>
  <c r="H1492" i="8"/>
  <c r="F1985" i="8"/>
  <c r="H1985" i="8"/>
  <c r="I1985" i="8"/>
  <c r="F2523" i="8"/>
  <c r="H2523" i="8"/>
  <c r="I2523" i="8"/>
  <c r="F2375" i="8"/>
  <c r="I2375" i="8"/>
  <c r="H2375" i="8"/>
  <c r="F2235" i="8"/>
  <c r="I2235" i="8"/>
  <c r="H2235" i="8"/>
  <c r="F2143" i="8"/>
  <c r="H2143" i="8"/>
  <c r="I2143" i="8"/>
  <c r="F2073" i="8"/>
  <c r="H2073" i="8"/>
  <c r="I2073" i="8"/>
  <c r="F696" i="8"/>
  <c r="H696" i="8"/>
  <c r="I696" i="8"/>
  <c r="F1603" i="8"/>
  <c r="I1603" i="8"/>
  <c r="H1603" i="8"/>
  <c r="F632" i="8"/>
  <c r="I632" i="8"/>
  <c r="H632" i="8"/>
  <c r="F680" i="8"/>
  <c r="I680" i="8"/>
  <c r="H680" i="8"/>
  <c r="F3056" i="8"/>
  <c r="I3056" i="8"/>
  <c r="H3056" i="8"/>
  <c r="F1030" i="8"/>
  <c r="H1030" i="8"/>
  <c r="I1030" i="8"/>
  <c r="F2921" i="8"/>
  <c r="H2921" i="8"/>
  <c r="I2921" i="8"/>
  <c r="F2199" i="8"/>
  <c r="H2199" i="8"/>
  <c r="I2199" i="8"/>
  <c r="F712" i="8"/>
  <c r="I712" i="8"/>
  <c r="H712" i="8"/>
  <c r="F2373" i="8"/>
  <c r="H2373" i="8"/>
  <c r="I2373" i="8"/>
  <c r="F484" i="8"/>
  <c r="I484" i="8"/>
  <c r="H484" i="8"/>
  <c r="F2515" i="8"/>
  <c r="H2515" i="8"/>
  <c r="I2515" i="8"/>
  <c r="F1563" i="8"/>
  <c r="I1563" i="8"/>
  <c r="H1563" i="8"/>
  <c r="F2412" i="8"/>
  <c r="H2412" i="8"/>
  <c r="I2412" i="8"/>
  <c r="F2227" i="8"/>
  <c r="I2227" i="8"/>
  <c r="H2227" i="8"/>
  <c r="F1961" i="8"/>
  <c r="H1961" i="8"/>
  <c r="I1961" i="8"/>
  <c r="F2065" i="8"/>
  <c r="H2065" i="8"/>
  <c r="I2065" i="8"/>
  <c r="F2778" i="8"/>
  <c r="I2778" i="8"/>
  <c r="H2778" i="8"/>
  <c r="F2167" i="8"/>
  <c r="H2167" i="8"/>
  <c r="I2167" i="8"/>
  <c r="F1406" i="8"/>
  <c r="H1406" i="8"/>
  <c r="I1406" i="8"/>
  <c r="F464" i="8"/>
  <c r="I464" i="8"/>
  <c r="H464" i="8"/>
  <c r="F648" i="8"/>
  <c r="I648" i="8"/>
  <c r="H648" i="8"/>
  <c r="F2989" i="8"/>
  <c r="H2989" i="8"/>
  <c r="I2989" i="8"/>
  <c r="F827" i="8"/>
  <c r="H827" i="8"/>
  <c r="I827" i="8"/>
  <c r="F456" i="8"/>
  <c r="H456" i="8"/>
  <c r="I456" i="8"/>
  <c r="F2539" i="8"/>
  <c r="I2539" i="8"/>
  <c r="H2539" i="8"/>
  <c r="F2308" i="8"/>
  <c r="I2308" i="8"/>
  <c r="H2308" i="8"/>
  <c r="F2274" i="8"/>
  <c r="I2274" i="8"/>
  <c r="H2274" i="8"/>
  <c r="F2366" i="8"/>
  <c r="H2366" i="8"/>
  <c r="I2366" i="8"/>
  <c r="F2847" i="8"/>
  <c r="I2847" i="8"/>
  <c r="H2847" i="8"/>
  <c r="F616" i="8"/>
  <c r="I616" i="8"/>
  <c r="H616" i="8"/>
  <c r="F2563" i="8"/>
  <c r="I2563" i="8"/>
  <c r="H2563" i="8"/>
  <c r="F2243" i="8"/>
  <c r="I2243" i="8"/>
  <c r="H2243" i="8"/>
  <c r="F2679" i="8"/>
  <c r="H2679" i="8"/>
  <c r="I2679" i="8"/>
  <c r="F2396" i="8"/>
  <c r="I2396" i="8"/>
  <c r="H2396" i="8"/>
  <c r="F2689" i="8"/>
  <c r="H2689" i="8"/>
  <c r="I2689" i="8"/>
  <c r="F2215" i="8"/>
  <c r="H2215" i="8"/>
  <c r="I2215" i="8"/>
  <c r="F489" i="8"/>
  <c r="H489" i="8"/>
  <c r="I489" i="8"/>
  <c r="F2347" i="8"/>
  <c r="H2347" i="8"/>
  <c r="I2347" i="8"/>
  <c r="F2339" i="8"/>
  <c r="H2339" i="8"/>
  <c r="I2339" i="8"/>
  <c r="F2251" i="8"/>
  <c r="I2251" i="8"/>
  <c r="H2251" i="8"/>
  <c r="F664" i="8"/>
  <c r="H664" i="8"/>
  <c r="I664" i="8"/>
  <c r="F2717" i="8"/>
  <c r="H2717" i="8"/>
  <c r="I2717" i="8"/>
  <c r="F1002" i="8"/>
  <c r="H1002" i="8"/>
  <c r="I1002" i="8"/>
  <c r="F3224" i="8"/>
  <c r="I3224" i="8"/>
  <c r="H3224" i="8"/>
  <c r="F73" i="8"/>
  <c r="H73" i="8"/>
  <c r="I73" i="8"/>
  <c r="F2355" i="8"/>
  <c r="I2355" i="8"/>
  <c r="H2355" i="8"/>
  <c r="F2154" i="8"/>
  <c r="H2154" i="8"/>
  <c r="I2154" i="8"/>
  <c r="F2191" i="8"/>
  <c r="H2191" i="8"/>
  <c r="I2191" i="8"/>
  <c r="F3195" i="8"/>
  <c r="H3195" i="8"/>
  <c r="I3195" i="8"/>
  <c r="F2970" i="8"/>
  <c r="H2970" i="8"/>
  <c r="I2970" i="8"/>
  <c r="F2336" i="8"/>
  <c r="I2336" i="8"/>
  <c r="H2336" i="8"/>
  <c r="F2300" i="8"/>
  <c r="I2300" i="8"/>
  <c r="H2300" i="8"/>
  <c r="F2587" i="8"/>
  <c r="I2587" i="8"/>
  <c r="H2587" i="8"/>
  <c r="F2344" i="8"/>
  <c r="I2344" i="8"/>
  <c r="H2344" i="8"/>
  <c r="F1595" i="8"/>
  <c r="I1595" i="8"/>
  <c r="H1595" i="8"/>
  <c r="F1372" i="8"/>
  <c r="I1372" i="8"/>
  <c r="H1372" i="8"/>
  <c r="F2151" i="8"/>
  <c r="H2151" i="8"/>
  <c r="I2151" i="8"/>
  <c r="F357" i="8"/>
  <c r="I357" i="8"/>
  <c r="H357" i="8"/>
  <c r="F516" i="6"/>
  <c r="F246" i="6"/>
  <c r="F441" i="6"/>
  <c r="F39" i="7"/>
  <c r="F32" i="6"/>
  <c r="F493" i="6"/>
  <c r="F385" i="6"/>
  <c r="F460" i="6"/>
  <c r="F31" i="6"/>
  <c r="F30" i="6"/>
  <c r="F444" i="6"/>
  <c r="F443" i="6"/>
  <c r="F386" i="6"/>
  <c r="I2392" i="8"/>
  <c r="H2392" i="8"/>
  <c r="F2392" i="8"/>
  <c r="F1519" i="8"/>
  <c r="I1519" i="8"/>
  <c r="H1519" i="8"/>
  <c r="F2134" i="8"/>
  <c r="H2134" i="8"/>
  <c r="I2134" i="8"/>
  <c r="F2038" i="8"/>
  <c r="H2038" i="8"/>
  <c r="I2038" i="8"/>
  <c r="F1708" i="8"/>
  <c r="H1708" i="8"/>
  <c r="I1708" i="8"/>
  <c r="F2289" i="8"/>
  <c r="I2289" i="8"/>
  <c r="H2289" i="8"/>
  <c r="F1700" i="8"/>
  <c r="H1700" i="8"/>
  <c r="I1700" i="8"/>
  <c r="F1990" i="8"/>
  <c r="I1990" i="8"/>
  <c r="H1990" i="8"/>
  <c r="F1296" i="8"/>
  <c r="H1296" i="8"/>
  <c r="I1296" i="8"/>
  <c r="F2965" i="8"/>
  <c r="I2965" i="8"/>
  <c r="H2965" i="8"/>
  <c r="F844" i="8"/>
  <c r="I844" i="8"/>
  <c r="H844" i="8"/>
  <c r="F2797" i="8"/>
  <c r="I2797" i="8"/>
  <c r="H2797" i="8"/>
  <c r="F2273" i="8"/>
  <c r="I2273" i="8"/>
  <c r="H2273" i="8"/>
  <c r="F2517" i="8"/>
  <c r="H2517" i="8"/>
  <c r="I2517" i="8"/>
  <c r="F1511" i="8"/>
  <c r="H1511" i="8"/>
  <c r="I1511" i="8"/>
  <c r="F749" i="8"/>
  <c r="H749" i="8"/>
  <c r="I749" i="8"/>
  <c r="F699" i="8"/>
  <c r="I699" i="8"/>
  <c r="H699" i="8"/>
  <c r="F2090" i="8"/>
  <c r="I2090" i="8"/>
  <c r="H2090" i="8"/>
  <c r="F2502" i="8"/>
  <c r="H2502" i="8"/>
  <c r="I2502" i="8"/>
  <c r="F1209" i="8"/>
  <c r="I1209" i="8"/>
  <c r="H1209" i="8"/>
  <c r="F603" i="8"/>
  <c r="I603" i="8"/>
  <c r="H603" i="8"/>
  <c r="F1310" i="8"/>
  <c r="H1310" i="8"/>
  <c r="I1310" i="8"/>
  <c r="F1772" i="8"/>
  <c r="I1772" i="8"/>
  <c r="H1772" i="8"/>
  <c r="F3436" i="8"/>
  <c r="H3436" i="8"/>
  <c r="I3436" i="8"/>
  <c r="F2486" i="8"/>
  <c r="I2486" i="8"/>
  <c r="H2486" i="8"/>
  <c r="F2046" i="8"/>
  <c r="I2046" i="8"/>
  <c r="H2046" i="8"/>
  <c r="F1449" i="8"/>
  <c r="H1449" i="8"/>
  <c r="I1449" i="8"/>
  <c r="F2767" i="8"/>
  <c r="H2767" i="8"/>
  <c r="I2767" i="8"/>
  <c r="F1620" i="8"/>
  <c r="H1620" i="8"/>
  <c r="I1620" i="8"/>
  <c r="F1343" i="8"/>
  <c r="H1343" i="8"/>
  <c r="I1343" i="8"/>
  <c r="F822" i="8"/>
  <c r="I822" i="8"/>
  <c r="H822" i="8"/>
  <c r="F441" i="8"/>
  <c r="H441" i="8"/>
  <c r="I441" i="8"/>
  <c r="F1684" i="8"/>
  <c r="I1684" i="8"/>
  <c r="H1684" i="8"/>
  <c r="F2150" i="8"/>
  <c r="H2150" i="8"/>
  <c r="I2150" i="8"/>
  <c r="F3482" i="8"/>
  <c r="I3482" i="8"/>
  <c r="H3482" i="8"/>
  <c r="F2743" i="8"/>
  <c r="I2743" i="8"/>
  <c r="H2743" i="8"/>
  <c r="F1594" i="8"/>
  <c r="I1594" i="8"/>
  <c r="H1594" i="8"/>
  <c r="F1229" i="8"/>
  <c r="I1229" i="8"/>
  <c r="H1229" i="8"/>
  <c r="F565" i="8"/>
  <c r="H565" i="8"/>
  <c r="I565" i="8"/>
  <c r="F1302" i="8"/>
  <c r="H1302" i="8"/>
  <c r="I1302" i="8"/>
  <c r="F800" i="8"/>
  <c r="H800" i="8"/>
  <c r="I800" i="8"/>
  <c r="F2085" i="8"/>
  <c r="I2085" i="8"/>
  <c r="H2085" i="8"/>
  <c r="F1716" i="8"/>
  <c r="H1716" i="8"/>
  <c r="I1716" i="8"/>
  <c r="F1644" i="8"/>
  <c r="I1644" i="8"/>
  <c r="H1644" i="8"/>
  <c r="F2242" i="8"/>
  <c r="I2242" i="8"/>
  <c r="H2242" i="8"/>
  <c r="F1222" i="8"/>
  <c r="I1222" i="8"/>
  <c r="H1222" i="8"/>
  <c r="F2110" i="8"/>
  <c r="I2110" i="8"/>
  <c r="H2110" i="8"/>
  <c r="F2281" i="8"/>
  <c r="I2281" i="8"/>
  <c r="H2281" i="8"/>
  <c r="F619" i="8"/>
  <c r="I619" i="8"/>
  <c r="H619" i="8"/>
  <c r="F944" i="8"/>
  <c r="I944" i="8"/>
  <c r="H944" i="8"/>
  <c r="F1527" i="8"/>
  <c r="I1527" i="8"/>
  <c r="H1527" i="8"/>
  <c r="F1724" i="8"/>
  <c r="H1724" i="8"/>
  <c r="I1724" i="8"/>
  <c r="F1202" i="8"/>
  <c r="H1202" i="8"/>
  <c r="I1202" i="8"/>
  <c r="F1586" i="8"/>
  <c r="I1586" i="8"/>
  <c r="H1586" i="8"/>
  <c r="F2422" i="8"/>
  <c r="I2422" i="8"/>
  <c r="H2422" i="8"/>
  <c r="F1282" i="8"/>
  <c r="I1282" i="8"/>
  <c r="H1282" i="8"/>
  <c r="F763" i="8"/>
  <c r="H763" i="8"/>
  <c r="I763" i="8"/>
  <c r="F1473" i="8"/>
  <c r="H1473" i="8"/>
  <c r="I1473" i="8"/>
  <c r="F1628" i="8"/>
  <c r="H1628" i="8"/>
  <c r="I1628" i="8"/>
  <c r="F2414" i="8"/>
  <c r="I2414" i="8"/>
  <c r="H2414" i="8"/>
  <c r="F2226" i="8"/>
  <c r="I2226" i="8"/>
  <c r="H2226" i="8"/>
  <c r="F1433" i="8"/>
  <c r="I1433" i="8"/>
  <c r="H1433" i="8"/>
  <c r="F667" i="8"/>
  <c r="I667" i="8"/>
  <c r="H667" i="8"/>
  <c r="F1946" i="8"/>
  <c r="I1946" i="8"/>
  <c r="H1946" i="8"/>
  <c r="F1481" i="8"/>
  <c r="H1481" i="8"/>
  <c r="I1481" i="8"/>
  <c r="F1149" i="8"/>
  <c r="I1149" i="8"/>
  <c r="H1149" i="8"/>
  <c r="F1194" i="8"/>
  <c r="I1194" i="8"/>
  <c r="H1194" i="8"/>
  <c r="F1660" i="8"/>
  <c r="I1660" i="8"/>
  <c r="H1660" i="8"/>
  <c r="F1384" i="8"/>
  <c r="H1384" i="8"/>
  <c r="I1384" i="8"/>
  <c r="F1692" i="8"/>
  <c r="I1692" i="8"/>
  <c r="H1692" i="8"/>
  <c r="F3167" i="8"/>
  <c r="H3167" i="8"/>
  <c r="I3167" i="8"/>
  <c r="F2369" i="8"/>
  <c r="I2369" i="8"/>
  <c r="H2369" i="8"/>
  <c r="F2446" i="8"/>
  <c r="I2446" i="8"/>
  <c r="H2446" i="8"/>
  <c r="F3276" i="8"/>
  <c r="I3276" i="8"/>
  <c r="H3276" i="8"/>
  <c r="F1636" i="8"/>
  <c r="I1636" i="8"/>
  <c r="H1636" i="8"/>
  <c r="F2198" i="8"/>
  <c r="I2198" i="8"/>
  <c r="H2198" i="8"/>
  <c r="F1051" i="8"/>
  <c r="H1051" i="8"/>
  <c r="I1051" i="8"/>
  <c r="F1235" i="8"/>
  <c r="H1235" i="8"/>
  <c r="I1235" i="8"/>
  <c r="F1732" i="8"/>
  <c r="H1732" i="8"/>
  <c r="I1732" i="8"/>
  <c r="F691" i="8"/>
  <c r="H691" i="8"/>
  <c r="I691" i="8"/>
  <c r="F2265" i="8"/>
  <c r="H2265" i="8"/>
  <c r="I2265" i="8"/>
  <c r="F728" i="8"/>
  <c r="H728" i="8"/>
  <c r="I728" i="8"/>
  <c r="F651" i="8"/>
  <c r="I651" i="8"/>
  <c r="H651" i="8"/>
  <c r="F2660" i="8"/>
  <c r="H2660" i="8"/>
  <c r="I2660" i="8"/>
  <c r="F1508" i="8"/>
  <c r="I1508" i="8"/>
  <c r="H1508" i="8"/>
  <c r="F2690" i="8"/>
  <c r="I2690" i="8"/>
  <c r="H2690" i="8"/>
  <c r="F2135" i="8"/>
  <c r="I2135" i="8"/>
  <c r="H2135" i="8"/>
  <c r="F1297" i="8"/>
  <c r="I1297" i="8"/>
  <c r="H1297" i="8"/>
  <c r="F1528" i="8"/>
  <c r="H1528" i="8"/>
  <c r="I1528" i="8"/>
  <c r="F2027" i="8"/>
  <c r="I2027" i="8"/>
  <c r="H2027" i="8"/>
  <c r="F2969" i="8"/>
  <c r="H2969" i="8"/>
  <c r="I2969" i="8"/>
  <c r="F1657" i="8"/>
  <c r="I1657" i="8"/>
  <c r="H1657" i="8"/>
  <c r="F1458" i="8"/>
  <c r="H1458" i="8"/>
  <c r="I1458" i="8"/>
  <c r="F627" i="8"/>
  <c r="I627" i="8"/>
  <c r="H627" i="8"/>
  <c r="F3010" i="8"/>
  <c r="I3010" i="8"/>
  <c r="H3010" i="8"/>
  <c r="F1557" i="8"/>
  <c r="I1557" i="8"/>
  <c r="H1557" i="8"/>
  <c r="F635" i="8"/>
  <c r="H635" i="8"/>
  <c r="I635" i="8"/>
  <c r="F2039" i="8"/>
  <c r="I2039" i="8"/>
  <c r="H2039" i="8"/>
  <c r="F841" i="8"/>
  <c r="I841" i="8"/>
  <c r="H841" i="8"/>
  <c r="F1346" i="8"/>
  <c r="I1346" i="8"/>
  <c r="H1346" i="8"/>
  <c r="F3023" i="8"/>
  <c r="I3023" i="8"/>
  <c r="H3023" i="8"/>
  <c r="F3108" i="8"/>
  <c r="H3108" i="8"/>
  <c r="I3108" i="8"/>
  <c r="F1789" i="8"/>
  <c r="I1789" i="8"/>
  <c r="H1789" i="8"/>
  <c r="F1029" i="8"/>
  <c r="I1029" i="8"/>
  <c r="H1029" i="8"/>
  <c r="F2211" i="8"/>
  <c r="H2211" i="8"/>
  <c r="I2211" i="8"/>
  <c r="F1013" i="8"/>
  <c r="H1013" i="8"/>
  <c r="I1013" i="8"/>
  <c r="F1947" i="8"/>
  <c r="H1947" i="8"/>
  <c r="I1947" i="8"/>
  <c r="F1394" i="8"/>
  <c r="H1394" i="8"/>
  <c r="I1394" i="8"/>
  <c r="F2656" i="8"/>
  <c r="H2656" i="8"/>
  <c r="I2656" i="8"/>
  <c r="F2645" i="8"/>
  <c r="H2645" i="8"/>
  <c r="I2645" i="8"/>
  <c r="F2183" i="8"/>
  <c r="H2183" i="8"/>
  <c r="I2183" i="8"/>
  <c r="F1362" i="8"/>
  <c r="I1362" i="8"/>
  <c r="H1362" i="8"/>
  <c r="F2169" i="8"/>
  <c r="I2169" i="8"/>
  <c r="H2169" i="8"/>
  <c r="F1995" i="8"/>
  <c r="H1995" i="8"/>
  <c r="I1995" i="8"/>
  <c r="F563" i="8"/>
  <c r="I563" i="8"/>
  <c r="H563" i="8"/>
  <c r="F2253" i="8"/>
  <c r="H2253" i="8"/>
  <c r="I2253" i="8"/>
  <c r="F2867" i="8"/>
  <c r="H2867" i="8"/>
  <c r="I2867" i="8"/>
  <c r="F2718" i="8"/>
  <c r="I2718" i="8"/>
  <c r="H2718" i="8"/>
  <c r="F1804" i="8"/>
  <c r="I1804" i="8"/>
  <c r="H1804" i="8"/>
  <c r="F2054" i="8"/>
  <c r="I2054" i="8"/>
  <c r="H2054" i="8"/>
  <c r="F2062" i="8"/>
  <c r="I2062" i="8"/>
  <c r="H2062" i="8"/>
  <c r="F1827" i="8"/>
  <c r="H1827" i="8"/>
  <c r="I1827" i="8"/>
  <c r="F2346" i="8"/>
  <c r="H2346" i="8"/>
  <c r="I2346" i="8"/>
  <c r="F2103" i="8"/>
  <c r="I2103" i="8"/>
  <c r="H2103" i="8"/>
  <c r="F1748" i="8"/>
  <c r="H1748" i="8"/>
  <c r="I1748" i="8"/>
  <c r="F2302" i="8"/>
  <c r="I2302" i="8"/>
  <c r="H2302" i="8"/>
  <c r="F2454" i="8"/>
  <c r="H2454" i="8"/>
  <c r="I2454" i="8"/>
  <c r="F2206" i="8"/>
  <c r="H2206" i="8"/>
  <c r="I2206" i="8"/>
  <c r="F2182" i="8"/>
  <c r="I2182" i="8"/>
  <c r="H2182" i="8"/>
  <c r="F2310" i="8"/>
  <c r="I2310" i="8"/>
  <c r="H2310" i="8"/>
  <c r="F1938" i="8"/>
  <c r="H1938" i="8"/>
  <c r="I1938" i="8"/>
  <c r="F1931" i="8"/>
  <c r="I1931" i="8"/>
  <c r="H1931" i="8"/>
  <c r="F2541" i="8"/>
  <c r="H2541" i="8"/>
  <c r="I2541" i="8"/>
  <c r="F2362" i="8"/>
  <c r="I2362" i="8"/>
  <c r="H2362" i="8"/>
  <c r="F2610" i="8"/>
  <c r="I2610" i="8"/>
  <c r="H2610" i="8"/>
  <c r="F2234" i="8"/>
  <c r="I2234" i="8"/>
  <c r="H2234" i="8"/>
  <c r="F2097" i="8"/>
  <c r="I2097" i="8"/>
  <c r="H2097" i="8"/>
  <c r="F2158" i="8"/>
  <c r="H2158" i="8"/>
  <c r="I2158" i="8"/>
  <c r="F3109" i="8"/>
  <c r="I3109" i="8"/>
  <c r="H3109" i="8"/>
  <c r="F2022" i="8"/>
  <c r="I2022" i="8"/>
  <c r="H2022" i="8"/>
  <c r="F2142" i="8"/>
  <c r="I2142" i="8"/>
  <c r="H2142" i="8"/>
  <c r="F2846" i="8"/>
  <c r="H2846" i="8"/>
  <c r="I2846" i="8"/>
  <c r="F2698" i="8"/>
  <c r="I2698" i="8"/>
  <c r="H2698" i="8"/>
  <c r="F2030" i="8"/>
  <c r="H2030" i="8"/>
  <c r="I2030" i="8"/>
  <c r="F2257" i="8"/>
  <c r="I2257" i="8"/>
  <c r="H2257" i="8"/>
  <c r="F2920" i="8"/>
  <c r="H2920" i="8"/>
  <c r="I2920" i="8"/>
  <c r="F2250" i="8"/>
  <c r="H2250" i="8"/>
  <c r="I2250" i="8"/>
  <c r="F1952" i="8"/>
  <c r="I1952" i="8"/>
  <c r="H1952" i="8"/>
  <c r="F2325" i="8"/>
  <c r="H2325" i="8"/>
  <c r="I2325" i="8"/>
  <c r="F1796" i="8"/>
  <c r="H1796" i="8"/>
  <c r="I1796" i="8"/>
  <c r="F2190" i="8"/>
  <c r="H2190" i="8"/>
  <c r="I2190" i="8"/>
  <c r="F3130" i="8"/>
  <c r="I3130" i="8"/>
  <c r="H3130" i="8"/>
  <c r="F1788" i="8"/>
  <c r="I1788" i="8"/>
  <c r="H1788" i="8"/>
  <c r="F2644" i="8"/>
  <c r="I2644" i="8"/>
  <c r="H2644" i="8"/>
  <c r="F1982" i="8"/>
  <c r="I1982" i="8"/>
  <c r="H1982" i="8"/>
  <c r="F1915" i="8"/>
  <c r="I1915" i="8"/>
  <c r="H1915" i="8"/>
  <c r="F2398" i="8"/>
  <c r="H2398" i="8"/>
  <c r="I2398" i="8"/>
  <c r="F2214" i="8"/>
  <c r="I2214" i="8"/>
  <c r="H2214" i="8"/>
  <c r="F1870" i="8"/>
  <c r="I1870" i="8"/>
  <c r="H1870" i="8"/>
  <c r="F2118" i="8"/>
  <c r="H2118" i="8"/>
  <c r="I2118" i="8"/>
  <c r="F2126" i="8"/>
  <c r="H2126" i="8"/>
  <c r="I2126" i="8"/>
  <c r="F2960" i="8"/>
  <c r="H2960" i="8"/>
  <c r="I2960" i="8"/>
  <c r="F1761" i="8"/>
  <c r="H1761" i="8"/>
  <c r="I1761" i="8"/>
  <c r="F2497" i="8"/>
  <c r="H2497" i="8"/>
  <c r="I2497" i="8"/>
  <c r="F1769" i="8"/>
  <c r="H1769" i="8"/>
  <c r="I1769" i="8"/>
  <c r="F2382" i="8"/>
  <c r="I2382" i="8"/>
  <c r="H2382" i="8"/>
  <c r="F1721" i="8"/>
  <c r="I1721" i="8"/>
  <c r="H1721" i="8"/>
  <c r="F3077" i="8"/>
  <c r="H3077" i="8"/>
  <c r="I3077" i="8"/>
  <c r="F3170" i="8"/>
  <c r="H3170" i="8"/>
  <c r="I3170" i="8"/>
  <c r="F2668" i="8"/>
  <c r="I2668" i="8"/>
  <c r="H2668" i="8"/>
  <c r="F2367" i="8"/>
  <c r="H2367" i="8"/>
  <c r="I2367" i="8"/>
  <c r="F2917" i="8"/>
  <c r="H2917" i="8"/>
  <c r="I2917" i="8"/>
  <c r="F1500" i="8"/>
  <c r="H1500" i="8"/>
  <c r="I1500" i="8"/>
  <c r="F2107" i="8"/>
  <c r="H2107" i="8"/>
  <c r="I2107" i="8"/>
  <c r="F2851" i="8"/>
  <c r="I2851" i="8"/>
  <c r="H2851" i="8"/>
  <c r="F1446" i="8"/>
  <c r="I1446" i="8"/>
  <c r="H1446" i="8"/>
  <c r="F2465" i="8"/>
  <c r="H2465" i="8"/>
  <c r="I2465" i="8"/>
  <c r="F3207" i="8"/>
  <c r="I3207" i="8"/>
  <c r="H3207" i="8"/>
  <c r="F3147" i="8"/>
  <c r="I3147" i="8"/>
  <c r="H3147" i="8"/>
  <c r="F2082" i="8"/>
  <c r="I2082" i="8"/>
  <c r="H2082" i="8"/>
  <c r="F2512" i="8"/>
  <c r="I2512" i="8"/>
  <c r="H2512" i="8"/>
  <c r="F2785" i="8"/>
  <c r="H2785" i="8"/>
  <c r="I2785" i="8"/>
  <c r="F2760" i="8"/>
  <c r="I2760" i="8"/>
  <c r="H2760" i="8"/>
  <c r="F1955" i="8"/>
  <c r="I1955" i="8"/>
  <c r="H1955" i="8"/>
  <c r="F2673" i="8"/>
  <c r="H2673" i="8"/>
  <c r="I2673" i="8"/>
  <c r="F2307" i="8"/>
  <c r="I2307" i="8"/>
  <c r="H2307" i="8"/>
  <c r="F2576" i="8"/>
  <c r="H2576" i="8"/>
  <c r="I2576" i="8"/>
  <c r="F2988" i="8"/>
  <c r="H2988" i="8"/>
  <c r="I2988" i="8"/>
  <c r="F2115" i="8"/>
  <c r="H2115" i="8"/>
  <c r="I2115" i="8"/>
  <c r="F3088" i="8"/>
  <c r="H3088" i="8"/>
  <c r="I3088" i="8"/>
  <c r="F2467" i="8"/>
  <c r="H2467" i="8"/>
  <c r="I2467" i="8"/>
  <c r="F3122" i="8"/>
  <c r="H3122" i="8"/>
  <c r="I3122" i="8"/>
  <c r="F3069" i="8"/>
  <c r="H3069" i="8"/>
  <c r="I3069" i="8"/>
  <c r="F2676" i="8"/>
  <c r="I2676" i="8"/>
  <c r="H2676" i="8"/>
  <c r="F3125" i="8"/>
  <c r="I3125" i="8"/>
  <c r="H3125" i="8"/>
  <c r="F1929" i="8"/>
  <c r="I1929" i="8"/>
  <c r="H1929" i="8"/>
  <c r="F2968" i="8"/>
  <c r="H2968" i="8"/>
  <c r="I2968" i="8"/>
  <c r="F1935" i="8"/>
  <c r="I1935" i="8"/>
  <c r="H1935" i="8"/>
  <c r="F2374" i="8"/>
  <c r="I2374" i="8"/>
  <c r="H2374" i="8"/>
  <c r="F3191" i="8"/>
  <c r="H3191" i="8"/>
  <c r="I3191" i="8"/>
  <c r="F2051" i="8"/>
  <c r="I2051" i="8"/>
  <c r="H2051" i="8"/>
  <c r="F1943" i="8"/>
  <c r="I1943" i="8"/>
  <c r="H1943" i="8"/>
  <c r="F3104" i="8"/>
  <c r="I3104" i="8"/>
  <c r="H3104" i="8"/>
  <c r="F2647" i="8"/>
  <c r="I2647" i="8"/>
  <c r="H2647" i="8"/>
  <c r="F1777" i="8"/>
  <c r="I1777" i="8"/>
  <c r="H1777" i="8"/>
  <c r="F1625" i="8"/>
  <c r="H1625" i="8"/>
  <c r="I1625" i="8"/>
  <c r="F2449" i="8"/>
  <c r="H2449" i="8"/>
  <c r="I2449" i="8"/>
  <c r="F2838" i="8"/>
  <c r="I2838" i="8"/>
  <c r="H2838" i="8"/>
  <c r="F1599" i="8"/>
  <c r="I1599" i="8"/>
  <c r="H1599" i="8"/>
  <c r="F2520" i="8"/>
  <c r="I2520" i="8"/>
  <c r="H2520" i="8"/>
  <c r="F1713" i="8"/>
  <c r="H1713" i="8"/>
  <c r="I1713" i="8"/>
  <c r="F2552" i="8"/>
  <c r="H2552" i="8"/>
  <c r="I2552" i="8"/>
  <c r="F2425" i="8"/>
  <c r="H2425" i="8"/>
  <c r="I2425" i="8"/>
  <c r="F3009" i="8"/>
  <c r="I3009" i="8"/>
  <c r="H3009" i="8"/>
  <c r="F1881" i="8"/>
  <c r="H1881" i="8"/>
  <c r="I1881" i="8"/>
  <c r="F3198" i="8"/>
  <c r="H3198" i="8"/>
  <c r="I3198" i="8"/>
  <c r="F1596" i="8"/>
  <c r="H1596" i="8"/>
  <c r="I1596" i="8"/>
  <c r="F1529" i="8"/>
  <c r="H1529" i="8"/>
  <c r="I1529" i="8"/>
  <c r="F3244" i="8"/>
  <c r="I3244" i="8"/>
  <c r="H3244" i="8"/>
  <c r="F1588" i="8"/>
  <c r="H1588" i="8"/>
  <c r="I1588" i="8"/>
  <c r="F1298" i="8"/>
  <c r="H1298" i="8"/>
  <c r="I1298" i="8"/>
  <c r="F427" i="8"/>
  <c r="I427" i="8"/>
  <c r="H427" i="8"/>
  <c r="F2400" i="8"/>
  <c r="I2400" i="8"/>
  <c r="H2400" i="8"/>
  <c r="F2128" i="8"/>
  <c r="I2128" i="8"/>
  <c r="H2128" i="8"/>
  <c r="F2184" i="8"/>
  <c r="H2184" i="8"/>
  <c r="I2184" i="8"/>
  <c r="F778" i="8"/>
  <c r="H778" i="8"/>
  <c r="I778" i="8"/>
  <c r="F2456" i="8"/>
  <c r="H2456" i="8"/>
  <c r="I2456" i="8"/>
  <c r="F545" i="8"/>
  <c r="I545" i="8"/>
  <c r="H545" i="8"/>
  <c r="F2236" i="8"/>
  <c r="H2236" i="8"/>
  <c r="I2236" i="8"/>
  <c r="F2275" i="8"/>
  <c r="I2275" i="8"/>
  <c r="H2275" i="8"/>
  <c r="F2008" i="8"/>
  <c r="I2008" i="8"/>
  <c r="H2008" i="8"/>
  <c r="F1638" i="8"/>
  <c r="I1638" i="8"/>
  <c r="H1638" i="8"/>
  <c r="F3055" i="8"/>
  <c r="I3055" i="8"/>
  <c r="H3055" i="8"/>
  <c r="F529" i="8"/>
  <c r="H529" i="8"/>
  <c r="I529" i="8"/>
  <c r="F2519" i="8"/>
  <c r="I2519" i="8"/>
  <c r="H2519" i="8"/>
  <c r="F2056" i="8"/>
  <c r="H2056" i="8"/>
  <c r="I2056" i="8"/>
  <c r="F435" i="8"/>
  <c r="I435" i="8"/>
  <c r="H435" i="8"/>
  <c r="F1734" i="8"/>
  <c r="I1734" i="8"/>
  <c r="H1734" i="8"/>
  <c r="F2072" i="8"/>
  <c r="H2072" i="8"/>
  <c r="I2072" i="8"/>
  <c r="F1562" i="8"/>
  <c r="I1562" i="8"/>
  <c r="H1562" i="8"/>
  <c r="F2000" i="8"/>
  <c r="H2000" i="8"/>
  <c r="I2000" i="8"/>
  <c r="F70" i="8"/>
  <c r="H70" i="8"/>
  <c r="I70" i="8"/>
  <c r="F2848" i="8"/>
  <c r="H2848" i="8"/>
  <c r="I2848" i="8"/>
  <c r="F2739" i="8"/>
  <c r="I2739" i="8"/>
  <c r="H2739" i="8"/>
  <c r="F2340" i="8"/>
  <c r="I2340" i="8"/>
  <c r="H2340" i="8"/>
  <c r="F2583" i="8"/>
  <c r="H2583" i="8"/>
  <c r="I2583" i="8"/>
  <c r="F2120" i="8"/>
  <c r="I2120" i="8"/>
  <c r="H2120" i="8"/>
  <c r="F1798" i="8"/>
  <c r="H1798" i="8"/>
  <c r="I1798" i="8"/>
  <c r="F2327" i="8"/>
  <c r="H2327" i="8"/>
  <c r="I2327" i="8"/>
  <c r="F2509" i="8"/>
  <c r="I2509" i="8"/>
  <c r="H2509" i="8"/>
  <c r="F2144" i="8"/>
  <c r="I2144" i="8"/>
  <c r="H2144" i="8"/>
  <c r="F2636" i="8"/>
  <c r="I2636" i="8"/>
  <c r="H2636" i="8"/>
  <c r="F802" i="8"/>
  <c r="I802" i="8"/>
  <c r="H802" i="8"/>
  <c r="F2589" i="8"/>
  <c r="H2589" i="8"/>
  <c r="I2589" i="8"/>
  <c r="F2048" i="8"/>
  <c r="I2048" i="8"/>
  <c r="H2048" i="8"/>
  <c r="F2208" i="8"/>
  <c r="H2208" i="8"/>
  <c r="I2208" i="8"/>
  <c r="F709" i="8"/>
  <c r="I709" i="8"/>
  <c r="H709" i="8"/>
  <c r="F1710" i="8"/>
  <c r="I1710" i="8"/>
  <c r="H1710" i="8"/>
  <c r="F2652" i="8"/>
  <c r="I2652" i="8"/>
  <c r="H2652" i="8"/>
  <c r="F629" i="8"/>
  <c r="I629" i="8"/>
  <c r="H629" i="8"/>
  <c r="F450" i="8"/>
  <c r="I450" i="8"/>
  <c r="H450" i="8"/>
  <c r="F2638" i="8"/>
  <c r="H2638" i="8"/>
  <c r="I2638" i="8"/>
  <c r="F2581" i="8"/>
  <c r="H2581" i="8"/>
  <c r="I2581" i="8"/>
  <c r="F1001" i="8"/>
  <c r="H1001" i="8"/>
  <c r="I1001" i="8"/>
  <c r="F1513" i="8"/>
  <c r="I1513" i="8"/>
  <c r="H1513" i="8"/>
  <c r="F443" i="8"/>
  <c r="I443" i="8"/>
  <c r="H443" i="8"/>
  <c r="F1742" i="8"/>
  <c r="H1742" i="8"/>
  <c r="I1742" i="8"/>
  <c r="F2628" i="8"/>
  <c r="I2628" i="8"/>
  <c r="H2628" i="8"/>
  <c r="F2575" i="8"/>
  <c r="I2575" i="8"/>
  <c r="H2575" i="8"/>
  <c r="F2525" i="8"/>
  <c r="H2525" i="8"/>
  <c r="I2525" i="8"/>
  <c r="F2379" i="8"/>
  <c r="I2379" i="8"/>
  <c r="H2379" i="8"/>
  <c r="F2364" i="8"/>
  <c r="I2364" i="8"/>
  <c r="H2364" i="8"/>
  <c r="F2092" i="8"/>
  <c r="H2092" i="8"/>
  <c r="I2092" i="8"/>
  <c r="F1686" i="8"/>
  <c r="I1686" i="8"/>
  <c r="H1686" i="8"/>
  <c r="F2348" i="8"/>
  <c r="H2348" i="8"/>
  <c r="I2348" i="8"/>
  <c r="F1630" i="8"/>
  <c r="I1630" i="8"/>
  <c r="H1630" i="8"/>
  <c r="F3447" i="8"/>
  <c r="H3447" i="8"/>
  <c r="I3447" i="8"/>
  <c r="F553" i="8"/>
  <c r="I553" i="8"/>
  <c r="H553" i="8"/>
  <c r="F2228" i="8"/>
  <c r="H2228" i="8"/>
  <c r="I2228" i="8"/>
  <c r="F838" i="8"/>
  <c r="H838" i="8"/>
  <c r="I838" i="8"/>
  <c r="F2840" i="8"/>
  <c r="I2840" i="8"/>
  <c r="H2840" i="8"/>
  <c r="F661" i="8"/>
  <c r="I661" i="8"/>
  <c r="H661" i="8"/>
  <c r="F2192" i="8"/>
  <c r="H2192" i="8"/>
  <c r="I2192" i="8"/>
  <c r="F794" i="8"/>
  <c r="I794" i="8"/>
  <c r="H794" i="8"/>
  <c r="F2244" i="8"/>
  <c r="H2244" i="8"/>
  <c r="I2244" i="8"/>
  <c r="F2386" i="8"/>
  <c r="H2386" i="8"/>
  <c r="I2386" i="8"/>
  <c r="F1670" i="8"/>
  <c r="H1670" i="8"/>
  <c r="I1670" i="8"/>
  <c r="F2731" i="8"/>
  <c r="I2731" i="8"/>
  <c r="H2731" i="8"/>
  <c r="F537" i="8"/>
  <c r="H537" i="8"/>
  <c r="I537" i="8"/>
  <c r="F2737" i="8"/>
  <c r="I2737" i="8"/>
  <c r="H2737" i="8"/>
  <c r="F605" i="8"/>
  <c r="H605" i="8"/>
  <c r="I605" i="8"/>
  <c r="F701" i="8"/>
  <c r="H701" i="8"/>
  <c r="I701" i="8"/>
  <c r="F2527" i="8"/>
  <c r="I2527" i="8"/>
  <c r="H2527" i="8"/>
  <c r="F2944" i="8"/>
  <c r="H2944" i="8"/>
  <c r="I2944" i="8"/>
  <c r="F2551" i="8"/>
  <c r="I2551" i="8"/>
  <c r="H2551" i="8"/>
  <c r="F1459" i="8"/>
  <c r="H1459" i="8"/>
  <c r="I1459" i="8"/>
  <c r="F1491" i="8"/>
  <c r="I1491" i="8"/>
  <c r="H1491" i="8"/>
  <c r="F1304" i="8"/>
  <c r="I1304" i="8"/>
  <c r="H1304" i="8"/>
  <c r="F2432" i="8"/>
  <c r="H2432" i="8"/>
  <c r="I2432" i="8"/>
  <c r="F2721" i="8"/>
  <c r="I2721" i="8"/>
  <c r="H2721" i="8"/>
  <c r="F2304" i="8"/>
  <c r="H2304" i="8"/>
  <c r="I2304" i="8"/>
  <c r="F786" i="8"/>
  <c r="H786" i="8"/>
  <c r="I786" i="8"/>
  <c r="F2371" i="8"/>
  <c r="I2371" i="8"/>
  <c r="H2371" i="8"/>
  <c r="F482" i="8"/>
  <c r="H482" i="8"/>
  <c r="I482" i="8"/>
  <c r="F2312" i="8"/>
  <c r="I2312" i="8"/>
  <c r="H2312" i="8"/>
  <c r="F1774" i="8"/>
  <c r="H1774" i="8"/>
  <c r="I1774" i="8"/>
  <c r="F2688" i="8"/>
  <c r="I2688" i="8"/>
  <c r="H2688" i="8"/>
  <c r="F466" i="8"/>
  <c r="H466" i="8"/>
  <c r="I466" i="8"/>
  <c r="F2713" i="8"/>
  <c r="H2713" i="8"/>
  <c r="I2713" i="8"/>
  <c r="F2662" i="8"/>
  <c r="H2662" i="8"/>
  <c r="I2662" i="8"/>
  <c r="F3124" i="8"/>
  <c r="H3124" i="8"/>
  <c r="I3124" i="8"/>
  <c r="F2259" i="8"/>
  <c r="I2259" i="8"/>
  <c r="H2259" i="8"/>
  <c r="F293" i="8"/>
  <c r="I293" i="8"/>
  <c r="H293" i="8"/>
  <c r="F743" i="8"/>
  <c r="I743" i="8"/>
  <c r="H743" i="8"/>
  <c r="F669" i="8"/>
  <c r="I669" i="8"/>
  <c r="H669" i="8"/>
  <c r="F637" i="8"/>
  <c r="I637" i="8"/>
  <c r="H637" i="8"/>
  <c r="F404" i="8"/>
  <c r="I404" i="8"/>
  <c r="H404" i="8"/>
  <c r="F1467" i="8"/>
  <c r="I1467" i="8"/>
  <c r="H1467" i="8"/>
  <c r="F1960" i="8"/>
  <c r="H1960" i="8"/>
  <c r="I1960" i="8"/>
  <c r="F3278" i="8"/>
  <c r="I3278" i="8"/>
  <c r="H3278" i="8"/>
  <c r="F592" i="8"/>
  <c r="H592" i="8"/>
  <c r="I592" i="8"/>
  <c r="F1443" i="8"/>
  <c r="H1443" i="8"/>
  <c r="I1443" i="8"/>
  <c r="F2700" i="8"/>
  <c r="H2700" i="8"/>
  <c r="I2700" i="8"/>
  <c r="F169" i="8"/>
  <c r="H169" i="8"/>
  <c r="I169" i="8"/>
  <c r="F730" i="8"/>
  <c r="I730" i="8"/>
  <c r="H730" i="8"/>
  <c r="F3133" i="8"/>
  <c r="I3133" i="8"/>
  <c r="H3133" i="8"/>
  <c r="F2136" i="8"/>
  <c r="I2136" i="8"/>
  <c r="H2136" i="8"/>
  <c r="F1718" i="8"/>
  <c r="H1718" i="8"/>
  <c r="I1718" i="8"/>
  <c r="F2440" i="8"/>
  <c r="H2440" i="8"/>
  <c r="I2440" i="8"/>
  <c r="F1726" i="8"/>
  <c r="H1726" i="8"/>
  <c r="I1726" i="8"/>
  <c r="F2949" i="8"/>
  <c r="I2949" i="8"/>
  <c r="H2949" i="8"/>
  <c r="F2957" i="8"/>
  <c r="I2957" i="8"/>
  <c r="H2957" i="8"/>
  <c r="F2448" i="8"/>
  <c r="H2448" i="8"/>
  <c r="I2448" i="8"/>
  <c r="F2654" i="8"/>
  <c r="H2654" i="8"/>
  <c r="I2654" i="8"/>
  <c r="F2999" i="8"/>
  <c r="H2999" i="8"/>
  <c r="I2999" i="8"/>
  <c r="F810" i="8"/>
  <c r="I810" i="8"/>
  <c r="H810" i="8"/>
  <c r="F954" i="8"/>
  <c r="I954" i="8"/>
  <c r="H954" i="8"/>
  <c r="F2438" i="8"/>
  <c r="H2438" i="8"/>
  <c r="I2438" i="8"/>
  <c r="F2283" i="8"/>
  <c r="I2283" i="8"/>
  <c r="H2283" i="8"/>
  <c r="F3188" i="8"/>
  <c r="I3188" i="8"/>
  <c r="H3188" i="8"/>
  <c r="F2630" i="8"/>
  <c r="I2630" i="8"/>
  <c r="H2630" i="8"/>
  <c r="F1386" i="8"/>
  <c r="H1386" i="8"/>
  <c r="I1386" i="8"/>
  <c r="F693" i="8"/>
  <c r="H693" i="8"/>
  <c r="I693" i="8"/>
  <c r="F653" i="8"/>
  <c r="I653" i="8"/>
  <c r="H653" i="8"/>
  <c r="F677" i="8"/>
  <c r="I677" i="8"/>
  <c r="H677" i="8"/>
  <c r="F1451" i="8"/>
  <c r="I1451" i="8"/>
  <c r="H1451" i="8"/>
  <c r="F645" i="8"/>
  <c r="I645" i="8"/>
  <c r="H645" i="8"/>
  <c r="F396" i="8"/>
  <c r="I396" i="8"/>
  <c r="H396" i="8"/>
  <c r="F1917" i="8"/>
  <c r="H1917" i="8"/>
  <c r="I1917" i="8"/>
  <c r="F1580" i="8"/>
  <c r="H1580" i="8"/>
  <c r="I1580" i="8"/>
  <c r="F1554" i="8"/>
  <c r="H1554" i="8"/>
  <c r="I1554" i="8"/>
  <c r="F1614" i="8"/>
  <c r="H1614" i="8"/>
  <c r="I1614" i="8"/>
  <c r="F2805" i="8"/>
  <c r="I2805" i="8"/>
  <c r="H2805" i="8"/>
  <c r="F1646" i="8"/>
  <c r="H1646" i="8"/>
  <c r="I1646" i="8"/>
  <c r="F1312" i="8"/>
  <c r="H1312" i="8"/>
  <c r="I1312" i="8"/>
  <c r="F2480" i="8"/>
  <c r="I2480" i="8"/>
  <c r="H2480" i="8"/>
  <c r="F2424" i="8"/>
  <c r="I2424" i="8"/>
  <c r="H2424" i="8"/>
  <c r="F2496" i="8"/>
  <c r="I2496" i="8"/>
  <c r="H2496" i="8"/>
  <c r="F2200" i="8"/>
  <c r="H2200" i="8"/>
  <c r="I2200" i="8"/>
  <c r="F2889" i="8"/>
  <c r="I2889" i="8"/>
  <c r="H2889" i="8"/>
  <c r="F561" i="8"/>
  <c r="H561" i="8"/>
  <c r="I561" i="8"/>
  <c r="F1521" i="8"/>
  <c r="H1521" i="8"/>
  <c r="I1521" i="8"/>
  <c r="F613" i="8"/>
  <c r="I613" i="8"/>
  <c r="H613" i="8"/>
  <c r="F2573" i="8"/>
  <c r="I2573" i="8"/>
  <c r="H2573" i="8"/>
  <c r="F2319" i="8"/>
  <c r="H2319" i="8"/>
  <c r="I2319" i="8"/>
  <c r="F1335" i="8"/>
  <c r="H1335" i="8"/>
  <c r="I1335" i="8"/>
  <c r="F3060" i="8"/>
  <c r="I3060" i="8"/>
  <c r="H3060" i="8"/>
  <c r="F757" i="8"/>
  <c r="I757" i="8"/>
  <c r="H757" i="8"/>
  <c r="F1196" i="8"/>
  <c r="H1196" i="8"/>
  <c r="I1196" i="8"/>
  <c r="F521" i="8"/>
  <c r="H521" i="8"/>
  <c r="I521" i="8"/>
  <c r="F2152" i="8"/>
  <c r="I2152" i="8"/>
  <c r="H2152" i="8"/>
  <c r="F2511" i="8"/>
  <c r="H2511" i="8"/>
  <c r="I2511" i="8"/>
  <c r="F3196" i="8"/>
  <c r="H3196" i="8"/>
  <c r="I3196" i="8"/>
  <c r="F773" i="8"/>
  <c r="H773" i="8"/>
  <c r="I773" i="8"/>
  <c r="F1750" i="8"/>
  <c r="H1750" i="8"/>
  <c r="I1750" i="8"/>
  <c r="F3068" i="8"/>
  <c r="I3068" i="8"/>
  <c r="H3068" i="8"/>
  <c r="F1505" i="8"/>
  <c r="I1505" i="8"/>
  <c r="H1505" i="8"/>
  <c r="F1326" i="8"/>
  <c r="I1326" i="8"/>
  <c r="H1326" i="8"/>
  <c r="F2408" i="8"/>
  <c r="I2408" i="8"/>
  <c r="H2408" i="8"/>
  <c r="F2406" i="8"/>
  <c r="H2406" i="8"/>
  <c r="I2406" i="8"/>
  <c r="F685" i="8"/>
  <c r="H685" i="8"/>
  <c r="I685" i="8"/>
  <c r="F2726" i="8"/>
  <c r="H2726" i="8"/>
  <c r="I2726" i="8"/>
  <c r="F1968" i="8"/>
  <c r="H1968" i="8"/>
  <c r="I1968" i="8"/>
  <c r="F2080" i="8"/>
  <c r="I2080" i="8"/>
  <c r="H2080" i="8"/>
  <c r="F1984" i="8"/>
  <c r="H1984" i="8"/>
  <c r="I1984" i="8"/>
  <c r="F2533" i="8"/>
  <c r="H2533" i="8"/>
  <c r="I2533" i="8"/>
  <c r="F3223" i="8"/>
  <c r="I3223" i="8"/>
  <c r="H3223" i="8"/>
  <c r="F415" i="8"/>
  <c r="H415" i="8"/>
  <c r="I415" i="8"/>
  <c r="F2016" i="8"/>
  <c r="I2016" i="8"/>
  <c r="H2016" i="8"/>
  <c r="F1151" i="8"/>
  <c r="I1151" i="8"/>
  <c r="H1151" i="8"/>
  <c r="F1694" i="8"/>
  <c r="H1694" i="8"/>
  <c r="I1694" i="8"/>
  <c r="F1790" i="8"/>
  <c r="I1790" i="8"/>
  <c r="H1790" i="8"/>
  <c r="F77" i="8"/>
  <c r="I77" i="8"/>
  <c r="H77" i="8"/>
  <c r="F2557" i="8"/>
  <c r="H2557" i="8"/>
  <c r="I2557" i="8"/>
  <c r="F1654" i="8"/>
  <c r="I1654" i="8"/>
  <c r="H1654" i="8"/>
  <c r="F832" i="8"/>
  <c r="H832" i="8"/>
  <c r="I832" i="8"/>
  <c r="F2470" i="8"/>
  <c r="I2470" i="8"/>
  <c r="H2470" i="8"/>
  <c r="F1015" i="8"/>
  <c r="H1015" i="8"/>
  <c r="I1015" i="8"/>
  <c r="F1909" i="8"/>
  <c r="H1909" i="8"/>
  <c r="I1909" i="8"/>
  <c r="F1475" i="8"/>
  <c r="H1475" i="8"/>
  <c r="I1475" i="8"/>
  <c r="F1537" i="8"/>
  <c r="I1537" i="8"/>
  <c r="H1537" i="8"/>
  <c r="F818" i="8"/>
  <c r="H818" i="8"/>
  <c r="I818" i="8"/>
  <c r="F2670" i="8"/>
  <c r="I2670" i="8"/>
  <c r="H2670" i="8"/>
  <c r="F1806" i="8"/>
  <c r="I1806" i="8"/>
  <c r="H1806" i="8"/>
  <c r="F2168" i="8"/>
  <c r="H2168" i="8"/>
  <c r="I2168" i="8"/>
  <c r="F2267" i="8"/>
  <c r="I2267" i="8"/>
  <c r="H2267" i="8"/>
  <c r="F1758" i="8"/>
  <c r="H1758" i="8"/>
  <c r="I1758" i="8"/>
  <c r="F1702" i="8"/>
  <c r="I1702" i="8"/>
  <c r="H1702" i="8"/>
  <c r="F1782" i="8"/>
  <c r="I1782" i="8"/>
  <c r="H1782" i="8"/>
  <c r="F3169" i="8"/>
  <c r="I3169" i="8"/>
  <c r="H3169" i="8"/>
  <c r="F2112" i="8"/>
  <c r="I2112" i="8"/>
  <c r="H2112" i="8"/>
  <c r="F458" i="8"/>
  <c r="I458" i="8"/>
  <c r="H458" i="8"/>
  <c r="F2947" i="8"/>
  <c r="H2947" i="8"/>
  <c r="I2947" i="8"/>
  <c r="F2478" i="8"/>
  <c r="H2478" i="8"/>
  <c r="I2478" i="8"/>
  <c r="F765" i="8"/>
  <c r="I765" i="8"/>
  <c r="H765" i="8"/>
  <c r="F2176" i="8"/>
  <c r="I2176" i="8"/>
  <c r="H2176" i="8"/>
  <c r="F1007" i="8"/>
  <c r="H1007" i="8"/>
  <c r="I1007" i="8"/>
  <c r="F1678" i="8"/>
  <c r="I1678" i="8"/>
  <c r="H1678" i="8"/>
  <c r="F1662" i="8"/>
  <c r="I1662" i="8"/>
  <c r="H1662" i="8"/>
  <c r="F2252" i="8"/>
  <c r="H2252" i="8"/>
  <c r="I2252" i="8"/>
  <c r="F2430" i="8"/>
  <c r="I2430" i="8"/>
  <c r="H2430" i="8"/>
  <c r="F2032" i="8"/>
  <c r="H2032" i="8"/>
  <c r="I2032" i="8"/>
  <c r="F2559" i="8"/>
  <c r="H2559" i="8"/>
  <c r="I2559" i="8"/>
  <c r="F621" i="8"/>
  <c r="I621" i="8"/>
  <c r="H621" i="8"/>
  <c r="F1402" i="8"/>
  <c r="I1402" i="8"/>
  <c r="H1402" i="8"/>
  <c r="F2567" i="8"/>
  <c r="H2567" i="8"/>
  <c r="I2567" i="8"/>
  <c r="F142" i="8"/>
  <c r="H142" i="8"/>
  <c r="I142" i="8"/>
  <c r="F1766" i="8"/>
  <c r="H1766" i="8"/>
  <c r="I1766" i="8"/>
  <c r="F1745" i="8"/>
  <c r="I1745" i="8"/>
  <c r="H1745" i="8"/>
  <c r="F2075" i="8"/>
  <c r="I2075" i="8"/>
  <c r="H2075" i="8"/>
  <c r="F1855" i="8"/>
  <c r="I1855" i="8"/>
  <c r="H1855" i="8"/>
  <c r="F2067" i="8"/>
  <c r="H2067" i="8"/>
  <c r="I2067" i="8"/>
  <c r="F2059" i="8"/>
  <c r="H2059" i="8"/>
  <c r="I2059" i="8"/>
  <c r="F2035" i="8"/>
  <c r="I2035" i="8"/>
  <c r="H2035" i="8"/>
  <c r="F2322" i="8"/>
  <c r="I2322" i="8"/>
  <c r="H2322" i="8"/>
  <c r="F1824" i="8"/>
  <c r="H1824" i="8"/>
  <c r="I1824" i="8"/>
  <c r="F1987" i="8"/>
  <c r="I1987" i="8"/>
  <c r="H1987" i="8"/>
  <c r="F2003" i="8"/>
  <c r="I2003" i="8"/>
  <c r="H2003" i="8"/>
  <c r="F1753" i="8"/>
  <c r="H1753" i="8"/>
  <c r="I1753" i="8"/>
  <c r="F2741" i="8"/>
  <c r="I2741" i="8"/>
  <c r="H2741" i="8"/>
  <c r="F1583" i="8"/>
  <c r="I1583" i="8"/>
  <c r="H1583" i="8"/>
  <c r="F1689" i="8"/>
  <c r="H1689" i="8"/>
  <c r="I1689" i="8"/>
  <c r="F2343" i="8"/>
  <c r="H2343" i="8"/>
  <c r="I2343" i="8"/>
  <c r="F2562" i="8"/>
  <c r="I2562" i="8"/>
  <c r="H2562" i="8"/>
  <c r="F1835" i="8"/>
  <c r="H1835" i="8"/>
  <c r="I1835" i="8"/>
  <c r="F2223" i="8"/>
  <c r="H2223" i="8"/>
  <c r="I2223" i="8"/>
  <c r="F1462" i="8"/>
  <c r="H1462" i="8"/>
  <c r="I1462" i="8"/>
  <c r="F2195" i="8"/>
  <c r="H2195" i="8"/>
  <c r="I2195" i="8"/>
  <c r="F2293" i="8"/>
  <c r="H2293" i="8"/>
  <c r="I2293" i="8"/>
  <c r="F1673" i="8"/>
  <c r="H1673" i="8"/>
  <c r="I1673" i="8"/>
  <c r="F2483" i="8"/>
  <c r="H2483" i="8"/>
  <c r="I2483" i="8"/>
  <c r="F3006" i="8"/>
  <c r="I3006" i="8"/>
  <c r="H3006" i="8"/>
  <c r="F1912" i="8"/>
  <c r="I1912" i="8"/>
  <c r="H1912" i="8"/>
  <c r="F1809" i="8"/>
  <c r="I1809" i="8"/>
  <c r="H1809" i="8"/>
  <c r="F2330" i="8"/>
  <c r="I2330" i="8"/>
  <c r="H2330" i="8"/>
  <c r="F2954" i="8"/>
  <c r="I2954" i="8"/>
  <c r="H2954" i="8"/>
  <c r="F1532" i="8"/>
  <c r="I1532" i="8"/>
  <c r="H1532" i="8"/>
  <c r="F1737" i="8"/>
  <c r="H1737" i="8"/>
  <c r="I1737" i="8"/>
  <c r="F1801" i="8"/>
  <c r="H1801" i="8"/>
  <c r="I1801" i="8"/>
  <c r="F2538" i="8"/>
  <c r="H2538" i="8"/>
  <c r="I2538" i="8"/>
  <c r="F1681" i="8"/>
  <c r="I1681" i="8"/>
  <c r="H1681" i="8"/>
  <c r="F2095" i="8"/>
  <c r="I2095" i="8"/>
  <c r="H2095" i="8"/>
  <c r="F1565" i="8"/>
  <c r="H1565" i="8"/>
  <c r="I1565" i="8"/>
  <c r="F2011" i="8"/>
  <c r="H2011" i="8"/>
  <c r="I2011" i="8"/>
  <c r="F2928" i="8"/>
  <c r="I2928" i="8"/>
  <c r="H2928" i="8"/>
  <c r="F2665" i="8"/>
  <c r="H2665" i="8"/>
  <c r="I2665" i="8"/>
  <c r="F1454" i="8"/>
  <c r="H1454" i="8"/>
  <c r="I1454" i="8"/>
  <c r="F1979" i="8"/>
  <c r="I1979" i="8"/>
  <c r="H1979" i="8"/>
  <c r="F2187" i="8"/>
  <c r="I2187" i="8"/>
  <c r="H2187" i="8"/>
  <c r="F1992" i="8"/>
  <c r="H1992" i="8"/>
  <c r="I1992" i="8"/>
  <c r="F2591" i="8"/>
  <c r="H2591" i="8"/>
  <c r="I2591" i="8"/>
  <c r="F2762" i="8"/>
  <c r="I2762" i="8"/>
  <c r="H2762" i="8"/>
  <c r="F2543" i="8"/>
  <c r="H2543" i="8"/>
  <c r="I2543" i="8"/>
  <c r="F2733" i="8"/>
  <c r="I2733" i="8"/>
  <c r="H2733" i="8"/>
  <c r="F2535" i="8"/>
  <c r="H2535" i="8"/>
  <c r="I2535" i="8"/>
  <c r="F1217" i="8"/>
  <c r="H1217" i="8"/>
  <c r="I1217" i="8"/>
  <c r="F3084" i="8"/>
  <c r="H3084" i="8"/>
  <c r="I3084" i="8"/>
  <c r="F1259" i="8"/>
  <c r="I1259" i="8"/>
  <c r="H1259" i="8"/>
  <c r="F2216" i="8"/>
  <c r="H2216" i="8"/>
  <c r="I2216" i="8"/>
  <c r="F1622" i="8"/>
  <c r="H1622" i="8"/>
  <c r="I1622" i="8"/>
  <c r="F1053" i="8"/>
  <c r="I1053" i="8"/>
  <c r="H1053" i="8"/>
  <c r="F1204" i="8"/>
  <c r="H1204" i="8"/>
  <c r="I1204" i="8"/>
  <c r="F2220" i="8"/>
  <c r="I2220" i="8"/>
  <c r="H2220" i="8"/>
  <c r="F1883" i="8"/>
  <c r="H1883" i="8"/>
  <c r="I1883" i="8"/>
  <c r="F2089" i="8"/>
  <c r="I2089" i="8"/>
  <c r="H2089" i="8"/>
  <c r="F1651" i="8"/>
  <c r="I1651" i="8"/>
  <c r="H1651" i="8"/>
  <c r="F1516" i="8"/>
  <c r="I1516" i="8"/>
  <c r="H1516" i="8"/>
  <c r="F2356" i="8"/>
  <c r="I2356" i="8"/>
  <c r="H2356" i="8"/>
  <c r="F1540" i="8"/>
  <c r="I1540" i="8"/>
  <c r="H1540" i="8"/>
  <c r="F2188" i="8"/>
  <c r="I2188" i="8"/>
  <c r="H2188" i="8"/>
  <c r="F1974" i="8"/>
  <c r="H1974" i="8"/>
  <c r="I1974" i="8"/>
  <c r="F2574" i="8"/>
  <c r="H2574" i="8"/>
  <c r="I2574" i="8"/>
  <c r="F1033" i="8"/>
  <c r="H1033" i="8"/>
  <c r="I1033" i="8"/>
  <c r="F2667" i="8"/>
  <c r="H2667" i="8"/>
  <c r="I2667" i="8"/>
  <c r="F1306" i="8"/>
  <c r="H1306" i="8"/>
  <c r="I1306" i="8"/>
  <c r="F2156" i="8"/>
  <c r="I2156" i="8"/>
  <c r="H2156" i="8"/>
  <c r="F1349" i="8"/>
  <c r="I1349" i="8"/>
  <c r="H1349" i="8"/>
  <c r="F1699" i="8"/>
  <c r="I1699" i="8"/>
  <c r="H1699" i="8"/>
  <c r="F1602" i="8"/>
  <c r="H1602" i="8"/>
  <c r="I1602" i="8"/>
  <c r="F1239" i="8"/>
  <c r="I1239" i="8"/>
  <c r="H1239" i="8"/>
  <c r="F1457" i="8"/>
  <c r="I1457" i="8"/>
  <c r="H1457" i="8"/>
  <c r="F2370" i="8"/>
  <c r="I2370" i="8"/>
  <c r="H2370" i="8"/>
  <c r="F1787" i="8"/>
  <c r="I1787" i="8"/>
  <c r="H1787" i="8"/>
  <c r="F2439" i="8"/>
  <c r="I2439" i="8"/>
  <c r="H2439" i="8"/>
  <c r="F2582" i="8"/>
  <c r="I2582" i="8"/>
  <c r="H2582" i="8"/>
  <c r="F2423" i="8"/>
  <c r="H2423" i="8"/>
  <c r="I2423" i="8"/>
  <c r="F2393" i="8"/>
  <c r="I2393" i="8"/>
  <c r="H2393" i="8"/>
  <c r="F2084" i="8"/>
  <c r="H2084" i="8"/>
  <c r="I2084" i="8"/>
  <c r="F2526" i="8"/>
  <c r="I2526" i="8"/>
  <c r="H2526" i="8"/>
  <c r="F2124" i="8"/>
  <c r="H2124" i="8"/>
  <c r="I2124" i="8"/>
  <c r="F1052" i="8"/>
  <c r="I1052" i="8"/>
  <c r="H1052" i="8"/>
  <c r="F2487" i="8"/>
  <c r="I2487" i="8"/>
  <c r="H2487" i="8"/>
  <c r="F1370" i="8"/>
  <c r="H1370" i="8"/>
  <c r="I1370" i="8"/>
  <c r="F2005" i="8"/>
  <c r="H2005" i="8"/>
  <c r="I2005" i="8"/>
  <c r="F1919" i="8"/>
  <c r="I1919" i="8"/>
  <c r="H1919" i="8"/>
  <c r="F3115" i="8"/>
  <c r="H3115" i="8"/>
  <c r="I3115" i="8"/>
  <c r="F2164" i="8"/>
  <c r="I2164" i="8"/>
  <c r="H2164" i="8"/>
  <c r="F1387" i="8"/>
  <c r="I1387" i="8"/>
  <c r="H1387" i="8"/>
  <c r="F1659" i="8"/>
  <c r="H1659" i="8"/>
  <c r="I1659" i="8"/>
  <c r="F1579" i="8"/>
  <c r="H1579" i="8"/>
  <c r="I1579" i="8"/>
  <c r="F1441" i="8"/>
  <c r="I1441" i="8"/>
  <c r="H1441" i="8"/>
  <c r="F1911" i="8"/>
  <c r="H1911" i="8"/>
  <c r="I1911" i="8"/>
  <c r="F3015" i="8"/>
  <c r="I3015" i="8"/>
  <c r="H3015" i="8"/>
  <c r="F1619" i="8"/>
  <c r="I1619" i="8"/>
  <c r="H1619" i="8"/>
  <c r="F1314" i="8"/>
  <c r="H1314" i="8"/>
  <c r="I1314" i="8"/>
  <c r="F1755" i="8"/>
  <c r="I1755" i="8"/>
  <c r="H1755" i="8"/>
  <c r="F1941" i="8"/>
  <c r="I1941" i="8"/>
  <c r="H1941" i="8"/>
  <c r="F2542" i="8"/>
  <c r="H2542" i="8"/>
  <c r="I2542" i="8"/>
  <c r="F2132" i="8"/>
  <c r="I2132" i="8"/>
  <c r="H2132" i="8"/>
  <c r="F2212" i="8"/>
  <c r="I2212" i="8"/>
  <c r="H2212" i="8"/>
  <c r="F3142" i="8"/>
  <c r="I3142" i="8"/>
  <c r="H3142" i="8"/>
  <c r="F2378" i="8"/>
  <c r="I2378" i="8"/>
  <c r="H2378" i="8"/>
  <c r="F1747" i="8"/>
  <c r="H1747" i="8"/>
  <c r="I1747" i="8"/>
  <c r="F1201" i="8"/>
  <c r="I1201" i="8"/>
  <c r="H1201" i="8"/>
  <c r="F2566" i="8"/>
  <c r="I2566" i="8"/>
  <c r="H2566" i="8"/>
  <c r="F1567" i="8"/>
  <c r="H1567" i="8"/>
  <c r="I1567" i="8"/>
  <c r="F1707" i="8"/>
  <c r="H1707" i="8"/>
  <c r="I1707" i="8"/>
  <c r="F1376" i="8"/>
  <c r="H1376" i="8"/>
  <c r="I1376" i="8"/>
  <c r="F2399" i="8"/>
  <c r="I2399" i="8"/>
  <c r="H2399" i="8"/>
  <c r="F2270" i="8"/>
  <c r="H2270" i="8"/>
  <c r="I2270" i="8"/>
  <c r="F2558" i="8"/>
  <c r="H2558" i="8"/>
  <c r="I2558" i="8"/>
  <c r="F2172" i="8"/>
  <c r="I2172" i="8"/>
  <c r="H2172" i="8"/>
  <c r="F1193" i="8"/>
  <c r="I1193" i="8"/>
  <c r="H1193" i="8"/>
  <c r="F2495" i="8"/>
  <c r="I2495" i="8"/>
  <c r="H2495" i="8"/>
  <c r="F1731" i="8"/>
  <c r="H1731" i="8"/>
  <c r="I1731" i="8"/>
  <c r="F1739" i="8"/>
  <c r="H1739" i="8"/>
  <c r="I1739" i="8"/>
  <c r="F2196" i="8"/>
  <c r="H2196" i="8"/>
  <c r="I2196" i="8"/>
  <c r="F2321" i="8"/>
  <c r="I2321" i="8"/>
  <c r="H2321" i="8"/>
  <c r="F1495" i="8"/>
  <c r="I1495" i="8"/>
  <c r="H1495" i="8"/>
  <c r="F1627" i="8"/>
  <c r="H1627" i="8"/>
  <c r="I1627" i="8"/>
  <c r="F1723" i="8"/>
  <c r="H1723" i="8"/>
  <c r="I1723" i="8"/>
  <c r="F2262" i="8"/>
  <c r="I2262" i="8"/>
  <c r="H2262" i="8"/>
  <c r="F1948" i="8"/>
  <c r="I1948" i="8"/>
  <c r="H1948" i="8"/>
  <c r="F3083" i="8"/>
  <c r="I3083" i="8"/>
  <c r="H3083" i="8"/>
  <c r="F2013" i="8"/>
  <c r="H2013" i="8"/>
  <c r="I2013" i="8"/>
  <c r="F2621" i="8"/>
  <c r="I2621" i="8"/>
  <c r="H2621" i="8"/>
  <c r="F1611" i="8"/>
  <c r="I1611" i="8"/>
  <c r="H1611" i="8"/>
  <c r="F2061" i="8"/>
  <c r="H2061" i="8"/>
  <c r="I2061" i="8"/>
  <c r="F1763" i="8"/>
  <c r="H1763" i="8"/>
  <c r="I1763" i="8"/>
  <c r="F2651" i="8"/>
  <c r="H2651" i="8"/>
  <c r="I2651" i="8"/>
  <c r="F2463" i="8"/>
  <c r="H2463" i="8"/>
  <c r="I2463" i="8"/>
  <c r="F3120" i="8"/>
  <c r="I3120" i="8"/>
  <c r="H3120" i="8"/>
  <c r="F1803" i="8"/>
  <c r="H1803" i="8"/>
  <c r="I1803" i="8"/>
  <c r="F2385" i="8"/>
  <c r="H2385" i="8"/>
  <c r="I2385" i="8"/>
  <c r="F2045" i="8"/>
  <c r="I2045" i="8"/>
  <c r="H2045" i="8"/>
  <c r="F1811" i="8"/>
  <c r="I1811" i="8"/>
  <c r="H1811" i="8"/>
  <c r="F2037" i="8"/>
  <c r="H2037" i="8"/>
  <c r="I2037" i="8"/>
  <c r="F3107" i="8"/>
  <c r="H3107" i="8"/>
  <c r="I3107" i="8"/>
  <c r="F2479" i="8"/>
  <c r="I2479" i="8"/>
  <c r="H2479" i="8"/>
  <c r="F1233" i="8"/>
  <c r="I1233" i="8"/>
  <c r="H1233" i="8"/>
  <c r="F3158" i="8"/>
  <c r="H3158" i="8"/>
  <c r="I3158" i="8"/>
  <c r="F2590" i="8"/>
  <c r="H2590" i="8"/>
  <c r="I2590" i="8"/>
  <c r="F1220" i="8"/>
  <c r="H1220" i="8"/>
  <c r="I1220" i="8"/>
  <c r="F2745" i="8"/>
  <c r="H2745" i="8"/>
  <c r="I2745" i="8"/>
  <c r="F2329" i="8"/>
  <c r="H2329" i="8"/>
  <c r="I2329" i="8"/>
  <c r="F1779" i="8"/>
  <c r="I1779" i="8"/>
  <c r="H1779" i="8"/>
  <c r="F3059" i="8"/>
  <c r="H3059" i="8"/>
  <c r="I3059" i="8"/>
  <c r="F2278" i="8"/>
  <c r="I2278" i="8"/>
  <c r="H2278" i="8"/>
  <c r="F1027" i="8"/>
  <c r="I1027" i="8"/>
  <c r="H1027" i="8"/>
  <c r="F2148" i="8"/>
  <c r="I2148" i="8"/>
  <c r="H2148" i="8"/>
  <c r="F2180" i="8"/>
  <c r="I2180" i="8"/>
  <c r="H2180" i="8"/>
  <c r="F2232" i="8"/>
  <c r="H2232" i="8"/>
  <c r="I2232" i="8"/>
  <c r="F2286" i="8"/>
  <c r="I2286" i="8"/>
  <c r="H2286" i="8"/>
  <c r="F3454" i="8"/>
  <c r="H3454" i="8"/>
  <c r="I3454" i="8"/>
  <c r="F3476" i="8"/>
  <c r="I3476" i="8"/>
  <c r="H3476" i="8"/>
  <c r="F3293" i="8"/>
  <c r="H3293" i="8"/>
  <c r="I3293" i="8"/>
  <c r="F3175" i="8"/>
  <c r="I3175" i="8"/>
  <c r="H3175" i="8"/>
  <c r="F2852" i="8"/>
  <c r="I2852" i="8"/>
  <c r="H2852" i="8"/>
  <c r="F3484" i="8"/>
  <c r="H3484" i="8"/>
  <c r="I3484" i="8"/>
  <c r="F3168" i="8"/>
  <c r="H3168" i="8"/>
  <c r="I3168" i="8"/>
  <c r="F3078" i="8"/>
  <c r="H3078" i="8"/>
  <c r="I3078" i="8"/>
  <c r="F3197" i="8"/>
  <c r="I3197" i="8"/>
  <c r="H3197" i="8"/>
  <c r="F3205" i="8"/>
  <c r="H3205" i="8"/>
  <c r="I3205" i="8"/>
  <c r="F3432" i="8"/>
  <c r="I3432" i="8"/>
  <c r="H3432" i="8"/>
  <c r="F2967" i="8"/>
  <c r="I2967" i="8"/>
  <c r="H2967" i="8"/>
  <c r="F3123" i="8"/>
  <c r="I3123" i="8"/>
  <c r="H3123" i="8"/>
  <c r="F2935" i="8"/>
  <c r="H2935" i="8"/>
  <c r="I2935" i="8"/>
  <c r="F2918" i="8"/>
  <c r="I2918" i="8"/>
  <c r="H2918" i="8"/>
  <c r="F3245" i="8"/>
  <c r="H3245" i="8"/>
  <c r="I3245" i="8"/>
  <c r="F3127" i="8"/>
  <c r="I3127" i="8"/>
  <c r="H3127" i="8"/>
  <c r="F2586" i="8"/>
  <c r="H2586" i="8"/>
  <c r="I2586" i="8"/>
  <c r="F3081" i="8"/>
  <c r="I3081" i="8"/>
  <c r="H3081" i="8"/>
  <c r="F3443" i="8"/>
  <c r="H3443" i="8"/>
  <c r="I3443" i="8"/>
  <c r="F3086" i="8"/>
  <c r="I3086" i="8"/>
  <c r="H3086" i="8"/>
  <c r="F3058" i="8"/>
  <c r="H3058" i="8"/>
  <c r="I3058" i="8"/>
  <c r="F2976" i="8"/>
  <c r="I2976" i="8"/>
  <c r="H2976" i="8"/>
  <c r="F3106" i="8"/>
  <c r="I3106" i="8"/>
  <c r="H3106" i="8"/>
  <c r="F3289" i="8"/>
  <c r="H3289" i="8"/>
  <c r="I3289" i="8"/>
  <c r="F3066" i="8"/>
  <c r="I3066" i="8"/>
  <c r="H3066" i="8"/>
  <c r="F2759" i="8"/>
  <c r="H2759" i="8"/>
  <c r="I2759" i="8"/>
  <c r="F3119" i="8"/>
  <c r="I3119" i="8"/>
  <c r="H3119" i="8"/>
  <c r="F2781" i="8"/>
  <c r="H2781" i="8"/>
  <c r="I2781" i="8"/>
  <c r="F3138" i="8"/>
  <c r="H3138" i="8"/>
  <c r="I3138" i="8"/>
  <c r="F2963" i="8"/>
  <c r="H2963" i="8"/>
  <c r="I2963" i="8"/>
  <c r="F2663" i="8"/>
  <c r="I2663" i="8"/>
  <c r="H2663" i="8"/>
  <c r="F2952" i="8"/>
  <c r="I2952" i="8"/>
  <c r="H2952" i="8"/>
  <c r="F3149" i="8"/>
  <c r="H3149" i="8"/>
  <c r="I3149" i="8"/>
  <c r="F3238" i="8"/>
  <c r="H3238" i="8"/>
  <c r="I3238" i="8"/>
  <c r="F3472" i="8"/>
  <c r="H3472" i="8"/>
  <c r="I3472" i="8"/>
  <c r="F2837" i="8"/>
  <c r="H2837" i="8"/>
  <c r="I2837" i="8"/>
  <c r="F2671" i="8"/>
  <c r="H2671" i="8"/>
  <c r="I2671" i="8"/>
  <c r="F3179" i="8"/>
  <c r="I3179" i="8"/>
  <c r="H3179" i="8"/>
  <c r="F3489" i="8"/>
  <c r="I3489" i="8"/>
  <c r="H3489" i="8"/>
  <c r="F2977" i="8"/>
  <c r="H2977" i="8"/>
  <c r="I2977" i="8"/>
  <c r="F2631" i="8"/>
  <c r="I2631" i="8"/>
  <c r="H2631" i="8"/>
  <c r="F3082" i="8"/>
  <c r="I3082" i="8"/>
  <c r="H3082" i="8"/>
  <c r="F3000" i="8"/>
  <c r="I3000" i="8"/>
  <c r="H3000" i="8"/>
  <c r="F3008" i="8"/>
  <c r="I3008" i="8"/>
  <c r="H3008" i="8"/>
  <c r="F3467" i="8"/>
  <c r="H3467" i="8"/>
  <c r="I3467" i="8"/>
  <c r="F2570" i="8"/>
  <c r="I2570" i="8"/>
  <c r="H2570" i="8"/>
  <c r="F3458" i="8"/>
  <c r="H3458" i="8"/>
  <c r="I3458" i="8"/>
  <c r="F2971" i="8"/>
  <c r="H2971" i="8"/>
  <c r="I2971" i="8"/>
  <c r="F3062" i="8"/>
  <c r="I3062" i="8"/>
  <c r="H3062" i="8"/>
  <c r="F2986" i="8"/>
  <c r="H2986" i="8"/>
  <c r="I2986" i="8"/>
  <c r="F3071" i="8"/>
  <c r="H3071" i="8"/>
  <c r="I3071" i="8"/>
  <c r="F2655" i="8"/>
  <c r="I2655" i="8"/>
  <c r="H2655" i="8"/>
  <c r="F3272" i="8"/>
  <c r="I3272" i="8"/>
  <c r="H3272" i="8"/>
  <c r="F2915" i="8"/>
  <c r="I2915" i="8"/>
  <c r="H2915" i="8"/>
  <c r="F2942" i="8"/>
  <c r="I2942" i="8"/>
  <c r="H2942" i="8"/>
  <c r="F2955" i="8"/>
  <c r="I2955" i="8"/>
  <c r="H2955" i="8"/>
  <c r="F3268" i="8"/>
  <c r="I3268" i="8"/>
  <c r="H3268" i="8"/>
  <c r="F3099" i="8"/>
  <c r="I3099" i="8"/>
  <c r="H3099" i="8"/>
  <c r="F3111" i="8"/>
  <c r="H3111" i="8"/>
  <c r="I3111" i="8"/>
  <c r="F2788" i="8"/>
  <c r="I2788" i="8"/>
  <c r="H2788" i="8"/>
  <c r="F3200" i="8"/>
  <c r="H3200" i="8"/>
  <c r="I3200" i="8"/>
  <c r="F3154" i="8"/>
  <c r="H3154" i="8"/>
  <c r="I3154" i="8"/>
  <c r="F3218" i="8"/>
  <c r="I3218" i="8"/>
  <c r="H3218" i="8"/>
  <c r="F3157" i="8"/>
  <c r="H3157" i="8"/>
  <c r="I3157" i="8"/>
  <c r="F3241" i="8"/>
  <c r="I3241" i="8"/>
  <c r="H3241" i="8"/>
  <c r="F3141" i="8"/>
  <c r="I3141" i="8"/>
  <c r="H3141" i="8"/>
  <c r="F3190" i="8"/>
  <c r="H3190" i="8"/>
  <c r="I3190" i="8"/>
  <c r="F3074" i="8"/>
  <c r="I3074" i="8"/>
  <c r="H3074" i="8"/>
  <c r="F3162" i="8"/>
  <c r="H3162" i="8"/>
  <c r="I3162" i="8"/>
  <c r="F3202" i="8"/>
  <c r="H3202" i="8"/>
  <c r="I3202" i="8"/>
  <c r="F3161" i="8"/>
  <c r="H3161" i="8"/>
  <c r="I3161" i="8"/>
  <c r="F3189" i="8"/>
  <c r="H3189" i="8"/>
  <c r="I3189" i="8"/>
  <c r="F2699" i="8"/>
  <c r="H2699" i="8"/>
  <c r="I2699" i="8"/>
  <c r="F2959" i="8"/>
  <c r="I2959" i="8"/>
  <c r="H2959" i="8"/>
  <c r="F3075" i="8"/>
  <c r="I3075" i="8"/>
  <c r="H3075" i="8"/>
  <c r="F2922" i="8"/>
  <c r="H2922" i="8"/>
  <c r="I2922" i="8"/>
  <c r="F2802" i="8"/>
  <c r="I2802" i="8"/>
  <c r="H2802" i="8"/>
  <c r="F2780" i="8"/>
  <c r="H2780" i="8"/>
  <c r="I2780" i="8"/>
  <c r="F3145" i="8"/>
  <c r="I3145" i="8"/>
  <c r="H3145" i="8"/>
  <c r="F3007" i="8"/>
  <c r="H3007" i="8"/>
  <c r="I3007" i="8"/>
  <c r="F2865" i="8"/>
  <c r="H2865" i="8"/>
  <c r="I2865" i="8"/>
  <c r="F3128" i="8"/>
  <c r="I3128" i="8"/>
  <c r="H3128" i="8"/>
  <c r="F3217" i="8"/>
  <c r="H3217" i="8"/>
  <c r="I3217" i="8"/>
  <c r="F2758" i="8"/>
  <c r="H2758" i="8"/>
  <c r="I2758" i="8"/>
  <c r="F2719" i="8"/>
  <c r="I2719" i="8"/>
  <c r="H2719" i="8"/>
  <c r="F2951" i="8"/>
  <c r="I2951" i="8"/>
  <c r="H2951" i="8"/>
  <c r="F3102" i="8"/>
  <c r="H3102" i="8"/>
  <c r="I3102" i="8"/>
  <c r="F2836" i="8"/>
  <c r="I2836" i="8"/>
  <c r="H2836" i="8"/>
  <c r="F2787" i="8"/>
  <c r="H2787" i="8"/>
  <c r="I2787" i="8"/>
  <c r="F2678" i="8"/>
  <c r="I2678" i="8"/>
  <c r="H2678" i="8"/>
  <c r="F3070" i="8"/>
  <c r="H3070" i="8"/>
  <c r="I3070" i="8"/>
  <c r="F3165" i="8"/>
  <c r="I3165" i="8"/>
  <c r="H3165" i="8"/>
  <c r="F3153" i="8"/>
  <c r="I3153" i="8"/>
  <c r="H3153" i="8"/>
  <c r="F2844" i="8"/>
  <c r="H2844" i="8"/>
  <c r="I2844" i="8"/>
  <c r="F2794" i="8"/>
  <c r="I2794" i="8"/>
  <c r="H2794" i="8"/>
  <c r="F3201" i="8"/>
  <c r="H3201" i="8"/>
  <c r="I3201" i="8"/>
  <c r="F3246" i="8"/>
  <c r="I3246" i="8"/>
  <c r="H3246" i="8"/>
  <c r="F3213" i="8"/>
  <c r="H3213" i="8"/>
  <c r="I3213" i="8"/>
  <c r="F3193" i="8"/>
  <c r="H3193" i="8"/>
  <c r="I3193" i="8"/>
  <c r="F3229" i="8"/>
  <c r="I3229" i="8"/>
  <c r="H3229" i="8"/>
  <c r="G1057" i="5"/>
  <c r="G707" i="5"/>
  <c r="G808" i="5"/>
  <c r="G2015" i="5"/>
  <c r="G1035" i="5"/>
  <c r="G4787" i="5"/>
  <c r="G5398" i="5"/>
  <c r="G7488" i="5"/>
  <c r="G1184" i="5"/>
  <c r="G3154" i="5"/>
  <c r="G5440" i="5"/>
  <c r="G6447" i="5"/>
  <c r="G1624" i="5"/>
  <c r="G4939" i="5"/>
  <c r="G3373" i="5"/>
  <c r="G3988" i="5"/>
  <c r="G7436" i="5"/>
  <c r="G6063" i="5"/>
  <c r="G7423" i="5"/>
  <c r="G4078" i="5"/>
  <c r="G6209" i="5"/>
  <c r="G147" i="5"/>
  <c r="G7238" i="5"/>
  <c r="G854" i="5"/>
  <c r="G3298" i="5"/>
  <c r="G4932" i="5"/>
  <c r="G7494" i="5"/>
  <c r="G2799" i="5"/>
  <c r="G2711" i="5"/>
  <c r="G3124" i="5"/>
  <c r="G2110" i="5"/>
  <c r="G35" i="5"/>
  <c r="G700" i="5"/>
  <c r="G1197" i="5"/>
  <c r="G1017" i="5"/>
  <c r="G1384" i="5"/>
  <c r="G3869" i="5"/>
  <c r="G4378" i="5"/>
  <c r="G3312" i="5"/>
  <c r="G3969" i="5"/>
  <c r="G7387" i="5"/>
  <c r="G803" i="5"/>
  <c r="G3487" i="5"/>
  <c r="G4538" i="5"/>
  <c r="G794" i="5"/>
  <c r="G4132" i="5"/>
  <c r="G4608" i="5"/>
  <c r="G101" i="5"/>
  <c r="G3008" i="5"/>
  <c r="G4838" i="5"/>
  <c r="G5436" i="5"/>
  <c r="G6250" i="5"/>
  <c r="G946" i="5"/>
  <c r="G4204" i="5"/>
  <c r="G810" i="5"/>
  <c r="G3476" i="5"/>
  <c r="G2779" i="5"/>
  <c r="G4508" i="5"/>
  <c r="G6478" i="5"/>
  <c r="G770" i="5"/>
  <c r="G3164" i="5"/>
  <c r="G2140" i="5"/>
  <c r="G5887" i="5"/>
  <c r="G1285" i="5"/>
  <c r="G544" i="5"/>
  <c r="G1086" i="5"/>
  <c r="G110" i="5"/>
  <c r="G733" i="5"/>
  <c r="G1218" i="5"/>
  <c r="G2095" i="5"/>
  <c r="G2931" i="5"/>
  <c r="G3727" i="5"/>
  <c r="G4270" i="5"/>
  <c r="G4816" i="5"/>
  <c r="G31" i="5"/>
  <c r="G2208" i="5"/>
  <c r="G3191" i="5"/>
  <c r="G4918" i="5"/>
  <c r="G5488" i="5"/>
  <c r="G7184" i="5"/>
  <c r="G1673" i="5"/>
  <c r="G3346" i="5"/>
  <c r="G3933" i="5"/>
  <c r="G4439" i="5"/>
  <c r="G4973" i="5"/>
  <c r="G6312" i="5"/>
  <c r="G1617" i="5"/>
  <c r="G6193" i="5"/>
  <c r="G7481" i="5"/>
  <c r="G1967" i="5"/>
  <c r="G2788" i="5"/>
  <c r="G5307" i="5"/>
  <c r="G1823" i="5"/>
  <c r="G3903" i="5"/>
  <c r="G5473" i="5"/>
  <c r="G169" i="5"/>
  <c r="G6548" i="5"/>
  <c r="G3972" i="5"/>
  <c r="G3306" i="5"/>
  <c r="G3547" i="5"/>
  <c r="G7515" i="5"/>
  <c r="G4574" i="5"/>
  <c r="G3119" i="5"/>
  <c r="G6832" i="5"/>
  <c r="G8069" i="5"/>
  <c r="G6504" i="5"/>
  <c r="G6804" i="5"/>
  <c r="G1225" i="5"/>
  <c r="G1058" i="5"/>
  <c r="G272" i="5"/>
  <c r="G1376" i="5"/>
  <c r="G963" i="5"/>
  <c r="G2288" i="5"/>
  <c r="G4414" i="5"/>
  <c r="G4996" i="5"/>
  <c r="G3994" i="5"/>
  <c r="G4465" i="5"/>
  <c r="G7443" i="5"/>
  <c r="G1922" i="5"/>
  <c r="G4061" i="5"/>
  <c r="G7148" i="5"/>
  <c r="G4161" i="5"/>
  <c r="G4642" i="5"/>
  <c r="G3754" i="5"/>
  <c r="G4328" i="5"/>
  <c r="G4896" i="5"/>
  <c r="G5478" i="5"/>
  <c r="G6276" i="5"/>
  <c r="G7266" i="5"/>
  <c r="G1206" i="5"/>
  <c r="G5086" i="5"/>
  <c r="G8194" i="5"/>
  <c r="G1971" i="5"/>
  <c r="G3971" i="5"/>
  <c r="G2312" i="5"/>
  <c r="G2379" i="5"/>
  <c r="G1131" i="5"/>
  <c r="G7480" i="5"/>
  <c r="G6720" i="5"/>
  <c r="G7012" i="5"/>
  <c r="G7905" i="5"/>
  <c r="G8085" i="5"/>
  <c r="G1112" i="5"/>
  <c r="G405" i="5"/>
  <c r="G1251" i="5"/>
  <c r="G355" i="5"/>
  <c r="G870" i="5"/>
  <c r="G1377" i="5"/>
  <c r="G1213" i="5"/>
  <c r="G4878" i="5"/>
  <c r="G6317" i="5"/>
  <c r="G4953" i="5"/>
  <c r="G1751" i="5"/>
  <c r="G2481" i="5"/>
  <c r="G3970" i="5"/>
  <c r="G4470" i="5"/>
  <c r="G6364" i="5"/>
  <c r="G626" i="5"/>
  <c r="G1651" i="5"/>
  <c r="G2565" i="5"/>
  <c r="G3443" i="5"/>
  <c r="G4054" i="5"/>
  <c r="G5162" i="5"/>
  <c r="G6226" i="5"/>
  <c r="G1063" i="5"/>
  <c r="G2856" i="5"/>
  <c r="G4243" i="5"/>
  <c r="G1333" i="5"/>
  <c r="G5106" i="5"/>
  <c r="G8207" i="5"/>
  <c r="G2055" i="5"/>
  <c r="G3996" i="5"/>
  <c r="G4567" i="5"/>
  <c r="G8183" i="5"/>
  <c r="G1095" i="5"/>
  <c r="G3391" i="5"/>
  <c r="G3629" i="5"/>
  <c r="G4658" i="5"/>
  <c r="G6692" i="5"/>
  <c r="G4450" i="5"/>
  <c r="G1531" i="5"/>
  <c r="G3291" i="5"/>
  <c r="G178" i="5"/>
  <c r="G138" i="5"/>
  <c r="G765" i="5"/>
  <c r="G1263" i="5"/>
  <c r="G880" i="5"/>
  <c r="G182" i="5"/>
  <c r="G1265" i="5"/>
  <c r="G2141" i="5"/>
  <c r="G3788" i="5"/>
  <c r="G4314" i="5"/>
  <c r="G6339" i="5"/>
  <c r="G3236" i="5"/>
  <c r="G3900" i="5"/>
  <c r="G4367" i="5"/>
  <c r="G4972" i="5"/>
  <c r="G7326" i="5"/>
  <c r="G1774" i="5"/>
  <c r="G3401" i="5"/>
  <c r="G3985" i="5"/>
  <c r="G4481" i="5"/>
  <c r="G5016" i="5"/>
  <c r="G4568" i="5"/>
  <c r="G5182" i="5"/>
  <c r="G8191" i="5"/>
  <c r="G1085" i="5"/>
  <c r="G2054" i="5"/>
  <c r="G2893" i="5"/>
  <c r="G3621" i="5"/>
  <c r="G4231" i="5"/>
  <c r="G4708" i="5"/>
  <c r="G2347" i="5"/>
  <c r="G6426" i="5"/>
  <c r="G8235" i="5"/>
  <c r="G4365" i="5"/>
  <c r="G6258" i="5"/>
  <c r="G651" i="5"/>
  <c r="G3193" i="5"/>
  <c r="G6397" i="5"/>
  <c r="G8197" i="5"/>
  <c r="G1231" i="5"/>
  <c r="G5123" i="5"/>
  <c r="G2809" i="5"/>
  <c r="G4704" i="5"/>
  <c r="G6824" i="5"/>
  <c r="G5289" i="5"/>
  <c r="G1537" i="5"/>
  <c r="G3282" i="5"/>
  <c r="G7132" i="5"/>
  <c r="G3954" i="5"/>
  <c r="G6492" i="5"/>
  <c r="G2922" i="5"/>
  <c r="G5326" i="5"/>
  <c r="G2228" i="5"/>
  <c r="G4610" i="5"/>
  <c r="G487" i="5"/>
  <c r="G1283" i="5"/>
  <c r="G3665" i="5"/>
  <c r="G2121" i="5"/>
  <c r="G4853" i="5"/>
  <c r="G2387" i="5"/>
  <c r="G4009" i="5"/>
  <c r="G1628" i="5"/>
  <c r="G5279" i="5"/>
  <c r="G1192" i="5"/>
  <c r="G543" i="5"/>
  <c r="G3324" i="5"/>
  <c r="G2529" i="5"/>
  <c r="G3485" i="5"/>
  <c r="G2829" i="5"/>
  <c r="G3082" i="5"/>
  <c r="G634" i="5"/>
  <c r="G6296" i="5"/>
  <c r="G3782" i="5"/>
  <c r="G5168" i="5"/>
  <c r="G3360" i="5"/>
  <c r="G2296" i="5"/>
  <c r="G186" i="5"/>
  <c r="G1297" i="5"/>
  <c r="G1453" i="5"/>
  <c r="G2275" i="5"/>
  <c r="G4586" i="5"/>
  <c r="G6896" i="5"/>
  <c r="G1860" i="5"/>
  <c r="G799" i="5"/>
  <c r="G4581" i="5"/>
  <c r="G3574" i="5"/>
  <c r="G5541" i="5"/>
  <c r="G1618" i="5"/>
  <c r="G3962" i="5"/>
  <c r="G4790" i="5"/>
  <c r="G6812" i="5"/>
  <c r="G627" i="5"/>
  <c r="G4505" i="5"/>
  <c r="G6275" i="5"/>
  <c r="G2963" i="5"/>
  <c r="G4792" i="5"/>
  <c r="G6216" i="5"/>
  <c r="G6401" i="5"/>
  <c r="G747" i="5"/>
  <c r="G5413" i="5"/>
  <c r="G5369" i="5"/>
  <c r="G6852" i="5"/>
  <c r="G642" i="5"/>
  <c r="G807" i="5"/>
  <c r="G1314" i="5"/>
  <c r="G3141" i="5"/>
  <c r="G4366" i="5"/>
  <c r="G6390" i="5"/>
  <c r="G1499" i="5"/>
  <c r="G2307" i="5"/>
  <c r="G4428" i="5"/>
  <c r="G5015" i="5"/>
  <c r="G7378" i="5"/>
  <c r="G1842" i="5"/>
  <c r="G5061" i="5"/>
  <c r="G6448" i="5"/>
  <c r="G722" i="5"/>
  <c r="G3545" i="5"/>
  <c r="G4806" i="5"/>
  <c r="G6230" i="5"/>
  <c r="G143" i="5"/>
  <c r="G4489" i="5"/>
  <c r="G7196" i="5"/>
  <c r="G1678" i="5"/>
  <c r="G5349" i="5"/>
  <c r="G6119" i="5"/>
  <c r="G4478" i="5"/>
  <c r="G6452" i="5"/>
  <c r="G1304" i="5"/>
  <c r="G3426" i="5"/>
  <c r="G4789" i="5"/>
  <c r="G4053" i="5"/>
  <c r="G1244" i="5"/>
  <c r="G2513" i="5"/>
  <c r="G6373" i="5"/>
  <c r="G502" i="5"/>
  <c r="G251" i="5"/>
  <c r="G254" i="5"/>
  <c r="G1339" i="5"/>
  <c r="G932" i="5"/>
  <c r="G1521" i="5"/>
  <c r="G2256" i="5"/>
  <c r="G3153" i="5"/>
  <c r="G4968" i="5"/>
  <c r="G1538" i="5"/>
  <c r="G2319" i="5"/>
  <c r="G4438" i="5"/>
  <c r="G1871" i="5"/>
  <c r="G4041" i="5"/>
  <c r="G5080" i="5"/>
  <c r="G1806" i="5"/>
  <c r="G2784" i="5"/>
  <c r="G3556" i="5"/>
  <c r="G5243" i="5"/>
  <c r="G1205" i="5"/>
  <c r="G244" i="5"/>
  <c r="G1758" i="5"/>
  <c r="G3868" i="5"/>
  <c r="G5427" i="5"/>
  <c r="G2846" i="5"/>
  <c r="G4539" i="5"/>
  <c r="G3250" i="5"/>
  <c r="G7431" i="5"/>
  <c r="G4458" i="5"/>
  <c r="G6285" i="5"/>
  <c r="G2883" i="5"/>
  <c r="G7274" i="5"/>
  <c r="G1211" i="5"/>
  <c r="G515" i="5"/>
  <c r="G1042" i="5"/>
  <c r="G409" i="5"/>
  <c r="G951" i="5"/>
  <c r="G369" i="5"/>
  <c r="G2342" i="5"/>
  <c r="G3980" i="5"/>
  <c r="G4453" i="5"/>
  <c r="G1896" i="5"/>
  <c r="G3509" i="5"/>
  <c r="G4051" i="5"/>
  <c r="G4629" i="5"/>
  <c r="G1243" i="5"/>
  <c r="G3737" i="5"/>
  <c r="G4870" i="5"/>
  <c r="G5459" i="5"/>
  <c r="G4580" i="5"/>
  <c r="G7231" i="5"/>
  <c r="G2948" i="5"/>
  <c r="G4563" i="5"/>
  <c r="G1694" i="5"/>
  <c r="G4906" i="5"/>
  <c r="G2485" i="5"/>
  <c r="G6316" i="5"/>
  <c r="G842" i="5"/>
  <c r="G152" i="5"/>
  <c r="G1178" i="5"/>
  <c r="G972" i="5"/>
  <c r="G710" i="5"/>
  <c r="G4013" i="5"/>
  <c r="G1793" i="5"/>
  <c r="G4092" i="5"/>
  <c r="G3667" i="5"/>
  <c r="G5256" i="5"/>
  <c r="G7412" i="5"/>
  <c r="G2086" i="5"/>
  <c r="G3070" i="5"/>
  <c r="G3753" i="5"/>
  <c r="G4312" i="5"/>
  <c r="G4869" i="5"/>
  <c r="G5455" i="5"/>
  <c r="G535" i="5"/>
  <c r="G1550" i="5"/>
  <c r="G2304" i="5"/>
  <c r="G3913" i="5"/>
  <c r="G6381" i="5"/>
  <c r="G985" i="5"/>
  <c r="G3276" i="5"/>
  <c r="G5144" i="5"/>
  <c r="G1889" i="5"/>
  <c r="G3919" i="5"/>
  <c r="G5479" i="5"/>
  <c r="G3033" i="5"/>
  <c r="G4540" i="5"/>
  <c r="G6225" i="5"/>
  <c r="G2109" i="5"/>
  <c r="G3946" i="5"/>
  <c r="G5460" i="5"/>
  <c r="G3326" i="5"/>
  <c r="G5033" i="5"/>
  <c r="G1786" i="5"/>
  <c r="G7410" i="5"/>
  <c r="G85" i="5"/>
  <c r="G560" i="5"/>
  <c r="G1072" i="5"/>
  <c r="G287" i="5"/>
  <c r="G866" i="5"/>
  <c r="G1396" i="5"/>
  <c r="G432" i="5"/>
  <c r="G1566" i="5"/>
  <c r="G2386" i="5"/>
  <c r="G3366" i="5"/>
  <c r="G4007" i="5"/>
  <c r="G5075" i="5"/>
  <c r="G964" i="5"/>
  <c r="G7190" i="5"/>
  <c r="G3620" i="5"/>
  <c r="G4190" i="5"/>
  <c r="G2197" i="5"/>
  <c r="G3094" i="5"/>
  <c r="G4339" i="5"/>
  <c r="G6291" i="5"/>
  <c r="G5583" i="5"/>
  <c r="G4890" i="5"/>
  <c r="G1199" i="5"/>
  <c r="G3554" i="5"/>
  <c r="G6366" i="5"/>
  <c r="G3628" i="5"/>
  <c r="G2187" i="5"/>
  <c r="G36" i="5"/>
  <c r="G575" i="5"/>
  <c r="G1087" i="5"/>
  <c r="G298" i="5"/>
  <c r="G1408" i="5"/>
  <c r="G429" i="5"/>
  <c r="G1533" i="5"/>
  <c r="G3927" i="5"/>
  <c r="G1605" i="5"/>
  <c r="G4487" i="5"/>
  <c r="G5093" i="5"/>
  <c r="G984" i="5"/>
  <c r="G1980" i="5"/>
  <c r="G2807" i="5"/>
  <c r="G4081" i="5"/>
  <c r="G4590" i="5"/>
  <c r="G2888" i="5"/>
  <c r="G4706" i="5"/>
  <c r="G1345" i="5"/>
  <c r="G2215" i="5"/>
  <c r="G3134" i="5"/>
  <c r="G4348" i="5"/>
  <c r="G4796" i="5"/>
  <c r="G7339" i="5"/>
  <c r="G2589" i="5"/>
  <c r="G3731" i="5"/>
  <c r="G4946" i="5"/>
  <c r="G3416" i="5"/>
  <c r="G1305" i="5"/>
  <c r="G5100" i="5"/>
  <c r="G8218" i="5"/>
  <c r="G8186" i="5"/>
  <c r="G7617" i="5"/>
  <c r="G7036" i="5"/>
  <c r="G889" i="5"/>
  <c r="G474" i="5"/>
  <c r="G3599" i="5"/>
  <c r="G4738" i="5"/>
  <c r="G2149" i="5"/>
  <c r="G279" i="5"/>
  <c r="G5421" i="5"/>
  <c r="G5467" i="5"/>
  <c r="G4600" i="5"/>
  <c r="G1051" i="5"/>
  <c r="G1226" i="5"/>
  <c r="G1788" i="5"/>
  <c r="G4139" i="5"/>
  <c r="G1277" i="5"/>
  <c r="G3305" i="5"/>
  <c r="G6441" i="5"/>
  <c r="G4433" i="5"/>
  <c r="G4631" i="5"/>
  <c r="G1443" i="5"/>
  <c r="G4418" i="5"/>
  <c r="G4018" i="5"/>
  <c r="G6435" i="5"/>
  <c r="G5209" i="5"/>
  <c r="G1143" i="5"/>
  <c r="G4447" i="5"/>
  <c r="G467" i="5"/>
  <c r="G1142" i="5"/>
  <c r="G861" i="5"/>
  <c r="G5301" i="5"/>
  <c r="G7032" i="5"/>
  <c r="G2557" i="5"/>
  <c r="G1162" i="5"/>
  <c r="G460" i="5"/>
  <c r="G266" i="5"/>
  <c r="G3431" i="5"/>
  <c r="G4098" i="5"/>
  <c r="G2116" i="5"/>
  <c r="G2489" i="5"/>
  <c r="G2188" i="5"/>
  <c r="G4130" i="5"/>
  <c r="G729" i="5"/>
  <c r="G3299" i="5"/>
  <c r="G6477" i="5"/>
  <c r="G6337" i="5"/>
  <c r="G843" i="5"/>
  <c r="G6408" i="5"/>
  <c r="G1567" i="5"/>
  <c r="G1545" i="5"/>
  <c r="G3185" i="5"/>
  <c r="G2003" i="5"/>
  <c r="G1987" i="5"/>
  <c r="G1801" i="5"/>
  <c r="G418" i="5"/>
  <c r="G81" i="5"/>
  <c r="G787" i="5"/>
  <c r="G632" i="5"/>
  <c r="G928" i="5"/>
  <c r="G527" i="5"/>
  <c r="G2367" i="5"/>
  <c r="G5074" i="5"/>
  <c r="G2533" i="5"/>
  <c r="G6206" i="5"/>
  <c r="G4781" i="5"/>
  <c r="G5364" i="5"/>
  <c r="G7418" i="5"/>
  <c r="G6171" i="5"/>
  <c r="G2774" i="5"/>
  <c r="G3874" i="5"/>
  <c r="G4786" i="5"/>
  <c r="G7363" i="5"/>
  <c r="G1428" i="5"/>
  <c r="G3687" i="5"/>
  <c r="G5184" i="5"/>
  <c r="G754" i="5"/>
  <c r="G1640" i="5"/>
  <c r="G2094" i="5"/>
  <c r="G3317" i="5"/>
  <c r="G5727" i="5"/>
  <c r="G1177" i="5"/>
  <c r="G983" i="5"/>
  <c r="G243" i="5"/>
  <c r="G1484" i="5"/>
  <c r="G1351" i="5"/>
  <c r="G2204" i="5"/>
  <c r="G3860" i="5"/>
  <c r="G3285" i="5"/>
  <c r="G3955" i="5"/>
  <c r="G779" i="5"/>
  <c r="G3465" i="5"/>
  <c r="G4523" i="5"/>
  <c r="G1781" i="5"/>
  <c r="G2669" i="5"/>
  <c r="G4599" i="5"/>
  <c r="G5224" i="5"/>
  <c r="G6287" i="5"/>
  <c r="G1171" i="5"/>
  <c r="G2128" i="5"/>
  <c r="G2990" i="5"/>
  <c r="G3681" i="5"/>
  <c r="G887" i="5"/>
  <c r="G3439" i="5"/>
  <c r="G4967" i="5"/>
  <c r="G3730" i="5"/>
  <c r="G8182" i="5"/>
  <c r="G4829" i="5"/>
  <c r="G7392" i="5"/>
  <c r="G7450" i="5"/>
  <c r="G583" i="5"/>
  <c r="G3296" i="5"/>
  <c r="G7028" i="5"/>
  <c r="G1150" i="5"/>
  <c r="G566" i="5"/>
  <c r="G3993" i="5"/>
  <c r="G4486" i="5"/>
  <c r="G5104" i="5"/>
  <c r="G4556" i="5"/>
  <c r="G6236" i="5"/>
  <c r="G8184" i="5"/>
  <c r="G2943" i="5"/>
  <c r="G4655" i="5"/>
  <c r="G3003" i="5"/>
  <c r="G3713" i="5"/>
  <c r="G4802" i="5"/>
  <c r="G5405" i="5"/>
  <c r="G4412" i="5"/>
  <c r="G3076" i="5"/>
  <c r="G51" i="5"/>
  <c r="G6389" i="5"/>
  <c r="G3926" i="5"/>
  <c r="G927" i="5"/>
  <c r="G4897" i="5"/>
  <c r="G1364" i="5"/>
  <c r="G2449" i="5"/>
  <c r="G4485" i="5"/>
  <c r="G3204" i="5"/>
  <c r="G2609" i="5"/>
  <c r="G6019" i="5"/>
  <c r="G6015" i="5"/>
  <c r="G5719" i="5"/>
  <c r="G712" i="5"/>
  <c r="G1357" i="5"/>
  <c r="G3895" i="5"/>
  <c r="G6430" i="5"/>
  <c r="G407" i="5"/>
  <c r="G3331" i="5"/>
  <c r="G5044" i="5"/>
  <c r="G7411" i="5"/>
  <c r="G865" i="5"/>
  <c r="G4562" i="5"/>
  <c r="G6471" i="5"/>
  <c r="G813" i="5"/>
  <c r="G2800" i="5"/>
  <c r="G3583" i="5"/>
  <c r="G5261" i="5"/>
  <c r="G165" i="5"/>
  <c r="G3044" i="5"/>
  <c r="G6260" i="5"/>
  <c r="G2352" i="5"/>
  <c r="G4199" i="5"/>
  <c r="G6292" i="5"/>
  <c r="G1088" i="5"/>
  <c r="G3453" i="5"/>
  <c r="G2249" i="5"/>
  <c r="G4226" i="5"/>
  <c r="G5437" i="5"/>
  <c r="G3701" i="5"/>
  <c r="G5358" i="5"/>
  <c r="G2010" i="5"/>
  <c r="G5414" i="5"/>
  <c r="G4995" i="5"/>
  <c r="G7451" i="5"/>
  <c r="G5735" i="5"/>
  <c r="G7347" i="5"/>
  <c r="G5723" i="5"/>
  <c r="F296" i="8"/>
  <c r="H296" i="8"/>
  <c r="I296" i="8" s="1"/>
  <c r="G414" i="5"/>
  <c r="G450" i="5"/>
  <c r="G603" i="5"/>
  <c r="G1698" i="5"/>
  <c r="G2437" i="5"/>
  <c r="G4531" i="5"/>
  <c r="G5136" i="5"/>
  <c r="G778" i="5"/>
  <c r="G3504" i="5"/>
  <c r="G6265" i="5"/>
  <c r="G8205" i="5"/>
  <c r="G1157" i="5"/>
  <c r="G2134" i="5"/>
  <c r="G2993" i="5"/>
  <c r="G4184" i="5"/>
  <c r="G4683" i="5"/>
  <c r="G6454" i="5"/>
  <c r="G3246" i="5"/>
  <c r="G4432" i="5"/>
  <c r="G5023" i="5"/>
  <c r="G5577" i="5"/>
  <c r="G2366" i="5"/>
  <c r="G468" i="5"/>
  <c r="G2968" i="5"/>
  <c r="G91" i="5"/>
  <c r="G6350" i="5"/>
  <c r="G3914" i="5"/>
  <c r="G5343" i="5"/>
  <c r="G4185" i="5"/>
  <c r="G6023" i="5"/>
  <c r="G741" i="5"/>
  <c r="G289" i="5"/>
  <c r="G400" i="5"/>
  <c r="G1498" i="5"/>
  <c r="G2306" i="5"/>
  <c r="G3208" i="5"/>
  <c r="G3915" i="5"/>
  <c r="G4424" i="5"/>
  <c r="G5014" i="5"/>
  <c r="G6457" i="5"/>
  <c r="G475" i="5"/>
  <c r="G1588" i="5"/>
  <c r="G4480" i="5"/>
  <c r="G7458" i="5"/>
  <c r="G1958" i="5"/>
  <c r="G2794" i="5"/>
  <c r="G3553" i="5"/>
  <c r="G4071" i="5"/>
  <c r="G5139" i="5"/>
  <c r="G970" i="5"/>
  <c r="G1883" i="5"/>
  <c r="G2851" i="5"/>
  <c r="G4671" i="5"/>
  <c r="G6348" i="5"/>
  <c r="G1311" i="5"/>
  <c r="G3776" i="5"/>
  <c r="G4911" i="5"/>
  <c r="G5499" i="5"/>
  <c r="G551" i="5"/>
  <c r="G4705" i="5"/>
  <c r="G7310" i="5"/>
  <c r="G1032" i="5"/>
  <c r="G1847" i="5"/>
  <c r="G3806" i="5"/>
  <c r="G5623" i="5"/>
  <c r="G2164" i="5"/>
  <c r="G3986" i="5"/>
  <c r="G5529" i="5"/>
  <c r="G5069" i="5"/>
  <c r="G8202" i="5"/>
  <c r="G3268" i="5"/>
  <c r="G470" i="5"/>
  <c r="G995" i="5"/>
  <c r="G3219" i="5"/>
  <c r="G4434" i="5"/>
  <c r="G5043" i="5"/>
  <c r="G509" i="5"/>
  <c r="G2477" i="5"/>
  <c r="G4014" i="5"/>
  <c r="G6165" i="5"/>
  <c r="G7473" i="5"/>
  <c r="G3580" i="5"/>
  <c r="G5155" i="5"/>
  <c r="G5927" i="5"/>
  <c r="G7237" i="5"/>
  <c r="G987" i="5"/>
  <c r="G1908" i="5"/>
  <c r="G4205" i="5"/>
  <c r="G4928" i="5"/>
  <c r="G5547" i="5"/>
  <c r="G6305" i="5"/>
  <c r="G619" i="5"/>
  <c r="G2789" i="5"/>
  <c r="G1997" i="5"/>
  <c r="G4775" i="5"/>
  <c r="G1161" i="5"/>
  <c r="G6716" i="5"/>
  <c r="G1913" i="5"/>
  <c r="G3875" i="5"/>
  <c r="G4052" i="5"/>
  <c r="G3609" i="5"/>
  <c r="G3600" i="5"/>
  <c r="G5325" i="5"/>
  <c r="G6335" i="5"/>
  <c r="G6336" i="5"/>
  <c r="G7398" i="5"/>
  <c r="G6524" i="5"/>
  <c r="G5059" i="5"/>
  <c r="G6183" i="5"/>
  <c r="G4093" i="5"/>
  <c r="G1938" i="5"/>
  <c r="G684" i="5"/>
  <c r="G1169" i="5"/>
  <c r="G2004" i="5"/>
  <c r="G7472" i="5"/>
  <c r="G3358" i="5"/>
  <c r="G1884" i="5"/>
  <c r="G4099" i="5"/>
  <c r="G1960" i="5"/>
  <c r="G4925" i="5"/>
  <c r="G4369" i="5"/>
  <c r="G4043" i="5"/>
  <c r="G7405" i="5"/>
  <c r="G3069" i="5"/>
  <c r="G4861" i="5"/>
  <c r="G222" i="5"/>
  <c r="G675" i="5"/>
  <c r="G1270" i="5"/>
  <c r="G3165" i="5"/>
  <c r="G7166" i="5"/>
  <c r="G3938" i="5"/>
  <c r="G5739" i="5"/>
  <c r="G6376" i="5"/>
  <c r="G1822" i="5"/>
  <c r="G1760" i="5"/>
  <c r="G3512" i="5"/>
  <c r="G8236" i="5"/>
  <c r="G5406" i="5"/>
  <c r="G4462" i="5"/>
  <c r="G5272" i="5"/>
  <c r="G633" i="5"/>
  <c r="G674" i="5"/>
  <c r="G5350" i="5"/>
  <c r="G7457" i="5"/>
  <c r="G2102" i="5"/>
  <c r="G2372" i="5"/>
  <c r="G5448" i="5"/>
  <c r="G5067" i="5"/>
  <c r="G1859" i="5"/>
  <c r="G4087" i="5"/>
  <c r="G1877" i="5"/>
  <c r="G5180" i="5"/>
  <c r="G5454" i="5"/>
  <c r="G3275" i="5"/>
  <c r="G73" i="5"/>
  <c r="G1483" i="5"/>
  <c r="G1604" i="5"/>
  <c r="G4464" i="5"/>
  <c r="G1672" i="5"/>
  <c r="G5138" i="5"/>
  <c r="G4616" i="5"/>
  <c r="G7327" i="5"/>
  <c r="G2958" i="5"/>
  <c r="G3169" i="5"/>
  <c r="G2915" i="5"/>
  <c r="G3194" i="5"/>
  <c r="G6576" i="5"/>
  <c r="G459" i="5"/>
  <c r="G1155" i="5"/>
  <c r="G781" i="5"/>
  <c r="G1264" i="5"/>
  <c r="G1990" i="5"/>
  <c r="G1994" i="5"/>
  <c r="G2805" i="5"/>
  <c r="G4192" i="5"/>
  <c r="G6199" i="5"/>
  <c r="G1115" i="5"/>
  <c r="G3744" i="5"/>
  <c r="G4821" i="5"/>
  <c r="G410" i="5"/>
  <c r="G3270" i="5"/>
  <c r="G3891" i="5"/>
  <c r="G4383" i="5"/>
  <c r="G4900" i="5"/>
  <c r="G6256" i="5"/>
  <c r="G393" i="5"/>
  <c r="G2331" i="5"/>
  <c r="G3320" i="5"/>
  <c r="G4460" i="5"/>
  <c r="G5891" i="5"/>
  <c r="G7399" i="5"/>
  <c r="G2645" i="5"/>
  <c r="G3479" i="5"/>
  <c r="G4587" i="5"/>
  <c r="G5244" i="5"/>
  <c r="G7372" i="5"/>
  <c r="G3918" i="5"/>
  <c r="G718" i="5"/>
  <c r="G3338" i="5"/>
  <c r="G4877" i="5"/>
  <c r="G721" i="5"/>
  <c r="G4801" i="5"/>
  <c r="G4063" i="5"/>
  <c r="G7544" i="5"/>
  <c r="G2509" i="5"/>
  <c r="G6365" i="5"/>
  <c r="G2295" i="5"/>
  <c r="G4179" i="5"/>
  <c r="G6083" i="5"/>
  <c r="G6684" i="5"/>
  <c r="G148" i="5"/>
  <c r="G1113" i="5"/>
  <c r="G335" i="5"/>
  <c r="G354" i="5"/>
  <c r="G1020" i="5"/>
  <c r="G610" i="5"/>
  <c r="G3264" i="5"/>
  <c r="G3967" i="5"/>
  <c r="G611" i="5"/>
  <c r="G4050" i="5"/>
  <c r="G1043" i="5"/>
  <c r="G2031" i="5"/>
  <c r="G2876" i="5"/>
  <c r="G3614" i="5"/>
  <c r="G4114" i="5"/>
  <c r="G5191" i="5"/>
  <c r="G1056" i="5"/>
  <c r="G1965" i="5"/>
  <c r="G3660" i="5"/>
  <c r="G6380" i="5"/>
  <c r="G1402" i="5"/>
  <c r="G2238" i="5"/>
  <c r="G3867" i="5"/>
  <c r="G4376" i="5"/>
  <c r="G4965" i="5"/>
  <c r="G5711" i="5"/>
  <c r="G6322" i="5"/>
  <c r="G4921" i="5"/>
  <c r="G2148" i="5"/>
  <c r="G4036" i="5"/>
  <c r="G6306" i="5"/>
  <c r="G1514" i="5"/>
  <c r="G5017" i="5"/>
  <c r="G573" i="5"/>
  <c r="G2326" i="5"/>
  <c r="G4100" i="5"/>
  <c r="G5883" i="5"/>
  <c r="G2022" i="5"/>
  <c r="G5919" i="5"/>
  <c r="G6027" i="5"/>
  <c r="G800" i="5"/>
  <c r="G1136" i="5"/>
  <c r="G408" i="5"/>
  <c r="G941" i="5"/>
  <c r="G1520" i="5"/>
  <c r="G1652" i="5"/>
  <c r="G3284" i="5"/>
  <c r="G4479" i="5"/>
  <c r="G641" i="5"/>
  <c r="G1699" i="5"/>
  <c r="G4060" i="5"/>
  <c r="G2907" i="5"/>
  <c r="G4129" i="5"/>
  <c r="G5206" i="5"/>
  <c r="G5388" i="5"/>
  <c r="G6402" i="5"/>
  <c r="G4401" i="5"/>
  <c r="G786" i="5"/>
  <c r="G2994" i="5"/>
  <c r="G4960" i="5"/>
  <c r="G1662" i="5"/>
  <c r="G5302" i="5"/>
  <c r="G762" i="5"/>
  <c r="G4688" i="5"/>
  <c r="G871" i="5"/>
  <c r="G3229" i="5"/>
  <c r="G3830" i="5"/>
  <c r="G5332" i="5"/>
  <c r="G8222" i="5"/>
  <c r="G2391" i="5"/>
  <c r="G4459" i="5"/>
  <c r="G6251" i="5"/>
  <c r="G4624" i="5"/>
  <c r="G3051" i="5"/>
  <c r="G4518" i="5"/>
  <c r="G6552" i="5"/>
  <c r="G195" i="5"/>
  <c r="G811" i="5"/>
  <c r="G392" i="5"/>
  <c r="G419" i="5"/>
  <c r="G3290" i="5"/>
  <c r="G1050" i="5"/>
  <c r="G1685" i="5"/>
  <c r="G673" i="5"/>
  <c r="G1641" i="5"/>
  <c r="G3311" i="5"/>
  <c r="G711" i="5"/>
  <c r="G1750" i="5"/>
  <c r="G2633" i="5"/>
  <c r="G3464" i="5"/>
  <c r="G4070" i="5"/>
  <c r="G5170" i="5"/>
  <c r="G1094" i="5"/>
  <c r="G2103" i="5"/>
  <c r="G3637" i="5"/>
  <c r="G4140" i="5"/>
  <c r="G5221" i="5"/>
  <c r="G7359" i="5"/>
  <c r="G2011" i="5"/>
  <c r="G4289" i="5"/>
  <c r="G6421" i="5"/>
  <c r="G425" i="5"/>
  <c r="G1473" i="5"/>
  <c r="G2268" i="5"/>
  <c r="G3200" i="5"/>
  <c r="G4991" i="5"/>
  <c r="G6361" i="5"/>
  <c r="G838" i="5"/>
  <c r="G5002" i="5"/>
  <c r="G888" i="5"/>
  <c r="G3409" i="5"/>
  <c r="G5009" i="5"/>
  <c r="G7532" i="5"/>
  <c r="G1679" i="5"/>
  <c r="G7353" i="5"/>
  <c r="G5320" i="5"/>
  <c r="G3488" i="5"/>
  <c r="G4845" i="5"/>
  <c r="G7479" i="5"/>
  <c r="G4958" i="5"/>
  <c r="G2255" i="5"/>
  <c r="G218" i="5"/>
  <c r="G826" i="5"/>
  <c r="G129" i="5"/>
  <c r="G585" i="5"/>
  <c r="G1078" i="5"/>
  <c r="G685" i="5"/>
  <c r="G4498" i="5"/>
  <c r="G3486" i="5"/>
  <c r="G4080" i="5"/>
  <c r="G4561" i="5"/>
  <c r="G8195" i="5"/>
  <c r="G2983" i="5"/>
  <c r="G4665" i="5"/>
  <c r="G5236" i="5"/>
  <c r="G7391" i="5"/>
  <c r="G3732" i="5"/>
  <c r="G4837" i="5"/>
  <c r="G5435" i="5"/>
  <c r="G458" i="5"/>
  <c r="G1527" i="5"/>
  <c r="G2285" i="5"/>
  <c r="G3908" i="5"/>
  <c r="G4422" i="5"/>
  <c r="G5046" i="5"/>
  <c r="G204" i="5"/>
  <c r="G2953" i="5"/>
  <c r="G6181" i="5"/>
  <c r="G2286" i="5"/>
  <c r="G6231" i="5"/>
  <c r="G837" i="5"/>
  <c r="G3271" i="5"/>
  <c r="G5370" i="5"/>
  <c r="G412" i="5"/>
  <c r="G801" i="5"/>
  <c r="G1102" i="5"/>
  <c r="G187" i="5"/>
  <c r="G734" i="5"/>
  <c r="G1219" i="5"/>
  <c r="G1923" i="5"/>
  <c r="G2687" i="5"/>
  <c r="G3594" i="5"/>
  <c r="G4123" i="5"/>
  <c r="G7406" i="5"/>
  <c r="G2992" i="5"/>
  <c r="G4221" i="5"/>
  <c r="G1454" i="5"/>
  <c r="G3192" i="5"/>
  <c r="G3839" i="5"/>
  <c r="G4822" i="5"/>
  <c r="G6207" i="5"/>
  <c r="G1423" i="5"/>
  <c r="G5022" i="5"/>
  <c r="G1785" i="5"/>
  <c r="G4045" i="5"/>
  <c r="G1647" i="5"/>
  <c r="G3846" i="5"/>
  <c r="G5553" i="5"/>
  <c r="G2425" i="5"/>
  <c r="G6174" i="5"/>
  <c r="G4570" i="5"/>
  <c r="G4240" i="5"/>
  <c r="G1745" i="5"/>
  <c r="G8192" i="5"/>
  <c r="G2325" i="5"/>
  <c r="G267" i="5"/>
  <c r="G469" i="5"/>
  <c r="G994" i="5"/>
  <c r="G1746" i="5"/>
  <c r="G3527" i="5"/>
  <c r="G4589" i="5"/>
  <c r="G5220" i="5"/>
  <c r="G3028" i="5"/>
  <c r="G4198" i="5"/>
  <c r="G4891" i="5"/>
  <c r="G5474" i="5"/>
  <c r="G6463" i="5"/>
  <c r="G556" i="5"/>
  <c r="G1560" i="5"/>
  <c r="G2314" i="5"/>
  <c r="G6403" i="5"/>
  <c r="G1025" i="5"/>
  <c r="G1964" i="5"/>
  <c r="G3963" i="5"/>
  <c r="G6224" i="5"/>
  <c r="G1907" i="5"/>
  <c r="G6313" i="5"/>
  <c r="G4251" i="5"/>
  <c r="G3960" i="5"/>
  <c r="G4377" i="5"/>
  <c r="G7478" i="5"/>
  <c r="G6900" i="5"/>
  <c r="F291" i="8"/>
  <c r="H291" i="8"/>
  <c r="I291" i="8" s="1"/>
  <c r="G196" i="5"/>
  <c r="G713" i="5"/>
  <c r="G445" i="5"/>
  <c r="G63" i="5"/>
  <c r="G1125" i="5"/>
  <c r="G771" i="5"/>
  <c r="G1767" i="5"/>
  <c r="G4560" i="5"/>
  <c r="G1841" i="5"/>
  <c r="G2806" i="5"/>
  <c r="G4124" i="5"/>
  <c r="G4615" i="5"/>
  <c r="G5235" i="5"/>
  <c r="G41" i="5"/>
  <c r="G4216" i="5"/>
  <c r="G2127" i="5"/>
  <c r="G3129" i="5"/>
  <c r="G1594" i="5"/>
  <c r="G3945" i="5"/>
  <c r="G4461" i="5"/>
  <c r="G6425" i="5"/>
  <c r="G1076" i="5"/>
  <c r="G5223" i="5"/>
  <c r="G4358" i="5"/>
  <c r="G6436" i="5"/>
  <c r="G557" i="5"/>
  <c r="G3147" i="5"/>
  <c r="G7239" i="5"/>
  <c r="G1981" i="5"/>
  <c r="G4042" i="5"/>
  <c r="G7502" i="5"/>
  <c r="G411" i="5"/>
  <c r="G6413" i="5"/>
  <c r="G1872" i="5"/>
  <c r="G3987" i="5"/>
  <c r="G3885" i="5"/>
  <c r="G6031" i="5"/>
  <c r="G125" i="5"/>
  <c r="G312" i="5"/>
  <c r="G1600" i="5"/>
  <c r="G2836" i="5"/>
  <c r="G5175" i="5"/>
  <c r="G6367" i="5"/>
  <c r="G1371" i="5"/>
  <c r="G2819" i="5"/>
  <c r="G2039" i="5"/>
  <c r="G6442" i="5"/>
  <c r="G1105" i="5"/>
  <c r="G7373" i="5"/>
  <c r="G4393" i="5"/>
  <c r="G399" i="5"/>
  <c r="G692" i="5"/>
  <c r="G2824" i="5"/>
  <c r="G3109" i="5"/>
  <c r="G6431" i="5"/>
  <c r="G7422" i="5"/>
  <c r="G3501" i="5"/>
  <c r="G7400" i="5"/>
  <c r="G5255" i="5"/>
  <c r="G3847" i="5"/>
  <c r="G2358" i="5"/>
  <c r="G3402" i="5"/>
  <c r="G2841" i="5"/>
  <c r="G3477" i="5"/>
  <c r="G223" i="5"/>
  <c r="G2173" i="5"/>
  <c r="G3851" i="5"/>
  <c r="G4934" i="5"/>
  <c r="G5607" i="5"/>
  <c r="G3269" i="5"/>
  <c r="G3932" i="5"/>
  <c r="G4997" i="5"/>
  <c r="G7358" i="5"/>
  <c r="G8203" i="5"/>
  <c r="G3484" i="5"/>
  <c r="G899" i="5"/>
  <c r="G521" i="5"/>
  <c r="G1866" i="5"/>
  <c r="G7462" i="5"/>
  <c r="G5068" i="5"/>
  <c r="G8187" i="5"/>
  <c r="G2914" i="5"/>
  <c r="G612" i="5"/>
  <c r="G780" i="5"/>
  <c r="G1409" i="5"/>
  <c r="G4914" i="5"/>
  <c r="G6354" i="5"/>
  <c r="G3995" i="5"/>
  <c r="G5032" i="5"/>
  <c r="G1734" i="5"/>
  <c r="G1104" i="5"/>
  <c r="G2087" i="5"/>
  <c r="G2392" i="5"/>
  <c r="G4340" i="5"/>
  <c r="G4072" i="5"/>
  <c r="G1383" i="5"/>
  <c r="G5128" i="5"/>
  <c r="G7435" i="5"/>
  <c r="G310" i="5"/>
  <c r="G742" i="5"/>
  <c r="G1033" i="5"/>
  <c r="G96" i="5"/>
  <c r="G1156" i="5"/>
  <c r="G1816" i="5"/>
  <c r="G7340" i="5"/>
  <c r="G5319" i="5"/>
  <c r="G3325" i="5"/>
  <c r="G3435" i="5"/>
  <c r="G4530" i="5"/>
  <c r="G4889" i="5"/>
  <c r="G4131" i="5"/>
  <c r="G1515" i="5"/>
  <c r="G6007" i="5"/>
  <c r="G86" i="5"/>
  <c r="G643" i="5"/>
  <c r="G347" i="5"/>
  <c r="G1034" i="5"/>
  <c r="G3979" i="5"/>
  <c r="G5092" i="5"/>
  <c r="G4536" i="5"/>
  <c r="G5154" i="5"/>
  <c r="G6219" i="5"/>
  <c r="G7531" i="5"/>
  <c r="G1070" i="5"/>
  <c r="G2070" i="5"/>
  <c r="G4633" i="5"/>
  <c r="G7342" i="5"/>
  <c r="G1079" i="5"/>
  <c r="G2001" i="5"/>
  <c r="G3680" i="5"/>
  <c r="G4791" i="5"/>
  <c r="G378" i="5"/>
  <c r="G1424" i="5"/>
  <c r="G3184" i="5"/>
  <c r="G3877" i="5"/>
  <c r="G4979" i="5"/>
  <c r="G6349" i="5"/>
  <c r="G7487" i="5"/>
  <c r="G3850" i="5"/>
  <c r="G2248" i="5"/>
  <c r="G1633" i="5"/>
  <c r="G5047" i="5"/>
  <c r="G1933" i="5"/>
  <c r="G4913" i="5"/>
  <c r="G2210" i="5"/>
  <c r="G5731" i="5"/>
  <c r="G7416" i="5"/>
  <c r="G1291" i="5"/>
  <c r="G142" i="5"/>
  <c r="G708" i="5"/>
  <c r="G1190" i="5"/>
  <c r="G910" i="5"/>
  <c r="G3551" i="5"/>
  <c r="G7377" i="5"/>
  <c r="G978" i="5"/>
  <c r="G2938" i="5"/>
  <c r="G6340" i="5"/>
  <c r="G3158" i="5"/>
  <c r="G5356" i="5"/>
  <c r="G6170" i="5"/>
  <c r="G157" i="5"/>
  <c r="G3230" i="5"/>
  <c r="G3876" i="5"/>
  <c r="G4400" i="5"/>
  <c r="G1735" i="5"/>
  <c r="G4513" i="5"/>
  <c r="G6485" i="5"/>
  <c r="G3555" i="5"/>
  <c r="G8228" i="5"/>
  <c r="G2223" i="5"/>
  <c r="G4122" i="5"/>
  <c r="G6257" i="5"/>
  <c r="G1989" i="5"/>
  <c r="G782" i="5"/>
  <c r="G7417" i="5"/>
  <c r="G1713" i="5"/>
  <c r="G1163" i="5"/>
  <c r="G406" i="5"/>
  <c r="G430" i="5"/>
  <c r="G3292" i="5"/>
  <c r="G1723" i="5"/>
  <c r="G1667" i="5"/>
  <c r="G3327" i="5"/>
  <c r="G5114" i="5"/>
  <c r="G7178" i="5"/>
  <c r="G740" i="5"/>
  <c r="G1771" i="5"/>
  <c r="G2693" i="5"/>
  <c r="G5190" i="5"/>
  <c r="G1130" i="5"/>
  <c r="G2122" i="5"/>
  <c r="G3654" i="5"/>
  <c r="G4158" i="5"/>
  <c r="G2047" i="5"/>
  <c r="G3043" i="5"/>
  <c r="G5008" i="5"/>
  <c r="G6374" i="5"/>
  <c r="G943" i="5"/>
  <c r="G5081" i="5"/>
  <c r="G356" i="5"/>
  <c r="G7427" i="5"/>
  <c r="G1901" i="5"/>
  <c r="G8208" i="5"/>
  <c r="G4507" i="5"/>
  <c r="G8089" i="5"/>
  <c r="G4272" i="5"/>
  <c r="G1646" i="5"/>
  <c r="G5295" i="5"/>
  <c r="G3318" i="5"/>
  <c r="G4068" i="5"/>
  <c r="G1513" i="5"/>
  <c r="G7084" i="5"/>
  <c r="G7841" i="5"/>
  <c r="G7298" i="5"/>
  <c r="G311" i="5"/>
  <c r="G1328" i="5"/>
  <c r="G576" i="5"/>
  <c r="G937" i="5"/>
  <c r="G4659" i="5"/>
  <c r="G5268" i="5"/>
  <c r="G1018" i="5"/>
  <c r="G2008" i="5"/>
  <c r="G5338" i="5"/>
  <c r="G5403" i="5"/>
  <c r="G3257" i="5"/>
  <c r="G4421" i="5"/>
  <c r="G7348" i="5"/>
  <c r="G3408" i="5"/>
  <c r="G4549" i="5"/>
  <c r="G5166" i="5"/>
  <c r="G7321" i="5"/>
  <c r="G3013" i="5"/>
  <c r="G4583" i="5"/>
  <c r="G926" i="5"/>
  <c r="G3582" i="5"/>
  <c r="G4811" i="5"/>
  <c r="G1044" i="5"/>
  <c r="G3352" i="5"/>
  <c r="G7509" i="5"/>
  <c r="G4285" i="5"/>
  <c r="G3939" i="5"/>
  <c r="G174" i="5"/>
  <c r="G701" i="5"/>
  <c r="G1198" i="5"/>
  <c r="G46" i="5"/>
  <c r="G624" i="5"/>
  <c r="G1103" i="5"/>
  <c r="G1772" i="5"/>
  <c r="G735" i="5"/>
  <c r="G3364" i="5"/>
  <c r="G4555" i="5"/>
  <c r="G5152" i="5"/>
  <c r="G802" i="5"/>
  <c r="G1817" i="5"/>
  <c r="G4110" i="5"/>
  <c r="G6283" i="5"/>
  <c r="G1191" i="5"/>
  <c r="G4700" i="5"/>
  <c r="G5271" i="5"/>
  <c r="G1232" i="5"/>
  <c r="G2115" i="5"/>
  <c r="G3089" i="5"/>
  <c r="G3262" i="5"/>
  <c r="G4449" i="5"/>
  <c r="G5038" i="5"/>
  <c r="G3337" i="5"/>
  <c r="G5192" i="5"/>
  <c r="G7464" i="5"/>
  <c r="G8185" i="5"/>
  <c r="G309" i="5"/>
  <c r="G2782" i="5"/>
  <c r="G6375" i="5"/>
  <c r="G1802" i="5"/>
  <c r="G5383" i="5"/>
  <c r="G8204" i="5"/>
  <c r="G3251" i="5"/>
  <c r="G4256" i="5"/>
  <c r="G5747" i="5"/>
  <c r="G6035" i="5"/>
  <c r="G282" i="5"/>
  <c r="G1212" i="5"/>
  <c r="G492" i="5"/>
  <c r="G1001" i="5"/>
  <c r="G659" i="5"/>
  <c r="G1792" i="5"/>
  <c r="G3454" i="5"/>
  <c r="G5169" i="5"/>
  <c r="G7232" i="5"/>
  <c r="G831" i="5"/>
  <c r="G3552" i="5"/>
  <c r="G6294" i="5"/>
  <c r="G1250" i="5"/>
  <c r="G3064" i="5"/>
  <c r="G3689" i="5"/>
  <c r="G4726" i="5"/>
  <c r="G5288" i="5"/>
  <c r="G7444" i="5"/>
  <c r="G1257" i="5"/>
  <c r="G3818" i="5"/>
  <c r="G4907" i="5"/>
  <c r="G6484" i="5"/>
  <c r="G592" i="5"/>
  <c r="G2332" i="5"/>
  <c r="G3278" i="5"/>
  <c r="G5052" i="5"/>
  <c r="G2773" i="5"/>
  <c r="G1390" i="5"/>
  <c r="G3616" i="5"/>
  <c r="G5237" i="5"/>
  <c r="G6346" i="5"/>
  <c r="G2808" i="5"/>
  <c r="G8227" i="5"/>
  <c r="G7394" i="5"/>
  <c r="G6491" i="5"/>
  <c r="G4830" i="5"/>
  <c r="G4452" i="5"/>
  <c r="G5595" i="5"/>
  <c r="G860" i="5"/>
  <c r="G1015" i="5"/>
  <c r="G3902" i="5"/>
  <c r="G6580" i="5"/>
  <c r="G1278" i="5"/>
  <c r="G1290" i="5"/>
  <c r="G3056" i="5"/>
  <c r="G3835" i="5"/>
  <c r="G743" i="5"/>
  <c r="G4575" i="5"/>
  <c r="G5198" i="5"/>
  <c r="G4782" i="5"/>
  <c r="G7528" i="5"/>
  <c r="G4357" i="5"/>
  <c r="G6496" i="5"/>
  <c r="G3690" i="5"/>
  <c r="G5196" i="5"/>
  <c r="G2597" i="5"/>
  <c r="G7319" i="5"/>
  <c r="G601" i="5"/>
  <c r="G7845" i="5"/>
  <c r="G7314" i="5"/>
  <c r="G7893" i="5"/>
  <c r="G934" i="5"/>
  <c r="G486" i="5"/>
  <c r="G1831" i="5"/>
  <c r="G3503" i="5"/>
  <c r="G4069" i="5"/>
  <c r="G1895" i="5"/>
  <c r="G2871" i="5"/>
  <c r="G3595" i="5"/>
  <c r="G4651" i="5"/>
  <c r="G134" i="5"/>
  <c r="G1296" i="5"/>
  <c r="G2209" i="5"/>
  <c r="G3729" i="5"/>
  <c r="G4259" i="5"/>
  <c r="G58" i="5"/>
  <c r="G1306" i="5"/>
  <c r="G4359" i="5"/>
  <c r="G5589" i="5"/>
  <c r="G7224" i="5"/>
  <c r="G702" i="5"/>
  <c r="G1657" i="5"/>
  <c r="G5099" i="5"/>
  <c r="G6455" i="5"/>
  <c r="G1312" i="5"/>
  <c r="G8193" i="5"/>
  <c r="G7202" i="5"/>
  <c r="G809" i="5"/>
  <c r="G3247" i="5"/>
  <c r="G7463" i="5"/>
  <c r="G5308" i="5"/>
  <c r="G3536" i="5"/>
  <c r="G5208" i="5"/>
  <c r="G4392" i="5"/>
  <c r="G2337" i="5"/>
  <c r="G4276" i="5"/>
  <c r="G6572" i="5"/>
  <c r="G7941" i="5"/>
  <c r="G503" i="5"/>
  <c r="G881" i="5"/>
  <c r="G3526" i="5"/>
  <c r="G7354" i="5"/>
  <c r="G1918" i="5"/>
  <c r="G2906" i="5"/>
  <c r="G6318" i="5"/>
  <c r="G1327" i="5"/>
  <c r="G2222" i="5"/>
  <c r="G4774" i="5"/>
  <c r="G1344" i="5"/>
  <c r="G3199" i="5"/>
  <c r="G728" i="5"/>
  <c r="G1693" i="5"/>
  <c r="G4011" i="5"/>
  <c r="G1458" i="5"/>
  <c r="G6217" i="5"/>
  <c r="G2795" i="5"/>
  <c r="G4497" i="5"/>
  <c r="G3590" i="5"/>
  <c r="G5241" i="5"/>
  <c r="G7769" i="5"/>
  <c r="G6198" i="5"/>
  <c r="G3140" i="5"/>
  <c r="G7332" i="5"/>
  <c r="G5249" i="5"/>
  <c r="G3159" i="5"/>
  <c r="G271" i="5"/>
  <c r="G777" i="5"/>
  <c r="G584" i="5"/>
  <c r="G1065" i="5"/>
  <c r="G1878" i="5"/>
  <c r="G1865" i="5"/>
  <c r="G4611" i="5"/>
  <c r="G5234" i="5"/>
  <c r="G1952" i="5"/>
  <c r="G3636" i="5"/>
  <c r="G4193" i="5"/>
  <c r="G4682" i="5"/>
  <c r="G2242" i="5"/>
  <c r="G4301" i="5"/>
  <c r="G1370" i="5"/>
  <c r="G2237" i="5"/>
  <c r="G4990" i="5"/>
  <c r="G7320" i="5"/>
  <c r="G3359" i="5"/>
  <c r="G5131" i="5"/>
  <c r="G1551" i="5"/>
  <c r="G5419" i="5"/>
  <c r="G7380" i="5"/>
  <c r="G2229" i="5"/>
  <c r="G4211" i="5"/>
  <c r="G5410" i="5"/>
  <c r="G2203" i="5"/>
  <c r="G4249" i="5"/>
  <c r="G6188" i="5"/>
  <c r="G5382" i="5"/>
  <c r="G3840" i="5"/>
  <c r="G3544" i="5"/>
  <c r="G1519" i="5"/>
  <c r="G6338" i="5"/>
  <c r="G404" i="5"/>
  <c r="G602" i="5"/>
  <c r="G164" i="5"/>
  <c r="G720" i="5"/>
  <c r="G1204" i="5"/>
  <c r="G4104" i="5"/>
  <c r="G5250" i="5"/>
  <c r="G990" i="5"/>
  <c r="G1979" i="5"/>
  <c r="G2978" i="5"/>
  <c r="G3650" i="5"/>
  <c r="G280" i="5"/>
  <c r="G3175" i="5"/>
  <c r="G5376" i="5"/>
  <c r="G2266" i="5"/>
  <c r="G3242" i="5"/>
  <c r="G7333" i="5"/>
  <c r="G1764" i="5"/>
  <c r="G3374" i="5"/>
  <c r="G5147" i="5"/>
  <c r="G7225" i="5"/>
  <c r="G5468" i="5"/>
  <c r="G4667" i="5"/>
  <c r="G3857" i="5"/>
  <c r="G5428" i="5"/>
  <c r="G906" i="5"/>
  <c r="G2877" i="5"/>
  <c r="G2561" i="5"/>
  <c r="G6277" i="5"/>
  <c r="G1928" i="5"/>
  <c r="G1532" i="5"/>
  <c r="G6453" i="5"/>
  <c r="G3303" i="5"/>
  <c r="G130" i="5"/>
  <c r="G95" i="5"/>
  <c r="G2973" i="5"/>
  <c r="G5439" i="5"/>
  <c r="G1269" i="5"/>
  <c r="G4935" i="5"/>
  <c r="G1712" i="5"/>
  <c r="G4454" i="5"/>
  <c r="G4985" i="5"/>
  <c r="G1634" i="5"/>
  <c r="G3421" i="5"/>
  <c r="G4044" i="5"/>
  <c r="G7503" i="5"/>
  <c r="G3587" i="5"/>
  <c r="G4210" i="5"/>
  <c r="G2265" i="5"/>
  <c r="G379" i="5"/>
  <c r="G3218" i="5"/>
  <c r="G288" i="5"/>
  <c r="G7430" i="5"/>
  <c r="G5021" i="5"/>
  <c r="G936" i="5"/>
  <c r="G2216" i="5"/>
  <c r="G6067" i="5"/>
  <c r="G3353" i="5"/>
  <c r="G7262" i="5"/>
  <c r="G998" i="5"/>
  <c r="G325" i="5"/>
  <c r="G635" i="5"/>
  <c r="G753" i="5"/>
  <c r="G1957" i="5"/>
  <c r="G958" i="5"/>
  <c r="G4138" i="5"/>
  <c r="G6164" i="5"/>
  <c r="G7428" i="5"/>
  <c r="G2030" i="5"/>
  <c r="G3023" i="5"/>
  <c r="G5351" i="5"/>
  <c r="G1503" i="5"/>
  <c r="G2320" i="5"/>
  <c r="G4854" i="5"/>
  <c r="G2298" i="5"/>
  <c r="G3277" i="5"/>
  <c r="G2521" i="5"/>
  <c r="G3425" i="5"/>
  <c r="G5183" i="5"/>
  <c r="G7334" i="5"/>
  <c r="G1757" i="5"/>
  <c r="G6379" i="5"/>
  <c r="G6828" i="5"/>
  <c r="G5601" i="5"/>
  <c r="G4623" i="5"/>
  <c r="G1011" i="5"/>
  <c r="G2236" i="5"/>
  <c r="G5027" i="5"/>
  <c r="G3931" i="5"/>
  <c r="G4716" i="5"/>
  <c r="G5743" i="5"/>
  <c r="G6688" i="5"/>
  <c r="G7306" i="5"/>
  <c r="G439" i="5"/>
  <c r="G769" i="5"/>
  <c r="G1973" i="5"/>
  <c r="G4153" i="5"/>
  <c r="G4698" i="5"/>
  <c r="G5337" i="5"/>
  <c r="G7442" i="5"/>
  <c r="G2063" i="5"/>
  <c r="G3057" i="5"/>
  <c r="G3728" i="5"/>
  <c r="G5375" i="5"/>
  <c r="G1539" i="5"/>
  <c r="G3249" i="5"/>
  <c r="G3304" i="5"/>
  <c r="G7381" i="5"/>
  <c r="G1830" i="5"/>
  <c r="G2625" i="5"/>
  <c r="G3444" i="5"/>
  <c r="G5199" i="5"/>
  <c r="G7349" i="5"/>
  <c r="G3283" i="5"/>
  <c r="G7529" i="5"/>
  <c r="G5200" i="5"/>
  <c r="G4373" i="5"/>
  <c r="G7331" i="5"/>
  <c r="G7404" i="5"/>
  <c r="G6956" i="5"/>
  <c r="G76" i="5"/>
  <c r="G1812" i="5"/>
  <c r="G5188" i="5"/>
  <c r="G4746" i="5"/>
  <c r="G2196" i="5"/>
  <c r="G4927" i="5"/>
  <c r="G5267" i="5"/>
  <c r="G796" i="5"/>
  <c r="G1321" i="5"/>
  <c r="G3104" i="5"/>
  <c r="G5045" i="5"/>
  <c r="G727" i="5"/>
  <c r="G4059" i="5"/>
  <c r="G2181" i="5"/>
  <c r="G3704" i="5"/>
  <c r="G1149" i="5"/>
  <c r="G957" i="5"/>
  <c r="G200" i="5"/>
  <c r="G158" i="5"/>
  <c r="G5559" i="5"/>
  <c r="G2258" i="5"/>
  <c r="G4382" i="5"/>
  <c r="G1795" i="5"/>
  <c r="G4488" i="5"/>
  <c r="G4086" i="5"/>
  <c r="G2923" i="5"/>
  <c r="G4242" i="5"/>
  <c r="G5389" i="5"/>
  <c r="G1468" i="5"/>
  <c r="G1488" i="5"/>
  <c r="G4413" i="5"/>
  <c r="G5140" i="5"/>
  <c r="G2195" i="5"/>
  <c r="G7889" i="5"/>
  <c r="G2549" i="5"/>
  <c r="G882" i="5"/>
  <c r="G4157" i="5"/>
  <c r="G5269" i="5"/>
  <c r="G3114" i="5"/>
  <c r="G3183" i="5"/>
  <c r="G4961" i="5"/>
  <c r="G4484" i="5"/>
  <c r="G5344" i="5"/>
  <c r="G2930" i="5"/>
  <c r="G2071" i="5"/>
  <c r="G672" i="5"/>
  <c r="G3068" i="5"/>
  <c r="G4033" i="5"/>
  <c r="G3420" i="5"/>
  <c r="G3937" i="5"/>
  <c r="G444" i="5"/>
  <c r="G890" i="5"/>
  <c r="G252" i="5"/>
  <c r="G2157" i="5"/>
  <c r="G1352" i="5"/>
  <c r="G4984" i="5"/>
  <c r="G7341" i="5"/>
  <c r="G3415" i="5"/>
  <c r="G6412" i="5"/>
  <c r="G6259" i="5"/>
  <c r="G3647" i="5"/>
  <c r="G6194" i="5"/>
  <c r="G3152" i="5"/>
  <c r="G6456" i="5"/>
  <c r="G1946" i="5"/>
  <c r="G775" i="5"/>
  <c r="G594" i="5"/>
  <c r="G1097" i="5"/>
  <c r="G1439" i="5"/>
  <c r="G3235" i="5"/>
  <c r="G1623" i="5"/>
  <c r="G4504" i="5"/>
  <c r="G5116" i="5"/>
  <c r="G7489" i="5"/>
  <c r="G996" i="5"/>
  <c r="G7282" i="5"/>
  <c r="G3646" i="5"/>
  <c r="G4227" i="5"/>
  <c r="G3849" i="5"/>
  <c r="G4360" i="5"/>
  <c r="G703" i="5"/>
  <c r="G4862" i="5"/>
  <c r="G4012" i="5"/>
  <c r="G2898" i="5"/>
  <c r="G4335" i="5"/>
  <c r="G1041" i="5"/>
  <c r="G358" i="5"/>
  <c r="G797" i="5"/>
  <c r="G4220" i="5"/>
  <c r="G4770" i="5"/>
  <c r="G5371" i="5"/>
  <c r="G6218" i="5"/>
  <c r="G3794" i="5"/>
  <c r="G438" i="5"/>
  <c r="G1611" i="5"/>
  <c r="G3297" i="5"/>
  <c r="G4920" i="5"/>
  <c r="G421" i="5"/>
  <c r="G1559" i="5"/>
  <c r="G2357" i="5"/>
  <c r="G3973" i="5"/>
  <c r="G4483" i="5"/>
  <c r="G5087" i="5"/>
  <c r="G6163" i="5"/>
  <c r="G3699" i="5"/>
  <c r="G2705" i="5"/>
  <c r="G5911" i="5"/>
  <c r="G2079" i="5"/>
  <c r="G4697" i="5"/>
  <c r="G4423" i="5"/>
  <c r="G6208" i="5"/>
  <c r="G6892" i="5"/>
  <c r="G2988" i="5"/>
  <c r="G944" i="5"/>
  <c r="G1258" i="5"/>
  <c r="G565" i="5"/>
  <c r="G1049" i="5"/>
  <c r="G119" i="5"/>
  <c r="G693" i="5"/>
  <c r="G1170" i="5"/>
  <c r="G1854" i="5"/>
  <c r="G1836" i="5"/>
  <c r="G2573" i="5"/>
  <c r="G4079" i="5"/>
  <c r="G4602" i="5"/>
  <c r="G5219" i="5"/>
  <c r="G6071" i="5"/>
  <c r="G921" i="5"/>
  <c r="G4663" i="5"/>
  <c r="G194" i="5"/>
  <c r="G3751" i="5"/>
  <c r="G5342" i="5"/>
  <c r="G100" i="5"/>
  <c r="G4375" i="5"/>
  <c r="G4978" i="5"/>
  <c r="G7290" i="5"/>
  <c r="G4496" i="5"/>
  <c r="G5112" i="5"/>
  <c r="G5895" i="5"/>
  <c r="G6464" i="5"/>
  <c r="G3502" i="5"/>
  <c r="G5397" i="5"/>
  <c r="G8206" i="5"/>
  <c r="G2172" i="5"/>
  <c r="G6362" i="5"/>
  <c r="G2189" i="5"/>
  <c r="G4169" i="5"/>
  <c r="G5357" i="5"/>
  <c r="G4232" i="5"/>
  <c r="G2445" i="5"/>
  <c r="G4141" i="5"/>
  <c r="G3712" i="5"/>
  <c r="G6588" i="5"/>
  <c r="G7441" i="5"/>
  <c r="G1176" i="5"/>
  <c r="G2179" i="5"/>
  <c r="G6011" i="5"/>
  <c r="G7294" i="5"/>
  <c r="G536" i="5"/>
  <c r="G900" i="5"/>
  <c r="G90" i="5"/>
  <c r="G719" i="5"/>
  <c r="G315" i="5"/>
  <c r="G2046" i="5"/>
  <c r="G2899" i="5"/>
  <c r="G4252" i="5"/>
  <c r="G5411" i="5"/>
  <c r="G7530" i="5"/>
  <c r="G3174" i="5"/>
  <c r="G3852" i="5"/>
  <c r="G3332" i="5"/>
  <c r="G4429" i="5"/>
  <c r="G6295" i="5"/>
  <c r="G2493" i="5"/>
  <c r="G3395" i="5"/>
  <c r="G4010" i="5"/>
  <c r="G4512" i="5"/>
  <c r="G6175" i="5"/>
  <c r="G7465" i="5"/>
  <c r="G4630" i="5"/>
  <c r="G7437" i="5"/>
  <c r="G2038" i="5"/>
  <c r="G281" i="5"/>
  <c r="G3146" i="5"/>
  <c r="G1765" i="5"/>
  <c r="G8196" i="5"/>
  <c r="G2861" i="5"/>
  <c r="G4446" i="5"/>
  <c r="G2525" i="5"/>
  <c r="G4186" i="5"/>
  <c r="G1573" i="5"/>
  <c r="G6347" i="5"/>
  <c r="G8145" i="5"/>
  <c r="G979" i="5"/>
  <c r="G286" i="5"/>
  <c r="G793" i="5"/>
  <c r="G1307" i="5"/>
  <c r="G550" i="5"/>
  <c r="G1902" i="5"/>
  <c r="G920" i="5"/>
  <c r="G1890" i="5"/>
  <c r="G3573" i="5"/>
  <c r="G4650" i="5"/>
  <c r="G7386" i="5"/>
  <c r="G4699" i="5"/>
  <c r="G5314" i="5"/>
  <c r="G6355" i="5"/>
  <c r="G2276" i="5"/>
  <c r="G3800" i="5"/>
  <c r="G4799" i="5"/>
  <c r="G6184" i="5"/>
  <c r="G1401" i="5"/>
  <c r="G4411" i="5"/>
  <c r="G5004" i="5"/>
  <c r="G795" i="5"/>
  <c r="G4035" i="5"/>
  <c r="G4529" i="5"/>
  <c r="G3568" i="5"/>
  <c r="G3514" i="5"/>
  <c r="G4776" i="5"/>
  <c r="G4551" i="5"/>
  <c r="G2165" i="5"/>
  <c r="G6268" i="5"/>
  <c r="G7364" i="5"/>
  <c r="G7805" i="5"/>
  <c r="G559" i="5"/>
  <c r="G1096" i="5"/>
  <c r="G1237" i="5"/>
  <c r="G853" i="5"/>
  <c r="G1358" i="5"/>
  <c r="G30" i="5"/>
  <c r="G1183" i="5"/>
  <c r="G3743" i="5"/>
  <c r="G4846" i="5"/>
  <c r="G6293" i="5"/>
  <c r="G7236" i="5"/>
  <c r="G647" i="5"/>
  <c r="G3367" i="5"/>
  <c r="G3959" i="5"/>
  <c r="G5619" i="5"/>
  <c r="G6345" i="5"/>
  <c r="G591" i="5"/>
  <c r="G4545" i="5"/>
  <c r="G5146" i="5"/>
  <c r="G6215" i="5"/>
  <c r="G2814" i="5"/>
  <c r="G4672" i="5"/>
  <c r="G5331" i="5"/>
  <c r="G6140" i="5"/>
  <c r="G7470" i="5"/>
  <c r="G4219" i="5"/>
  <c r="G4709" i="5"/>
  <c r="G7456" i="5"/>
  <c r="G5107" i="5"/>
  <c r="G1835" i="5"/>
  <c r="G3997" i="5"/>
  <c r="G5161" i="5"/>
  <c r="G5449" i="5"/>
  <c r="G1572" i="5"/>
  <c r="G6417" i="5"/>
  <c r="G5505" i="5"/>
  <c r="G1525" i="5"/>
  <c r="G426" i="5"/>
  <c r="G812" i="5"/>
  <c r="G600" i="5"/>
  <c r="G1120" i="5"/>
  <c r="G209" i="5"/>
  <c r="G1238" i="5"/>
  <c r="G1951" i="5"/>
  <c r="G5313" i="5"/>
  <c r="G1040" i="5"/>
  <c r="G4771" i="5"/>
  <c r="G6377" i="5"/>
  <c r="G348" i="5"/>
  <c r="G3856" i="5"/>
  <c r="G4355" i="5"/>
  <c r="G6223" i="5"/>
  <c r="G336" i="5"/>
  <c r="G1469" i="5"/>
  <c r="G3912" i="5"/>
  <c r="G4431" i="5"/>
  <c r="G7366" i="5"/>
  <c r="G1807" i="5"/>
  <c r="G4569" i="5"/>
  <c r="G3241" i="5"/>
  <c r="G4766" i="5"/>
  <c r="G7493" i="5"/>
  <c r="G3581" i="5"/>
  <c r="G2378" i="5"/>
  <c r="G3038" i="5"/>
  <c r="G3263" i="5"/>
  <c r="G4573" i="5"/>
  <c r="G6243" i="5"/>
  <c r="G965" i="5"/>
  <c r="G1848" i="5"/>
  <c r="G7302" i="5"/>
  <c r="G1016" i="5"/>
  <c r="G830" i="5"/>
  <c r="G1365" i="5"/>
  <c r="G655" i="5"/>
  <c r="G1141" i="5"/>
  <c r="G1255" i="5"/>
  <c r="G1972" i="5"/>
  <c r="G3632" i="5"/>
  <c r="G6182" i="5"/>
  <c r="G4258" i="5"/>
  <c r="G4798" i="5"/>
  <c r="G6391" i="5"/>
  <c r="G2343" i="5"/>
  <c r="G4368" i="5"/>
  <c r="G4888" i="5"/>
  <c r="G5425" i="5"/>
  <c r="G6237" i="5"/>
  <c r="G1526" i="5"/>
  <c r="G2313" i="5"/>
  <c r="G3944" i="5"/>
  <c r="G4448" i="5"/>
  <c r="G5051" i="5"/>
  <c r="G895" i="5"/>
  <c r="G4077" i="5"/>
  <c r="G4579" i="5"/>
  <c r="G1811" i="5"/>
  <c r="G3894" i="5"/>
  <c r="G625" i="5"/>
  <c r="G4800" i="5"/>
  <c r="G1064" i="5"/>
  <c r="G3319" i="5"/>
  <c r="G859" i="5"/>
  <c r="G314" i="5"/>
  <c r="G1006" i="5"/>
  <c r="G2338" i="5"/>
  <c r="G8077" i="5"/>
  <c r="G6139" i="5"/>
  <c r="G2675" i="5"/>
  <c r="G5262" i="5"/>
  <c r="G798" i="5"/>
  <c r="G514" i="5"/>
  <c r="G45" i="5"/>
  <c r="G1185" i="5"/>
  <c r="G1299" i="5"/>
  <c r="G2023" i="5"/>
  <c r="G2866" i="5"/>
  <c r="G4233" i="5"/>
  <c r="G6232" i="5"/>
  <c r="G2133" i="5"/>
  <c r="G3836" i="5"/>
  <c r="G4887" i="5"/>
  <c r="G510" i="5"/>
  <c r="G3313" i="5"/>
  <c r="G4419" i="5"/>
  <c r="G5490" i="5"/>
  <c r="G6284" i="5"/>
  <c r="G1577" i="5"/>
  <c r="G6159" i="5"/>
  <c r="G952" i="5"/>
  <c r="G1912" i="5"/>
  <c r="G3513" i="5"/>
  <c r="G4121" i="5"/>
  <c r="G4609" i="5"/>
  <c r="G1996" i="5"/>
  <c r="G2998" i="5"/>
  <c r="G2156" i="5"/>
  <c r="G6123" i="5"/>
  <c r="G1544" i="5"/>
  <c r="G5222" i="5"/>
  <c r="G3812" i="5"/>
  <c r="G6189" i="5"/>
  <c r="G1071" i="5"/>
  <c r="G62" i="5"/>
  <c r="G821" i="5"/>
  <c r="G1315" i="5"/>
  <c r="G1089" i="5"/>
  <c r="G2062" i="5"/>
  <c r="G3702" i="5"/>
  <c r="G4797" i="5"/>
  <c r="G1217" i="5"/>
  <c r="G2180" i="5"/>
  <c r="G4899" i="5"/>
  <c r="G6470" i="5"/>
  <c r="G4954" i="5"/>
  <c r="G5111" i="5"/>
  <c r="G971" i="5"/>
  <c r="G1945" i="5"/>
  <c r="G3546" i="5"/>
  <c r="G4151" i="5"/>
  <c r="G5294" i="5"/>
  <c r="G4152" i="5"/>
  <c r="G6286" i="5"/>
  <c r="G3510" i="5"/>
  <c r="G5003" i="5"/>
  <c r="G2278" i="5"/>
  <c r="G68" i="5"/>
  <c r="G8073" i="5"/>
  <c r="G4115" i="5"/>
  <c r="G4905" i="5"/>
  <c r="G3310" i="5"/>
  <c r="G7857" i="5"/>
  <c r="G75" i="5"/>
  <c r="G836" i="5"/>
  <c r="G1340" i="5"/>
  <c r="G2078" i="5"/>
  <c r="G1114" i="5"/>
  <c r="G5420" i="5"/>
  <c r="G6278" i="5"/>
  <c r="G1249" i="5"/>
  <c r="G3861" i="5"/>
  <c r="G567" i="5"/>
  <c r="G5571" i="5"/>
  <c r="G534" i="5"/>
  <c r="G2517" i="5"/>
  <c r="G4528" i="5"/>
  <c r="G5130" i="5"/>
  <c r="G1000" i="5"/>
  <c r="G3567" i="5"/>
  <c r="G4168" i="5"/>
  <c r="G2239" i="5"/>
  <c r="G1148" i="5"/>
  <c r="G5039" i="5"/>
  <c r="G1778" i="5"/>
  <c r="G5113" i="5"/>
  <c r="G997" i="5"/>
  <c r="G4947" i="5"/>
  <c r="G7471" i="5"/>
  <c r="G4264" i="5"/>
  <c r="G5176" i="5"/>
  <c r="G72" i="5"/>
  <c r="G726" i="5"/>
  <c r="G549" i="5"/>
  <c r="G274" i="5"/>
  <c r="G848" i="5"/>
  <c r="G420" i="5"/>
  <c r="G1438" i="5"/>
  <c r="G3186" i="5"/>
  <c r="G6443" i="5"/>
  <c r="G433" i="5"/>
  <c r="G1565" i="5"/>
  <c r="G2371" i="5"/>
  <c r="G3345" i="5"/>
  <c r="G5060" i="5"/>
  <c r="G5903" i="5"/>
  <c r="G2781" i="5"/>
  <c r="G3535" i="5"/>
  <c r="G4572" i="5"/>
  <c r="G5122" i="5"/>
  <c r="G894" i="5"/>
  <c r="G1853" i="5"/>
  <c r="G2810" i="5"/>
  <c r="G3607" i="5"/>
  <c r="G227" i="5"/>
  <c r="G1284" i="5"/>
  <c r="G3071" i="5"/>
  <c r="G507" i="5"/>
  <c r="G2657" i="5"/>
  <c r="G4666" i="5"/>
  <c r="G3615" i="5"/>
  <c r="G3511" i="5"/>
  <c r="G5491" i="5"/>
  <c r="G1779" i="5"/>
  <c r="G3738" i="5"/>
  <c r="G3603" i="5"/>
  <c r="G4601" i="5"/>
  <c r="G6314" i="5"/>
  <c r="G6395" i="5"/>
  <c r="G574" i="5"/>
  <c r="G935" i="5"/>
  <c r="G153" i="5"/>
  <c r="G115" i="5"/>
  <c r="G120" i="5"/>
  <c r="G124" i="5"/>
  <c r="G1292" i="5"/>
  <c r="G3220" i="5"/>
  <c r="G5565" i="5"/>
  <c r="G3386" i="5"/>
  <c r="G5001" i="5"/>
  <c r="G2016" i="5"/>
  <c r="G3608" i="5"/>
  <c r="G6160" i="5"/>
  <c r="G7486" i="5"/>
  <c r="G2305" i="5"/>
  <c r="G1334" i="5"/>
  <c r="G5156" i="5"/>
  <c r="G6323" i="5"/>
  <c r="G5053" i="5"/>
  <c r="G7545" i="5"/>
  <c r="G1599" i="5"/>
  <c r="G5066" i="5"/>
  <c r="G313" i="5"/>
  <c r="G2783" i="5"/>
  <c r="G6075" i="5"/>
  <c r="G6820" i="5"/>
  <c r="G593" i="5"/>
  <c r="G1135" i="5"/>
  <c r="G413" i="5"/>
  <c r="G945" i="5"/>
  <c r="G1397" i="5"/>
  <c r="G3018" i="5"/>
  <c r="G4898" i="5"/>
  <c r="G5511" i="5"/>
  <c r="G1322" i="5"/>
  <c r="G5613" i="5"/>
  <c r="G717" i="5"/>
  <c r="G2505" i="5"/>
  <c r="G6396" i="5"/>
  <c r="G1686" i="5"/>
  <c r="G2601" i="5"/>
  <c r="G3478" i="5"/>
  <c r="G5365" i="5"/>
  <c r="G6176" i="5"/>
  <c r="G7508" i="5"/>
  <c r="G1389" i="5"/>
  <c r="G5148" i="5"/>
  <c r="G4062" i="5"/>
  <c r="G213" i="5"/>
  <c r="G3099" i="5"/>
  <c r="G4695" i="5"/>
  <c r="G7154" i="5"/>
  <c r="G1724" i="5"/>
  <c r="G5132" i="5"/>
  <c r="G5065" i="5"/>
  <c r="F824" i="8"/>
  <c r="H824" i="8"/>
  <c r="I824" i="8"/>
  <c r="F522" i="8"/>
  <c r="H522" i="8"/>
  <c r="I522" i="8"/>
  <c r="F2296" i="8"/>
  <c r="H2296" i="8"/>
  <c r="I2296" i="8"/>
  <c r="F2501" i="8"/>
  <c r="I2501" i="8"/>
  <c r="H2501" i="8"/>
  <c r="F2070" i="8"/>
  <c r="I2070" i="8"/>
  <c r="H2070" i="8"/>
  <c r="F1986" i="8"/>
  <c r="I1986" i="8"/>
  <c r="H1986" i="8"/>
  <c r="F2455" i="8"/>
  <c r="I2455" i="8"/>
  <c r="H2455" i="8"/>
  <c r="F1022" i="8"/>
  <c r="I1022" i="8"/>
  <c r="H1022" i="8"/>
  <c r="F2058" i="8"/>
  <c r="H2058" i="8"/>
  <c r="I2058" i="8"/>
  <c r="F2040" i="8"/>
  <c r="I2040" i="8"/>
  <c r="H2040" i="8"/>
  <c r="F1936" i="8"/>
  <c r="H1936" i="8"/>
  <c r="I1936" i="8"/>
  <c r="F1445" i="8"/>
  <c r="I1445" i="8"/>
  <c r="H1445" i="8"/>
  <c r="F490" i="8"/>
  <c r="H490" i="8"/>
  <c r="I490" i="8"/>
  <c r="F3064" i="8"/>
  <c r="I3064" i="8"/>
  <c r="H3064" i="8"/>
  <c r="F3131" i="8"/>
  <c r="I3131" i="8"/>
  <c r="H3131" i="8"/>
  <c r="F1483" i="8"/>
  <c r="I1483" i="8"/>
  <c r="H1483" i="8"/>
  <c r="F2390" i="8"/>
  <c r="H2390" i="8"/>
  <c r="I2390" i="8"/>
  <c r="F1011" i="8"/>
  <c r="H1011" i="8"/>
  <c r="I1011" i="8"/>
  <c r="F2471" i="8"/>
  <c r="I2471" i="8"/>
  <c r="H2471" i="8"/>
  <c r="F1970" i="8"/>
  <c r="I1970" i="8"/>
  <c r="H1970" i="8"/>
  <c r="F2014" i="8"/>
  <c r="H2014" i="8"/>
  <c r="I2014" i="8"/>
  <c r="F2436" i="8"/>
  <c r="I2436" i="8"/>
  <c r="H2436" i="8"/>
  <c r="F2415" i="8"/>
  <c r="H2415" i="8"/>
  <c r="I2415" i="8"/>
  <c r="F2503" i="8"/>
  <c r="H2503" i="8"/>
  <c r="I2503" i="8"/>
  <c r="F2452" i="8"/>
  <c r="I2452" i="8"/>
  <c r="H2452" i="8"/>
  <c r="F1976" i="8"/>
  <c r="I1976" i="8"/>
  <c r="H1976" i="8"/>
  <c r="F2464" i="8"/>
  <c r="I2464" i="8"/>
  <c r="H2464" i="8"/>
  <c r="F1543" i="8"/>
  <c r="I1543" i="8"/>
  <c r="H1543" i="8"/>
  <c r="F2453" i="8"/>
  <c r="I2453" i="8"/>
  <c r="H2453" i="8"/>
  <c r="F1489" i="8"/>
  <c r="I1489" i="8"/>
  <c r="H1489" i="8"/>
  <c r="F2493" i="8"/>
  <c r="H2493" i="8"/>
  <c r="I2493" i="8"/>
  <c r="F2050" i="8"/>
  <c r="H2050" i="8"/>
  <c r="I2050" i="8"/>
  <c r="F2078" i="8"/>
  <c r="H2078" i="8"/>
  <c r="I2078" i="8"/>
  <c r="F2395" i="8"/>
  <c r="H2395" i="8"/>
  <c r="I2395" i="8"/>
  <c r="F1465" i="8"/>
  <c r="I1465" i="8"/>
  <c r="H1465" i="8"/>
  <c r="F2006" i="8"/>
  <c r="I2006" i="8"/>
  <c r="H2006" i="8"/>
  <c r="F1940" i="8"/>
  <c r="I1940" i="8"/>
  <c r="H1940" i="8"/>
  <c r="F1598" i="8"/>
  <c r="H1598" i="8"/>
  <c r="I1598" i="8"/>
  <c r="F2034" i="8"/>
  <c r="H2034" i="8"/>
  <c r="I2034" i="8"/>
  <c r="F2297" i="8"/>
  <c r="I2297" i="8"/>
  <c r="H2297" i="8"/>
  <c r="F3150" i="8"/>
  <c r="H3150" i="8"/>
  <c r="I3150" i="8"/>
  <c r="F2405" i="8"/>
  <c r="H2405" i="8"/>
  <c r="I2405" i="8"/>
  <c r="F2064" i="8"/>
  <c r="H2064" i="8"/>
  <c r="I2064" i="8"/>
  <c r="F1966" i="8"/>
  <c r="I1966" i="8"/>
  <c r="H1966" i="8"/>
  <c r="F1197" i="8"/>
  <c r="I1197" i="8"/>
  <c r="H1197" i="8"/>
  <c r="F830" i="8"/>
  <c r="I830" i="8"/>
  <c r="H830" i="8"/>
  <c r="F2416" i="8"/>
  <c r="H2416" i="8"/>
  <c r="I2416" i="8"/>
  <c r="F2447" i="8"/>
  <c r="I2447" i="8"/>
  <c r="H2447" i="8"/>
  <c r="F1435" i="8"/>
  <c r="H1435" i="8"/>
  <c r="I1435" i="8"/>
  <c r="F741" i="8"/>
  <c r="H741" i="8"/>
  <c r="I741" i="8"/>
  <c r="F1010" i="8"/>
  <c r="I1010" i="8"/>
  <c r="H1010" i="8"/>
  <c r="F2473" i="8"/>
  <c r="I2473" i="8"/>
  <c r="H2473" i="8"/>
  <c r="F2431" i="8"/>
  <c r="H2431" i="8"/>
  <c r="I2431" i="8"/>
  <c r="F2488" i="8"/>
  <c r="I2488" i="8"/>
  <c r="H2488" i="8"/>
  <c r="F532" i="8"/>
  <c r="H532" i="8"/>
  <c r="I532" i="8"/>
  <c r="F1187" i="8"/>
  <c r="I1187" i="8"/>
  <c r="H1187" i="8"/>
  <c r="F3113" i="8"/>
  <c r="H3113" i="8"/>
  <c r="I3113" i="8"/>
  <c r="F1994" i="8"/>
  <c r="I1994" i="8"/>
  <c r="H1994" i="8"/>
  <c r="F2484" i="8"/>
  <c r="H2484" i="8"/>
  <c r="I2484" i="8"/>
  <c r="F2461" i="8"/>
  <c r="I2461" i="8"/>
  <c r="H2461" i="8"/>
  <c r="F828" i="8"/>
  <c r="I828" i="8"/>
  <c r="H828" i="8"/>
  <c r="F1453" i="8"/>
  <c r="H1453" i="8"/>
  <c r="I1453" i="8"/>
  <c r="F2024" i="8"/>
  <c r="H2024" i="8"/>
  <c r="I2024" i="8"/>
  <c r="F2472" i="8"/>
  <c r="H2472" i="8"/>
  <c r="I2472" i="8"/>
  <c r="F615" i="8"/>
  <c r="I615" i="8"/>
  <c r="H615" i="8"/>
  <c r="F3080" i="8"/>
  <c r="I3080" i="8"/>
  <c r="H3080" i="8"/>
  <c r="F2716" i="8"/>
  <c r="H2716" i="8"/>
  <c r="I2716" i="8"/>
  <c r="F276" i="6" l="1"/>
  <c r="F3072" i="8"/>
  <c r="H3072" i="8"/>
  <c r="I3072" i="8"/>
  <c r="F2903" i="8"/>
  <c r="H2903" i="8"/>
  <c r="I2903" i="8"/>
  <c r="F3186" i="8"/>
  <c r="I3186" i="8"/>
  <c r="H3186" i="8"/>
  <c r="G4707" i="5"/>
  <c r="G193" i="5"/>
  <c r="G5254" i="5"/>
  <c r="G8017" i="5"/>
  <c r="G4319" i="5"/>
  <c r="G7024" i="5"/>
  <c r="G7981" i="5"/>
  <c r="G679" i="5"/>
  <c r="G5484" i="5"/>
  <c r="F573" i="6"/>
  <c r="G6087" i="5"/>
  <c r="G6303" i="5"/>
  <c r="G7128" i="5"/>
  <c r="F321" i="6"/>
  <c r="H62" i="5"/>
  <c r="E17" i="8" s="1"/>
  <c r="G6600" i="5"/>
  <c r="G1275" i="5"/>
  <c r="H6139" i="5"/>
  <c r="F67" i="6"/>
  <c r="F249" i="6"/>
  <c r="G2264" i="5"/>
  <c r="G231" i="5"/>
  <c r="G8009" i="5"/>
  <c r="G6508" i="5"/>
  <c r="H7302" i="5"/>
  <c r="E3234" i="8" s="1"/>
  <c r="F25" i="6"/>
  <c r="H6223" i="5"/>
  <c r="E2603" i="8" s="1"/>
  <c r="G7581" i="5"/>
  <c r="G2717" i="5"/>
  <c r="G7625" i="5"/>
  <c r="H647" i="5"/>
  <c r="G3886" i="5"/>
  <c r="H30" i="5"/>
  <c r="G6608" i="5"/>
  <c r="G4309" i="5"/>
  <c r="G6111" i="5"/>
  <c r="H2445" i="5"/>
  <c r="E476" i="8" s="1"/>
  <c r="G5627" i="5"/>
  <c r="G6151" i="5"/>
  <c r="H4663" i="5"/>
  <c r="E1177" i="8" s="1"/>
  <c r="H119" i="5"/>
  <c r="E29" i="8" s="1"/>
  <c r="G1005" i="5"/>
  <c r="G2045" i="5"/>
  <c r="G5447" i="5"/>
  <c r="G6816" i="5"/>
  <c r="F574" i="6"/>
  <c r="G6047" i="5"/>
  <c r="G6266" i="5"/>
  <c r="G5631" i="5"/>
  <c r="G5703" i="5"/>
  <c r="G323" i="5"/>
  <c r="G3400" i="5"/>
  <c r="G8001" i="5"/>
  <c r="G7765" i="5"/>
  <c r="F621" i="6"/>
  <c r="G273" i="5"/>
  <c r="G7335" i="5"/>
  <c r="G6844" i="5"/>
  <c r="H7306" i="5"/>
  <c r="E3235" i="8" s="1"/>
  <c r="G4607" i="5"/>
  <c r="F485" i="6"/>
  <c r="F421" i="6"/>
  <c r="H5021" i="5"/>
  <c r="E1278" i="8" s="1"/>
  <c r="G7044" i="5"/>
  <c r="G3176" i="5"/>
  <c r="H164" i="5"/>
  <c r="E38" i="8" s="1"/>
  <c r="H3544" i="5"/>
  <c r="G7160" i="5"/>
  <c r="G8137" i="5"/>
  <c r="G6656" i="5"/>
  <c r="H7941" i="5"/>
  <c r="E3392" i="8" s="1"/>
  <c r="F432" i="6"/>
  <c r="G7601" i="5"/>
  <c r="G4758" i="5"/>
  <c r="G239" i="5"/>
  <c r="G6872" i="5"/>
  <c r="H7845" i="5"/>
  <c r="E3368" i="8" s="1"/>
  <c r="G3148" i="5"/>
  <c r="G5987" i="5"/>
  <c r="G2473" i="5"/>
  <c r="H4256" i="5"/>
  <c r="E1130" i="8" s="1"/>
  <c r="H174" i="5"/>
  <c r="G8169" i="5"/>
  <c r="F66" i="6"/>
  <c r="F450" i="6"/>
  <c r="G2284" i="5"/>
  <c r="G6147" i="5"/>
  <c r="G1140" i="5"/>
  <c r="H3654" i="5"/>
  <c r="G7781" i="5"/>
  <c r="G5300" i="5"/>
  <c r="G1622" i="5"/>
  <c r="F610" i="6"/>
  <c r="G6311" i="5"/>
  <c r="G3642" i="5"/>
  <c r="H2914" i="5"/>
  <c r="G1019" i="5"/>
  <c r="H2819" i="5"/>
  <c r="H2836" i="5"/>
  <c r="G7945" i="5"/>
  <c r="G2163" i="5"/>
  <c r="G872" i="5"/>
  <c r="F548" i="6"/>
  <c r="H1907" i="5"/>
  <c r="F205" i="6"/>
  <c r="G5971" i="5"/>
  <c r="G427" i="5"/>
  <c r="G6916" i="5"/>
  <c r="F50" i="7"/>
  <c r="F549" i="6"/>
  <c r="H6181" i="5"/>
  <c r="G7517" i="5"/>
  <c r="H2633" i="5"/>
  <c r="E585" i="8" s="1"/>
  <c r="G2401" i="5"/>
  <c r="G5875" i="5"/>
  <c r="G552" i="5"/>
  <c r="F449" i="6"/>
  <c r="G4476" i="5"/>
  <c r="F598" i="6"/>
  <c r="G597" i="6" s="1"/>
  <c r="G4519" i="5"/>
  <c r="G3649" i="5"/>
  <c r="G969" i="5"/>
  <c r="H4861" i="5"/>
  <c r="H6524" i="5"/>
  <c r="E2742" i="8" s="1"/>
  <c r="H7398" i="5"/>
  <c r="E3257" i="8" s="1"/>
  <c r="H6335" i="5"/>
  <c r="E2616" i="8" s="1"/>
  <c r="G2409" i="5"/>
  <c r="G3630" i="5"/>
  <c r="G3382" i="5"/>
  <c r="F172" i="6"/>
  <c r="H3268" i="5"/>
  <c r="H5499" i="5"/>
  <c r="E1408" i="8" s="1"/>
  <c r="G5879" i="5"/>
  <c r="G5923" i="5"/>
  <c r="H6023" i="5"/>
  <c r="E1924" i="8" s="1"/>
  <c r="F89" i="7"/>
  <c r="F612" i="6"/>
  <c r="G2745" i="5"/>
  <c r="G8101" i="5"/>
  <c r="H5577" i="5"/>
  <c r="E1421" i="8" s="1"/>
  <c r="G4571" i="5"/>
  <c r="G2155" i="5"/>
  <c r="G2769" i="5"/>
  <c r="G259" i="5"/>
  <c r="H2609" i="5"/>
  <c r="E579" i="8" s="1"/>
  <c r="G7737" i="5"/>
  <c r="H2533" i="5"/>
  <c r="F546" i="6"/>
  <c r="G6764" i="5"/>
  <c r="G4477" i="5"/>
  <c r="G7593" i="5"/>
  <c r="H4738" i="5"/>
  <c r="H7617" i="5"/>
  <c r="E3311" i="8" s="1"/>
  <c r="G879" i="5"/>
  <c r="G8133" i="5"/>
  <c r="G5811" i="5"/>
  <c r="G6792" i="5"/>
  <c r="F398" i="6"/>
  <c r="F138" i="7"/>
  <c r="G137" i="7" s="1"/>
  <c r="F568" i="6"/>
  <c r="G1828" i="5"/>
  <c r="G5699" i="5"/>
  <c r="F397" i="6"/>
  <c r="G5831" i="5"/>
  <c r="G6404" i="5"/>
  <c r="F390" i="6"/>
  <c r="G4209" i="5"/>
  <c r="H6852" i="5"/>
  <c r="E2923" i="8" s="1"/>
  <c r="G385" i="5"/>
  <c r="G6796" i="5"/>
  <c r="G6155" i="5"/>
  <c r="G4076" i="5"/>
  <c r="G5767" i="5"/>
  <c r="H138" i="5"/>
  <c r="H1531" i="5"/>
  <c r="E252" i="8" s="1"/>
  <c r="G760" i="5"/>
  <c r="H7905" i="5"/>
  <c r="E3383" i="8" s="1"/>
  <c r="G6267" i="5"/>
  <c r="H6504" i="5"/>
  <c r="E2725" i="8" s="1"/>
  <c r="G4336" i="5"/>
  <c r="G330" i="5"/>
  <c r="G917" i="5"/>
  <c r="G7088" i="5"/>
  <c r="G4524" i="5"/>
  <c r="G370" i="5"/>
  <c r="G397" i="5"/>
  <c r="G6856" i="5"/>
  <c r="F522" i="6"/>
  <c r="G4559" i="5"/>
  <c r="H6063" i="5"/>
  <c r="E2088" i="8" s="1"/>
  <c r="G4308" i="5"/>
  <c r="G1062" i="5"/>
  <c r="G2093" i="5"/>
  <c r="G388" i="5"/>
  <c r="F211" i="6"/>
  <c r="G7797" i="5"/>
  <c r="G4490" i="5"/>
  <c r="H7154" i="5"/>
  <c r="G6245" i="5"/>
  <c r="G7092" i="5"/>
  <c r="G7801" i="5"/>
  <c r="G7518" i="5"/>
  <c r="H227" i="5"/>
  <c r="H3535" i="5"/>
  <c r="F45" i="6"/>
  <c r="F148" i="6"/>
  <c r="G1262" i="5"/>
  <c r="F100" i="6"/>
  <c r="F160" i="6"/>
  <c r="H534" i="5"/>
  <c r="E108" i="8" s="1"/>
  <c r="G1645" i="5"/>
  <c r="H6123" i="5"/>
  <c r="E2333" i="8" s="1"/>
  <c r="G7613" i="5"/>
  <c r="G5281" i="5"/>
  <c r="G2761" i="5"/>
  <c r="H45" i="5"/>
  <c r="E14" i="8" s="1"/>
  <c r="F464" i="6"/>
  <c r="F220" i="6"/>
  <c r="G7020" i="5"/>
  <c r="G6888" i="5"/>
  <c r="H859" i="5"/>
  <c r="E159" i="8" s="1"/>
  <c r="F200" i="6"/>
  <c r="G384" i="5"/>
  <c r="F232" i="6"/>
  <c r="G7641" i="5"/>
  <c r="G3210" i="5"/>
  <c r="G4681" i="5"/>
  <c r="G114" i="5"/>
  <c r="G74" i="5"/>
  <c r="G6512" i="5"/>
  <c r="F587" i="6"/>
  <c r="G2649" i="5"/>
  <c r="H8145" i="5"/>
  <c r="E3460" i="8" s="1"/>
  <c r="F140" i="6"/>
  <c r="F87" i="7"/>
  <c r="G5647" i="5"/>
  <c r="G5260" i="5"/>
  <c r="G500" i="5"/>
  <c r="G6968" i="5"/>
  <c r="H6588" i="5"/>
  <c r="E2816" i="8" s="1"/>
  <c r="H5895" i="5"/>
  <c r="E1876" i="8" s="1"/>
  <c r="G2397" i="5"/>
  <c r="G247" i="5"/>
  <c r="F127" i="7"/>
  <c r="G126" i="7" s="1"/>
  <c r="G2721" i="5"/>
  <c r="F605" i="6"/>
  <c r="G4734" i="5"/>
  <c r="G6043" i="5"/>
  <c r="G3489" i="5"/>
  <c r="G376" i="5"/>
  <c r="H2549" i="5"/>
  <c r="G6800" i="5"/>
  <c r="F42" i="7"/>
  <c r="H2195" i="5"/>
  <c r="G5819" i="5"/>
  <c r="G2621" i="5"/>
  <c r="H4382" i="5"/>
  <c r="G6302" i="5"/>
  <c r="G7985" i="5"/>
  <c r="F43" i="6"/>
  <c r="G7885" i="5"/>
  <c r="G5983" i="5"/>
  <c r="G618" i="5"/>
  <c r="H3931" i="5"/>
  <c r="E1073" i="8" s="1"/>
  <c r="H2521" i="5"/>
  <c r="G7749" i="5"/>
  <c r="G7789" i="5"/>
  <c r="G3234" i="5"/>
  <c r="G4292" i="5"/>
  <c r="F448" i="6"/>
  <c r="H4104" i="5"/>
  <c r="G7809" i="5"/>
  <c r="G1385" i="5"/>
  <c r="G6095" i="5"/>
  <c r="F170" i="6"/>
  <c r="G694" i="5"/>
  <c r="F307" i="6"/>
  <c r="G7733" i="5"/>
  <c r="H1895" i="5"/>
  <c r="G4588" i="5"/>
  <c r="G4008" i="5"/>
  <c r="G3371" i="5"/>
  <c r="H3818" i="5"/>
  <c r="G3925" i="5"/>
  <c r="G4320" i="5"/>
  <c r="H7298" i="5"/>
  <c r="E3230" i="8" s="1"/>
  <c r="G7933" i="5"/>
  <c r="H157" i="5"/>
  <c r="E37" i="8" s="1"/>
  <c r="F10" i="6"/>
  <c r="G2553" i="5"/>
  <c r="H6354" i="5"/>
  <c r="E2618" i="8" s="1"/>
  <c r="G7325" i="5"/>
  <c r="G911" i="5"/>
  <c r="H2824" i="5"/>
  <c r="G7729" i="5"/>
  <c r="G3671" i="5"/>
  <c r="G6319" i="5"/>
  <c r="G4006" i="5"/>
  <c r="G680" i="5"/>
  <c r="G6516" i="5"/>
  <c r="H7353" i="5"/>
  <c r="G1101" i="5"/>
  <c r="G6928" i="5"/>
  <c r="G3627" i="5"/>
  <c r="G5472" i="5"/>
  <c r="G7693" i="5"/>
  <c r="G5959" i="5"/>
  <c r="F466" i="6"/>
  <c r="F133" i="7"/>
  <c r="G5282" i="5"/>
  <c r="F147" i="6"/>
  <c r="G5799" i="5"/>
  <c r="G4977" i="5"/>
  <c r="G7549" i="5"/>
  <c r="G3824" i="5"/>
  <c r="G5306" i="5"/>
  <c r="G5827" i="5"/>
  <c r="G6860" i="5"/>
  <c r="G4269" i="5"/>
  <c r="G7208" i="5"/>
  <c r="F65" i="7"/>
  <c r="H5735" i="5"/>
  <c r="E1816" i="8" s="1"/>
  <c r="F628" i="6"/>
  <c r="H4995" i="5"/>
  <c r="E1274" i="8" s="1"/>
  <c r="G7673" i="5"/>
  <c r="G5105" i="5"/>
  <c r="G55" i="5"/>
  <c r="H6015" i="5"/>
  <c r="E1922" i="8" s="1"/>
  <c r="F478" i="6"/>
  <c r="G4656" i="5"/>
  <c r="G6772" i="5"/>
  <c r="G7104" i="5"/>
  <c r="H4829" i="5"/>
  <c r="G4241" i="5"/>
  <c r="G8177" i="5"/>
  <c r="H418" i="5"/>
  <c r="E93" i="8" s="1"/>
  <c r="G6768" i="5"/>
  <c r="H2557" i="5"/>
  <c r="G1586" i="5"/>
  <c r="G7709" i="5"/>
  <c r="G3992" i="5"/>
  <c r="F206" i="6"/>
  <c r="H152" i="5"/>
  <c r="E36" i="8" s="1"/>
  <c r="G7553" i="5"/>
  <c r="G7961" i="5"/>
  <c r="G6304" i="5"/>
  <c r="G5779" i="5"/>
  <c r="G2274" i="5"/>
  <c r="G7136" i="5"/>
  <c r="G7637" i="5"/>
  <c r="G2569" i="5"/>
  <c r="G4281" i="5"/>
  <c r="G4116" i="5"/>
  <c r="G4032" i="5"/>
  <c r="G919" i="5"/>
  <c r="G1220" i="5"/>
  <c r="H6896" i="5"/>
  <c r="E2937" i="8" s="1"/>
  <c r="G761" i="5"/>
  <c r="H186" i="5"/>
  <c r="E43" i="8" s="1"/>
  <c r="H3782" i="5"/>
  <c r="G1256" i="5"/>
  <c r="H3324" i="5"/>
  <c r="H8191" i="5"/>
  <c r="E3480" i="8" s="1"/>
  <c r="G6648" i="5"/>
  <c r="G8029" i="5"/>
  <c r="H2481" i="5"/>
  <c r="G3909" i="5"/>
  <c r="F482" i="6"/>
  <c r="F102" i="7"/>
  <c r="G7455" i="5"/>
  <c r="F517" i="6"/>
  <c r="G4754" i="5"/>
  <c r="F350" i="6"/>
  <c r="G5755" i="5"/>
  <c r="G4420" i="5"/>
  <c r="G3670" i="5"/>
  <c r="G2029" i="5"/>
  <c r="G691" i="5"/>
  <c r="G7649" i="5"/>
  <c r="F529" i="6"/>
  <c r="H5001" i="5"/>
  <c r="G3679" i="5"/>
  <c r="G4310" i="5"/>
  <c r="H5511" i="5"/>
  <c r="E1410" i="8" s="1"/>
  <c r="H1135" i="5"/>
  <c r="E201" i="8" s="1"/>
  <c r="G7278" i="5"/>
  <c r="G2234" i="5"/>
  <c r="G6876" i="5"/>
  <c r="G7557" i="5"/>
  <c r="G4225" i="5"/>
  <c r="G387" i="5"/>
  <c r="G7829" i="5"/>
  <c r="G7080" i="5"/>
  <c r="F319" i="6"/>
  <c r="H8073" i="5"/>
  <c r="E3426" i="8" s="1"/>
  <c r="G2778" i="5"/>
  <c r="G3917" i="5"/>
  <c r="F589" i="6"/>
  <c r="F21" i="7"/>
  <c r="G2405" i="5"/>
  <c r="G5835" i="5"/>
  <c r="G977" i="5"/>
  <c r="H830" i="5"/>
  <c r="G8093" i="5"/>
  <c r="G4306" i="5"/>
  <c r="G5967" i="5"/>
  <c r="G5691" i="5"/>
  <c r="G5412" i="5"/>
  <c r="G7777" i="5"/>
  <c r="G4750" i="5"/>
  <c r="H5505" i="5"/>
  <c r="E1409" i="8" s="1"/>
  <c r="G1031" i="5"/>
  <c r="H7236" i="5"/>
  <c r="E3137" i="8" s="1"/>
  <c r="G3209" i="5"/>
  <c r="G751" i="5"/>
  <c r="G6596" i="5"/>
  <c r="H3800" i="5"/>
  <c r="G2224" i="5"/>
  <c r="G4183" i="5"/>
  <c r="G1313" i="5"/>
  <c r="G2330" i="5"/>
  <c r="G8117" i="5"/>
  <c r="G6984" i="5"/>
  <c r="H3794" i="5"/>
  <c r="H2898" i="5"/>
  <c r="G2501" i="5"/>
  <c r="G5843" i="5"/>
  <c r="G7901" i="5"/>
  <c r="G4302" i="5"/>
  <c r="G8141" i="5"/>
  <c r="F101" i="7"/>
  <c r="G8213" i="5"/>
  <c r="H769" i="5"/>
  <c r="E146" i="8" s="1"/>
  <c r="G2737" i="5"/>
  <c r="G7000" i="5"/>
  <c r="F480" i="6"/>
  <c r="F481" i="6"/>
  <c r="G3083" i="5"/>
  <c r="G925" i="5"/>
  <c r="G7076" i="5"/>
  <c r="H3303" i="5"/>
  <c r="G5659" i="5"/>
  <c r="H6188" i="5"/>
  <c r="F22" i="7"/>
  <c r="G956" i="5"/>
  <c r="H3199" i="5"/>
  <c r="G763" i="5"/>
  <c r="H6572" i="5"/>
  <c r="E2812" i="8" s="1"/>
  <c r="G7653" i="5"/>
  <c r="G4005" i="5"/>
  <c r="G6936" i="5"/>
  <c r="H7893" i="5"/>
  <c r="E3380" i="8" s="1"/>
  <c r="F627" i="6"/>
  <c r="G5943" i="5"/>
  <c r="H2773" i="5"/>
  <c r="G6752" i="5"/>
  <c r="G6760" i="5"/>
  <c r="F234" i="6"/>
  <c r="H5747" i="5"/>
  <c r="E1819" i="8" s="1"/>
  <c r="F221" i="6"/>
  <c r="F484" i="6"/>
  <c r="G6616" i="5"/>
  <c r="G5947" i="5"/>
  <c r="G844" i="5"/>
  <c r="G4720" i="5"/>
  <c r="G1917" i="5"/>
  <c r="F433" i="6"/>
  <c r="H1513" i="5"/>
  <c r="E249" i="8" s="1"/>
  <c r="G8149" i="5"/>
  <c r="G4304" i="5"/>
  <c r="G3658" i="5"/>
  <c r="H4400" i="5"/>
  <c r="G3762" i="5"/>
  <c r="H142" i="5"/>
  <c r="E34" i="8" s="1"/>
  <c r="G7813" i="5"/>
  <c r="G640" i="5"/>
  <c r="G6740" i="5"/>
  <c r="G5695" i="5"/>
  <c r="G6996" i="5"/>
  <c r="G2741" i="5"/>
  <c r="G7004" i="5"/>
  <c r="G7701" i="5"/>
  <c r="G5687" i="5"/>
  <c r="G8157" i="5"/>
  <c r="G3770" i="5"/>
  <c r="G6920" i="5"/>
  <c r="F43" i="7"/>
  <c r="F451" i="6"/>
  <c r="G988" i="5"/>
  <c r="G6952" i="5"/>
  <c r="F199" i="6"/>
  <c r="G5791" i="5"/>
  <c r="H129" i="5"/>
  <c r="F616" i="6"/>
  <c r="G7969" i="5"/>
  <c r="H4845" i="5"/>
  <c r="H3289" i="5"/>
  <c r="F523" i="6"/>
  <c r="F320" i="6"/>
  <c r="G7514" i="5"/>
  <c r="G3413" i="5"/>
  <c r="G1639" i="5"/>
  <c r="G7861" i="5"/>
  <c r="F388" i="6"/>
  <c r="G7705" i="5"/>
  <c r="G5771" i="5"/>
  <c r="G346" i="5"/>
  <c r="G4649" i="5"/>
  <c r="F387" i="6"/>
  <c r="G8053" i="5"/>
  <c r="G7785" i="5"/>
  <c r="G2135" i="5"/>
  <c r="H6716" i="5"/>
  <c r="E2876" i="8" s="1"/>
  <c r="H2477" i="5"/>
  <c r="G7697" i="5"/>
  <c r="G2733" i="5"/>
  <c r="H4671" i="5"/>
  <c r="H2794" i="5"/>
  <c r="G986" i="5"/>
  <c r="G1164" i="5"/>
  <c r="H2437" i="5"/>
  <c r="E473" i="8" s="1"/>
  <c r="G261" i="5"/>
  <c r="G4305" i="5"/>
  <c r="G4145" i="5"/>
  <c r="H865" i="5"/>
  <c r="H6430" i="5"/>
  <c r="E2695" i="8" s="1"/>
  <c r="G257" i="5"/>
  <c r="F116" i="7"/>
  <c r="H2449" i="5"/>
  <c r="E477" i="8" s="1"/>
  <c r="H3296" i="5"/>
  <c r="F88" i="7"/>
  <c r="H3439" i="5"/>
  <c r="H2669" i="5"/>
  <c r="G4952" i="5"/>
  <c r="G389" i="5"/>
  <c r="G20" i="5"/>
  <c r="H6435" i="5"/>
  <c r="F100" i="7"/>
  <c r="G7721" i="5"/>
  <c r="H3599" i="5"/>
  <c r="H7036" i="5"/>
  <c r="E3026" i="8" s="1"/>
  <c r="G6944" i="5"/>
  <c r="G7516" i="5"/>
  <c r="G7929" i="5"/>
  <c r="G7853" i="5"/>
  <c r="G3344" i="5"/>
  <c r="G1753" i="5"/>
  <c r="H3737" i="5"/>
  <c r="H2342" i="5"/>
  <c r="E377" i="8" s="1"/>
  <c r="F389" i="6"/>
  <c r="F193" i="6"/>
  <c r="G193" i="6" s="1"/>
  <c r="F162" i="6"/>
  <c r="G5683" i="5"/>
  <c r="G5763" i="5"/>
  <c r="G345" i="5"/>
  <c r="H6452" i="5"/>
  <c r="E2707" i="8" s="1"/>
  <c r="H6119" i="5"/>
  <c r="E2315" i="8" s="1"/>
  <c r="G7645" i="5"/>
  <c r="F9" i="7"/>
  <c r="G6115" i="5"/>
  <c r="G4585" i="5"/>
  <c r="H178" i="5"/>
  <c r="F636" i="6"/>
  <c r="G3641" i="5"/>
  <c r="G6756" i="5"/>
  <c r="H7012" i="5"/>
  <c r="E3018" i="8" s="1"/>
  <c r="G4291" i="5"/>
  <c r="H8069" i="5"/>
  <c r="E3424" i="8" s="1"/>
  <c r="G7745" i="5"/>
  <c r="G1413" i="5"/>
  <c r="G7385" i="5"/>
  <c r="H6548" i="5"/>
  <c r="E2753" i="8" s="1"/>
  <c r="H7184" i="5"/>
  <c r="G2753" i="5"/>
  <c r="F409" i="6"/>
  <c r="H5887" i="5"/>
  <c r="E1873" i="8" s="1"/>
  <c r="G6904" i="5"/>
  <c r="H2711" i="5"/>
  <c r="G2429" i="5"/>
  <c r="G3910" i="5"/>
  <c r="H6447" i="5"/>
  <c r="E2706" i="8" s="1"/>
  <c r="G57" i="5"/>
  <c r="G1728" i="5"/>
  <c r="H5065" i="5"/>
  <c r="H2505" i="5"/>
  <c r="G3758" i="5"/>
  <c r="G6748" i="5"/>
  <c r="G2374" i="5"/>
  <c r="F479" i="6"/>
  <c r="G368" i="5"/>
  <c r="G6744" i="5"/>
  <c r="G4307" i="5"/>
  <c r="H6395" i="5"/>
  <c r="E2623" i="8" s="1"/>
  <c r="G7685" i="5"/>
  <c r="G6320" i="5"/>
  <c r="H1912" i="5"/>
  <c r="G2085" i="5"/>
  <c r="G5453" i="5"/>
  <c r="G6388" i="5"/>
  <c r="F103" i="7"/>
  <c r="G6912" i="5"/>
  <c r="F306" i="6"/>
  <c r="F46" i="6"/>
  <c r="G7873" i="5"/>
  <c r="G7753" i="5"/>
  <c r="H4766" i="5"/>
  <c r="E1231" i="8" s="1"/>
  <c r="G4247" i="5"/>
  <c r="H6345" i="5"/>
  <c r="E2617" i="8" s="1"/>
  <c r="H793" i="5"/>
  <c r="E149" i="8" s="1"/>
  <c r="G6736" i="5"/>
  <c r="G5097" i="5"/>
  <c r="F201" i="6"/>
  <c r="H2525" i="5"/>
  <c r="H3395" i="5"/>
  <c r="H90" i="5"/>
  <c r="G7741" i="5"/>
  <c r="G2002" i="5"/>
  <c r="G6612" i="5"/>
  <c r="F446" i="6"/>
  <c r="G3228" i="5"/>
  <c r="G56" i="5"/>
  <c r="G3859" i="5"/>
  <c r="H6412" i="5"/>
  <c r="H3937" i="5"/>
  <c r="E1074" i="8" s="1"/>
  <c r="H3420" i="5"/>
  <c r="G683" i="5"/>
  <c r="H7889" i="5"/>
  <c r="E3379" i="8" s="1"/>
  <c r="G3664" i="5"/>
  <c r="G3916" i="5"/>
  <c r="G295" i="5"/>
  <c r="H6956" i="5"/>
  <c r="E2991" i="8" s="1"/>
  <c r="G5663" i="5"/>
  <c r="H2625" i="5"/>
  <c r="G4337" i="5"/>
  <c r="G1988" i="5"/>
  <c r="F557" i="6"/>
  <c r="F588" i="6"/>
  <c r="H2561" i="5"/>
  <c r="H906" i="5"/>
  <c r="G6724" i="5"/>
  <c r="G6880" i="5"/>
  <c r="H1519" i="5"/>
  <c r="E250" i="8" s="1"/>
  <c r="G7661" i="5"/>
  <c r="G5915" i="5"/>
  <c r="G2413" i="5"/>
  <c r="G255" i="5"/>
  <c r="H5234" i="5"/>
  <c r="E1333" i="8" s="1"/>
  <c r="G2629" i="5"/>
  <c r="G7849" i="5"/>
  <c r="G3343" i="5"/>
  <c r="H4392" i="5"/>
  <c r="G822" i="5"/>
  <c r="H3056" i="5"/>
  <c r="F24" i="6"/>
  <c r="G7817" i="5"/>
  <c r="G4023" i="5"/>
  <c r="G7869" i="5"/>
  <c r="G6079" i="5"/>
  <c r="H6283" i="5"/>
  <c r="E2612" i="8" s="1"/>
  <c r="G855" i="5"/>
  <c r="G258" i="5"/>
  <c r="G4217" i="5"/>
  <c r="G3240" i="5"/>
  <c r="H5008" i="5"/>
  <c r="G6924" i="5"/>
  <c r="G764" i="5"/>
  <c r="G4268" i="5"/>
  <c r="H7462" i="5"/>
  <c r="E3267" i="8" s="1"/>
  <c r="F279" i="6"/>
  <c r="F547" i="6"/>
  <c r="G7429" i="5"/>
  <c r="G2790" i="5"/>
  <c r="F351" i="6"/>
  <c r="F637" i="6"/>
  <c r="G4311" i="5"/>
  <c r="G5951" i="5"/>
  <c r="G2294" i="5"/>
  <c r="G2417" i="5"/>
  <c r="G8097" i="5"/>
  <c r="G5091" i="5"/>
  <c r="G5775" i="5"/>
  <c r="F297" i="6"/>
  <c r="G6500" i="5"/>
  <c r="G5907" i="5"/>
  <c r="G2254" i="5"/>
  <c r="G8065" i="5"/>
  <c r="H6027" i="5"/>
  <c r="E1926" i="8" s="1"/>
  <c r="H5919" i="5"/>
  <c r="E1886" i="8" s="1"/>
  <c r="F248" i="6"/>
  <c r="F638" i="6"/>
  <c r="G5931" i="5"/>
  <c r="G5999" i="5"/>
  <c r="H2645" i="5"/>
  <c r="E588" i="8" s="1"/>
  <c r="H5891" i="5"/>
  <c r="E1874" i="8" s="1"/>
  <c r="G1029" i="5"/>
  <c r="G360" i="5"/>
  <c r="G7989" i="5"/>
  <c r="G3961" i="5"/>
  <c r="G5210" i="5"/>
  <c r="G4350" i="5"/>
  <c r="G8081" i="5"/>
  <c r="H5927" i="5"/>
  <c r="E1888" i="8" s="1"/>
  <c r="H5043" i="5"/>
  <c r="E1286" i="8" s="1"/>
  <c r="G296" i="5"/>
  <c r="G6660" i="5"/>
  <c r="G8005" i="5"/>
  <c r="F579" i="6"/>
  <c r="G5955" i="5"/>
  <c r="G7793" i="5"/>
  <c r="G8109" i="5"/>
  <c r="G667" i="5"/>
  <c r="H7028" i="5"/>
  <c r="E3024" i="8" s="1"/>
  <c r="G8113" i="5"/>
  <c r="G5418" i="5"/>
  <c r="H3317" i="5"/>
  <c r="G4286" i="5"/>
  <c r="F626" i="6"/>
  <c r="G7172" i="5"/>
  <c r="G5671" i="5"/>
  <c r="H4796" i="5"/>
  <c r="E1241" i="8" s="1"/>
  <c r="G758" i="5"/>
  <c r="G6836" i="5"/>
  <c r="G8161" i="5"/>
  <c r="G1403" i="5"/>
  <c r="F19" i="6"/>
  <c r="F78" i="7"/>
  <c r="H1806" i="5"/>
  <c r="H7196" i="5"/>
  <c r="H6230" i="5"/>
  <c r="G5715" i="5"/>
  <c r="H2963" i="5"/>
  <c r="G8013" i="5"/>
  <c r="G7913" i="5"/>
  <c r="H4853" i="5"/>
  <c r="H2922" i="5"/>
  <c r="H7132" i="5"/>
  <c r="E3050" i="8" s="1"/>
  <c r="H1537" i="5"/>
  <c r="E253" i="8" s="1"/>
  <c r="H2893" i="5"/>
  <c r="G5345" i="5"/>
  <c r="H4470" i="5"/>
  <c r="G2129" i="5"/>
  <c r="H7148" i="5"/>
  <c r="G5795" i="5"/>
  <c r="G6107" i="5"/>
  <c r="H6193" i="5"/>
  <c r="G8121" i="5"/>
  <c r="G1210" i="5"/>
  <c r="G8105" i="5"/>
  <c r="H124" i="5"/>
  <c r="G2171" i="5"/>
  <c r="H3607" i="5"/>
  <c r="G2725" i="5"/>
  <c r="F260" i="6"/>
  <c r="H5613" i="5"/>
  <c r="E1427" i="8" s="1"/>
  <c r="H6820" i="5"/>
  <c r="E2905" i="8" s="1"/>
  <c r="G7909" i="5"/>
  <c r="F567" i="6"/>
  <c r="F304" i="6"/>
  <c r="G375" i="5"/>
  <c r="G663" i="5"/>
  <c r="G6960" i="5"/>
  <c r="F15" i="7"/>
  <c r="G3215" i="5"/>
  <c r="G3406" i="5"/>
  <c r="H3310" i="5"/>
  <c r="G542" i="5"/>
  <c r="G4316" i="5"/>
  <c r="F272" i="6"/>
  <c r="G2757" i="5"/>
  <c r="H6075" i="5"/>
  <c r="E2096" i="8" s="1"/>
  <c r="G449" i="5"/>
  <c r="G4558" i="5"/>
  <c r="H5565" i="5"/>
  <c r="E1419" i="8" s="1"/>
  <c r="G4137" i="5"/>
  <c r="G7917" i="5"/>
  <c r="G7629" i="5"/>
  <c r="G2311" i="5"/>
  <c r="H5571" i="5"/>
  <c r="E1420" i="8" s="1"/>
  <c r="G6059" i="5"/>
  <c r="G8037" i="5"/>
  <c r="G6135" i="5"/>
  <c r="F35" i="6"/>
  <c r="G8173" i="5"/>
  <c r="H3812" i="5"/>
  <c r="G299" i="5"/>
  <c r="F635" i="6"/>
  <c r="H655" i="5"/>
  <c r="G333" i="5"/>
  <c r="G7286" i="5"/>
  <c r="G6672" i="5"/>
  <c r="G5655" i="5"/>
  <c r="G5037" i="5"/>
  <c r="G7052" i="5"/>
  <c r="G7689" i="5"/>
  <c r="G6359" i="5"/>
  <c r="G2117" i="5"/>
  <c r="G5979" i="5"/>
  <c r="G1616" i="5"/>
  <c r="G1077" i="5"/>
  <c r="H286" i="5"/>
  <c r="E81" i="8" s="1"/>
  <c r="F184" i="6"/>
  <c r="F73" i="6"/>
  <c r="G6091" i="5"/>
  <c r="G6264" i="5"/>
  <c r="H6011" i="5"/>
  <c r="E1921" i="8" s="1"/>
  <c r="H7441" i="5"/>
  <c r="E3264" i="8" s="1"/>
  <c r="G3613" i="5"/>
  <c r="G7897" i="5"/>
  <c r="G25" i="5"/>
  <c r="G1995" i="5"/>
  <c r="G508" i="5"/>
  <c r="G8129" i="5"/>
  <c r="F305" i="6"/>
  <c r="G6131" i="5"/>
  <c r="H5559" i="5"/>
  <c r="E1418" i="8" s="1"/>
  <c r="F396" i="6"/>
  <c r="F53" i="6"/>
  <c r="G3873" i="5"/>
  <c r="H6688" i="5"/>
  <c r="E2869" i="8" s="1"/>
  <c r="H5027" i="5"/>
  <c r="G390" i="5"/>
  <c r="G3626" i="5"/>
  <c r="F541" i="6"/>
  <c r="G391" i="5"/>
  <c r="G6972" i="5"/>
  <c r="G8165" i="5"/>
  <c r="G217" i="5"/>
  <c r="F410" i="6"/>
  <c r="F622" i="6"/>
  <c r="F604" i="6"/>
  <c r="G357" i="5"/>
  <c r="G4058" i="5"/>
  <c r="G8021" i="5"/>
  <c r="F495" i="6"/>
  <c r="H134" i="5"/>
  <c r="H7314" i="5"/>
  <c r="E3237" i="8" s="1"/>
  <c r="F496" i="6"/>
  <c r="G6532" i="5"/>
  <c r="G7993" i="5"/>
  <c r="H3064" i="5"/>
  <c r="G4049" i="5"/>
  <c r="G6964" i="5"/>
  <c r="G7056" i="5"/>
  <c r="G3907" i="5"/>
  <c r="G6440" i="5"/>
  <c r="H3043" i="5"/>
  <c r="G6039" i="5"/>
  <c r="H7178" i="5"/>
  <c r="G3892" i="5"/>
  <c r="H3158" i="5"/>
  <c r="G7773" i="5"/>
  <c r="H5731" i="5"/>
  <c r="E1815" i="8" s="1"/>
  <c r="F318" i="6"/>
  <c r="G3430" i="5"/>
  <c r="G6704" i="5"/>
  <c r="G7048" i="5"/>
  <c r="G3858" i="5"/>
  <c r="G40" i="5"/>
  <c r="G7112" i="5"/>
  <c r="G6624" i="5"/>
  <c r="G4303" i="5"/>
  <c r="G5495" i="5"/>
  <c r="G7100" i="5"/>
  <c r="G6592" i="5"/>
  <c r="G5207" i="5"/>
  <c r="G4287" i="5"/>
  <c r="G7064" i="5"/>
  <c r="F462" i="6"/>
  <c r="G7757" i="5"/>
  <c r="H3594" i="5"/>
  <c r="G620" i="5"/>
  <c r="F115" i="7"/>
  <c r="G3911" i="5"/>
  <c r="H204" i="5"/>
  <c r="H4837" i="5"/>
  <c r="G6255" i="5"/>
  <c r="G5939" i="5"/>
  <c r="G950" i="5"/>
  <c r="G109" i="5"/>
  <c r="H6552" i="5"/>
  <c r="E2757" i="8" s="1"/>
  <c r="H5711" i="5"/>
  <c r="E1607" i="8" s="1"/>
  <c r="G5859" i="5"/>
  <c r="G7124" i="5"/>
  <c r="F52" i="7"/>
  <c r="H4179" i="5"/>
  <c r="E1118" i="8" s="1"/>
  <c r="F54" i="6"/>
  <c r="H4877" i="5"/>
  <c r="H3275" i="5"/>
  <c r="G7343" i="5"/>
  <c r="G5402" i="5"/>
  <c r="G5867" i="5"/>
  <c r="H222" i="5"/>
  <c r="E50" i="8" s="1"/>
  <c r="G4085" i="5"/>
  <c r="G6784" i="5"/>
  <c r="G7096" i="5"/>
  <c r="H3776" i="5"/>
  <c r="G246" i="5"/>
  <c r="G4582" i="5"/>
  <c r="G6556" i="5"/>
  <c r="G6680" i="5"/>
  <c r="H3204" i="5"/>
  <c r="E924" i="8" s="1"/>
  <c r="G5899" i="5"/>
  <c r="G3387" i="5"/>
  <c r="G297" i="5"/>
  <c r="G477" i="5"/>
  <c r="G2077" i="5"/>
  <c r="G759" i="5"/>
  <c r="F371" i="6"/>
  <c r="G918" i="5"/>
  <c r="G3752" i="5"/>
  <c r="H467" i="5"/>
  <c r="E99" i="8" s="1"/>
  <c r="F198" i="6"/>
  <c r="G4040" i="5"/>
  <c r="G7977" i="5"/>
  <c r="F331" i="6"/>
  <c r="F161" i="6"/>
  <c r="H3134" i="5"/>
  <c r="E913" i="8" s="1"/>
  <c r="G6360" i="5"/>
  <c r="G1587" i="5"/>
  <c r="G7665" i="5"/>
  <c r="H5583" i="5"/>
  <c r="E1422" i="8" s="1"/>
  <c r="H7190" i="5"/>
  <c r="G7925" i="5"/>
  <c r="G7833" i="5"/>
  <c r="G1093" i="5"/>
  <c r="F617" i="6"/>
  <c r="F250" i="6"/>
  <c r="H2485" i="5"/>
  <c r="G2617" i="5"/>
  <c r="G5031" i="5"/>
  <c r="F14" i="7"/>
  <c r="G4410" i="5"/>
  <c r="G67" i="5"/>
  <c r="G5667" i="5"/>
  <c r="H6812" i="5"/>
  <c r="E2902" i="8" s="1"/>
  <c r="F77" i="7"/>
  <c r="F483" i="6"/>
  <c r="H4972" i="5"/>
  <c r="G2240" i="5"/>
  <c r="H3391" i="5"/>
  <c r="G3084" i="5"/>
  <c r="H8085" i="5"/>
  <c r="E3433" i="8" s="1"/>
  <c r="H6720" i="5"/>
  <c r="E2877" i="8" s="1"/>
  <c r="H7266" i="5"/>
  <c r="E3212" i="8" s="1"/>
  <c r="H6804" i="5"/>
  <c r="E2900" i="8" s="1"/>
  <c r="G7681" i="5"/>
  <c r="H6832" i="5"/>
  <c r="E2908" i="8" s="1"/>
  <c r="H733" i="5"/>
  <c r="E135" i="8" s="1"/>
  <c r="G4290" i="5"/>
  <c r="G817" i="5"/>
  <c r="G7677" i="5"/>
  <c r="F210" i="6"/>
  <c r="G210" i="6" s="1"/>
  <c r="H2799" i="5"/>
  <c r="H147" i="5"/>
  <c r="G5098" i="5"/>
  <c r="G8" i="5"/>
  <c r="G5280" i="5"/>
  <c r="G5336" i="5"/>
  <c r="H1525" i="5"/>
  <c r="E251" i="8" s="1"/>
  <c r="H6417" i="5"/>
  <c r="H5619" i="5"/>
  <c r="E1493" i="8" s="1"/>
  <c r="G8033" i="5"/>
  <c r="H7805" i="5"/>
  <c r="E3358" i="8" s="1"/>
  <c r="F28" i="7"/>
  <c r="G6664" i="5"/>
  <c r="F36" i="6"/>
  <c r="G2453" i="5"/>
  <c r="G1360" i="5"/>
  <c r="H2493" i="5"/>
  <c r="G5523" i="5"/>
  <c r="G7921" i="5"/>
  <c r="H4496" i="5"/>
  <c r="H6071" i="5"/>
  <c r="G324" i="5"/>
  <c r="G1124" i="5"/>
  <c r="H5911" i="5"/>
  <c r="E1884" i="8" s="1"/>
  <c r="G6908" i="5"/>
  <c r="G332" i="5"/>
  <c r="G4951" i="5"/>
  <c r="G4606" i="5"/>
  <c r="G5783" i="5"/>
  <c r="G6708" i="5"/>
  <c r="H2930" i="5"/>
  <c r="G541" i="5"/>
  <c r="G5803" i="5"/>
  <c r="G2804" i="5"/>
  <c r="F497" i="6"/>
  <c r="G7008" i="5"/>
  <c r="H7404" i="5"/>
  <c r="E3258" i="8" s="1"/>
  <c r="G4313" i="5"/>
  <c r="G386" i="5"/>
  <c r="H5743" i="5"/>
  <c r="E1818" i="8" s="1"/>
  <c r="H4623" i="5"/>
  <c r="G2663" i="5"/>
  <c r="H1757" i="5"/>
  <c r="E284" i="8" s="1"/>
  <c r="G4067" i="5"/>
  <c r="H7262" i="5"/>
  <c r="E3211" i="8" s="1"/>
  <c r="G6780" i="5"/>
  <c r="F117" i="7"/>
  <c r="G6700" i="5"/>
  <c r="H2973" i="5"/>
  <c r="H95" i="5"/>
  <c r="G3888" i="5"/>
  <c r="H404" i="5"/>
  <c r="E92" i="8" s="1"/>
  <c r="G5404" i="5"/>
  <c r="F333" i="6"/>
  <c r="G1558" i="5"/>
  <c r="G1338" i="5"/>
  <c r="G739" i="5"/>
  <c r="G2021" i="5"/>
  <c r="G5248" i="5"/>
  <c r="F380" i="6"/>
  <c r="H7202" i="5"/>
  <c r="G6051" i="5"/>
  <c r="H2597" i="5"/>
  <c r="E576" i="8" s="1"/>
  <c r="G682" i="5"/>
  <c r="G5535" i="5"/>
  <c r="H6035" i="5"/>
  <c r="E1930" i="8" s="1"/>
  <c r="G2009" i="5"/>
  <c r="H4110" i="5"/>
  <c r="G6628" i="5"/>
  <c r="G6584" i="5"/>
  <c r="G300" i="5"/>
  <c r="H7841" i="5"/>
  <c r="E3367" i="8" s="1"/>
  <c r="G7577" i="5"/>
  <c r="F86" i="7"/>
  <c r="G6864" i="5"/>
  <c r="H7416" i="5"/>
  <c r="E3260" i="8" s="1"/>
  <c r="F349" i="6"/>
  <c r="G2267" i="5"/>
  <c r="G2257" i="5"/>
  <c r="G2297" i="5"/>
  <c r="G2241" i="5"/>
  <c r="G2277" i="5"/>
  <c r="G2287" i="5"/>
  <c r="G5115" i="5"/>
  <c r="G2365" i="5"/>
  <c r="G5079" i="5"/>
  <c r="H6007" i="5"/>
  <c r="E1920" i="8" s="1"/>
  <c r="H7435" i="5"/>
  <c r="E3263" i="8" s="1"/>
  <c r="G8201" i="5"/>
  <c r="G5635" i="5"/>
  <c r="G6462" i="5"/>
  <c r="G7220" i="5"/>
  <c r="G3378" i="5"/>
  <c r="H7422" i="5"/>
  <c r="H6031" i="5"/>
  <c r="E1928" i="8" s="1"/>
  <c r="H6425" i="5"/>
  <c r="G4318" i="5"/>
  <c r="H2425" i="5"/>
  <c r="E421" i="8" s="1"/>
  <c r="H5553" i="5"/>
  <c r="E1417" i="8" s="1"/>
  <c r="G4317" i="5"/>
  <c r="H826" i="5"/>
  <c r="E153" i="8" s="1"/>
  <c r="G8041" i="5"/>
  <c r="G5991" i="5"/>
  <c r="G6992" i="5"/>
  <c r="G7621" i="5"/>
  <c r="G4159" i="5"/>
  <c r="G699" i="5"/>
  <c r="G1039" i="5"/>
  <c r="G4263" i="5"/>
  <c r="G6728" i="5"/>
  <c r="H5883" i="5"/>
  <c r="E1872" i="8" s="1"/>
  <c r="H2509" i="5"/>
  <c r="G3081" i="5"/>
  <c r="G6948" i="5"/>
  <c r="H2958" i="5"/>
  <c r="G6696" i="5"/>
  <c r="G5651" i="5"/>
  <c r="H5739" i="5"/>
  <c r="E1817" i="8" s="1"/>
  <c r="H7166" i="5"/>
  <c r="G4632" i="5"/>
  <c r="G2235" i="5"/>
  <c r="H5547" i="5"/>
  <c r="E1416" i="8" s="1"/>
  <c r="F494" i="6"/>
  <c r="H5529" i="5"/>
  <c r="E1413" i="8" s="1"/>
  <c r="H5623" i="5"/>
  <c r="E1499" i="8" s="1"/>
  <c r="G3648" i="5"/>
  <c r="G6604" i="5"/>
  <c r="G5807" i="5"/>
  <c r="G6055" i="5"/>
  <c r="G6536" i="5"/>
  <c r="H5719" i="5"/>
  <c r="E1812" i="8" s="1"/>
  <c r="G3893" i="5"/>
  <c r="G7973" i="5"/>
  <c r="G2537" i="5"/>
  <c r="G6520" i="5"/>
  <c r="G8049" i="5"/>
  <c r="G7633" i="5"/>
  <c r="G3723" i="5"/>
  <c r="G695" i="5"/>
  <c r="G3669" i="5"/>
  <c r="G4239" i="5"/>
  <c r="F44" i="6"/>
  <c r="G6636" i="5"/>
  <c r="F233" i="6"/>
  <c r="H6291" i="5"/>
  <c r="E2613" i="8" s="1"/>
  <c r="G12" i="5"/>
  <c r="G7657" i="5"/>
  <c r="G2780" i="5"/>
  <c r="G256" i="5"/>
  <c r="F8" i="7"/>
  <c r="G4408" i="5"/>
  <c r="G6808" i="5"/>
  <c r="H2513" i="5"/>
  <c r="H807" i="5"/>
  <c r="E150" i="8" s="1"/>
  <c r="G1048" i="5"/>
  <c r="G5058" i="5"/>
  <c r="H5541" i="5"/>
  <c r="E1415" i="8" s="1"/>
  <c r="G2637" i="5"/>
  <c r="G2681" i="5"/>
  <c r="H2829" i="5"/>
  <c r="H2529" i="5"/>
  <c r="G999" i="5"/>
  <c r="G1564" i="5"/>
  <c r="G6884" i="5"/>
  <c r="H3282" i="5"/>
  <c r="F177" i="6"/>
  <c r="H6692" i="5"/>
  <c r="E2870" i="8" s="1"/>
  <c r="G4696" i="5"/>
  <c r="G4351" i="5"/>
  <c r="G5863" i="5"/>
  <c r="F29" i="7"/>
  <c r="H35" i="5"/>
  <c r="G886" i="5"/>
  <c r="G1320" i="5"/>
  <c r="G5324" i="5"/>
  <c r="G6489" i="5"/>
  <c r="H213" i="5"/>
  <c r="G457" i="5"/>
  <c r="G3688" i="5"/>
  <c r="G3668" i="5"/>
  <c r="H7508" i="5"/>
  <c r="G6378" i="5"/>
  <c r="G3890" i="5"/>
  <c r="H894" i="5"/>
  <c r="G8181" i="5"/>
  <c r="H3567" i="5"/>
  <c r="H7857" i="5"/>
  <c r="E3371" i="8" s="1"/>
  <c r="F30" i="7"/>
  <c r="G1203" i="5"/>
  <c r="G383" i="5"/>
  <c r="G7072" i="5"/>
  <c r="G1182" i="5"/>
  <c r="H2675" i="5"/>
  <c r="G4293" i="5"/>
  <c r="G6668" i="5"/>
  <c r="G4349" i="5"/>
  <c r="G5639" i="5"/>
  <c r="H1811" i="5"/>
  <c r="G5707" i="5"/>
  <c r="G2765" i="5"/>
  <c r="G3887" i="5"/>
  <c r="G878" i="5"/>
  <c r="G2729" i="5"/>
  <c r="G1347" i="5"/>
  <c r="G7881" i="5"/>
  <c r="G4989" i="5"/>
  <c r="G2541" i="5"/>
  <c r="G4342" i="5"/>
  <c r="G7258" i="5"/>
  <c r="G1404" i="5"/>
  <c r="H2179" i="5"/>
  <c r="H7290" i="5"/>
  <c r="G3866" i="5"/>
  <c r="H100" i="5"/>
  <c r="G3142" i="5"/>
  <c r="G5287" i="5"/>
  <c r="G4409" i="5"/>
  <c r="G564" i="5"/>
  <c r="G3977" i="5"/>
  <c r="H3152" i="5"/>
  <c r="G4341" i="5"/>
  <c r="G50" i="5"/>
  <c r="H200" i="5"/>
  <c r="G1276" i="5"/>
  <c r="G6127" i="5"/>
  <c r="G1069" i="5"/>
  <c r="G7669" i="5"/>
  <c r="F431" i="6"/>
  <c r="H6828" i="5"/>
  <c r="E2907" i="8" s="1"/>
  <c r="F535" i="6"/>
  <c r="F247" i="6"/>
  <c r="G3659" i="5"/>
  <c r="H2978" i="5"/>
  <c r="G7569" i="5"/>
  <c r="H2203" i="5"/>
  <c r="G4641" i="5"/>
  <c r="H3636" i="5"/>
  <c r="G8057" i="5"/>
  <c r="H2906" i="5"/>
  <c r="G6301" i="5"/>
  <c r="G5871" i="5"/>
  <c r="G2380" i="5"/>
  <c r="H5589" i="5"/>
  <c r="E1423" i="8" s="1"/>
  <c r="G2211" i="5"/>
  <c r="G1248" i="5"/>
  <c r="G7877" i="5"/>
  <c r="F528" i="6"/>
  <c r="H6496" i="5"/>
  <c r="E2722" i="8" s="1"/>
  <c r="F218" i="6"/>
  <c r="H5595" i="5"/>
  <c r="E1424" i="8" s="1"/>
  <c r="F556" i="6"/>
  <c r="F542" i="6"/>
  <c r="G2147" i="5"/>
  <c r="G7713" i="5"/>
  <c r="H3352" i="5"/>
  <c r="G2469" i="5"/>
  <c r="G5675" i="5"/>
  <c r="H1901" i="5"/>
  <c r="G3217" i="5"/>
  <c r="H2693" i="5"/>
  <c r="G962" i="5"/>
  <c r="G540" i="5"/>
  <c r="G6980" i="5"/>
  <c r="G7825" i="5"/>
  <c r="G3889" i="5"/>
  <c r="G2613" i="5"/>
  <c r="G2385" i="5"/>
  <c r="G2053" i="5"/>
  <c r="F235" i="6"/>
  <c r="G6564" i="5"/>
  <c r="G7561" i="5"/>
  <c r="G6003" i="5"/>
  <c r="G7837" i="5"/>
  <c r="G4338" i="5"/>
  <c r="G6988" i="5"/>
  <c r="G2497" i="5"/>
  <c r="G5823" i="5"/>
  <c r="G7216" i="5"/>
  <c r="H2687" i="5"/>
  <c r="G7585" i="5"/>
  <c r="G6676" i="5"/>
  <c r="F55" i="6"/>
  <c r="F344" i="6"/>
  <c r="G7565" i="5"/>
  <c r="H2983" i="5"/>
  <c r="G3216" i="5"/>
  <c r="G6712" i="5"/>
  <c r="H1685" i="5"/>
  <c r="G5759" i="5"/>
  <c r="G170" i="5"/>
  <c r="G7270" i="5"/>
  <c r="H6684" i="5"/>
  <c r="E2868" i="8" s="1"/>
  <c r="G6976" i="5"/>
  <c r="F290" i="6"/>
  <c r="G2605" i="5"/>
  <c r="G6652" i="5"/>
  <c r="G7725" i="5"/>
  <c r="G3399" i="5"/>
  <c r="G7965" i="5"/>
  <c r="G6315" i="5"/>
  <c r="F44" i="7"/>
  <c r="G5679" i="5"/>
  <c r="H7310" i="5"/>
  <c r="E3236" i="8" s="1"/>
  <c r="G5205" i="5"/>
  <c r="G7953" i="5"/>
  <c r="G7068" i="5"/>
  <c r="H5723" i="5"/>
  <c r="E1813" i="8" s="1"/>
  <c r="F132" i="7"/>
  <c r="G131" i="7" s="1"/>
  <c r="G1552" i="5"/>
  <c r="G4983" i="5"/>
  <c r="H6019" i="5"/>
  <c r="E1923" i="8" s="1"/>
  <c r="F183" i="6"/>
  <c r="F33" i="6"/>
  <c r="G8045" i="5"/>
  <c r="F149" i="6"/>
  <c r="G5815" i="5"/>
  <c r="G2653" i="5"/>
  <c r="G329" i="5"/>
  <c r="G1175" i="5"/>
  <c r="G1692" i="5"/>
  <c r="G6482" i="5"/>
  <c r="G2581" i="5"/>
  <c r="H266" i="5"/>
  <c r="E78" i="8" s="1"/>
  <c r="G6868" i="5"/>
  <c r="G80" i="5"/>
  <c r="G6568" i="5"/>
  <c r="G7120" i="5"/>
  <c r="G5851" i="5"/>
  <c r="G5995" i="5"/>
  <c r="G1154" i="5"/>
  <c r="G7379" i="5"/>
  <c r="G4762" i="5"/>
  <c r="G6468" i="5"/>
  <c r="G2318" i="5"/>
  <c r="G8153" i="5"/>
  <c r="H2187" i="5"/>
  <c r="G5293" i="5"/>
  <c r="G7957" i="5"/>
  <c r="H7410" i="5"/>
  <c r="E3259" i="8" s="1"/>
  <c r="G7865" i="5"/>
  <c r="G26" i="5"/>
  <c r="G6560" i="5"/>
  <c r="G7212" i="5"/>
  <c r="G6461" i="5"/>
  <c r="G2699" i="5"/>
  <c r="H4438" i="5"/>
  <c r="G1739" i="5"/>
  <c r="G3261" i="5"/>
  <c r="G7144" i="5"/>
  <c r="F41" i="7"/>
  <c r="H6824" i="5"/>
  <c r="E2906" i="8" s="1"/>
  <c r="H651" i="5"/>
  <c r="H3788" i="5"/>
  <c r="H182" i="5"/>
  <c r="G516" i="5"/>
  <c r="G6528" i="5"/>
  <c r="F219" i="6"/>
  <c r="G2441" i="5"/>
  <c r="G7040" i="5"/>
  <c r="F580" i="6"/>
  <c r="F536" i="6"/>
  <c r="G6632" i="5"/>
  <c r="G3700" i="5"/>
  <c r="G6300" i="5"/>
  <c r="G916" i="5"/>
  <c r="H2517" i="5"/>
  <c r="G2123" i="5"/>
  <c r="H2601" i="5"/>
  <c r="E577" i="8" s="1"/>
  <c r="H717" i="5"/>
  <c r="E133" i="8" s="1"/>
  <c r="G2991" i="5"/>
  <c r="G4346" i="5"/>
  <c r="G4248" i="5"/>
  <c r="H2657" i="5"/>
  <c r="H5903" i="5"/>
  <c r="E1880" i="8" s="1"/>
  <c r="G1557" i="5"/>
  <c r="H726" i="5"/>
  <c r="E134" i="8" s="1"/>
  <c r="G2421" i="5"/>
  <c r="G5466" i="5"/>
  <c r="G8125" i="5"/>
  <c r="F508" i="6"/>
  <c r="H8077" i="5"/>
  <c r="E3427" i="8" s="1"/>
  <c r="G7108" i="5"/>
  <c r="G7589" i="5"/>
  <c r="F447" i="6"/>
  <c r="G4288" i="5"/>
  <c r="H2814" i="5"/>
  <c r="G7937" i="5"/>
  <c r="F348" i="6"/>
  <c r="G4482" i="5"/>
  <c r="G5935" i="5"/>
  <c r="G4215" i="5"/>
  <c r="G7949" i="5"/>
  <c r="G6244" i="5"/>
  <c r="G1593" i="5"/>
  <c r="G7573" i="5"/>
  <c r="H7294" i="5"/>
  <c r="E3228" i="8" s="1"/>
  <c r="G7821" i="5"/>
  <c r="F90" i="6"/>
  <c r="F110" i="6"/>
  <c r="F452" i="6"/>
  <c r="F171" i="6"/>
  <c r="H6892" i="5"/>
  <c r="E2936" i="8" s="1"/>
  <c r="H2705" i="5"/>
  <c r="H7282" i="5"/>
  <c r="G6620" i="5"/>
  <c r="G7116" i="5"/>
  <c r="H4746" i="5"/>
  <c r="E1210" i="8" s="1"/>
  <c r="G7609" i="5"/>
  <c r="F118" i="7"/>
  <c r="G4598" i="5"/>
  <c r="G2465" i="5"/>
  <c r="G2545" i="5"/>
  <c r="H4716" i="5"/>
  <c r="E1183" i="8" s="1"/>
  <c r="G6103" i="5"/>
  <c r="H5601" i="5"/>
  <c r="E1425" i="8" s="1"/>
  <c r="H3425" i="5"/>
  <c r="G6940" i="5"/>
  <c r="H6067" i="5"/>
  <c r="E2087" i="8" s="1"/>
  <c r="G4557" i="5"/>
  <c r="G2461" i="5"/>
  <c r="G5517" i="5"/>
  <c r="G2217" i="5"/>
  <c r="G344" i="5"/>
  <c r="G3631" i="5"/>
  <c r="G6776" i="5"/>
  <c r="G3766" i="5"/>
  <c r="G4027" i="5"/>
  <c r="G5643" i="5"/>
  <c r="G4788" i="5"/>
  <c r="G4091" i="5"/>
  <c r="H7769" i="5"/>
  <c r="E3349" i="8" s="1"/>
  <c r="G7318" i="5"/>
  <c r="G4271" i="5"/>
  <c r="G1055" i="5"/>
  <c r="G3163" i="5"/>
  <c r="F379" i="6"/>
  <c r="H2871" i="5"/>
  <c r="G5204" i="5"/>
  <c r="G5225" i="5"/>
  <c r="G235" i="5"/>
  <c r="H6580" i="5"/>
  <c r="E2814" i="8" s="1"/>
  <c r="G7605" i="5"/>
  <c r="G7997" i="5"/>
  <c r="G5839" i="5"/>
  <c r="H659" i="5"/>
  <c r="G2433" i="5"/>
  <c r="G2457" i="5"/>
  <c r="H7084" i="5"/>
  <c r="E3038" i="8" s="1"/>
  <c r="F518" i="6"/>
  <c r="F463" i="6"/>
  <c r="G3865" i="5"/>
  <c r="H8089" i="5"/>
  <c r="E3434" i="8" s="1"/>
  <c r="G7597" i="5"/>
  <c r="G6644" i="5"/>
  <c r="F445" i="6"/>
  <c r="H2938" i="5"/>
  <c r="G2989" i="5"/>
  <c r="G5975" i="5"/>
  <c r="G582" i="5"/>
  <c r="G1717" i="5"/>
  <c r="G5318" i="5"/>
  <c r="H3435" i="5"/>
  <c r="G3248" i="5"/>
  <c r="G7016" i="5"/>
  <c r="H7358" i="5"/>
  <c r="H5607" i="5"/>
  <c r="E1426" i="8" s="1"/>
  <c r="G5855" i="5"/>
  <c r="G3703" i="5"/>
  <c r="G7761" i="5"/>
  <c r="G6099" i="5"/>
  <c r="H6900" i="5"/>
  <c r="E2938" i="8" s="1"/>
  <c r="G8223" i="5"/>
  <c r="G4031" i="5"/>
  <c r="G6640" i="5"/>
  <c r="F343" i="6"/>
  <c r="G6363" i="5"/>
  <c r="G3666" i="5"/>
  <c r="G6540" i="5"/>
  <c r="G1592" i="5"/>
  <c r="H6421" i="5"/>
  <c r="G6840" i="5"/>
  <c r="G572" i="5"/>
  <c r="G1119" i="5"/>
  <c r="G3984" i="5"/>
  <c r="F189" i="6"/>
  <c r="G188" i="6" s="1"/>
  <c r="H6083" i="5"/>
  <c r="E2100" i="8" s="1"/>
  <c r="H4821" i="5"/>
  <c r="G4742" i="5"/>
  <c r="G989" i="5"/>
  <c r="H6576" i="5"/>
  <c r="E2813" i="8" s="1"/>
  <c r="F66" i="7"/>
  <c r="F20" i="7"/>
  <c r="G16" i="5"/>
  <c r="F178" i="6"/>
  <c r="G501" i="5"/>
  <c r="F51" i="7"/>
  <c r="G294" i="5"/>
  <c r="G105" i="5"/>
  <c r="F34" i="6"/>
  <c r="H3806" i="5"/>
  <c r="H7347" i="5"/>
  <c r="E3249" i="8" s="1"/>
  <c r="G4097" i="5"/>
  <c r="G5847" i="5"/>
  <c r="G6848" i="5"/>
  <c r="G6932" i="5"/>
  <c r="G7060" i="5"/>
  <c r="H5727" i="5"/>
  <c r="E1814" i="8" s="1"/>
  <c r="H4781" i="5"/>
  <c r="H6408" i="5"/>
  <c r="G245" i="5"/>
  <c r="H2489" i="5"/>
  <c r="H7032" i="5"/>
  <c r="E3025" i="8" s="1"/>
  <c r="F558" i="6"/>
  <c r="H279" i="5"/>
  <c r="E80" i="8" s="1"/>
  <c r="G5787" i="5"/>
  <c r="G6788" i="5"/>
  <c r="H85" i="5"/>
  <c r="H2304" i="5"/>
  <c r="E371" i="8" s="1"/>
  <c r="H4869" i="5"/>
  <c r="G689" i="5"/>
  <c r="G6544" i="5"/>
  <c r="G7140" i="5"/>
  <c r="G3170" i="5"/>
  <c r="G1543" i="5"/>
  <c r="G835" i="5"/>
  <c r="H7274" i="5"/>
  <c r="E3220" i="8" s="1"/>
  <c r="G2139" i="5"/>
  <c r="G208" i="5"/>
  <c r="G1282" i="5"/>
  <c r="G3943" i="5"/>
  <c r="H5369" i="5"/>
  <c r="H747" i="5"/>
  <c r="E143" i="8" s="1"/>
  <c r="H6401" i="5"/>
  <c r="E2683" i="8" s="1"/>
  <c r="G2641" i="5"/>
  <c r="G4250" i="5"/>
  <c r="G7717" i="5"/>
  <c r="F461" i="6"/>
  <c r="G4430" i="5"/>
  <c r="G4347" i="5"/>
  <c r="G8061" i="5"/>
  <c r="G933" i="5"/>
  <c r="G6732" i="5"/>
  <c r="G2749" i="5"/>
  <c r="H4231" i="5"/>
  <c r="E1126" i="8" s="1"/>
  <c r="H1085" i="5"/>
  <c r="E194" i="8" s="1"/>
  <c r="F465" i="6"/>
  <c r="G4218" i="5"/>
  <c r="H2565" i="5"/>
  <c r="G5751" i="5"/>
  <c r="G942" i="5"/>
  <c r="G4191" i="5"/>
  <c r="G4657" i="5"/>
  <c r="G4034" i="5"/>
  <c r="G5963" i="5"/>
  <c r="G8025" i="5"/>
  <c r="G374" i="5"/>
  <c r="G1010" i="5"/>
  <c r="G5174" i="5"/>
  <c r="G4895" i="5"/>
  <c r="F3292" i="8"/>
  <c r="I3292" i="8"/>
  <c r="H3292" i="8"/>
  <c r="F3471" i="8"/>
  <c r="I3471" i="8"/>
  <c r="H3471" i="8"/>
  <c r="F3431" i="8"/>
  <c r="H3431" i="8"/>
  <c r="I3431" i="8"/>
  <c r="F3239" i="8"/>
  <c r="I3239" i="8"/>
  <c r="H3239" i="8"/>
  <c r="F3156" i="8"/>
  <c r="H3156" i="8"/>
  <c r="I3156" i="8"/>
  <c r="F3144" i="8"/>
  <c r="H3144" i="8"/>
  <c r="I3144" i="8"/>
  <c r="F3232" i="8"/>
  <c r="I3232" i="8"/>
  <c r="H3232" i="8"/>
  <c r="F3290" i="8"/>
  <c r="H3290" i="8"/>
  <c r="I3290" i="8"/>
  <c r="F3140" i="8"/>
  <c r="H3140" i="8"/>
  <c r="I3140" i="8"/>
  <c r="F3216" i="8"/>
  <c r="H3216" i="8"/>
  <c r="I3216" i="8"/>
  <c r="F3429" i="8"/>
  <c r="H3429" i="8"/>
  <c r="I3429" i="8"/>
  <c r="F3288" i="8"/>
  <c r="H3288" i="8"/>
  <c r="I3288" i="8"/>
  <c r="F3152" i="8"/>
  <c r="I3152" i="8"/>
  <c r="H3152" i="8"/>
  <c r="F3473" i="8"/>
  <c r="H3473" i="8"/>
  <c r="I3473" i="8"/>
  <c r="F3148" i="8"/>
  <c r="I3148" i="8"/>
  <c r="H3148" i="8"/>
  <c r="F3180" i="8"/>
  <c r="H3180" i="8"/>
  <c r="I3180" i="8"/>
  <c r="F3174" i="8"/>
  <c r="I3174" i="8"/>
  <c r="H3174" i="8"/>
  <c r="F3182" i="8"/>
  <c r="I3182" i="8"/>
  <c r="H3182" i="8"/>
  <c r="F3178" i="8"/>
  <c r="H3178" i="8"/>
  <c r="I3178" i="8"/>
  <c r="F3114" i="8"/>
  <c r="I3114" i="8"/>
  <c r="H3114" i="8"/>
  <c r="F3184" i="8"/>
  <c r="I3184" i="8"/>
  <c r="H3184" i="8"/>
  <c r="F3085" i="8"/>
  <c r="I3085" i="8"/>
  <c r="H3085" i="8"/>
  <c r="F3279" i="8"/>
  <c r="H3279" i="8"/>
  <c r="I3279" i="8"/>
  <c r="F3209" i="8"/>
  <c r="H3209" i="8"/>
  <c r="I3209" i="8"/>
  <c r="F3112" i="8"/>
  <c r="H3112" i="8"/>
  <c r="I3112" i="8"/>
  <c r="F3425" i="8"/>
  <c r="I3425" i="8"/>
  <c r="H3425" i="8"/>
  <c r="E1361" i="8" l="1"/>
  <c r="E3251" i="8"/>
  <c r="E872" i="8"/>
  <c r="E716" i="8"/>
  <c r="E977" i="8"/>
  <c r="E880" i="8"/>
  <c r="E897" i="8"/>
  <c r="E124" i="8"/>
  <c r="E983" i="8"/>
  <c r="E3097" i="8"/>
  <c r="E316" i="8"/>
  <c r="E849" i="8"/>
  <c r="E871" i="8"/>
  <c r="E313" i="8"/>
  <c r="E516" i="8"/>
  <c r="E1142" i="8"/>
  <c r="E974" i="8"/>
  <c r="E992" i="8"/>
  <c r="E2384" i="8"/>
  <c r="E2687" i="8"/>
  <c r="E719" i="8"/>
  <c r="E48" i="8"/>
  <c r="E24" i="8"/>
  <c r="E507" i="8"/>
  <c r="E1038" i="8"/>
  <c r="E934" i="8"/>
  <c r="E1250" i="8"/>
  <c r="E874" i="8"/>
  <c r="E298" i="8"/>
  <c r="E3095" i="8"/>
  <c r="E715" i="8"/>
  <c r="E852" i="8"/>
  <c r="E923" i="8"/>
  <c r="E1041" i="8"/>
  <c r="E154" i="8"/>
  <c r="E1249" i="8"/>
  <c r="E857" i="8"/>
  <c r="F3230" i="8"/>
  <c r="H3230" i="8"/>
  <c r="I3230" i="8" s="1"/>
  <c r="E1107" i="8"/>
  <c r="E51" i="8"/>
  <c r="E315" i="8"/>
  <c r="E873" i="8"/>
  <c r="E11" i="8"/>
  <c r="E876" i="8"/>
  <c r="E1254" i="8"/>
  <c r="E508" i="8"/>
  <c r="E1248" i="8"/>
  <c r="E962" i="8"/>
  <c r="E721" i="8"/>
  <c r="E276" i="8"/>
  <c r="E988" i="8"/>
  <c r="E45" i="8"/>
  <c r="E164" i="8"/>
  <c r="E518" i="8"/>
  <c r="E514" i="8"/>
  <c r="E883" i="8"/>
  <c r="E1172" i="8"/>
  <c r="E509" i="8"/>
  <c r="E1255" i="8"/>
  <c r="E46" i="8"/>
  <c r="E939" i="8"/>
  <c r="E30" i="8"/>
  <c r="E3089" i="8"/>
  <c r="E1252" i="8"/>
  <c r="E1276" i="8"/>
  <c r="E583" i="8"/>
  <c r="E1017" i="8"/>
  <c r="E982" i="8"/>
  <c r="E965" i="8"/>
  <c r="E160" i="8"/>
  <c r="E1178" i="8"/>
  <c r="E31" i="8"/>
  <c r="E1042" i="8"/>
  <c r="E3250" i="8"/>
  <c r="E2597" i="8"/>
  <c r="E964" i="8"/>
  <c r="E42" i="8"/>
  <c r="E718" i="8"/>
  <c r="E314" i="8"/>
  <c r="E25" i="8"/>
  <c r="E299" i="8"/>
  <c r="E858" i="8"/>
  <c r="E513" i="8"/>
  <c r="E2694" i="8"/>
  <c r="E956" i="8"/>
  <c r="E32" i="8"/>
  <c r="E961" i="8"/>
  <c r="E941" i="8"/>
  <c r="E356" i="8"/>
  <c r="E122" i="8"/>
  <c r="E515" i="8"/>
  <c r="E571" i="8"/>
  <c r="E22" i="8"/>
  <c r="E2684" i="8"/>
  <c r="E125" i="8"/>
  <c r="E866" i="8"/>
  <c r="E713" i="8"/>
  <c r="E1040" i="8"/>
  <c r="E3092" i="8"/>
  <c r="E875" i="8"/>
  <c r="E2686" i="8"/>
  <c r="E917" i="8"/>
  <c r="E1154" i="8"/>
  <c r="E166" i="8"/>
  <c r="E512" i="8"/>
  <c r="E722" i="8"/>
  <c r="E41" i="8"/>
  <c r="E2598" i="8"/>
  <c r="E569" i="8"/>
  <c r="E1045" i="8"/>
  <c r="E519" i="8"/>
  <c r="E123" i="8"/>
  <c r="E1148" i="8"/>
  <c r="E885" i="8"/>
  <c r="E359" i="8"/>
  <c r="E916" i="8"/>
  <c r="E3227" i="8"/>
  <c r="E3283" i="8"/>
  <c r="E3261" i="8"/>
  <c r="E35" i="8"/>
  <c r="E1270" i="8"/>
  <c r="E881" i="8"/>
  <c r="E940" i="8"/>
  <c r="E899" i="8"/>
  <c r="E570" i="8"/>
  <c r="E2685" i="8"/>
  <c r="E23" i="8"/>
  <c r="E1289" i="8"/>
  <c r="E2696" i="8"/>
  <c r="E937" i="8"/>
  <c r="E505" i="8"/>
  <c r="E1039" i="8"/>
  <c r="E933" i="8"/>
  <c r="E1253" i="8"/>
  <c r="E947" i="8"/>
  <c r="E354" i="8"/>
  <c r="E935" i="8"/>
  <c r="E3098" i="8"/>
  <c r="E853" i="8"/>
  <c r="E981" i="8"/>
  <c r="E3094" i="8"/>
  <c r="E900" i="8"/>
  <c r="E1283" i="8"/>
  <c r="E870" i="8"/>
  <c r="E957" i="8"/>
  <c r="E936" i="8"/>
  <c r="E938" i="8"/>
  <c r="E567" i="8"/>
  <c r="E1190" i="8"/>
  <c r="E859" i="8"/>
  <c r="E1238" i="8"/>
  <c r="E1043" i="8"/>
  <c r="E855" i="8"/>
  <c r="E3225" i="8"/>
  <c r="E355" i="8"/>
  <c r="E884" i="8"/>
  <c r="E12" i="8"/>
  <c r="E1109" i="8"/>
  <c r="E1156" i="8"/>
  <c r="E3096" i="8"/>
  <c r="E1044" i="8"/>
  <c r="E2599" i="8"/>
  <c r="E2604" i="8"/>
  <c r="E1143" i="8"/>
  <c r="E517" i="8"/>
  <c r="E1251" i="8"/>
  <c r="E1144" i="8"/>
  <c r="E1275" i="8"/>
  <c r="E506" i="8"/>
  <c r="E3090" i="8"/>
  <c r="E33" i="8"/>
  <c r="E856" i="8"/>
  <c r="E40" i="8"/>
  <c r="E975" i="8"/>
  <c r="H7331" i="5"/>
  <c r="E3247" i="8" s="1"/>
  <c r="G8217" i="5"/>
  <c r="H3174" i="5"/>
  <c r="H870" i="5"/>
  <c r="G1224" i="5"/>
  <c r="G23" i="6"/>
  <c r="G566" i="6"/>
  <c r="H5410" i="5"/>
  <c r="H1161" i="5"/>
  <c r="G7249" i="5"/>
  <c r="H5104" i="5"/>
  <c r="G626" i="6"/>
  <c r="G4904" i="5"/>
  <c r="G6475" i="5"/>
  <c r="G3579" i="5"/>
  <c r="G13" i="7"/>
  <c r="G7448" i="5"/>
  <c r="H3856" i="5"/>
  <c r="E1065" i="8" s="1"/>
  <c r="H1015" i="5"/>
  <c r="G8" i="7"/>
  <c r="H1994" i="5"/>
  <c r="H4567" i="5"/>
  <c r="E1166" i="8" s="1"/>
  <c r="H4418" i="5"/>
  <c r="H2115" i="5"/>
  <c r="E345" i="8" s="1"/>
  <c r="H2788" i="5"/>
  <c r="H169" i="5"/>
  <c r="E39" i="8" s="1"/>
  <c r="H842" i="5"/>
  <c r="H4518" i="5"/>
  <c r="H1255" i="5"/>
  <c r="H3146" i="5"/>
  <c r="H2222" i="5"/>
  <c r="H2208" i="5"/>
  <c r="H3140" i="5"/>
  <c r="H4704" i="5"/>
  <c r="E1182" i="8" s="1"/>
  <c r="H243" i="5"/>
  <c r="G29" i="6"/>
  <c r="H7427" i="5"/>
  <c r="E3262" i="8" s="1"/>
  <c r="H2121" i="5"/>
  <c r="H1217" i="5"/>
  <c r="E213" i="8" s="1"/>
  <c r="G182" i="6"/>
  <c r="H3751" i="5"/>
  <c r="G38" i="7"/>
  <c r="H932" i="5"/>
  <c r="E174" i="8" s="1"/>
  <c r="H941" i="5"/>
  <c r="H4695" i="5"/>
  <c r="E1181" i="8" s="1"/>
  <c r="H1401" i="5"/>
  <c r="G384" i="6"/>
  <c r="H8153" i="5"/>
  <c r="H1154" i="5"/>
  <c r="H7725" i="5"/>
  <c r="H5639" i="5"/>
  <c r="H4408" i="5"/>
  <c r="H4239" i="5"/>
  <c r="H5079" i="5"/>
  <c r="H6584" i="5"/>
  <c r="H6780" i="5"/>
  <c r="H5783" i="5"/>
  <c r="H7833" i="5"/>
  <c r="H4040" i="5"/>
  <c r="H5939" i="5"/>
  <c r="H7064" i="5"/>
  <c r="H7100" i="5"/>
  <c r="H6440" i="5"/>
  <c r="H6972" i="5"/>
  <c r="H3626" i="5"/>
  <c r="H2311" i="5"/>
  <c r="H7913" i="5"/>
  <c r="H5715" i="5"/>
  <c r="H8161" i="5"/>
  <c r="H6836" i="5"/>
  <c r="H8065" i="5"/>
  <c r="H2254" i="5"/>
  <c r="H5091" i="5"/>
  <c r="H5951" i="5"/>
  <c r="H6924" i="5"/>
  <c r="H6724" i="5"/>
  <c r="F408" i="6"/>
  <c r="H7753" i="5"/>
  <c r="F82" i="6"/>
  <c r="H368" i="5"/>
  <c r="H6904" i="5"/>
  <c r="H7745" i="5"/>
  <c r="F271" i="6"/>
  <c r="G268" i="6" s="1"/>
  <c r="H5791" i="5"/>
  <c r="H6952" i="5"/>
  <c r="H8157" i="5"/>
  <c r="H5687" i="5"/>
  <c r="H2741" i="5"/>
  <c r="H8149" i="5"/>
  <c r="H4720" i="5"/>
  <c r="E1184" i="8" s="1"/>
  <c r="H5947" i="5"/>
  <c r="H6760" i="5"/>
  <c r="H925" i="5"/>
  <c r="H8213" i="5"/>
  <c r="H8141" i="5"/>
  <c r="H7901" i="5"/>
  <c r="H2501" i="5"/>
  <c r="E511" i="8" s="1"/>
  <c r="H8117" i="5"/>
  <c r="G3483" i="5"/>
  <c r="H4183" i="5"/>
  <c r="H6648" i="5"/>
  <c r="H2274" i="5"/>
  <c r="H7553" i="5"/>
  <c r="G7485" i="5"/>
  <c r="H3824" i="5"/>
  <c r="E1046" i="8" s="1"/>
  <c r="F296" i="6"/>
  <c r="G295" i="6" s="1"/>
  <c r="H7933" i="5"/>
  <c r="H2378" i="5"/>
  <c r="E383" i="8" s="1"/>
  <c r="H2133" i="5"/>
  <c r="E348" i="8" s="1"/>
  <c r="H7797" i="5"/>
  <c r="H6796" i="5"/>
  <c r="H5811" i="5"/>
  <c r="H8133" i="5"/>
  <c r="H7737" i="5"/>
  <c r="H3382" i="5"/>
  <c r="H2409" i="5"/>
  <c r="H4476" i="5"/>
  <c r="H7781" i="5"/>
  <c r="H4758" i="5"/>
  <c r="H3646" i="5"/>
  <c r="H6608" i="5"/>
  <c r="H7625" i="5"/>
  <c r="G1571" i="5"/>
  <c r="G4197" i="5"/>
  <c r="G1730" i="5"/>
  <c r="G599" i="5"/>
  <c r="G976" i="5"/>
  <c r="G7254" i="5"/>
  <c r="G7244" i="5"/>
  <c r="G3742" i="5"/>
  <c r="G2336" i="5"/>
  <c r="H1010" i="5"/>
  <c r="E184" i="8" s="1"/>
  <c r="H4097" i="5"/>
  <c r="H572" i="5"/>
  <c r="H6540" i="5"/>
  <c r="H6099" i="5"/>
  <c r="H2545" i="5"/>
  <c r="H7116" i="5"/>
  <c r="H8125" i="5"/>
  <c r="H916" i="5"/>
  <c r="H7957" i="5"/>
  <c r="H5815" i="5"/>
  <c r="H6712" i="5"/>
  <c r="H540" i="5"/>
  <c r="H7569" i="5"/>
  <c r="H6127" i="5"/>
  <c r="H7881" i="5"/>
  <c r="H1320" i="5"/>
  <c r="G176" i="6"/>
  <c r="H1039" i="5"/>
  <c r="H7621" i="5"/>
  <c r="H8041" i="5"/>
  <c r="H3865" i="5"/>
  <c r="H5839" i="5"/>
  <c r="H7605" i="5"/>
  <c r="H3163" i="5"/>
  <c r="E918" i="8" s="1"/>
  <c r="H5643" i="5"/>
  <c r="H2461" i="5"/>
  <c r="H5935" i="5"/>
  <c r="H7108" i="5"/>
  <c r="H2699" i="5"/>
  <c r="E720" i="8" s="1"/>
  <c r="H1692" i="5"/>
  <c r="H4983" i="5"/>
  <c r="H7068" i="5"/>
  <c r="H6976" i="5"/>
  <c r="H8222" i="5"/>
  <c r="H6676" i="5"/>
  <c r="H2497" i="5"/>
  <c r="H7377" i="5"/>
  <c r="E3254" i="8" s="1"/>
  <c r="H2469" i="5"/>
  <c r="H50" i="5"/>
  <c r="H7072" i="5"/>
  <c r="H457" i="5"/>
  <c r="H5863" i="5"/>
  <c r="H6884" i="5"/>
  <c r="H2637" i="5"/>
  <c r="H6604" i="5"/>
  <c r="H6051" i="5"/>
  <c r="H1338" i="5"/>
  <c r="F365" i="6"/>
  <c r="H5523" i="5"/>
  <c r="H5336" i="5"/>
  <c r="H5031" i="5"/>
  <c r="H7665" i="5"/>
  <c r="H2127" i="5"/>
  <c r="E347" i="8" s="1"/>
  <c r="H7112" i="5"/>
  <c r="H6532" i="5"/>
  <c r="H25" i="5"/>
  <c r="H853" i="5"/>
  <c r="H7052" i="5"/>
  <c r="H6672" i="5"/>
  <c r="H821" i="5"/>
  <c r="H8113" i="5"/>
  <c r="H3240" i="5"/>
  <c r="H6612" i="5"/>
  <c r="H7741" i="5"/>
  <c r="H6736" i="5"/>
  <c r="H4247" i="5"/>
  <c r="H7685" i="5"/>
  <c r="H5683" i="5"/>
  <c r="F109" i="6"/>
  <c r="G108" i="6" s="1"/>
  <c r="H7697" i="5"/>
  <c r="H1750" i="5"/>
  <c r="E283" i="8" s="1"/>
  <c r="H2737" i="5"/>
  <c r="H5691" i="5"/>
  <c r="H2778" i="5"/>
  <c r="H6876" i="5"/>
  <c r="F342" i="6"/>
  <c r="H7339" i="5"/>
  <c r="E3248" i="8" s="1"/>
  <c r="H6768" i="5"/>
  <c r="H7325" i="5"/>
  <c r="G170" i="6"/>
  <c r="H5983" i="5"/>
  <c r="H7885" i="5"/>
  <c r="H6968" i="5"/>
  <c r="H5647" i="5"/>
  <c r="H507" i="5"/>
  <c r="E104" i="8" s="1"/>
  <c r="H7092" i="5"/>
  <c r="H2745" i="5"/>
  <c r="H1622" i="5"/>
  <c r="G621" i="6"/>
  <c r="H5631" i="5"/>
  <c r="H2045" i="5"/>
  <c r="H8009" i="5"/>
  <c r="H2264" i="5"/>
  <c r="H7981" i="5"/>
  <c r="G4544" i="5"/>
  <c r="G1719" i="5"/>
  <c r="G4885" i="5"/>
  <c r="G3950" i="5"/>
  <c r="G1111" i="5"/>
  <c r="H6640" i="5"/>
  <c r="G5395" i="5"/>
  <c r="H2541" i="5"/>
  <c r="H2765" i="5"/>
  <c r="H5707" i="5"/>
  <c r="H886" i="5"/>
  <c r="F150" i="6"/>
  <c r="H6808" i="5"/>
  <c r="H6636" i="5"/>
  <c r="H3723" i="5"/>
  <c r="H8049" i="5"/>
  <c r="H6536" i="5"/>
  <c r="H6055" i="5"/>
  <c r="H5807" i="5"/>
  <c r="H6948" i="5"/>
  <c r="H6728" i="5"/>
  <c r="H6992" i="5"/>
  <c r="G520" i="5"/>
  <c r="H6628" i="5"/>
  <c r="H5803" i="5"/>
  <c r="H6708" i="5"/>
  <c r="H4606" i="5"/>
  <c r="H4951" i="5"/>
  <c r="H7925" i="5"/>
  <c r="H6680" i="5"/>
  <c r="H7096" i="5"/>
  <c r="H5402" i="5"/>
  <c r="H7124" i="5"/>
  <c r="H7757" i="5"/>
  <c r="H7056" i="5"/>
  <c r="H4049" i="5"/>
  <c r="H6131" i="5"/>
  <c r="F19" i="7"/>
  <c r="H1616" i="5"/>
  <c r="H8037" i="5"/>
  <c r="H7629" i="5"/>
  <c r="H6960" i="5"/>
  <c r="H8013" i="5"/>
  <c r="H758" i="5"/>
  <c r="H5907" i="5"/>
  <c r="H8097" i="5"/>
  <c r="H7661" i="5"/>
  <c r="H7873" i="5"/>
  <c r="H2429" i="5"/>
  <c r="H2753" i="5"/>
  <c r="H7853" i="5"/>
  <c r="H7701" i="5"/>
  <c r="H6996" i="5"/>
  <c r="H5695" i="5"/>
  <c r="H3658" i="5"/>
  <c r="H6616" i="5"/>
  <c r="H6752" i="5"/>
  <c r="H4005" i="5"/>
  <c r="H956" i="5"/>
  <c r="H5659" i="5"/>
  <c r="H2330" i="5"/>
  <c r="H5835" i="5"/>
  <c r="H2405" i="5"/>
  <c r="H3679" i="5"/>
  <c r="H4754" i="5"/>
  <c r="H5779" i="5"/>
  <c r="H6860" i="5"/>
  <c r="H4977" i="5"/>
  <c r="H6928" i="5"/>
  <c r="H2001" i="5"/>
  <c r="E330" i="8" s="1"/>
  <c r="F197" i="6"/>
  <c r="G197" i="6" s="1"/>
  <c r="H7733" i="5"/>
  <c r="H7809" i="5"/>
  <c r="G40" i="6"/>
  <c r="H4734" i="5"/>
  <c r="E1189" i="8" s="1"/>
  <c r="H5767" i="5"/>
  <c r="H1828" i="5"/>
  <c r="E302" i="8" s="1"/>
  <c r="F64" i="7"/>
  <c r="H7593" i="5"/>
  <c r="H4523" i="5"/>
  <c r="H6916" i="5"/>
  <c r="H6872" i="5"/>
  <c r="H6656" i="5"/>
  <c r="H8137" i="5"/>
  <c r="F370" i="6"/>
  <c r="H5627" i="5"/>
  <c r="H6111" i="5"/>
  <c r="H2717" i="5"/>
  <c r="H6600" i="5"/>
  <c r="G1236" i="5"/>
  <c r="G5085" i="5"/>
  <c r="G1168" i="5"/>
  <c r="G1708" i="5"/>
  <c r="G2037" i="5"/>
  <c r="G2324" i="5"/>
  <c r="G2069" i="5"/>
  <c r="G1129" i="5"/>
  <c r="G3357" i="5"/>
  <c r="G1024" i="5"/>
  <c r="G4364" i="5"/>
  <c r="G4203" i="5"/>
  <c r="H2465" i="5"/>
  <c r="H7609" i="5"/>
  <c r="H6620" i="5"/>
  <c r="H5466" i="5"/>
  <c r="H7865" i="5"/>
  <c r="H2318" i="5"/>
  <c r="H7965" i="5"/>
  <c r="H5174" i="5"/>
  <c r="H5751" i="5"/>
  <c r="H1282" i="5"/>
  <c r="E223" i="8" s="1"/>
  <c r="H5787" i="5"/>
  <c r="H5975" i="5"/>
  <c r="H6644" i="5"/>
  <c r="H2433" i="5"/>
  <c r="H7997" i="5"/>
  <c r="G1740" i="5"/>
  <c r="H7318" i="5"/>
  <c r="H4091" i="5"/>
  <c r="H4027" i="5"/>
  <c r="H6776" i="5"/>
  <c r="H6940" i="5"/>
  <c r="H6103" i="5"/>
  <c r="F139" i="6"/>
  <c r="G138" i="6" s="1"/>
  <c r="H1557" i="5"/>
  <c r="H2441" i="5"/>
  <c r="H6461" i="5"/>
  <c r="H7953" i="5"/>
  <c r="H7270" i="5"/>
  <c r="H7585" i="5"/>
  <c r="H7216" i="5"/>
  <c r="H2147" i="5"/>
  <c r="H7877" i="5"/>
  <c r="H8057" i="5"/>
  <c r="H7669" i="5"/>
  <c r="H383" i="5"/>
  <c r="H2681" i="5"/>
  <c r="E717" i="8" s="1"/>
  <c r="H5058" i="5"/>
  <c r="H5651" i="5"/>
  <c r="H699" i="5"/>
  <c r="H3378" i="5"/>
  <c r="H2021" i="5"/>
  <c r="H4067" i="5"/>
  <c r="H1124" i="5"/>
  <c r="E199" i="8" s="1"/>
  <c r="H67" i="5"/>
  <c r="H8217" i="5"/>
  <c r="E3487" i="8" s="1"/>
  <c r="F83" i="6"/>
  <c r="H4085" i="5"/>
  <c r="H994" i="5"/>
  <c r="E182" i="8" s="1"/>
  <c r="F18" i="6"/>
  <c r="G18" i="6" s="1"/>
  <c r="H7773" i="5"/>
  <c r="H2008" i="5"/>
  <c r="E331" i="8" s="1"/>
  <c r="G540" i="6"/>
  <c r="H7897" i="5"/>
  <c r="H7286" i="5"/>
  <c r="H7909" i="5"/>
  <c r="H2725" i="5"/>
  <c r="H8081" i="5"/>
  <c r="H7989" i="5"/>
  <c r="H5999" i="5"/>
  <c r="H1076" i="5"/>
  <c r="E193" i="8" s="1"/>
  <c r="H7817" i="5"/>
  <c r="H3343" i="5"/>
  <c r="H2413" i="5"/>
  <c r="H6744" i="5"/>
  <c r="H6748" i="5"/>
  <c r="H4190" i="5"/>
  <c r="E1120" i="8" s="1"/>
  <c r="H7861" i="5"/>
  <c r="H5342" i="5"/>
  <c r="E1357" i="8" s="1"/>
  <c r="H7080" i="5"/>
  <c r="H2234" i="5"/>
  <c r="H6243" i="5"/>
  <c r="E2606" i="8" s="1"/>
  <c r="G516" i="6"/>
  <c r="H4786" i="5"/>
  <c r="E1240" i="8" s="1"/>
  <c r="H55" i="5"/>
  <c r="H5472" i="5"/>
  <c r="H1101" i="5"/>
  <c r="H7729" i="5"/>
  <c r="H4555" i="5"/>
  <c r="E1165" i="8" s="1"/>
  <c r="H7789" i="5"/>
  <c r="H7641" i="5"/>
  <c r="H6888" i="5"/>
  <c r="H2761" i="5"/>
  <c r="G7253" i="5"/>
  <c r="H1062" i="5"/>
  <c r="H7088" i="5"/>
  <c r="H4209" i="5"/>
  <c r="E1123" i="8" s="1"/>
  <c r="H251" i="5"/>
  <c r="G546" i="6"/>
  <c r="H4114" i="5"/>
  <c r="H5875" i="5"/>
  <c r="G205" i="6"/>
  <c r="H2284" i="5"/>
  <c r="H8169" i="5"/>
  <c r="H7765" i="5"/>
  <c r="H323" i="5"/>
  <c r="E84" i="8" s="1"/>
  <c r="H231" i="5"/>
  <c r="H5484" i="5"/>
  <c r="G4687" i="5"/>
  <c r="G2101" i="5"/>
  <c r="G4944" i="5"/>
  <c r="G4150" i="5"/>
  <c r="G5394" i="5"/>
  <c r="H2641" i="5"/>
  <c r="E587" i="8" s="1"/>
  <c r="H3943" i="5"/>
  <c r="H2139" i="5"/>
  <c r="H7140" i="5"/>
  <c r="H6848" i="5"/>
  <c r="H7761" i="5"/>
  <c r="H5855" i="5"/>
  <c r="H2457" i="5"/>
  <c r="H3261" i="5"/>
  <c r="H5995" i="5"/>
  <c r="H80" i="5"/>
  <c r="E21" i="8" s="1"/>
  <c r="H6003" i="5"/>
  <c r="G1729" i="5"/>
  <c r="H4762" i="5"/>
  <c r="H5851" i="5"/>
  <c r="H6568" i="5"/>
  <c r="H5679" i="5"/>
  <c r="H3399" i="5"/>
  <c r="H6652" i="5"/>
  <c r="H2053" i="5"/>
  <c r="H2613" i="5"/>
  <c r="E580" i="8" s="1"/>
  <c r="H7825" i="5"/>
  <c r="H4641" i="5"/>
  <c r="H5287" i="5"/>
  <c r="H2729" i="5"/>
  <c r="H1182" i="5"/>
  <c r="H5111" i="5"/>
  <c r="E1301" i="8" s="1"/>
  <c r="H5535" i="5"/>
  <c r="H6700" i="5"/>
  <c r="H6908" i="5"/>
  <c r="H817" i="5"/>
  <c r="H1093" i="5"/>
  <c r="H7977" i="5"/>
  <c r="H6556" i="5"/>
  <c r="H6255" i="5"/>
  <c r="H5495" i="5"/>
  <c r="E1396" i="8" s="1"/>
  <c r="H7048" i="5"/>
  <c r="H6704" i="5"/>
  <c r="H6039" i="5"/>
  <c r="H6964" i="5"/>
  <c r="H8021" i="5"/>
  <c r="H2988" i="5"/>
  <c r="E886" i="8" s="1"/>
  <c r="H6091" i="5"/>
  <c r="H8173" i="5"/>
  <c r="H6059" i="5"/>
  <c r="H4137" i="5"/>
  <c r="H663" i="5"/>
  <c r="H8121" i="5"/>
  <c r="H5671" i="5"/>
  <c r="H7172" i="5"/>
  <c r="E3093" i="8" s="1"/>
  <c r="H8005" i="5"/>
  <c r="H6500" i="5"/>
  <c r="H5775" i="5"/>
  <c r="H2417" i="5"/>
  <c r="H6388" i="5"/>
  <c r="H3386" i="5"/>
  <c r="E955" i="8" s="1"/>
  <c r="H7385" i="5"/>
  <c r="H3641" i="5"/>
  <c r="H7929" i="5"/>
  <c r="H983" i="5"/>
  <c r="E181" i="8" s="1"/>
  <c r="H3770" i="5"/>
  <c r="E1037" i="8" s="1"/>
  <c r="H7004" i="5"/>
  <c r="H6740" i="5"/>
  <c r="H3762" i="5"/>
  <c r="H5943" i="5"/>
  <c r="H6936" i="5"/>
  <c r="H7653" i="5"/>
  <c r="H4750" i="5"/>
  <c r="H8029" i="5"/>
  <c r="H7637" i="5"/>
  <c r="H1586" i="5"/>
  <c r="H8177" i="5"/>
  <c r="H7208" i="5"/>
  <c r="H5827" i="5"/>
  <c r="H5799" i="5"/>
  <c r="H6043" i="5"/>
  <c r="H2721" i="5"/>
  <c r="H6512" i="5"/>
  <c r="H114" i="5"/>
  <c r="E28" i="8" s="1"/>
  <c r="H1262" i="5"/>
  <c r="G7243" i="5"/>
  <c r="H6856" i="5"/>
  <c r="H4076" i="5"/>
  <c r="G1242" i="5"/>
  <c r="H5831" i="5"/>
  <c r="H7945" i="5"/>
  <c r="H1140" i="5"/>
  <c r="H239" i="5"/>
  <c r="H7601" i="5"/>
  <c r="H1005" i="5"/>
  <c r="E183" i="8" s="1"/>
  <c r="H7581" i="5"/>
  <c r="G1598" i="5"/>
  <c r="G1147" i="5"/>
  <c r="G7370" i="5"/>
  <c r="G6249" i="5"/>
  <c r="G5073" i="5"/>
  <c r="G4945" i="5"/>
  <c r="G1395" i="5"/>
  <c r="G1799" i="5"/>
  <c r="G3508" i="5"/>
  <c r="G5013" i="5"/>
  <c r="G4149" i="5"/>
  <c r="G1196" i="5"/>
  <c r="G1706" i="5"/>
  <c r="H329" i="5"/>
  <c r="E85" i="8" s="1"/>
  <c r="F611" i="6"/>
  <c r="H6544" i="5"/>
  <c r="H7060" i="5"/>
  <c r="H4742" i="5"/>
  <c r="H3984" i="5"/>
  <c r="H6840" i="5"/>
  <c r="H1592" i="5"/>
  <c r="H4598" i="5"/>
  <c r="H2421" i="5"/>
  <c r="H5324" i="5"/>
  <c r="H7633" i="5"/>
  <c r="H2537" i="5"/>
  <c r="F357" i="6"/>
  <c r="H4263" i="5"/>
  <c r="E1131" i="8" s="1"/>
  <c r="H5991" i="5"/>
  <c r="H8025" i="5"/>
  <c r="H835" i="5"/>
  <c r="H1119" i="5"/>
  <c r="E198" i="8" s="1"/>
  <c r="H7597" i="5"/>
  <c r="H235" i="5"/>
  <c r="H3766" i="5"/>
  <c r="H7573" i="5"/>
  <c r="H7949" i="5"/>
  <c r="H7040" i="5"/>
  <c r="H7212" i="5"/>
  <c r="H2605" i="5"/>
  <c r="H5823" i="5"/>
  <c r="H1069" i="5"/>
  <c r="H7258" i="5"/>
  <c r="H1203" i="5"/>
  <c r="H1564" i="5"/>
  <c r="H1048" i="5"/>
  <c r="H12" i="5"/>
  <c r="H6696" i="5"/>
  <c r="H7220" i="5"/>
  <c r="F364" i="6"/>
  <c r="H7921" i="5"/>
  <c r="H2453" i="5"/>
  <c r="E494" i="8" s="1"/>
  <c r="H7681" i="5"/>
  <c r="H5667" i="5"/>
  <c r="H5899" i="5"/>
  <c r="H6784" i="5"/>
  <c r="H109" i="5"/>
  <c r="E27" i="8" s="1"/>
  <c r="H8129" i="5"/>
  <c r="H7689" i="5"/>
  <c r="H5037" i="5"/>
  <c r="H2757" i="5"/>
  <c r="H8105" i="5"/>
  <c r="F289" i="6"/>
  <c r="H5418" i="5"/>
  <c r="H667" i="5"/>
  <c r="H7793" i="5"/>
  <c r="H5931" i="5"/>
  <c r="H4268" i="5"/>
  <c r="H7869" i="5"/>
  <c r="H5915" i="5"/>
  <c r="H3758" i="5"/>
  <c r="H4145" i="5"/>
  <c r="H7785" i="5"/>
  <c r="H5771" i="5"/>
  <c r="H6920" i="5"/>
  <c r="H7813" i="5"/>
  <c r="G1303" i="5"/>
  <c r="H5967" i="5"/>
  <c r="H8093" i="5"/>
  <c r="H514" i="5"/>
  <c r="E105" i="8" s="1"/>
  <c r="H7829" i="5"/>
  <c r="H7278" i="5"/>
  <c r="H7104" i="5"/>
  <c r="H3169" i="5"/>
  <c r="H6516" i="5"/>
  <c r="H3925" i="5"/>
  <c r="H7749" i="5"/>
  <c r="H618" i="5"/>
  <c r="H7985" i="5"/>
  <c r="H2621" i="5"/>
  <c r="E582" i="8" s="1"/>
  <c r="H6800" i="5"/>
  <c r="H2649" i="5"/>
  <c r="H4681" i="5"/>
  <c r="H7020" i="5"/>
  <c r="H1645" i="5"/>
  <c r="G7248" i="5"/>
  <c r="G1230" i="5"/>
  <c r="H2155" i="5"/>
  <c r="H5923" i="5"/>
  <c r="H1383" i="5"/>
  <c r="E238" i="8" s="1"/>
  <c r="H4904" i="5"/>
  <c r="H2473" i="5"/>
  <c r="H7044" i="5"/>
  <c r="H5703" i="5"/>
  <c r="H6047" i="5"/>
  <c r="H6816" i="5"/>
  <c r="H7024" i="5"/>
  <c r="H8017" i="5"/>
  <c r="G3525" i="5"/>
  <c r="G1289" i="5"/>
  <c r="G2384" i="5"/>
  <c r="H1175" i="5"/>
  <c r="H2653" i="5"/>
  <c r="H5759" i="5"/>
  <c r="H7837" i="5"/>
  <c r="H7561" i="5"/>
  <c r="H6980" i="5"/>
  <c r="H4989" i="5"/>
  <c r="H878" i="5"/>
  <c r="H6668" i="5"/>
  <c r="H8181" i="5"/>
  <c r="H6520" i="5"/>
  <c r="H7973" i="5"/>
  <c r="H6864" i="5"/>
  <c r="H7577" i="5"/>
  <c r="H2804" i="5"/>
  <c r="H7677" i="5"/>
  <c r="H2077" i="5"/>
  <c r="F84" i="6"/>
  <c r="H5859" i="5"/>
  <c r="H6592" i="5"/>
  <c r="H3430" i="5"/>
  <c r="E963" i="8" s="1"/>
  <c r="H4058" i="5"/>
  <c r="H8165" i="5"/>
  <c r="H3613" i="5"/>
  <c r="H5979" i="5"/>
  <c r="H6135" i="5"/>
  <c r="E2368" i="8" s="1"/>
  <c r="H7917" i="5"/>
  <c r="H6660" i="5"/>
  <c r="H2294" i="5"/>
  <c r="H6880" i="5"/>
  <c r="H3228" i="5"/>
  <c r="F358" i="6"/>
  <c r="G2364" i="5"/>
  <c r="H6756" i="5"/>
  <c r="H6115" i="5"/>
  <c r="H6944" i="5"/>
  <c r="H7721" i="5"/>
  <c r="H7969" i="5"/>
  <c r="H640" i="5"/>
  <c r="H1917" i="5"/>
  <c r="E317" i="8" s="1"/>
  <c r="H7076" i="5"/>
  <c r="H5843" i="5"/>
  <c r="H6984" i="5"/>
  <c r="H7777" i="5"/>
  <c r="H4225" i="5"/>
  <c r="H7649" i="5"/>
  <c r="H5755" i="5"/>
  <c r="H7455" i="5"/>
  <c r="F341" i="6"/>
  <c r="H2569" i="5"/>
  <c r="E572" i="8" s="1"/>
  <c r="H7136" i="5"/>
  <c r="H7961" i="5"/>
  <c r="H7709" i="5"/>
  <c r="H5306" i="5"/>
  <c r="H7549" i="5"/>
  <c r="H6155" i="5"/>
  <c r="H5699" i="5"/>
  <c r="H6792" i="5"/>
  <c r="H6764" i="5"/>
  <c r="H4655" i="5"/>
  <c r="E1176" i="8" s="1"/>
  <c r="H969" i="5"/>
  <c r="H5971" i="5"/>
  <c r="H2163" i="5"/>
  <c r="H5300" i="5"/>
  <c r="H6147" i="5"/>
  <c r="H7160" i="5"/>
  <c r="E3091" i="8" s="1"/>
  <c r="H4335" i="5"/>
  <c r="E1137" i="8" s="1"/>
  <c r="H5447" i="5"/>
  <c r="E1380" i="8" s="1"/>
  <c r="H6151" i="5"/>
  <c r="H1275" i="5"/>
  <c r="E222" i="8" s="1"/>
  <c r="H7128" i="5"/>
  <c r="H72" i="5"/>
  <c r="E19" i="8" s="1"/>
  <c r="H193" i="5"/>
  <c r="E44" i="8" s="1"/>
  <c r="G5363" i="5"/>
  <c r="G671" i="5"/>
  <c r="G1741" i="5"/>
  <c r="G5312" i="5"/>
  <c r="G1189" i="5"/>
  <c r="G3256" i="5"/>
  <c r="G2061" i="5"/>
  <c r="G1707" i="5"/>
  <c r="G3500" i="5"/>
  <c r="G2363" i="5"/>
  <c r="G5330" i="5"/>
  <c r="G1332" i="5"/>
  <c r="G7469" i="5"/>
  <c r="H7717" i="5"/>
  <c r="H6932" i="5"/>
  <c r="H5847" i="5"/>
  <c r="H105" i="5"/>
  <c r="E26" i="8" s="1"/>
  <c r="H16" i="5"/>
  <c r="E8" i="8" s="1"/>
  <c r="H4031" i="5"/>
  <c r="H7016" i="5"/>
  <c r="H582" i="5"/>
  <c r="H7937" i="5"/>
  <c r="H7120" i="5"/>
  <c r="H6564" i="5"/>
  <c r="H962" i="5"/>
  <c r="H739" i="5"/>
  <c r="H4895" i="5"/>
  <c r="H5963" i="5"/>
  <c r="H2749" i="5"/>
  <c r="H6732" i="5"/>
  <c r="H8061" i="5"/>
  <c r="H208" i="5"/>
  <c r="E47" i="8" s="1"/>
  <c r="H6788" i="5"/>
  <c r="H5318" i="5"/>
  <c r="H1055" i="5"/>
  <c r="H5517" i="5"/>
  <c r="H7821" i="5"/>
  <c r="H4215" i="5"/>
  <c r="G348" i="6"/>
  <c r="H7589" i="5"/>
  <c r="H4346" i="5"/>
  <c r="H6632" i="5"/>
  <c r="H6528" i="5"/>
  <c r="H7144" i="5"/>
  <c r="H6560" i="5"/>
  <c r="H6868" i="5"/>
  <c r="H8045" i="5"/>
  <c r="H7565" i="5"/>
  <c r="H6988" i="5"/>
  <c r="H5675" i="5"/>
  <c r="H7713" i="5"/>
  <c r="H1248" i="5"/>
  <c r="H5871" i="5"/>
  <c r="G534" i="6"/>
  <c r="H7657" i="5"/>
  <c r="H5635" i="5"/>
  <c r="H5248" i="5"/>
  <c r="H2663" i="5"/>
  <c r="E714" i="8" s="1"/>
  <c r="H7008" i="5"/>
  <c r="H6664" i="5"/>
  <c r="H8033" i="5"/>
  <c r="H8" i="5"/>
  <c r="H2617" i="5"/>
  <c r="E581" i="8" s="1"/>
  <c r="F332" i="6"/>
  <c r="H5867" i="5"/>
  <c r="H950" i="5"/>
  <c r="H6624" i="5"/>
  <c r="H40" i="5"/>
  <c r="H7993" i="5"/>
  <c r="H217" i="5"/>
  <c r="E49" i="8" s="1"/>
  <c r="H4157" i="5"/>
  <c r="H5655" i="5"/>
  <c r="H2171" i="5"/>
  <c r="H1210" i="5"/>
  <c r="H6107" i="5"/>
  <c r="H5795" i="5"/>
  <c r="G7542" i="5"/>
  <c r="H8109" i="5"/>
  <c r="H5955" i="5"/>
  <c r="G579" i="6"/>
  <c r="H6079" i="5"/>
  <c r="H4023" i="5"/>
  <c r="H7849" i="5"/>
  <c r="H2629" i="5"/>
  <c r="E584" i="8" s="1"/>
  <c r="H5663" i="5"/>
  <c r="H5097" i="5"/>
  <c r="H6912" i="5"/>
  <c r="H5453" i="5"/>
  <c r="E1381" i="8" s="1"/>
  <c r="H2085" i="5"/>
  <c r="H7645" i="5"/>
  <c r="H5763" i="5"/>
  <c r="H2733" i="5"/>
  <c r="H8053" i="5"/>
  <c r="H4649" i="5"/>
  <c r="H7705" i="5"/>
  <c r="H1639" i="5"/>
  <c r="G616" i="6"/>
  <c r="H7000" i="5"/>
  <c r="G3475" i="5"/>
  <c r="H6596" i="5"/>
  <c r="H7557" i="5"/>
  <c r="H2029" i="5"/>
  <c r="H1987" i="5"/>
  <c r="E328" i="8" s="1"/>
  <c r="H6772" i="5"/>
  <c r="H7673" i="5"/>
  <c r="H5959" i="5"/>
  <c r="H7693" i="5"/>
  <c r="H2553" i="5"/>
  <c r="E568" i="8" s="1"/>
  <c r="H6095" i="5"/>
  <c r="H3234" i="5"/>
  <c r="H5819" i="5"/>
  <c r="H2397" i="5"/>
  <c r="H500" i="5"/>
  <c r="H7613" i="5"/>
  <c r="H7801" i="5"/>
  <c r="H2093" i="5"/>
  <c r="H4428" i="5"/>
  <c r="E1147" i="8" s="1"/>
  <c r="H2769" i="5"/>
  <c r="H8101" i="5"/>
  <c r="H5879" i="5"/>
  <c r="H2401" i="5"/>
  <c r="H5987" i="5"/>
  <c r="H4276" i="5"/>
  <c r="H6844" i="5"/>
  <c r="H8001" i="5"/>
  <c r="H3959" i="5"/>
  <c r="E1077" i="8" s="1"/>
  <c r="H6508" i="5"/>
  <c r="H6087" i="5"/>
  <c r="H5254" i="5"/>
  <c r="G5396" i="5"/>
  <c r="G1326" i="5"/>
  <c r="G5160" i="5"/>
  <c r="G8233" i="5"/>
  <c r="G1718" i="5"/>
  <c r="G609" i="5"/>
  <c r="G7477" i="5"/>
  <c r="E1337" i="8" l="1"/>
  <c r="E334" i="8"/>
  <c r="E1833" i="8"/>
  <c r="E3466" i="8"/>
  <c r="E75" i="8"/>
  <c r="E3317" i="8"/>
  <c r="E1906" i="8"/>
  <c r="E3384" i="8"/>
  <c r="E350" i="8"/>
  <c r="E3395" i="8"/>
  <c r="E2854" i="8"/>
  <c r="E2885" i="8"/>
  <c r="E145" i="8"/>
  <c r="E3346" i="8"/>
  <c r="E2901" i="8"/>
  <c r="E1546" i="8"/>
  <c r="E3040" i="8"/>
  <c r="E3378" i="8"/>
  <c r="E1356" i="8"/>
  <c r="E3035" i="8"/>
  <c r="E3488" i="8"/>
  <c r="E3044" i="8"/>
  <c r="E1858" i="8"/>
  <c r="E3312" i="8"/>
  <c r="E2334" i="8"/>
  <c r="E2219" i="8"/>
  <c r="E3313" i="8"/>
  <c r="E953" i="8"/>
  <c r="E173" i="8"/>
  <c r="E88" i="8"/>
  <c r="E2978" i="8"/>
  <c r="E3464" i="8"/>
  <c r="E2894" i="8"/>
  <c r="E362" i="8"/>
  <c r="E1146" i="8"/>
  <c r="E3334" i="8"/>
  <c r="E3319" i="8"/>
  <c r="E3036" i="8"/>
  <c r="E2886" i="8"/>
  <c r="E2932" i="8"/>
  <c r="E1889" i="8"/>
  <c r="E3441" i="8"/>
  <c r="E1354" i="8"/>
  <c r="E1081" i="8"/>
  <c r="E2752" i="8"/>
  <c r="E3405" i="8"/>
  <c r="E1867" i="8"/>
  <c r="E3415" i="8"/>
  <c r="E2880" i="8"/>
  <c r="E178" i="8"/>
  <c r="E3019" i="8"/>
  <c r="E2394" i="8"/>
  <c r="E3397" i="8"/>
  <c r="E1901" i="8"/>
  <c r="E854" i="8"/>
  <c r="E3366" i="8"/>
  <c r="E503" i="8"/>
  <c r="E3043" i="8"/>
  <c r="E2975" i="8"/>
  <c r="E3355" i="8"/>
  <c r="E3117" i="8"/>
  <c r="E257" i="8"/>
  <c r="E578" i="8"/>
  <c r="E3100" i="8"/>
  <c r="E3013" i="8"/>
  <c r="E3255" i="8"/>
  <c r="E1571" i="8"/>
  <c r="E3468" i="8"/>
  <c r="E2993" i="8"/>
  <c r="E495" i="8"/>
  <c r="E349" i="8"/>
  <c r="E369" i="8"/>
  <c r="E3354" i="8"/>
  <c r="E3404" i="8"/>
  <c r="E952" i="8"/>
  <c r="E90" i="8"/>
  <c r="E1841" i="8"/>
  <c r="E1389" i="8"/>
  <c r="E2819" i="8"/>
  <c r="E2930" i="8"/>
  <c r="E2979" i="8"/>
  <c r="E413" i="8"/>
  <c r="E2823" i="8"/>
  <c r="E3370" i="8"/>
  <c r="E3322" i="8"/>
  <c r="E2335" i="8"/>
  <c r="E3048" i="8"/>
  <c r="E2985" i="8"/>
  <c r="E3402" i="8"/>
  <c r="E1902" i="8"/>
  <c r="E1574" i="8"/>
  <c r="E929" i="8"/>
  <c r="E152" i="8"/>
  <c r="E1412" i="8"/>
  <c r="E15" i="8"/>
  <c r="E2996" i="8"/>
  <c r="E1066" i="8"/>
  <c r="E188" i="8"/>
  <c r="E3299" i="8"/>
  <c r="E3449" i="8"/>
  <c r="E2750" i="8"/>
  <c r="E2821" i="8"/>
  <c r="E3341" i="8"/>
  <c r="E3390" i="8"/>
  <c r="E3295" i="8"/>
  <c r="E3446" i="8"/>
  <c r="E775" i="8"/>
  <c r="E1894" i="8"/>
  <c r="E1608" i="8"/>
  <c r="E2697" i="8"/>
  <c r="E241" i="8"/>
  <c r="E346" i="8"/>
  <c r="E915" i="8"/>
  <c r="E3049" i="8"/>
  <c r="E1854" i="8"/>
  <c r="E220" i="8"/>
  <c r="E1853" i="8"/>
  <c r="E1211" i="8"/>
  <c r="E2882" i="8"/>
  <c r="E268" i="8"/>
  <c r="E3318" i="8"/>
  <c r="E1569" i="8"/>
  <c r="E1868" i="8"/>
  <c r="E1138" i="8"/>
  <c r="E190" i="8"/>
  <c r="E212" i="8"/>
  <c r="E2857" i="8"/>
  <c r="E218" i="8"/>
  <c r="E3418" i="8"/>
  <c r="E3051" i="8"/>
  <c r="E1125" i="8"/>
  <c r="E121" i="8"/>
  <c r="E3479" i="8"/>
  <c r="E1832" i="8"/>
  <c r="E3411" i="8"/>
  <c r="E1260" i="8"/>
  <c r="E3020" i="8"/>
  <c r="E3344" i="8"/>
  <c r="E127" i="8"/>
  <c r="E3327" i="8"/>
  <c r="E3394" i="8"/>
  <c r="E54" i="8"/>
  <c r="E3413" i="8"/>
  <c r="E420" i="8"/>
  <c r="E1341" i="8"/>
  <c r="E958" i="8"/>
  <c r="E1863" i="8"/>
  <c r="E3372" i="8"/>
  <c r="E3428" i="8"/>
  <c r="E3226" i="8"/>
  <c r="E131" i="8"/>
  <c r="E3116" i="8"/>
  <c r="E2255" i="8"/>
  <c r="E3406" i="8"/>
  <c r="E2824" i="8"/>
  <c r="E1834" i="8"/>
  <c r="E3359" i="8"/>
  <c r="E1271" i="8"/>
  <c r="E1856" i="8"/>
  <c r="E993" i="8"/>
  <c r="E3410" i="8"/>
  <c r="E1367" i="8"/>
  <c r="E1267" i="8"/>
  <c r="E2828" i="8"/>
  <c r="E1847" i="8"/>
  <c r="E163" i="8"/>
  <c r="E367" i="8"/>
  <c r="E2931" i="8"/>
  <c r="E2859" i="8"/>
  <c r="E2820" i="8"/>
  <c r="E3034" i="8"/>
  <c r="E109" i="8"/>
  <c r="E3046" i="8"/>
  <c r="E113" i="8"/>
  <c r="E368" i="8"/>
  <c r="E1575" i="8"/>
  <c r="E1293" i="8"/>
  <c r="E3385" i="8"/>
  <c r="E3042" i="8"/>
  <c r="E1548" i="8"/>
  <c r="E219" i="8"/>
  <c r="E329" i="8"/>
  <c r="E2104" i="8"/>
  <c r="E846" i="8"/>
  <c r="E1133" i="8"/>
  <c r="E410" i="8"/>
  <c r="E3330" i="8"/>
  <c r="E3296" i="8"/>
  <c r="E3333" i="8"/>
  <c r="E819" i="8"/>
  <c r="E2789" i="8"/>
  <c r="E1347" i="8"/>
  <c r="E3435" i="8"/>
  <c r="E2735" i="8"/>
  <c r="E3469" i="8"/>
  <c r="E419" i="8"/>
  <c r="E1933" i="8"/>
  <c r="E2729" i="8"/>
  <c r="E1903" i="8"/>
  <c r="E1896" i="8"/>
  <c r="E1175" i="8"/>
  <c r="E3369" i="8"/>
  <c r="E1895" i="8"/>
  <c r="E353" i="8"/>
  <c r="E13" i="8"/>
  <c r="E3321" i="8"/>
  <c r="E3335" i="8"/>
  <c r="E2929" i="8"/>
  <c r="E3304" i="8"/>
  <c r="E1897" i="8"/>
  <c r="E1093" i="8"/>
  <c r="E2504" i="8"/>
  <c r="E352" i="8"/>
  <c r="E2890" i="8"/>
  <c r="E3399" i="8"/>
  <c r="E2817" i="8"/>
  <c r="E3301" i="8"/>
  <c r="E2858" i="8"/>
  <c r="E3022" i="8"/>
  <c r="E351" i="8"/>
  <c r="E1179" i="8"/>
  <c r="E1898" i="8"/>
  <c r="E1836" i="8"/>
  <c r="E1034" i="8"/>
  <c r="E1374" i="8"/>
  <c r="E833" i="8"/>
  <c r="E2871" i="8"/>
  <c r="E211" i="8"/>
  <c r="E3300" i="8"/>
  <c r="E1169" i="8"/>
  <c r="E1206" i="8"/>
  <c r="E3307" i="8"/>
  <c r="E733" i="8"/>
  <c r="E259" i="8"/>
  <c r="E3320" i="8"/>
  <c r="E1837" i="8"/>
  <c r="E3448" i="8"/>
  <c r="E2217" i="8"/>
  <c r="E2873" i="8"/>
  <c r="E195" i="8"/>
  <c r="E2872" i="8"/>
  <c r="E1174" i="8"/>
  <c r="E1573" i="8"/>
  <c r="E1907" i="8"/>
  <c r="E3347" i="8"/>
  <c r="E1075" i="8"/>
  <c r="E3039" i="8"/>
  <c r="E2884" i="8"/>
  <c r="E1552" i="8"/>
  <c r="E2708" i="8"/>
  <c r="E2982" i="8"/>
  <c r="E472" i="8"/>
  <c r="E1829" i="8"/>
  <c r="E3309" i="8"/>
  <c r="E723" i="8"/>
  <c r="E3340" i="8"/>
  <c r="E2926" i="8"/>
  <c r="E375" i="8"/>
  <c r="E3041" i="8"/>
  <c r="E1170" i="8"/>
  <c r="E1954" i="8"/>
  <c r="E2831" i="8"/>
  <c r="E3409" i="8"/>
  <c r="E265" i="8"/>
  <c r="E850" i="8"/>
  <c r="E3328" i="8"/>
  <c r="E3444" i="8"/>
  <c r="E3030" i="8"/>
  <c r="E3323" i="8"/>
  <c r="E586" i="8"/>
  <c r="E1272" i="8"/>
  <c r="E1890" i="8"/>
  <c r="E2875" i="8"/>
  <c r="E566" i="8"/>
  <c r="E1106" i="8"/>
  <c r="E991" i="8"/>
  <c r="E3453" i="8"/>
  <c r="E3356" i="8"/>
  <c r="E2887" i="8"/>
  <c r="E3463" i="8"/>
  <c r="E3345" i="8"/>
  <c r="E3033" i="8"/>
  <c r="E1094" i="8"/>
  <c r="E175" i="8"/>
  <c r="E1159" i="8"/>
  <c r="E161" i="8"/>
  <c r="E2290" i="8"/>
  <c r="E1547" i="8"/>
  <c r="E1411" i="8"/>
  <c r="E3422" i="8"/>
  <c r="E114" i="8"/>
  <c r="E3336" i="8"/>
  <c r="E189" i="8"/>
  <c r="E1036" i="8"/>
  <c r="E2081" i="8"/>
  <c r="E3401" i="8"/>
  <c r="E3442" i="8"/>
  <c r="E2825" i="8"/>
  <c r="E3014" i="8"/>
  <c r="E1572" i="8"/>
  <c r="E2783" i="8"/>
  <c r="E1257" i="8"/>
  <c r="E3047" i="8"/>
  <c r="E1899" i="8"/>
  <c r="E2897" i="8"/>
  <c r="E3351" i="8"/>
  <c r="E3337" i="8"/>
  <c r="E370" i="8"/>
  <c r="E985" i="8"/>
  <c r="E1864" i="8"/>
  <c r="E2927" i="8"/>
  <c r="E162" i="8"/>
  <c r="E597" i="8"/>
  <c r="E2904" i="8"/>
  <c r="E593" i="8"/>
  <c r="E3353" i="8"/>
  <c r="E1885" i="8"/>
  <c r="E2895" i="8"/>
  <c r="E3208" i="8"/>
  <c r="E3306" i="8"/>
  <c r="E562" i="8"/>
  <c r="E56" i="8"/>
  <c r="E1099" i="8"/>
  <c r="E1949" i="8"/>
  <c r="E3316" i="8"/>
  <c r="E2981" i="8"/>
  <c r="E3389" i="8"/>
  <c r="E2724" i="8"/>
  <c r="E126" i="8"/>
  <c r="E3029" i="8"/>
  <c r="E1414" i="8"/>
  <c r="E2806" i="8"/>
  <c r="E1393" i="8"/>
  <c r="E191" i="8"/>
  <c r="E3339" i="8"/>
  <c r="E2883" i="8"/>
  <c r="E416" i="8"/>
  <c r="E3381" i="8"/>
  <c r="E1102" i="8"/>
  <c r="E3324" i="8"/>
  <c r="E3303" i="8"/>
  <c r="E2893" i="8"/>
  <c r="E2832" i="8"/>
  <c r="E1322" i="8"/>
  <c r="E499" i="8"/>
  <c r="E2295" i="8"/>
  <c r="E2948" i="8"/>
  <c r="E1838" i="8"/>
  <c r="E1568" i="8"/>
  <c r="E1577" i="8"/>
  <c r="E820" i="8"/>
  <c r="E2992" i="8"/>
  <c r="E1095" i="8"/>
  <c r="E2861" i="8"/>
  <c r="E2874" i="8"/>
  <c r="E2748" i="8"/>
  <c r="E1606" i="8"/>
  <c r="E1551" i="8"/>
  <c r="E3243" i="8"/>
  <c r="E1576" i="8"/>
  <c r="E1129" i="8"/>
  <c r="E158" i="8"/>
  <c r="E2933" i="8"/>
  <c r="E501" i="8"/>
  <c r="E277" i="8"/>
  <c r="E496" i="8"/>
  <c r="E1849" i="8"/>
  <c r="E1224" i="8"/>
  <c r="E1848" i="8"/>
  <c r="E3382" i="8"/>
  <c r="E1893" i="8"/>
  <c r="E366" i="8"/>
  <c r="E2815" i="8"/>
  <c r="E1128" i="8"/>
  <c r="E3338" i="8"/>
  <c r="E62" i="8"/>
  <c r="E156" i="8"/>
  <c r="E185" i="8"/>
  <c r="E1300" i="8"/>
  <c r="E920" i="8"/>
  <c r="E3298" i="8"/>
  <c r="E2740" i="8"/>
  <c r="E3297" i="8"/>
  <c r="E1087" i="8"/>
  <c r="E3053" i="8"/>
  <c r="E1124" i="8"/>
  <c r="E1353" i="8"/>
  <c r="E2896" i="8"/>
  <c r="E136" i="8"/>
  <c r="E1604" i="8"/>
  <c r="E3294" i="8"/>
  <c r="E3002" i="8"/>
  <c r="E2984" i="8"/>
  <c r="E927" i="8"/>
  <c r="E2855" i="8"/>
  <c r="E1273" i="8"/>
  <c r="E207" i="8"/>
  <c r="E1951" i="8"/>
  <c r="E2899" i="8"/>
  <c r="E1071" i="8"/>
  <c r="E1114" i="8"/>
  <c r="E1285" i="8"/>
  <c r="E1878" i="8"/>
  <c r="E192" i="8"/>
  <c r="E3101" i="8"/>
  <c r="E3315" i="8"/>
  <c r="E202" i="8"/>
  <c r="E2924" i="8"/>
  <c r="E1892" i="8"/>
  <c r="E3363" i="8"/>
  <c r="E1862" i="8"/>
  <c r="E53" i="8"/>
  <c r="E1869" i="8"/>
  <c r="E196" i="8"/>
  <c r="E364" i="8"/>
  <c r="E945" i="8"/>
  <c r="E1288" i="8"/>
  <c r="E3421" i="8"/>
  <c r="E475" i="8"/>
  <c r="E1088" i="8"/>
  <c r="E3398" i="8"/>
  <c r="E1545" i="8"/>
  <c r="E177" i="8"/>
  <c r="E3011" i="8"/>
  <c r="E448" i="8"/>
  <c r="E3437" i="8"/>
  <c r="E3314" i="8"/>
  <c r="E3388" i="8"/>
  <c r="E1846" i="8"/>
  <c r="E3419" i="8"/>
  <c r="E845" i="8"/>
  <c r="E2994" i="8"/>
  <c r="E3331" i="8"/>
  <c r="E2881" i="8"/>
  <c r="E10" i="8"/>
  <c r="E1284" i="8"/>
  <c r="E231" i="8"/>
  <c r="E1866" i="8"/>
  <c r="E1549" i="8"/>
  <c r="E228" i="8"/>
  <c r="E3352" i="8"/>
  <c r="E2833" i="8"/>
  <c r="E3456" i="8"/>
  <c r="E2990" i="8"/>
  <c r="E3343" i="8"/>
  <c r="E3423" i="8"/>
  <c r="E372" i="8"/>
  <c r="E3365" i="8"/>
  <c r="E412" i="8"/>
  <c r="E3357" i="8"/>
  <c r="E1851" i="8"/>
  <c r="E2892" i="8"/>
  <c r="E3407" i="8"/>
  <c r="E928" i="8"/>
  <c r="E3012" i="8"/>
  <c r="E751" i="8"/>
  <c r="E2946" i="8"/>
  <c r="E2099" i="8"/>
  <c r="E1566" i="8"/>
  <c r="E176" i="8"/>
  <c r="E1336" i="8"/>
  <c r="E3003" i="8"/>
  <c r="E2744" i="8"/>
  <c r="E3362" i="8"/>
  <c r="E1861" i="8"/>
  <c r="E179" i="8"/>
  <c r="E2593" i="8"/>
  <c r="E1348" i="8"/>
  <c r="E3266" i="8"/>
  <c r="E3374" i="8"/>
  <c r="E3329" i="8"/>
  <c r="E3387" i="8"/>
  <c r="E1110" i="8"/>
  <c r="E834" i="8"/>
  <c r="E1391" i="8"/>
  <c r="E3037" i="8"/>
  <c r="E3361" i="8"/>
  <c r="E3219" i="8"/>
  <c r="E1103" i="8"/>
  <c r="E1900" i="8"/>
  <c r="E373" i="8"/>
  <c r="E1160" i="8"/>
  <c r="E1219" i="8"/>
  <c r="E1083" i="8"/>
  <c r="E3332" i="8"/>
  <c r="E1882" i="8"/>
  <c r="E3416" i="8"/>
  <c r="E3031" i="8"/>
  <c r="E3004" i="8"/>
  <c r="E1006" i="8"/>
  <c r="E564" i="8"/>
  <c r="E777" i="8"/>
  <c r="E2891" i="8"/>
  <c r="E774" i="8"/>
  <c r="E3342" i="8"/>
  <c r="E2747" i="8"/>
  <c r="E1953" i="8"/>
  <c r="E98" i="8"/>
  <c r="E510" i="8"/>
  <c r="E3377" i="8"/>
  <c r="E3396" i="8"/>
  <c r="E1155" i="8"/>
  <c r="E2898" i="8"/>
  <c r="E3485" i="8"/>
  <c r="E3461" i="8"/>
  <c r="E1842" i="8"/>
  <c r="E2940" i="8"/>
  <c r="E2878" i="8"/>
  <c r="E987" i="8"/>
  <c r="E1891" i="8"/>
  <c r="E1145" i="8"/>
  <c r="E204" i="8"/>
  <c r="E1019" i="8"/>
  <c r="E914" i="8"/>
  <c r="E851" i="8"/>
  <c r="E205" i="8"/>
  <c r="E3439" i="8"/>
  <c r="E103" i="8"/>
  <c r="E3028" i="8"/>
  <c r="E1887" i="8"/>
  <c r="E269" i="8"/>
  <c r="E118" i="8"/>
  <c r="E750" i="8"/>
  <c r="E2853" i="8"/>
  <c r="E3052" i="8"/>
  <c r="E342" i="8"/>
  <c r="E3325" i="8"/>
  <c r="E2818" i="8"/>
  <c r="E3420" i="8"/>
  <c r="E341" i="8"/>
  <c r="E3465" i="8"/>
  <c r="E340" i="8"/>
  <c r="E1605" i="8"/>
  <c r="E2736" i="8"/>
  <c r="E3222" i="8"/>
  <c r="E1904" i="8"/>
  <c r="E260" i="8"/>
  <c r="E3032" i="8"/>
  <c r="E3393" i="8"/>
  <c r="E3414" i="8"/>
  <c r="E1113" i="8"/>
  <c r="E2608" i="8"/>
  <c r="E151" i="8"/>
  <c r="E1230" i="8"/>
  <c r="E1905" i="8"/>
  <c r="E2912" i="8"/>
  <c r="E1098" i="8"/>
  <c r="E2911" i="8"/>
  <c r="E1871" i="8"/>
  <c r="E3310" i="8"/>
  <c r="E2218" i="8"/>
  <c r="E1294" i="8"/>
  <c r="E1843" i="8"/>
  <c r="E1116" i="8"/>
  <c r="E6" i="8"/>
  <c r="E2829" i="8"/>
  <c r="E3391" i="8"/>
  <c r="E2980" i="8"/>
  <c r="E1831" i="8"/>
  <c r="E1859" i="8"/>
  <c r="E2299" i="8"/>
  <c r="E3386" i="8"/>
  <c r="E1097" i="8"/>
  <c r="E3326" i="8"/>
  <c r="E3400" i="8"/>
  <c r="E3001" i="8"/>
  <c r="E3403" i="8"/>
  <c r="E919" i="8"/>
  <c r="E3364" i="8"/>
  <c r="E3360" i="8"/>
  <c r="E1132" i="8"/>
  <c r="E3451" i="8"/>
  <c r="E1570" i="8"/>
  <c r="E7" i="8"/>
  <c r="E1852" i="8"/>
  <c r="E3027" i="8"/>
  <c r="E155" i="8"/>
  <c r="E2910" i="8"/>
  <c r="E3302" i="8"/>
  <c r="E1844" i="8"/>
  <c r="E1035" i="8"/>
  <c r="E989" i="8"/>
  <c r="E2622" i="8"/>
  <c r="E3408" i="8"/>
  <c r="E3412" i="8"/>
  <c r="E2765" i="8"/>
  <c r="E2945" i="8"/>
  <c r="E208" i="8"/>
  <c r="E337" i="8"/>
  <c r="E932" i="8"/>
  <c r="E3348" i="8"/>
  <c r="E2934" i="8"/>
  <c r="E16" i="8"/>
  <c r="E742" i="8"/>
  <c r="E3350" i="8"/>
  <c r="E18" i="8"/>
  <c r="E333" i="8"/>
  <c r="E3376" i="8"/>
  <c r="E256" i="8"/>
  <c r="E3240" i="8"/>
  <c r="E3373" i="8"/>
  <c r="E3455" i="8"/>
  <c r="E3305" i="8"/>
  <c r="E995" i="8"/>
  <c r="E3375" i="8"/>
  <c r="E264" i="8"/>
  <c r="E2879" i="8"/>
  <c r="E2830" i="8"/>
  <c r="E336" i="8"/>
  <c r="E2822" i="8"/>
  <c r="E3045" i="8"/>
  <c r="E2860" i="8"/>
  <c r="E3308" i="8"/>
  <c r="E3417" i="8"/>
  <c r="E172" i="8"/>
  <c r="E414" i="8"/>
  <c r="E1119" i="8"/>
  <c r="E2909" i="8"/>
  <c r="E2995" i="8"/>
  <c r="E1839" i="8"/>
  <c r="E1291" i="8"/>
  <c r="E3462" i="8"/>
  <c r="E360" i="8"/>
  <c r="E1368" i="8"/>
  <c r="G19" i="7"/>
  <c r="G610" i="6"/>
  <c r="H3579" i="5"/>
  <c r="H1224" i="5"/>
  <c r="E214" i="8" s="1"/>
  <c r="G341" i="6"/>
  <c r="H5330" i="5"/>
  <c r="H3500" i="5"/>
  <c r="E971" i="8" s="1"/>
  <c r="H3256" i="5"/>
  <c r="E931" i="8" s="1"/>
  <c r="H6249" i="5"/>
  <c r="H1024" i="5"/>
  <c r="E186" i="8" s="1"/>
  <c r="H7248" i="5"/>
  <c r="H1598" i="5"/>
  <c r="H7243" i="5"/>
  <c r="E3164" i="8" s="1"/>
  <c r="H42" i="8"/>
  <c r="I42" i="8" s="1"/>
  <c r="H4203" i="5"/>
  <c r="E1122" i="8" s="1"/>
  <c r="H2069" i="5"/>
  <c r="F32" i="8"/>
  <c r="H2336" i="5"/>
  <c r="H1571" i="5"/>
  <c r="E258" i="8" s="1"/>
  <c r="H1395" i="5"/>
  <c r="E240" i="8" s="1"/>
  <c r="H7253" i="5"/>
  <c r="H609" i="5"/>
  <c r="H40" i="8"/>
  <c r="I40" i="8" s="1"/>
  <c r="H3475" i="5"/>
  <c r="E969" i="8" s="1"/>
  <c r="H7469" i="5"/>
  <c r="H2363" i="5"/>
  <c r="H1189" i="5"/>
  <c r="H671" i="5"/>
  <c r="H1230" i="5"/>
  <c r="E215" i="8" s="1"/>
  <c r="H1242" i="5"/>
  <c r="F41" i="8"/>
  <c r="H1111" i="5"/>
  <c r="F45" i="8"/>
  <c r="H5160" i="5"/>
  <c r="F33" i="8"/>
  <c r="H1289" i="5"/>
  <c r="E224" i="8" s="1"/>
  <c r="H4687" i="5"/>
  <c r="E1180" i="8" s="1"/>
  <c r="H4364" i="5"/>
  <c r="H3357" i="5"/>
  <c r="H1168" i="5"/>
  <c r="H1236" i="5"/>
  <c r="E216" i="8" s="1"/>
  <c r="H520" i="5"/>
  <c r="H976" i="5"/>
  <c r="H2101" i="5"/>
  <c r="H7477" i="5"/>
  <c r="H2384" i="5"/>
  <c r="E384" i="8" s="1"/>
  <c r="H5085" i="5"/>
  <c r="F51" i="8"/>
  <c r="H2061" i="5"/>
  <c r="H5363" i="5"/>
  <c r="E1360" i="8" s="1"/>
  <c r="H4149" i="5"/>
  <c r="E1115" i="8" s="1"/>
  <c r="H1147" i="5"/>
  <c r="H2324" i="5"/>
  <c r="H4544" i="5"/>
  <c r="H3742" i="5"/>
  <c r="E1018" i="8" s="1"/>
  <c r="H1326" i="5"/>
  <c r="H1332" i="5"/>
  <c r="H5312" i="5"/>
  <c r="H3525" i="5"/>
  <c r="H1303" i="5"/>
  <c r="H5073" i="5"/>
  <c r="H5394" i="5"/>
  <c r="H4944" i="5"/>
  <c r="H1129" i="5"/>
  <c r="E200" i="8" s="1"/>
  <c r="G81" i="6"/>
  <c r="H4197" i="5"/>
  <c r="E1121" i="8" s="1"/>
  <c r="H7485" i="5"/>
  <c r="H1196" i="5"/>
  <c r="H5013" i="5"/>
  <c r="F48" i="8"/>
  <c r="H2037" i="5"/>
  <c r="H599" i="5"/>
  <c r="F42" i="8"/>
  <c r="F40" i="8"/>
  <c r="E1290" i="8" l="1"/>
  <c r="E230" i="8"/>
  <c r="E338" i="8"/>
  <c r="E217" i="8"/>
  <c r="E973" i="8"/>
  <c r="E117" i="8"/>
  <c r="E376" i="8"/>
  <c r="E343" i="8"/>
  <c r="E1320" i="8"/>
  <c r="E1266" i="8"/>
  <c r="E1292" i="8"/>
  <c r="E197" i="8"/>
  <c r="E1355" i="8"/>
  <c r="E1366" i="8"/>
  <c r="E1163" i="8"/>
  <c r="E106" i="8"/>
  <c r="E128" i="8"/>
  <c r="E3172" i="8"/>
  <c r="E209" i="8"/>
  <c r="E2607" i="8"/>
  <c r="E116" i="8"/>
  <c r="E335" i="8"/>
  <c r="E226" i="8"/>
  <c r="E948" i="8"/>
  <c r="E381" i="8"/>
  <c r="E3185" i="8"/>
  <c r="E261" i="8"/>
  <c r="E203" i="8"/>
  <c r="E3270" i="8"/>
  <c r="E206" i="8"/>
  <c r="E1277" i="8"/>
  <c r="E1140" i="8"/>
  <c r="E3269" i="8"/>
  <c r="E210" i="8"/>
  <c r="E3271" i="8"/>
  <c r="E1352" i="8"/>
  <c r="E374" i="8"/>
  <c r="E339" i="8"/>
  <c r="E979" i="8"/>
  <c r="E229" i="8"/>
  <c r="E180" i="8"/>
  <c r="H41" i="8"/>
  <c r="I41" i="8" s="1"/>
  <c r="H51" i="8"/>
  <c r="I51" i="8" s="1"/>
  <c r="H48" i="8"/>
  <c r="I48" i="8" s="1"/>
  <c r="H45" i="8"/>
  <c r="I45" i="8" s="1"/>
  <c r="H33" i="8"/>
  <c r="I33" i="8" s="1"/>
  <c r="G1966" i="5"/>
  <c r="G5283" i="5"/>
  <c r="F54" i="7"/>
  <c r="G5212" i="5"/>
  <c r="G4295" i="5"/>
  <c r="G3105" i="5"/>
  <c r="G1629" i="5"/>
  <c r="G350" i="5"/>
  <c r="H32" i="8"/>
  <c r="I32" i="8" s="1"/>
  <c r="G5189" i="5"/>
  <c r="H1123" i="8"/>
  <c r="I1123" i="8" s="1"/>
  <c r="G5227" i="5"/>
  <c r="G1934" i="5"/>
  <c r="H1381" i="8"/>
  <c r="I1381" i="8" s="1"/>
  <c r="G3878" i="5"/>
  <c r="G4592" i="5"/>
  <c r="G4322" i="5"/>
  <c r="F198" i="8"/>
  <c r="G6327" i="5"/>
  <c r="G2250" i="5"/>
  <c r="H222" i="8"/>
  <c r="I222" i="8" s="1"/>
  <c r="F105" i="7"/>
  <c r="F199" i="8"/>
  <c r="H183" i="8"/>
  <c r="I183" i="8" s="1"/>
  <c r="G5211" i="5"/>
  <c r="F1131" i="8"/>
  <c r="G5213" i="5"/>
  <c r="G6271" i="5"/>
  <c r="G301" i="5"/>
  <c r="G362" i="5"/>
  <c r="G4635" i="5"/>
  <c r="G3673" i="5"/>
  <c r="G1663" i="5"/>
  <c r="G1953" i="5"/>
  <c r="G2862" i="5"/>
  <c r="G3024" i="5"/>
  <c r="G1867" i="5"/>
  <c r="G752" i="5"/>
  <c r="G2944" i="5"/>
  <c r="G7504" i="5"/>
  <c r="G1885" i="5"/>
  <c r="H29" i="8"/>
  <c r="I29" i="8" s="1"/>
  <c r="G3672" i="5"/>
  <c r="G6200" i="5"/>
  <c r="G316" i="5"/>
  <c r="G3998" i="5"/>
  <c r="G3999" i="5"/>
  <c r="G302" i="5"/>
  <c r="G5129" i="5"/>
  <c r="G2373" i="5"/>
  <c r="F223" i="8"/>
  <c r="G4807" i="5"/>
  <c r="G3848" i="5"/>
  <c r="G4591" i="5"/>
  <c r="G5137" i="5"/>
  <c r="G3879" i="5"/>
  <c r="G849" i="5"/>
  <c r="F3487" i="8"/>
  <c r="G6331" i="5"/>
  <c r="G2857" i="5"/>
  <c r="F1380" i="8"/>
  <c r="G1929" i="5"/>
  <c r="G3831" i="5"/>
  <c r="G317" i="5"/>
  <c r="F120" i="7"/>
  <c r="G6270" i="5"/>
  <c r="G3187" i="5"/>
  <c r="G776" i="5"/>
  <c r="F91" i="7"/>
  <c r="F68" i="7"/>
  <c r="G2842" i="5"/>
  <c r="G1668" i="5"/>
  <c r="F119" i="7"/>
  <c r="G6210" i="5"/>
  <c r="G3115" i="5"/>
  <c r="G3705" i="5"/>
  <c r="G1861" i="5"/>
  <c r="G3252" i="5"/>
  <c r="G3706" i="5"/>
  <c r="G6279" i="5"/>
  <c r="G4933" i="5"/>
  <c r="G6382" i="5"/>
  <c r="G3692" i="5"/>
  <c r="G1794" i="5"/>
  <c r="G5480" i="5"/>
  <c r="G3085" i="5"/>
  <c r="G5226" i="5"/>
  <c r="G6328" i="5"/>
  <c r="G6369" i="5"/>
  <c r="G349" i="5"/>
  <c r="F104" i="7"/>
  <c r="F53" i="7"/>
  <c r="H34" i="8"/>
  <c r="I34" i="8" s="1"/>
  <c r="G4321" i="5"/>
  <c r="G4294" i="5"/>
  <c r="F918" i="8"/>
  <c r="G3222" i="5"/>
  <c r="G3195" i="5"/>
  <c r="G5384" i="5"/>
  <c r="G4966" i="5"/>
  <c r="G2889" i="5"/>
  <c r="F184" i="8"/>
  <c r="F90" i="7"/>
  <c r="F67" i="7"/>
  <c r="F1182" i="8"/>
  <c r="G5228" i="5"/>
  <c r="G3221" i="5"/>
  <c r="G361" i="5"/>
  <c r="G3693" i="5"/>
  <c r="H214" i="8" l="1"/>
  <c r="I214" i="8" s="1"/>
  <c r="G4812" i="5"/>
  <c r="G3052" i="5"/>
  <c r="G1787" i="5"/>
  <c r="G5054" i="5"/>
  <c r="G3039" i="5"/>
  <c r="G3968" i="5"/>
  <c r="G2954" i="5"/>
  <c r="G1271" i="5"/>
  <c r="G709" i="5"/>
  <c r="G3125" i="5"/>
  <c r="G5489" i="5"/>
  <c r="G4926" i="5"/>
  <c r="G3019" i="5"/>
  <c r="G3029" i="5"/>
  <c r="G4817" i="5"/>
  <c r="G1924" i="5"/>
  <c r="G5242" i="5"/>
  <c r="G1372" i="5"/>
  <c r="G1824" i="5"/>
  <c r="H198" i="8"/>
  <c r="I198" i="8" s="1"/>
  <c r="F183" i="8"/>
  <c r="G61" i="7"/>
  <c r="F214" i="8"/>
  <c r="H918" i="8"/>
  <c r="I918" i="8" s="1"/>
  <c r="H1380" i="8"/>
  <c r="I1380" i="8" s="1"/>
  <c r="H199" i="8"/>
  <c r="I199" i="8" s="1"/>
  <c r="H3487" i="8"/>
  <c r="I3487" i="8" s="1"/>
  <c r="G48" i="7"/>
  <c r="F1381" i="8"/>
  <c r="F29" i="8"/>
  <c r="H1131" i="8"/>
  <c r="I1131" i="8" s="1"/>
  <c r="F222" i="8"/>
  <c r="H223" i="8"/>
  <c r="I223" i="8" s="1"/>
  <c r="G97" i="7"/>
  <c r="F34" i="8"/>
  <c r="F1123" i="8"/>
  <c r="G83" i="7"/>
  <c r="G488" i="5"/>
  <c r="H184" i="8"/>
  <c r="I184" i="8" s="1"/>
  <c r="F164" i="8"/>
  <c r="H164" i="8"/>
  <c r="I164" i="8" s="1"/>
  <c r="G1501" i="5"/>
  <c r="H2696" i="8"/>
  <c r="I2696" i="8" s="1"/>
  <c r="F2696" i="8"/>
  <c r="H6275" i="5"/>
  <c r="E2611" i="8" s="1"/>
  <c r="G1030" i="5"/>
  <c r="F983" i="8"/>
  <c r="H983" i="8"/>
  <c r="I983" i="8" s="1"/>
  <c r="F2687" i="8"/>
  <c r="H2687" i="8"/>
  <c r="I2687" i="8" s="1"/>
  <c r="H25" i="8"/>
  <c r="I25" i="8" s="1"/>
  <c r="F25" i="8"/>
  <c r="G2590" i="5"/>
  <c r="F3250" i="8"/>
  <c r="H3250" i="8"/>
  <c r="I3250" i="8" s="1"/>
  <c r="F3094" i="8"/>
  <c r="H3094" i="8"/>
  <c r="I3094" i="8" s="1"/>
  <c r="H5204" i="5"/>
  <c r="F362" i="8"/>
  <c r="H362" i="8"/>
  <c r="I362" i="8" s="1"/>
  <c r="F510" i="6"/>
  <c r="H852" i="8"/>
  <c r="I852" i="8" s="1"/>
  <c r="F852" i="8"/>
  <c r="F507" i="8"/>
  <c r="H507" i="8"/>
  <c r="I507" i="8" s="1"/>
  <c r="G4634" i="5"/>
  <c r="F509" i="6"/>
  <c r="F1924" i="8"/>
  <c r="H1924" i="8"/>
  <c r="I1924" i="8" s="1"/>
  <c r="F3098" i="8"/>
  <c r="H3098" i="8"/>
  <c r="I3098" i="8" s="1"/>
  <c r="G3009" i="5"/>
  <c r="G3034" i="5"/>
  <c r="G2847" i="5"/>
  <c r="H5279" i="5"/>
  <c r="G3901" i="5"/>
  <c r="G1658" i="5"/>
  <c r="G3095" i="5"/>
  <c r="G1612" i="5"/>
  <c r="F360" i="8"/>
  <c r="H360" i="8"/>
  <c r="I360" i="8" s="1"/>
  <c r="F569" i="8"/>
  <c r="H569" i="8"/>
  <c r="I569" i="8" s="1"/>
  <c r="H3081" i="5"/>
  <c r="F342" i="8"/>
  <c r="F1249" i="8"/>
  <c r="H1249" i="8"/>
  <c r="I1249" i="8" s="1"/>
  <c r="H3992" i="5"/>
  <c r="H3258" i="8"/>
  <c r="I3258" i="8" s="1"/>
  <c r="F3258" i="8"/>
  <c r="H7502" i="5"/>
  <c r="H751" i="5"/>
  <c r="E144" i="8" s="1"/>
  <c r="F250" i="8"/>
  <c r="H250" i="8"/>
  <c r="I250" i="8" s="1"/>
  <c r="F559" i="6"/>
  <c r="F3096" i="8"/>
  <c r="H3096" i="8"/>
  <c r="I3096" i="8" s="1"/>
  <c r="F152" i="6"/>
  <c r="H5382" i="5"/>
  <c r="F849" i="8"/>
  <c r="H849" i="8"/>
  <c r="I849" i="8" s="1"/>
  <c r="F2604" i="8"/>
  <c r="H2604" i="8"/>
  <c r="I2604" i="8" s="1"/>
  <c r="F713" i="8"/>
  <c r="H713" i="8"/>
  <c r="I713" i="8" s="1"/>
  <c r="G5461" i="5"/>
  <c r="H881" i="8"/>
  <c r="I881" i="8" s="1"/>
  <c r="F881" i="8"/>
  <c r="H4932" i="5"/>
  <c r="E1264" i="8" s="1"/>
  <c r="F875" i="8"/>
  <c r="H875" i="8"/>
  <c r="I875" i="8" s="1"/>
  <c r="F161" i="8"/>
  <c r="H161" i="8"/>
  <c r="I161" i="8" s="1"/>
  <c r="F606" i="6"/>
  <c r="G602" i="6" s="1"/>
  <c r="F1322" i="8"/>
  <c r="H1156" i="8"/>
  <c r="I1156" i="8" s="1"/>
  <c r="F1156" i="8"/>
  <c r="F1928" i="8"/>
  <c r="H1928" i="8"/>
  <c r="I1928" i="8" s="1"/>
  <c r="H848" i="5"/>
  <c r="F2599" i="8"/>
  <c r="H2599" i="8"/>
  <c r="I2599" i="8" s="1"/>
  <c r="H4579" i="5"/>
  <c r="H1154" i="8"/>
  <c r="I1154" i="8" s="1"/>
  <c r="F1154" i="8"/>
  <c r="G308" i="5"/>
  <c r="H1253" i="8"/>
  <c r="I1253" i="8" s="1"/>
  <c r="F1253" i="8"/>
  <c r="H2371" i="5"/>
  <c r="E382" i="8" s="1"/>
  <c r="F579" i="8"/>
  <c r="H579" i="8"/>
  <c r="I579" i="8" s="1"/>
  <c r="F721" i="8"/>
  <c r="H721" i="8"/>
  <c r="I721" i="8" s="1"/>
  <c r="F30" i="8"/>
  <c r="H30" i="8"/>
  <c r="I30" i="8" s="1"/>
  <c r="F1252" i="8"/>
  <c r="H1252" i="8"/>
  <c r="I1252" i="8" s="1"/>
  <c r="H2943" i="5"/>
  <c r="G2591" i="5"/>
  <c r="H3023" i="5"/>
  <c r="F915" i="8"/>
  <c r="H915" i="8"/>
  <c r="I915" i="8" s="1"/>
  <c r="G1546" i="5"/>
  <c r="F1926" i="8"/>
  <c r="H1926" i="8"/>
  <c r="I1926" i="8" s="1"/>
  <c r="F252" i="8"/>
  <c r="H252" i="8"/>
  <c r="I252" i="8" s="1"/>
  <c r="G437" i="5"/>
  <c r="H1257" i="8"/>
  <c r="I1257" i="8" s="1"/>
  <c r="F1159" i="8"/>
  <c r="H1159" i="8"/>
  <c r="I1159" i="8" s="1"/>
  <c r="H974" i="8"/>
  <c r="I974" i="8" s="1"/>
  <c r="F974" i="8"/>
  <c r="G5263" i="5"/>
  <c r="F885" i="8"/>
  <c r="H885" i="8"/>
  <c r="I885" i="8" s="1"/>
  <c r="H367" i="8"/>
  <c r="I367" i="8" s="1"/>
  <c r="H5188" i="5"/>
  <c r="E1324" i="8" s="1"/>
  <c r="G5181" i="5"/>
  <c r="G4550" i="5"/>
  <c r="G4617" i="5"/>
  <c r="G2884" i="5"/>
  <c r="G3365" i="5"/>
  <c r="G2359" i="5"/>
  <c r="G3130" i="5"/>
  <c r="G3100" i="5"/>
  <c r="G3589" i="5"/>
  <c r="H354" i="5"/>
  <c r="F31" i="8"/>
  <c r="H31" i="8"/>
  <c r="I31" i="8" s="1"/>
  <c r="F560" i="6"/>
  <c r="F571" i="8"/>
  <c r="H571" i="8"/>
  <c r="I571" i="8" s="1"/>
  <c r="F1920" i="8"/>
  <c r="H1920" i="8"/>
  <c r="I1920" i="8" s="1"/>
  <c r="F160" i="8"/>
  <c r="H160" i="8"/>
  <c r="I160" i="8" s="1"/>
  <c r="F856" i="8"/>
  <c r="H856" i="8"/>
  <c r="I856" i="8" s="1"/>
  <c r="F1815" i="8"/>
  <c r="H1815" i="8"/>
  <c r="I1815" i="8" s="1"/>
  <c r="F2902" i="8"/>
  <c r="H2902" i="8"/>
  <c r="I2902" i="8" s="1"/>
  <c r="F3260" i="8"/>
  <c r="H3260" i="8"/>
  <c r="I3260" i="8" s="1"/>
  <c r="F3234" i="8"/>
  <c r="H3234" i="8"/>
  <c r="I3234" i="8" s="1"/>
  <c r="F897" i="8"/>
  <c r="H897" i="8"/>
  <c r="I897" i="8" s="1"/>
  <c r="F3249" i="8"/>
  <c r="H3249" i="8"/>
  <c r="I3249" i="8" s="1"/>
  <c r="F853" i="8"/>
  <c r="H853" i="8"/>
  <c r="I853" i="8" s="1"/>
  <c r="F874" i="8"/>
  <c r="H874" i="8"/>
  <c r="I874" i="8" s="1"/>
  <c r="F2096" i="8"/>
  <c r="H2096" i="8"/>
  <c r="I2096" i="8" s="1"/>
  <c r="G1411" i="5"/>
  <c r="F2598" i="8"/>
  <c r="H2598" i="8"/>
  <c r="I2598" i="8" s="1"/>
  <c r="F1275" i="8"/>
  <c r="H1275" i="8"/>
  <c r="I1275" i="8" s="1"/>
  <c r="F122" i="8"/>
  <c r="H122" i="8"/>
  <c r="I122" i="8" s="1"/>
  <c r="F876" i="8"/>
  <c r="H876" i="8"/>
  <c r="I876" i="8" s="1"/>
  <c r="G5377" i="5"/>
  <c r="F590" i="6"/>
  <c r="F505" i="8"/>
  <c r="H505" i="8"/>
  <c r="I505" i="8" s="1"/>
  <c r="G2574" i="5"/>
  <c r="H4811" i="5"/>
  <c r="F1921" i="8"/>
  <c r="H1921" i="8"/>
  <c r="I1921" i="8" s="1"/>
  <c r="H6206" i="5"/>
  <c r="E2601" i="8" s="1"/>
  <c r="G111" i="7"/>
  <c r="H1667" i="5"/>
  <c r="H2841" i="5"/>
  <c r="F873" i="8"/>
  <c r="H873" i="8"/>
  <c r="I873" i="8" s="1"/>
  <c r="H3830" i="5"/>
  <c r="F2684" i="8"/>
  <c r="H2684" i="8"/>
  <c r="I2684" i="8" s="1"/>
  <c r="F718" i="8"/>
  <c r="H718" i="8"/>
  <c r="I718" i="8" s="1"/>
  <c r="H5136" i="5"/>
  <c r="E1317" i="8" s="1"/>
  <c r="G4727" i="5"/>
  <c r="F3251" i="8"/>
  <c r="H3251" i="8"/>
  <c r="I3251" i="8" s="1"/>
  <c r="H366" i="8"/>
  <c r="I366" i="8" s="1"/>
  <c r="F519" i="8"/>
  <c r="H519" i="8"/>
  <c r="I519" i="8" s="1"/>
  <c r="G5462" i="5"/>
  <c r="F583" i="8"/>
  <c r="H583" i="8"/>
  <c r="I583" i="8" s="1"/>
  <c r="F369" i="8"/>
  <c r="F517" i="8"/>
  <c r="H517" i="8"/>
  <c r="I517" i="8" s="1"/>
  <c r="H1391" i="8"/>
  <c r="I1391" i="8" s="1"/>
  <c r="H253" i="8"/>
  <c r="I253" i="8" s="1"/>
  <c r="F253" i="8"/>
  <c r="F3257" i="8"/>
  <c r="H3257" i="8"/>
  <c r="I3257" i="8" s="1"/>
  <c r="F208" i="8"/>
  <c r="F368" i="8"/>
  <c r="G1366" i="5"/>
  <c r="F46" i="8"/>
  <c r="H46" i="8"/>
  <c r="I46" i="8" s="1"/>
  <c r="H1255" i="8"/>
  <c r="I1255" i="8" s="1"/>
  <c r="F1255" i="8"/>
  <c r="F1922" i="8"/>
  <c r="H1922" i="8"/>
  <c r="I1922" i="8" s="1"/>
  <c r="F467" i="6"/>
  <c r="F3225" i="8"/>
  <c r="H3225" i="8"/>
  <c r="I3225" i="8" s="1"/>
  <c r="H2248" i="5"/>
  <c r="F499" i="6"/>
  <c r="F151" i="6"/>
  <c r="F914" i="8"/>
  <c r="H914" i="8"/>
  <c r="I914" i="8" s="1"/>
  <c r="H190" i="8"/>
  <c r="I190" i="8" s="1"/>
  <c r="G1773" i="5"/>
  <c r="H3873" i="5"/>
  <c r="E1067" i="8" s="1"/>
  <c r="F570" i="8"/>
  <c r="H570" i="8"/>
  <c r="I570" i="8" s="1"/>
  <c r="F1040" i="8"/>
  <c r="H1040" i="8"/>
  <c r="I1040" i="8" s="1"/>
  <c r="F3259" i="8"/>
  <c r="H3259" i="8"/>
  <c r="I3259" i="8" s="1"/>
  <c r="F223" i="6"/>
  <c r="G1653" i="5"/>
  <c r="G2353" i="5"/>
  <c r="G1742" i="5"/>
  <c r="G7495" i="5"/>
  <c r="G1959" i="5"/>
  <c r="G21" i="5"/>
  <c r="G2969" i="5"/>
  <c r="G6469" i="5"/>
  <c r="G5145" i="5"/>
  <c r="F956" i="8"/>
  <c r="H956" i="8"/>
  <c r="I956" i="8" s="1"/>
  <c r="F859" i="8"/>
  <c r="H859" i="8"/>
  <c r="I859" i="8" s="1"/>
  <c r="F957" i="8"/>
  <c r="H957" i="8"/>
  <c r="I957" i="8" s="1"/>
  <c r="F716" i="8"/>
  <c r="H716" i="8"/>
  <c r="I716" i="8" s="1"/>
  <c r="F872" i="8"/>
  <c r="H872" i="8"/>
  <c r="I872" i="8" s="1"/>
  <c r="H975" i="8"/>
  <c r="I975" i="8" s="1"/>
  <c r="F975" i="8"/>
  <c r="F498" i="6"/>
  <c r="F143" i="8"/>
  <c r="H143" i="8"/>
  <c r="I143" i="8" s="1"/>
  <c r="F1073" i="8"/>
  <c r="H1073" i="8"/>
  <c r="I1073" i="8" s="1"/>
  <c r="F962" i="8"/>
  <c r="H962" i="8"/>
  <c r="I962" i="8" s="1"/>
  <c r="H313" i="8"/>
  <c r="I313" i="8" s="1"/>
  <c r="F313" i="8"/>
  <c r="H3191" i="5"/>
  <c r="E922" i="8" s="1"/>
  <c r="H4285" i="5"/>
  <c r="E1134" i="8" s="1"/>
  <c r="H228" i="8"/>
  <c r="I228" i="8" s="1"/>
  <c r="F114" i="8"/>
  <c r="F719" i="8"/>
  <c r="H719" i="8"/>
  <c r="I719" i="8" s="1"/>
  <c r="F1041" i="8"/>
  <c r="H1041" i="8"/>
  <c r="I1041" i="8" s="1"/>
  <c r="F965" i="8"/>
  <c r="H965" i="8"/>
  <c r="I965" i="8" s="1"/>
  <c r="H883" i="8"/>
  <c r="I883" i="8" s="1"/>
  <c r="F883" i="8"/>
  <c r="H2623" i="8"/>
  <c r="I2623" i="8" s="1"/>
  <c r="F2623" i="8"/>
  <c r="F591" i="6"/>
  <c r="H1785" i="5"/>
  <c r="E288" i="8" s="1"/>
  <c r="G1680" i="5"/>
  <c r="H2622" i="8"/>
  <c r="I2622" i="8" s="1"/>
  <c r="F979" i="8"/>
  <c r="H6373" i="5"/>
  <c r="E2620" i="8" s="1"/>
  <c r="F3095" i="8"/>
  <c r="H3095" i="8"/>
  <c r="I3095" i="8" s="1"/>
  <c r="F298" i="8"/>
  <c r="H298" i="8"/>
  <c r="I298" i="8" s="1"/>
  <c r="H375" i="8"/>
  <c r="I375" i="8" s="1"/>
  <c r="H1928" i="5"/>
  <c r="H2856" i="5"/>
  <c r="H314" i="8"/>
  <c r="I314" i="8" s="1"/>
  <c r="F314" i="8"/>
  <c r="H1964" i="5"/>
  <c r="E325" i="8" s="1"/>
  <c r="F3092" i="8"/>
  <c r="H3092" i="8"/>
  <c r="I3092" i="8" s="1"/>
  <c r="H131" i="8"/>
  <c r="I131" i="8" s="1"/>
  <c r="F56" i="6"/>
  <c r="F23" i="8"/>
  <c r="H23" i="8"/>
  <c r="I23" i="8" s="1"/>
  <c r="F1143" i="8"/>
  <c r="H1143" i="8"/>
  <c r="I1143" i="8" s="1"/>
  <c r="H11" i="8"/>
  <c r="I11" i="8" s="1"/>
  <c r="F11" i="8"/>
  <c r="F1248" i="8"/>
  <c r="H1248" i="8"/>
  <c r="I1248" i="8" s="1"/>
  <c r="F508" i="8"/>
  <c r="H508" i="8"/>
  <c r="I508" i="8" s="1"/>
  <c r="H1865" i="5"/>
  <c r="F1075" i="8"/>
  <c r="F1817" i="8"/>
  <c r="H1817" i="8"/>
  <c r="I1817" i="8" s="1"/>
  <c r="H370" i="8"/>
  <c r="I370" i="8" s="1"/>
  <c r="G3339" i="5"/>
  <c r="F281" i="6"/>
  <c r="F1190" i="8"/>
  <c r="H1190" i="8"/>
  <c r="I1190" i="8" s="1"/>
  <c r="F870" i="8"/>
  <c r="H870" i="8"/>
  <c r="I870" i="8" s="1"/>
  <c r="F123" i="8"/>
  <c r="H123" i="8"/>
  <c r="I123" i="8" s="1"/>
  <c r="H2597" i="8"/>
  <c r="I2597" i="8" s="1"/>
  <c r="F2597" i="8"/>
  <c r="H1238" i="8"/>
  <c r="I1238" i="8" s="1"/>
  <c r="F1238" i="8"/>
  <c r="F57" i="6"/>
  <c r="G1720" i="5"/>
  <c r="G4919" i="5"/>
  <c r="G681" i="5"/>
  <c r="G5153" i="5"/>
  <c r="G3090" i="5"/>
  <c r="G8229" i="5"/>
  <c r="G1891" i="5"/>
  <c r="G4912" i="5"/>
  <c r="G5167" i="5"/>
  <c r="H3215" i="5"/>
  <c r="F3371" i="8"/>
  <c r="H3371" i="8"/>
  <c r="I3371" i="8" s="1"/>
  <c r="F640" i="6"/>
  <c r="F2100" i="8"/>
  <c r="H2100" i="8"/>
  <c r="I2100" i="8" s="1"/>
  <c r="F1044" i="8"/>
  <c r="H1044" i="8"/>
  <c r="I1044" i="8" s="1"/>
  <c r="G5378" i="5"/>
  <c r="H159" i="8"/>
  <c r="I159" i="8" s="1"/>
  <c r="F159" i="8"/>
  <c r="H1254" i="8"/>
  <c r="I1254" i="8" s="1"/>
  <c r="F1254" i="8"/>
  <c r="G1940" i="5"/>
  <c r="H1182" i="8"/>
  <c r="I1182" i="8" s="1"/>
  <c r="F336" i="8"/>
  <c r="F518" i="8"/>
  <c r="H518" i="8"/>
  <c r="I518" i="8" s="1"/>
  <c r="H1042" i="8"/>
  <c r="I1042" i="8" s="1"/>
  <c r="F1042" i="8"/>
  <c r="F1130" i="8"/>
  <c r="H1130" i="8"/>
  <c r="I1130" i="8" s="1"/>
  <c r="F252" i="6"/>
  <c r="H3380" i="8"/>
  <c r="I3380" i="8" s="1"/>
  <c r="F3380" i="8"/>
  <c r="F866" i="8"/>
  <c r="H866" i="8"/>
  <c r="I866" i="8" s="1"/>
  <c r="H4965" i="5"/>
  <c r="E1269" i="8" s="1"/>
  <c r="H880" i="8"/>
  <c r="I880" i="8" s="1"/>
  <c r="F880" i="8"/>
  <c r="G4728" i="5"/>
  <c r="F2900" i="8"/>
  <c r="H2900" i="8"/>
  <c r="I2900" i="8" s="1"/>
  <c r="F35" i="8"/>
  <c r="H35" i="8"/>
  <c r="I35" i="8" s="1"/>
  <c r="F166" i="8"/>
  <c r="H166" i="8"/>
  <c r="I166" i="8" s="1"/>
  <c r="F423" i="6"/>
  <c r="G1606" i="5"/>
  <c r="F1045" i="8"/>
  <c r="H1045" i="8"/>
  <c r="I1045" i="8" s="1"/>
  <c r="F308" i="6"/>
  <c r="F516" i="8"/>
  <c r="H516" i="8"/>
  <c r="I516" i="8" s="1"/>
  <c r="F3228" i="8"/>
  <c r="H3228" i="8"/>
  <c r="I3228" i="8" s="1"/>
  <c r="G528" i="5"/>
  <c r="F1337" i="8"/>
  <c r="F512" i="8"/>
  <c r="H512" i="8"/>
  <c r="I512" i="8" s="1"/>
  <c r="F851" i="8"/>
  <c r="H851" i="8"/>
  <c r="I851" i="8" s="1"/>
  <c r="H775" i="5"/>
  <c r="E147" i="8" s="1"/>
  <c r="F32" i="7"/>
  <c r="F1017" i="8"/>
  <c r="H1017" i="8"/>
  <c r="I1017" i="8" s="1"/>
  <c r="F3261" i="8"/>
  <c r="H3261" i="8"/>
  <c r="I3261" i="8" s="1"/>
  <c r="H4925" i="5"/>
  <c r="E1263" i="8" s="1"/>
  <c r="F2686" i="8"/>
  <c r="H2686" i="8"/>
  <c r="I2686" i="8" s="1"/>
  <c r="H1260" i="8"/>
  <c r="I1260" i="8" s="1"/>
  <c r="G2582" i="5"/>
  <c r="F514" i="8"/>
  <c r="H514" i="8"/>
  <c r="I514" i="8" s="1"/>
  <c r="F715" i="8"/>
  <c r="H715" i="8"/>
  <c r="I715" i="8" s="1"/>
  <c r="F3097" i="8"/>
  <c r="H3097" i="8"/>
  <c r="I3097" i="8" s="1"/>
  <c r="H6198" i="5"/>
  <c r="E2600" i="8" s="1"/>
  <c r="F1107" i="8"/>
  <c r="H1107" i="8"/>
  <c r="I1107" i="8" s="1"/>
  <c r="H1951" i="5"/>
  <c r="F1081" i="8"/>
  <c r="F1819" i="8"/>
  <c r="H1819" i="8"/>
  <c r="I1819" i="8" s="1"/>
  <c r="H1301" i="8"/>
  <c r="I1301" i="8" s="1"/>
  <c r="F2694" i="8"/>
  <c r="H2694" i="8"/>
  <c r="I2694" i="8" s="1"/>
  <c r="F237" i="6"/>
  <c r="F722" i="8"/>
  <c r="H722" i="8"/>
  <c r="I722" i="8" s="1"/>
  <c r="F251" i="8"/>
  <c r="H251" i="8"/>
  <c r="I251" i="8" s="1"/>
  <c r="H988" i="8"/>
  <c r="I988" i="8" s="1"/>
  <c r="F988" i="8"/>
  <c r="F62" i="8"/>
  <c r="H62" i="8"/>
  <c r="I62" i="8" s="1"/>
  <c r="F515" i="8"/>
  <c r="H515" i="8"/>
  <c r="I515" i="8" s="1"/>
  <c r="H932" i="8"/>
  <c r="I932" i="8" s="1"/>
  <c r="F857" i="8"/>
  <c r="H857" i="8"/>
  <c r="I857" i="8" s="1"/>
  <c r="F1038" i="8"/>
  <c r="H1038" i="8"/>
  <c r="I1038" i="8" s="1"/>
  <c r="H916" i="8"/>
  <c r="I916" i="8" s="1"/>
  <c r="F916" i="8"/>
  <c r="F900" i="8"/>
  <c r="H900" i="8"/>
  <c r="I900" i="8" s="1"/>
  <c r="F1142" i="8"/>
  <c r="H1142" i="8"/>
  <c r="I1142" i="8" s="1"/>
  <c r="F639" i="6"/>
  <c r="H3104" i="5"/>
  <c r="G3333" i="5"/>
  <c r="G451" i="5"/>
  <c r="G4940" i="5"/>
  <c r="G1700" i="5"/>
  <c r="G4019" i="5"/>
  <c r="G1947" i="5"/>
  <c r="G3077" i="5"/>
  <c r="G2393" i="5"/>
  <c r="G3120" i="5"/>
  <c r="G493" i="5"/>
  <c r="F1270" i="8"/>
  <c r="H1270" i="8"/>
  <c r="I1270" i="8" s="1"/>
  <c r="F1930" i="8"/>
  <c r="H1930" i="8"/>
  <c r="I1930" i="8" s="1"/>
  <c r="F276" i="8"/>
  <c r="H276" i="8"/>
  <c r="I276" i="8" s="1"/>
  <c r="F1291" i="8"/>
  <c r="G2230" i="5"/>
  <c r="H2616" i="8"/>
  <c r="I2616" i="8" s="1"/>
  <c r="F2616" i="8"/>
  <c r="F207" i="8"/>
  <c r="F212" i="8"/>
  <c r="F506" i="8"/>
  <c r="H506" i="8"/>
  <c r="I506" i="8" s="1"/>
  <c r="F1144" i="8"/>
  <c r="H1144" i="8"/>
  <c r="I1144" i="8" s="1"/>
  <c r="F858" i="8"/>
  <c r="H858" i="8"/>
  <c r="I858" i="8" s="1"/>
  <c r="F981" i="8"/>
  <c r="H981" i="8"/>
  <c r="I981" i="8" s="1"/>
  <c r="F3235" i="8"/>
  <c r="H3235" i="8"/>
  <c r="I3235" i="8" s="1"/>
  <c r="F434" i="6"/>
  <c r="F340" i="8"/>
  <c r="H3246" i="5"/>
  <c r="E930" i="8" s="1"/>
  <c r="H1859" i="5"/>
  <c r="H3699" i="5"/>
  <c r="H1172" i="8"/>
  <c r="I1172" i="8" s="1"/>
  <c r="F1172" i="8"/>
  <c r="F923" i="8"/>
  <c r="H923" i="8"/>
  <c r="I923" i="8" s="1"/>
  <c r="H3114" i="5"/>
  <c r="F575" i="6"/>
  <c r="G572" i="6" s="1"/>
  <c r="F964" i="8"/>
  <c r="H964" i="8"/>
  <c r="I964" i="8" s="1"/>
  <c r="H156" i="8"/>
  <c r="I156" i="8" s="1"/>
  <c r="F156" i="8"/>
  <c r="F125" i="8"/>
  <c r="H125" i="8"/>
  <c r="I125" i="8" s="1"/>
  <c r="F316" i="8"/>
  <c r="H316" i="8"/>
  <c r="I316" i="8" s="1"/>
  <c r="G3211" i="5"/>
  <c r="F1283" i="8"/>
  <c r="H1283" i="8"/>
  <c r="I1283" i="8" s="1"/>
  <c r="F1353" i="8"/>
  <c r="G4170" i="5"/>
  <c r="F2384" i="8"/>
  <c r="H2384" i="8"/>
  <c r="I2384" i="8" s="1"/>
  <c r="G2583" i="5"/>
  <c r="F113" i="8"/>
  <c r="H5128" i="5"/>
  <c r="E1316" i="8" s="1"/>
  <c r="F855" i="8"/>
  <c r="H855" i="8"/>
  <c r="I855" i="8" s="1"/>
  <c r="F1354" i="8"/>
  <c r="G1426" i="5"/>
  <c r="F1812" i="8"/>
  <c r="H1812" i="8"/>
  <c r="I1812" i="8" s="1"/>
  <c r="H154" i="8"/>
  <c r="I154" i="8" s="1"/>
  <c r="F154" i="8"/>
  <c r="F79" i="7"/>
  <c r="F249" i="8"/>
  <c r="H249" i="8"/>
  <c r="I249" i="8" s="1"/>
  <c r="G5352" i="5"/>
  <c r="F2991" i="8"/>
  <c r="H2991" i="8"/>
  <c r="I2991" i="8" s="1"/>
  <c r="F1251" i="8"/>
  <c r="H1251" i="8"/>
  <c r="I1251" i="8" s="1"/>
  <c r="F567" i="8"/>
  <c r="H567" i="8"/>
  <c r="I567" i="8" s="1"/>
  <c r="G1780" i="5"/>
  <c r="F1074" i="8"/>
  <c r="H1074" i="8"/>
  <c r="I1074" i="8" s="1"/>
  <c r="F222" i="6"/>
  <c r="F3283" i="8"/>
  <c r="H3283" i="8"/>
  <c r="I3283" i="8" s="1"/>
  <c r="G1709" i="5"/>
  <c r="G1837" i="5"/>
  <c r="G7393" i="5"/>
  <c r="G1843" i="5"/>
  <c r="G2999" i="5"/>
  <c r="G2218" i="5"/>
  <c r="G3110" i="5"/>
  <c r="G1353" i="5"/>
  <c r="G5197" i="5"/>
  <c r="G5390" i="5"/>
  <c r="H982" i="8"/>
  <c r="I982" i="8" s="1"/>
  <c r="F982" i="8"/>
  <c r="H12" i="8"/>
  <c r="I12" i="8" s="1"/>
  <c r="F12" i="8"/>
  <c r="H3263" i="8"/>
  <c r="I3263" i="8" s="1"/>
  <c r="F3263" i="8"/>
  <c r="F977" i="8"/>
  <c r="H977" i="8"/>
  <c r="I977" i="8" s="1"/>
  <c r="H1276" i="8"/>
  <c r="I1276" i="8" s="1"/>
  <c r="F1276" i="8"/>
  <c r="G7226" i="5"/>
  <c r="F1043" i="8"/>
  <c r="H1043" i="8"/>
  <c r="I1043" i="8" s="1"/>
  <c r="F1288" i="8"/>
  <c r="F884" i="8"/>
  <c r="H884" i="8"/>
  <c r="I884" i="8" s="1"/>
  <c r="H917" i="8"/>
  <c r="I917" i="8" s="1"/>
  <c r="F917" i="8"/>
  <c r="F309" i="6"/>
  <c r="F3358" i="8"/>
  <c r="H3358" i="8"/>
  <c r="I3358" i="8" s="1"/>
  <c r="F251" i="6"/>
  <c r="F22" i="8"/>
  <c r="H22" i="8"/>
  <c r="I22" i="8" s="1"/>
  <c r="F513" i="8"/>
  <c r="H513" i="8"/>
  <c r="I513" i="8" s="1"/>
  <c r="H1289" i="8"/>
  <c r="I1289" i="8" s="1"/>
  <c r="F1289" i="8"/>
  <c r="H4301" i="5"/>
  <c r="H344" i="5"/>
  <c r="H5219" i="5"/>
  <c r="E1332" i="8" s="1"/>
  <c r="F11" i="6"/>
  <c r="H5478" i="5"/>
  <c r="H1792" i="5"/>
  <c r="E289" i="8" s="1"/>
  <c r="G6238" i="5"/>
  <c r="F3392" i="8"/>
  <c r="H3392" i="8"/>
  <c r="I3392" i="8" s="1"/>
  <c r="F3227" i="8"/>
  <c r="H3227" i="8"/>
  <c r="I3227" i="8" s="1"/>
  <c r="F947" i="8"/>
  <c r="H947" i="8"/>
  <c r="I947" i="8" s="1"/>
  <c r="F1818" i="8"/>
  <c r="H1818" i="8"/>
  <c r="I1818" i="8" s="1"/>
  <c r="F992" i="8"/>
  <c r="H992" i="8"/>
  <c r="I992" i="8" s="1"/>
  <c r="H3967" i="5"/>
  <c r="E1078" i="8" s="1"/>
  <c r="F2685" i="8"/>
  <c r="H2685" i="8"/>
  <c r="I2685" i="8" s="1"/>
  <c r="G912" i="5"/>
  <c r="H3124" i="5"/>
  <c r="H277" i="8"/>
  <c r="I277" i="8" s="1"/>
  <c r="H3183" i="5"/>
  <c r="E921" i="8" s="1"/>
  <c r="G1553" i="5"/>
  <c r="F899" i="8"/>
  <c r="H899" i="8"/>
  <c r="I899" i="8" s="1"/>
  <c r="H5488" i="5"/>
  <c r="E1395" i="8" s="1"/>
  <c r="H3846" i="5"/>
  <c r="E1064" i="8" s="1"/>
  <c r="F509" i="8"/>
  <c r="H509" i="8"/>
  <c r="I509" i="8" s="1"/>
  <c r="F468" i="6"/>
  <c r="F3220" i="8"/>
  <c r="H3220" i="8"/>
  <c r="I3220" i="8" s="1"/>
  <c r="H4806" i="5"/>
  <c r="F364" i="8"/>
  <c r="F1814" i="8"/>
  <c r="H1814" i="8"/>
  <c r="I1814" i="8" s="1"/>
  <c r="H2861" i="5"/>
  <c r="H1662" i="5"/>
  <c r="F3368" i="8"/>
  <c r="H3368" i="8"/>
  <c r="I3368" i="8" s="1"/>
  <c r="F191" i="8"/>
  <c r="F961" i="8"/>
  <c r="H961" i="8"/>
  <c r="I961" i="8" s="1"/>
  <c r="F31" i="7"/>
  <c r="F188" i="8"/>
  <c r="F231" i="8"/>
  <c r="H1336" i="8"/>
  <c r="I1336" i="8" s="1"/>
  <c r="F335" i="6"/>
  <c r="F323" i="6"/>
  <c r="H333" i="8"/>
  <c r="I333" i="8" s="1"/>
  <c r="F189" i="8"/>
  <c r="F1183" i="8"/>
  <c r="H1183" i="8"/>
  <c r="I1183" i="8" s="1"/>
  <c r="F1250" i="8"/>
  <c r="H1250" i="8"/>
  <c r="I1250" i="8" s="1"/>
  <c r="F1813" i="8"/>
  <c r="H1813" i="8"/>
  <c r="I1813" i="8" s="1"/>
  <c r="F871" i="8"/>
  <c r="H871" i="8"/>
  <c r="I871" i="8" s="1"/>
  <c r="F1816" i="8"/>
  <c r="H1816" i="8"/>
  <c r="I1816" i="8" s="1"/>
  <c r="F334" i="6"/>
  <c r="F1178" i="8"/>
  <c r="H1178" i="8"/>
  <c r="I1178" i="8" s="1"/>
  <c r="H707" i="5"/>
  <c r="E132" i="8" s="1"/>
  <c r="G2867" i="5"/>
  <c r="G690" i="5"/>
  <c r="G3951" i="5"/>
  <c r="G4356" i="5"/>
  <c r="G788" i="5"/>
  <c r="G1298" i="5"/>
  <c r="G4959" i="5"/>
  <c r="G2949" i="5"/>
  <c r="G1849" i="5"/>
  <c r="F124" i="8"/>
  <c r="H124" i="8"/>
  <c r="I124" i="8" s="1"/>
  <c r="H2888" i="5"/>
  <c r="H1148" i="8"/>
  <c r="I1148" i="8" s="1"/>
  <c r="F1148" i="8"/>
  <c r="G7365" i="5"/>
  <c r="F359" i="8"/>
  <c r="H359" i="8"/>
  <c r="I359" i="8" s="1"/>
  <c r="F435" i="6"/>
  <c r="F1356" i="8"/>
  <c r="G4886" i="5"/>
  <c r="G636" i="5"/>
  <c r="F3090" i="8"/>
  <c r="H3090" i="8"/>
  <c r="I3090" i="8" s="1"/>
  <c r="H3051" i="5"/>
  <c r="F299" i="8"/>
  <c r="H299" i="8"/>
  <c r="I299" i="8" s="1"/>
  <c r="F136" i="8"/>
  <c r="F3089" i="8"/>
  <c r="H3089" i="8"/>
  <c r="I3089" i="8" s="1"/>
  <c r="G2575" i="5"/>
  <c r="F24" i="8"/>
  <c r="H24" i="8"/>
  <c r="I24" i="8" s="1"/>
  <c r="H5241" i="5"/>
  <c r="E1334" i="8" s="1"/>
  <c r="F1118" i="8"/>
  <c r="H1118" i="8"/>
  <c r="I1118" i="8" s="1"/>
  <c r="H1822" i="5"/>
  <c r="G789" i="5"/>
  <c r="H3664" i="5"/>
  <c r="G293" i="5"/>
  <c r="F12" i="6"/>
  <c r="H1883" i="5"/>
  <c r="F1923" i="8"/>
  <c r="H1923" i="8"/>
  <c r="I1923" i="8" s="1"/>
  <c r="G1607" i="5"/>
  <c r="G2111" i="5"/>
  <c r="F322" i="6"/>
  <c r="F236" i="6"/>
  <c r="F1039" i="8"/>
  <c r="H1039" i="8"/>
  <c r="I1039" i="8" s="1"/>
  <c r="F1109" i="8"/>
  <c r="H1109" i="8"/>
  <c r="I1109" i="8" s="1"/>
  <c r="G6173" i="5"/>
  <c r="H1933" i="5"/>
  <c r="F315" i="8"/>
  <c r="H315" i="8"/>
  <c r="I315" i="8" s="1"/>
  <c r="H1628" i="5"/>
  <c r="F3050" i="8"/>
  <c r="H3050" i="8"/>
  <c r="I3050" i="8" s="1"/>
  <c r="G1731" i="5"/>
  <c r="G1766" i="5"/>
  <c r="G1939" i="5"/>
  <c r="G4374" i="5"/>
  <c r="G3014" i="5"/>
  <c r="G3004" i="5"/>
  <c r="G2348" i="5"/>
  <c r="G3575" i="5"/>
  <c r="G2852" i="5"/>
  <c r="H1322" i="8"/>
  <c r="I1322" i="8" s="1"/>
  <c r="E926" i="8" l="1"/>
  <c r="E1135" i="8"/>
  <c r="E365" i="8"/>
  <c r="E87" i="8"/>
  <c r="E893" i="8"/>
  <c r="E1364" i="8"/>
  <c r="E1340" i="8"/>
  <c r="E323" i="8"/>
  <c r="E3282" i="8"/>
  <c r="E1082" i="8"/>
  <c r="E864" i="8"/>
  <c r="E898" i="8"/>
  <c r="E1245" i="8"/>
  <c r="E909" i="8"/>
  <c r="E308" i="8"/>
  <c r="E863" i="8"/>
  <c r="E877" i="8"/>
  <c r="E903" i="8"/>
  <c r="E907" i="8"/>
  <c r="E266" i="8"/>
  <c r="E320" i="8"/>
  <c r="E869" i="8"/>
  <c r="E272" i="8"/>
  <c r="E1392" i="8"/>
  <c r="E86" i="8"/>
  <c r="E1331" i="8"/>
  <c r="E307" i="8"/>
  <c r="E311" i="8"/>
  <c r="E994" i="8"/>
  <c r="E911" i="8"/>
  <c r="E997" i="8"/>
  <c r="E319" i="8"/>
  <c r="E1058" i="8"/>
  <c r="E860" i="8"/>
  <c r="E1168" i="8"/>
  <c r="E157" i="8"/>
  <c r="E273" i="8"/>
  <c r="E1246" i="8"/>
  <c r="E301" i="8"/>
  <c r="G75" i="7"/>
  <c r="H1269" i="5"/>
  <c r="H486" i="5"/>
  <c r="E101" i="8" s="1"/>
  <c r="H113" i="8"/>
  <c r="I113" i="8" s="1"/>
  <c r="H208" i="8"/>
  <c r="I208" i="8" s="1"/>
  <c r="F228" i="8"/>
  <c r="H3038" i="5"/>
  <c r="H5051" i="5"/>
  <c r="H1370" i="5"/>
  <c r="E236" i="8" s="1"/>
  <c r="F190" i="8"/>
  <c r="F1260" i="8"/>
  <c r="F932" i="8"/>
  <c r="F131" i="8"/>
  <c r="H3028" i="5"/>
  <c r="H4816" i="5"/>
  <c r="G144" i="6"/>
  <c r="H369" i="8"/>
  <c r="I369" i="8" s="1"/>
  <c r="H2953" i="5"/>
  <c r="F375" i="8"/>
  <c r="H3018" i="5"/>
  <c r="H368" i="8"/>
  <c r="I368" i="8" s="1"/>
  <c r="F1257" i="8"/>
  <c r="H342" i="8"/>
  <c r="I342" i="8" s="1"/>
  <c r="H114" i="8"/>
  <c r="I114" i="8" s="1"/>
  <c r="F370" i="8"/>
  <c r="H1922" i="5"/>
  <c r="F367" i="8"/>
  <c r="H979" i="8"/>
  <c r="I979" i="8" s="1"/>
  <c r="H1075" i="8"/>
  <c r="I1075" i="8" s="1"/>
  <c r="F1391" i="8"/>
  <c r="F2622" i="8"/>
  <c r="F333" i="8"/>
  <c r="H340" i="8"/>
  <c r="I340" i="8" s="1"/>
  <c r="F1336" i="8"/>
  <c r="H1081" i="8"/>
  <c r="I1081" i="8" s="1"/>
  <c r="F277" i="8"/>
  <c r="H212" i="8"/>
  <c r="I212" i="8" s="1"/>
  <c r="H336" i="8"/>
  <c r="I336" i="8" s="1"/>
  <c r="H207" i="8"/>
  <c r="I207" i="8" s="1"/>
  <c r="H191" i="8"/>
  <c r="I191" i="8" s="1"/>
  <c r="H364" i="8"/>
  <c r="I364" i="8" s="1"/>
  <c r="G215" i="6"/>
  <c r="H1291" i="8"/>
  <c r="I1291" i="8" s="1"/>
  <c r="H188" i="8"/>
  <c r="I188" i="8" s="1"/>
  <c r="H189" i="8"/>
  <c r="I189" i="8" s="1"/>
  <c r="H1353" i="8"/>
  <c r="I1353" i="8" s="1"/>
  <c r="H1337" i="8"/>
  <c r="I1337" i="8" s="1"/>
  <c r="H1354" i="8"/>
  <c r="I1354" i="8" s="1"/>
  <c r="H1288" i="8"/>
  <c r="I1288" i="8" s="1"/>
  <c r="F1301" i="8"/>
  <c r="G243" i="6"/>
  <c r="G229" i="6"/>
  <c r="G26" i="7"/>
  <c r="G493" i="6"/>
  <c r="H231" i="8"/>
  <c r="I231" i="8" s="1"/>
  <c r="F366" i="8"/>
  <c r="H136" i="8"/>
  <c r="I136" i="8" s="1"/>
  <c r="H2109" i="5"/>
  <c r="F2869" i="8"/>
  <c r="H2869" i="8"/>
  <c r="I2869" i="8" s="1"/>
  <c r="H632" i="5"/>
  <c r="E120" i="8" s="1"/>
  <c r="F302" i="8"/>
  <c r="H302" i="8"/>
  <c r="I302" i="8" s="1"/>
  <c r="H4958" i="5"/>
  <c r="E1268" i="8" s="1"/>
  <c r="F1420" i="8"/>
  <c r="H1420" i="8"/>
  <c r="I1420" i="8" s="1"/>
  <c r="F1177" i="8"/>
  <c r="H1177" i="8"/>
  <c r="I1177" i="8" s="1"/>
  <c r="G8" i="6"/>
  <c r="F152" i="8"/>
  <c r="H152" i="8"/>
  <c r="I152" i="8" s="1"/>
  <c r="F1037" i="8"/>
  <c r="H1037" i="8"/>
  <c r="I1037" i="8" s="1"/>
  <c r="H1841" i="5"/>
  <c r="H1778" i="5"/>
  <c r="E287" i="8" s="1"/>
  <c r="F588" i="8"/>
  <c r="H588" i="8"/>
  <c r="I588" i="8" s="1"/>
  <c r="F2613" i="8"/>
  <c r="H2613" i="8"/>
  <c r="I2613" i="8" s="1"/>
  <c r="H935" i="8"/>
  <c r="I935" i="8" s="1"/>
  <c r="F935" i="8"/>
  <c r="F1181" i="8"/>
  <c r="H1181" i="8"/>
  <c r="I1181" i="8" s="1"/>
  <c r="F81" i="8"/>
  <c r="H81" i="8"/>
  <c r="I81" i="8" s="1"/>
  <c r="H492" i="5"/>
  <c r="E102" i="8" s="1"/>
  <c r="H4018" i="5"/>
  <c r="H2581" i="5"/>
  <c r="E574" i="8" s="1"/>
  <c r="F3311" i="8"/>
  <c r="H3311" i="8"/>
  <c r="I3311" i="8" s="1"/>
  <c r="F158" i="8"/>
  <c r="H158" i="8"/>
  <c r="I158" i="8" s="1"/>
  <c r="H1133" i="8"/>
  <c r="I1133" i="8" s="1"/>
  <c r="F1133" i="8"/>
  <c r="H5166" i="5"/>
  <c r="E1321" i="8" s="1"/>
  <c r="H150" i="8"/>
  <c r="I150" i="8" s="1"/>
  <c r="F150" i="8"/>
  <c r="F146" i="8"/>
  <c r="H146" i="8"/>
  <c r="I146" i="8" s="1"/>
  <c r="F3383" i="8"/>
  <c r="H3383" i="8"/>
  <c r="I3383" i="8" s="1"/>
  <c r="F2683" i="8"/>
  <c r="H2683" i="8"/>
  <c r="I2683" i="8" s="1"/>
  <c r="H5144" i="5"/>
  <c r="E1318" i="8" s="1"/>
  <c r="H20" i="5"/>
  <c r="E9" i="8" s="1"/>
  <c r="F939" i="8"/>
  <c r="H939" i="8"/>
  <c r="I939" i="8" s="1"/>
  <c r="H1364" i="5"/>
  <c r="E235" i="8" s="1"/>
  <c r="F2725" i="8"/>
  <c r="H2725" i="8"/>
  <c r="I2725" i="8" s="1"/>
  <c r="F3018" i="8"/>
  <c r="H3018" i="8"/>
  <c r="I3018" i="8" s="1"/>
  <c r="F1126" i="8"/>
  <c r="H1126" i="8"/>
  <c r="I1126" i="8" s="1"/>
  <c r="F1166" i="8"/>
  <c r="H1166" i="8"/>
  <c r="I1166" i="8" s="1"/>
  <c r="H2883" i="5"/>
  <c r="F92" i="6"/>
  <c r="F717" i="8"/>
  <c r="H717" i="8"/>
  <c r="I717" i="8" s="1"/>
  <c r="F511" i="8"/>
  <c r="H511" i="8"/>
  <c r="I511" i="8" s="1"/>
  <c r="F568" i="8"/>
  <c r="H568" i="8"/>
  <c r="I568" i="8" s="1"/>
  <c r="H1611" i="5"/>
  <c r="H3033" i="5"/>
  <c r="H284" i="8"/>
  <c r="I284" i="8" s="1"/>
  <c r="F284" i="8"/>
  <c r="G901" i="5"/>
  <c r="F720" i="8"/>
  <c r="H720" i="8"/>
  <c r="I720" i="8" s="1"/>
  <c r="F421" i="8"/>
  <c r="H421" i="8"/>
  <c r="I421" i="8" s="1"/>
  <c r="H786" i="5"/>
  <c r="F1274" i="8"/>
  <c r="H1274" i="8"/>
  <c r="I1274" i="8" s="1"/>
  <c r="H1356" i="8"/>
  <c r="I1356" i="8" s="1"/>
  <c r="H3003" i="5"/>
  <c r="F1423" i="8"/>
  <c r="H1423" i="8"/>
  <c r="I1423" i="8" s="1"/>
  <c r="H7363" i="5"/>
  <c r="E3252" i="8" s="1"/>
  <c r="H4355" i="5"/>
  <c r="E1139" i="8" s="1"/>
  <c r="H2866" i="5"/>
  <c r="H3262" i="8"/>
  <c r="I3262" i="8" s="1"/>
  <c r="F3262" i="8"/>
  <c r="F377" i="8"/>
  <c r="H377" i="8"/>
  <c r="I377" i="8" s="1"/>
  <c r="F102" i="6"/>
  <c r="F38" i="8"/>
  <c r="H38" i="8"/>
  <c r="I38" i="8" s="1"/>
  <c r="F2876" i="8"/>
  <c r="H2876" i="8"/>
  <c r="I2876" i="8" s="1"/>
  <c r="F2938" i="8"/>
  <c r="H2938" i="8"/>
  <c r="I2938" i="8" s="1"/>
  <c r="H5196" i="5"/>
  <c r="E1330" i="8" s="1"/>
  <c r="H2215" i="5"/>
  <c r="F108" i="8"/>
  <c r="H108" i="8"/>
  <c r="I108" i="8" s="1"/>
  <c r="F134" i="8"/>
  <c r="H134" i="8"/>
  <c r="I134" i="8" s="1"/>
  <c r="H27" i="8"/>
  <c r="I27" i="8" s="1"/>
  <c r="F27" i="8"/>
  <c r="F1886" i="8"/>
  <c r="H1886" i="8"/>
  <c r="I1886" i="8" s="1"/>
  <c r="H3208" i="5"/>
  <c r="E925" i="8" s="1"/>
  <c r="F2908" i="8"/>
  <c r="H2908" i="8"/>
  <c r="I2908" i="8" s="1"/>
  <c r="F3264" i="8"/>
  <c r="H3264" i="8"/>
  <c r="I3264" i="8" s="1"/>
  <c r="F936" i="8"/>
  <c r="H936" i="8"/>
  <c r="I936" i="8" s="1"/>
  <c r="F3024" i="8"/>
  <c r="H3024" i="8"/>
  <c r="I3024" i="8" s="1"/>
  <c r="F3427" i="8"/>
  <c r="H3427" i="8"/>
  <c r="I3427" i="8" s="1"/>
  <c r="H449" i="5"/>
  <c r="G632" i="6"/>
  <c r="F1421" i="8"/>
  <c r="H1421" i="8"/>
  <c r="I1421" i="8" s="1"/>
  <c r="F1116" i="8"/>
  <c r="H1116" i="8"/>
  <c r="I1116" i="8" s="1"/>
  <c r="F1876" i="8"/>
  <c r="H1876" i="8"/>
  <c r="I1876" i="8" s="1"/>
  <c r="F1184" i="8"/>
  <c r="H1184" i="8"/>
  <c r="I1184" i="8" s="1"/>
  <c r="H8227" i="5"/>
  <c r="H3267" i="8"/>
  <c r="I3267" i="8" s="1"/>
  <c r="F3267" i="8"/>
  <c r="H75" i="8"/>
  <c r="I75" i="8" s="1"/>
  <c r="F75" i="8"/>
  <c r="F371" i="8"/>
  <c r="H371" i="8"/>
  <c r="I371" i="8" s="1"/>
  <c r="H3247" i="8"/>
  <c r="I3247" i="8" s="1"/>
  <c r="F3247" i="8"/>
  <c r="H80" i="8"/>
  <c r="I80" i="8" s="1"/>
  <c r="F80" i="8"/>
  <c r="F1873" i="8"/>
  <c r="H1873" i="8"/>
  <c r="I1873" i="8" s="1"/>
  <c r="H1361" i="8"/>
  <c r="I1361" i="8" s="1"/>
  <c r="F1361" i="8"/>
  <c r="H1424" i="8"/>
  <c r="I1424" i="8" s="1"/>
  <c r="F1424" i="8"/>
  <c r="F3093" i="8"/>
  <c r="H3093" i="8"/>
  <c r="I3093" i="8" s="1"/>
  <c r="H2357" i="5"/>
  <c r="E380" i="8" s="1"/>
  <c r="H5180" i="5"/>
  <c r="E1323" i="8" s="1"/>
  <c r="F941" i="8"/>
  <c r="H941" i="8"/>
  <c r="I941" i="8" s="1"/>
  <c r="H437" i="5"/>
  <c r="E95" i="8" s="1"/>
  <c r="F581" i="8"/>
  <c r="H581" i="8"/>
  <c r="I581" i="8" s="1"/>
  <c r="H3900" i="5"/>
  <c r="E1069" i="8" s="1"/>
  <c r="F2923" i="8"/>
  <c r="H2923" i="8"/>
  <c r="I2923" i="8" s="1"/>
  <c r="G6172" i="5"/>
  <c r="F1210" i="8"/>
  <c r="H1210" i="8"/>
  <c r="I1210" i="8" s="1"/>
  <c r="G1873" i="5"/>
  <c r="G5124" i="5"/>
  <c r="G1391" i="5"/>
  <c r="F75" i="6"/>
  <c r="F1422" i="8"/>
  <c r="H1422" i="8"/>
  <c r="I1422" i="8" s="1"/>
  <c r="F85" i="8"/>
  <c r="H85" i="8"/>
  <c r="I85" i="8" s="1"/>
  <c r="H4373" i="5"/>
  <c r="E1141" i="8" s="1"/>
  <c r="G315" i="6"/>
  <c r="F3379" i="8"/>
  <c r="H3379" i="8"/>
  <c r="I3379" i="8" s="1"/>
  <c r="H194" i="8"/>
  <c r="I194" i="8" s="1"/>
  <c r="F194" i="8"/>
  <c r="H4885" i="5"/>
  <c r="H2695" i="8"/>
  <c r="I2695" i="8" s="1"/>
  <c r="F2695" i="8"/>
  <c r="F399" i="6"/>
  <c r="H1847" i="5"/>
  <c r="G329" i="6"/>
  <c r="F78" i="8"/>
  <c r="H78" i="8"/>
  <c r="I78" i="8" s="1"/>
  <c r="H1550" i="5"/>
  <c r="E255" i="8" s="1"/>
  <c r="H2603" i="8"/>
  <c r="I2603" i="8" s="1"/>
  <c r="F2603" i="8"/>
  <c r="F2753" i="8"/>
  <c r="H2753" i="8"/>
  <c r="I2753" i="8" s="1"/>
  <c r="F354" i="8"/>
  <c r="H354" i="8"/>
  <c r="I354" i="8" s="1"/>
  <c r="F261" i="6"/>
  <c r="H3076" i="5"/>
  <c r="F26" i="8"/>
  <c r="H26" i="8"/>
  <c r="I26" i="8" s="1"/>
  <c r="F422" i="6"/>
  <c r="G418" i="6" s="1"/>
  <c r="G301" i="6"/>
  <c r="H679" i="5"/>
  <c r="H21" i="8"/>
  <c r="I21" i="8" s="1"/>
  <c r="F21" i="8"/>
  <c r="H135" i="8"/>
  <c r="I135" i="8" s="1"/>
  <c r="F135" i="8"/>
  <c r="H3337" i="5"/>
  <c r="E943" i="8" s="1"/>
  <c r="F2706" i="8"/>
  <c r="H2706" i="8"/>
  <c r="I2706" i="8" s="1"/>
  <c r="F3426" i="8"/>
  <c r="H3426" i="8"/>
  <c r="I3426" i="8" s="1"/>
  <c r="H1019" i="8"/>
  <c r="I1019" i="8" s="1"/>
  <c r="F1019" i="8"/>
  <c r="F577" i="8"/>
  <c r="H577" i="8"/>
  <c r="I577" i="8" s="1"/>
  <c r="F576" i="8"/>
  <c r="H576" i="8"/>
  <c r="I576" i="8" s="1"/>
  <c r="H4726" i="5"/>
  <c r="F2936" i="8"/>
  <c r="H2936" i="8"/>
  <c r="I2936" i="8" s="1"/>
  <c r="H2573" i="5"/>
  <c r="F585" i="8"/>
  <c r="H585" i="8"/>
  <c r="I585" i="8" s="1"/>
  <c r="F3026" i="8"/>
  <c r="H3026" i="8"/>
  <c r="I3026" i="8" s="1"/>
  <c r="H49" i="8"/>
  <c r="I49" i="8" s="1"/>
  <c r="F49" i="8"/>
  <c r="F47" i="8"/>
  <c r="H47" i="8"/>
  <c r="I47" i="8" s="1"/>
  <c r="F91" i="6"/>
  <c r="H5459" i="5"/>
  <c r="E1382" i="8" s="1"/>
  <c r="H1278" i="8"/>
  <c r="I1278" i="8" s="1"/>
  <c r="F1278" i="8"/>
  <c r="F8" i="8"/>
  <c r="H8" i="8"/>
  <c r="I8" i="8" s="1"/>
  <c r="G553" i="6"/>
  <c r="H3094" i="5"/>
  <c r="F477" i="8"/>
  <c r="H477" i="8"/>
  <c r="I477" i="8" s="1"/>
  <c r="G4772" i="5"/>
  <c r="F584" i="8"/>
  <c r="H584" i="8"/>
  <c r="I584" i="8" s="1"/>
  <c r="G3952" i="5"/>
  <c r="H2618" i="8"/>
  <c r="I2618" i="8" s="1"/>
  <c r="F2618" i="8"/>
  <c r="H3573" i="5"/>
  <c r="H84" i="8"/>
  <c r="I84" i="8" s="1"/>
  <c r="F84" i="8"/>
  <c r="F3211" i="8"/>
  <c r="H3211" i="8"/>
  <c r="I3211" i="8" s="1"/>
  <c r="H1160" i="8"/>
  <c r="I1160" i="8" s="1"/>
  <c r="F1160" i="8"/>
  <c r="H1296" i="5"/>
  <c r="F317" i="8"/>
  <c r="H317" i="8"/>
  <c r="I317" i="8" s="1"/>
  <c r="F1410" i="8"/>
  <c r="H1410" i="8"/>
  <c r="I1410" i="8" s="1"/>
  <c r="F1499" i="8"/>
  <c r="H1499" i="8"/>
  <c r="I1499" i="8" s="1"/>
  <c r="F920" i="8"/>
  <c r="H920" i="8"/>
  <c r="I920" i="8" s="1"/>
  <c r="F3038" i="8"/>
  <c r="H3038" i="8"/>
  <c r="I3038" i="8" s="1"/>
  <c r="F3424" i="8"/>
  <c r="H3424" i="8"/>
  <c r="I3424" i="8" s="1"/>
  <c r="H7224" i="5"/>
  <c r="H7391" i="5"/>
  <c r="E3256" i="8" s="1"/>
  <c r="F241" i="8"/>
  <c r="H241" i="8"/>
  <c r="I241" i="8" s="1"/>
  <c r="F3091" i="8"/>
  <c r="H3091" i="8"/>
  <c r="I3091" i="8" s="1"/>
  <c r="G4133" i="5"/>
  <c r="F99" i="8"/>
  <c r="H99" i="8"/>
  <c r="I99" i="8" s="1"/>
  <c r="F2816" i="8"/>
  <c r="H2816" i="8"/>
  <c r="I2816" i="8" s="1"/>
  <c r="F913" i="8"/>
  <c r="H913" i="8"/>
  <c r="I913" i="8" s="1"/>
  <c r="F934" i="8"/>
  <c r="H934" i="8"/>
  <c r="I934" i="8" s="1"/>
  <c r="H213" i="8"/>
  <c r="I213" i="8" s="1"/>
  <c r="F213" i="8"/>
  <c r="F924" i="8"/>
  <c r="H924" i="8"/>
  <c r="I924" i="8" s="1"/>
  <c r="F587" i="8"/>
  <c r="H587" i="8"/>
  <c r="I587" i="8" s="1"/>
  <c r="H329" i="8"/>
  <c r="I329" i="8" s="1"/>
  <c r="F329" i="8"/>
  <c r="H2228" i="5"/>
  <c r="H3331" i="5"/>
  <c r="E942" i="8" s="1"/>
  <c r="F2722" i="8"/>
  <c r="H2722" i="8"/>
  <c r="I2722" i="8" s="1"/>
  <c r="F3434" i="8"/>
  <c r="H3434" i="8"/>
  <c r="I3434" i="8" s="1"/>
  <c r="F572" i="8"/>
  <c r="H572" i="8"/>
  <c r="I572" i="8" s="1"/>
  <c r="F1419" i="8"/>
  <c r="H1419" i="8"/>
  <c r="I1419" i="8" s="1"/>
  <c r="F1872" i="8"/>
  <c r="H1872" i="8"/>
  <c r="I1872" i="8" s="1"/>
  <c r="H4911" i="5"/>
  <c r="E1261" i="8" s="1"/>
  <c r="H3089" i="5"/>
  <c r="F355" i="8"/>
  <c r="H355" i="8"/>
  <c r="I355" i="8" s="1"/>
  <c r="H963" i="8"/>
  <c r="I963" i="8" s="1"/>
  <c r="F963" i="8"/>
  <c r="G50" i="6"/>
  <c r="H6468" i="5"/>
  <c r="H2352" i="5"/>
  <c r="F2814" i="8"/>
  <c r="H2814" i="8"/>
  <c r="I2814" i="8" s="1"/>
  <c r="H1771" i="5"/>
  <c r="E286" i="8" s="1"/>
  <c r="F3236" i="8"/>
  <c r="H3236" i="8"/>
  <c r="I3236" i="8" s="1"/>
  <c r="H175" i="8"/>
  <c r="I175" i="8" s="1"/>
  <c r="F175" i="8"/>
  <c r="G584" i="6"/>
  <c r="H3433" i="8"/>
  <c r="I3433" i="8" s="1"/>
  <c r="F3433" i="8"/>
  <c r="F2907" i="8"/>
  <c r="H2907" i="8"/>
  <c r="I2907" i="8" s="1"/>
  <c r="H3099" i="5"/>
  <c r="H4615" i="5"/>
  <c r="G1941" i="5"/>
  <c r="H5260" i="5"/>
  <c r="F1874" i="8"/>
  <c r="H1874" i="8"/>
  <c r="I1874" i="8" s="1"/>
  <c r="H308" i="5"/>
  <c r="E83" i="8" s="1"/>
  <c r="F476" i="8"/>
  <c r="H476" i="8"/>
  <c r="I476" i="8" s="1"/>
  <c r="F473" i="8"/>
  <c r="H473" i="8"/>
  <c r="I473" i="8" s="1"/>
  <c r="F3237" i="8"/>
  <c r="H3237" i="8"/>
  <c r="I3237" i="8" s="1"/>
  <c r="F43" i="8"/>
  <c r="H43" i="8"/>
  <c r="I43" i="8" s="1"/>
  <c r="G6161" i="5"/>
  <c r="F359" i="6"/>
  <c r="G355" i="6" s="1"/>
  <c r="G1441" i="5"/>
  <c r="G1378" i="5"/>
  <c r="G1732" i="5"/>
  <c r="G5359" i="5"/>
  <c r="H1764" i="5"/>
  <c r="E285" i="8" s="1"/>
  <c r="F2812" i="8"/>
  <c r="H2812" i="8"/>
  <c r="I2812" i="8" s="1"/>
  <c r="F3137" i="8"/>
  <c r="H3137" i="8"/>
  <c r="I3137" i="8" s="1"/>
  <c r="F2707" i="8"/>
  <c r="H2707" i="8"/>
  <c r="I2707" i="8" s="1"/>
  <c r="H3013" i="5"/>
  <c r="F2742" i="8"/>
  <c r="H2742" i="8"/>
  <c r="I2742" i="8" s="1"/>
  <c r="F219" i="8"/>
  <c r="H219" i="8"/>
  <c r="I219" i="8" s="1"/>
  <c r="H17" i="8"/>
  <c r="I17" i="8" s="1"/>
  <c r="F17" i="8"/>
  <c r="H2948" i="5"/>
  <c r="F1409" i="8"/>
  <c r="H1409" i="8"/>
  <c r="I1409" i="8" s="1"/>
  <c r="F3025" i="8"/>
  <c r="H3025" i="8"/>
  <c r="I3025" i="8" s="1"/>
  <c r="F2905" i="8"/>
  <c r="H2905" i="8"/>
  <c r="I2905" i="8" s="1"/>
  <c r="F133" i="8"/>
  <c r="H133" i="8"/>
  <c r="I133" i="8" s="1"/>
  <c r="F1413" i="8"/>
  <c r="H1413" i="8"/>
  <c r="I1413" i="8" s="1"/>
  <c r="H1351" i="5"/>
  <c r="E233" i="8" s="1"/>
  <c r="H2998" i="5"/>
  <c r="F39" i="8"/>
  <c r="H39" i="8"/>
  <c r="I39" i="8" s="1"/>
  <c r="F163" i="6"/>
  <c r="H3119" i="5"/>
  <c r="F1427" i="8"/>
  <c r="H1427" i="8"/>
  <c r="I1427" i="8" s="1"/>
  <c r="F174" i="8"/>
  <c r="H174" i="8"/>
  <c r="I174" i="8" s="1"/>
  <c r="F44" i="8"/>
  <c r="H44" i="8"/>
  <c r="I44" i="8" s="1"/>
  <c r="H1604" i="5"/>
  <c r="F291" i="6"/>
  <c r="G287" i="6" s="1"/>
  <c r="F2757" i="8"/>
  <c r="H2757" i="8"/>
  <c r="I2757" i="8" s="1"/>
  <c r="F1607" i="8"/>
  <c r="H1607" i="8"/>
  <c r="I1607" i="8" s="1"/>
  <c r="F1425" i="8"/>
  <c r="H1425" i="8"/>
  <c r="I1425" i="8" s="1"/>
  <c r="H1957" i="5"/>
  <c r="E324" i="8" s="1"/>
  <c r="F3349" i="8"/>
  <c r="H3349" i="8"/>
  <c r="I3349" i="8" s="1"/>
  <c r="F3212" i="8"/>
  <c r="H3212" i="8"/>
  <c r="I3212" i="8" s="1"/>
  <c r="H3364" i="5"/>
  <c r="E949" i="8" s="1"/>
  <c r="F1146" i="8"/>
  <c r="H1146" i="8"/>
  <c r="I1146" i="8" s="1"/>
  <c r="H1300" i="8"/>
  <c r="I1300" i="8" s="1"/>
  <c r="F1300" i="8"/>
  <c r="F185" i="8"/>
  <c r="H185" i="8"/>
  <c r="I185" i="8" s="1"/>
  <c r="H201" i="8"/>
  <c r="I201" i="8" s="1"/>
  <c r="F201" i="8"/>
  <c r="F1396" i="8"/>
  <c r="H1396" i="8"/>
  <c r="I1396" i="8" s="1"/>
  <c r="H3008" i="5"/>
  <c r="G505" i="6"/>
  <c r="H2589" i="5"/>
  <c r="G1721" i="5"/>
  <c r="F1416" i="8"/>
  <c r="H1416" i="8"/>
  <c r="I1416" i="8" s="1"/>
  <c r="F1110" i="8"/>
  <c r="H1110" i="8"/>
  <c r="I1110" i="8" s="1"/>
  <c r="F2877" i="8"/>
  <c r="H2877" i="8"/>
  <c r="I2877" i="8" s="1"/>
  <c r="F1415" i="8"/>
  <c r="H1415" i="8"/>
  <c r="I1415" i="8" s="1"/>
  <c r="F714" i="8"/>
  <c r="H714" i="8"/>
  <c r="I714" i="8" s="1"/>
  <c r="F1286" i="8"/>
  <c r="H1286" i="8"/>
  <c r="I1286" i="8" s="1"/>
  <c r="H1945" i="5"/>
  <c r="F582" i="8"/>
  <c r="H582" i="8"/>
  <c r="I582" i="8" s="1"/>
  <c r="F2868" i="8"/>
  <c r="H2868" i="8"/>
  <c r="I2868" i="8" s="1"/>
  <c r="H4918" i="5"/>
  <c r="E1262" i="8" s="1"/>
  <c r="G1983" i="5"/>
  <c r="H14" i="8"/>
  <c r="I14" i="8" s="1"/>
  <c r="F14" i="8"/>
  <c r="F3488" i="8"/>
  <c r="H3488" i="8"/>
  <c r="I3488" i="8" s="1"/>
  <c r="F36" i="8"/>
  <c r="H36" i="8"/>
  <c r="I36" i="8" s="1"/>
  <c r="F356" i="8"/>
  <c r="H356" i="8"/>
  <c r="I356" i="8" s="1"/>
  <c r="F1333" i="8"/>
  <c r="H1333" i="8"/>
  <c r="I1333" i="8" s="1"/>
  <c r="F1426" i="8"/>
  <c r="H1426" i="8"/>
  <c r="I1426" i="8" s="1"/>
  <c r="H1543" i="5"/>
  <c r="F3460" i="8"/>
  <c r="H3460" i="8"/>
  <c r="I3460" i="8" s="1"/>
  <c r="H1657" i="5"/>
  <c r="F149" i="8"/>
  <c r="H149" i="8"/>
  <c r="I149" i="8" s="1"/>
  <c r="G7496" i="5"/>
  <c r="G1674" i="5"/>
  <c r="G1855" i="5"/>
  <c r="G1701" i="5"/>
  <c r="G1879" i="5"/>
  <c r="H2347" i="5"/>
  <c r="F1417" i="8"/>
  <c r="H1417" i="8"/>
  <c r="I1417" i="8" s="1"/>
  <c r="H293" i="5"/>
  <c r="E82" i="8" s="1"/>
  <c r="F1888" i="8"/>
  <c r="H1888" i="8"/>
  <c r="I1888" i="8" s="1"/>
  <c r="F345" i="8"/>
  <c r="H345" i="8"/>
  <c r="I345" i="8" s="1"/>
  <c r="H689" i="5"/>
  <c r="F2315" i="8"/>
  <c r="H2315" i="8"/>
  <c r="I2315" i="8" s="1"/>
  <c r="G3838" i="5"/>
  <c r="F2813" i="8"/>
  <c r="H2813" i="8"/>
  <c r="I2813" i="8" s="1"/>
  <c r="F1231" i="8"/>
  <c r="H1231" i="8"/>
  <c r="I1231" i="8" s="1"/>
  <c r="H910" i="5"/>
  <c r="H5388" i="5"/>
  <c r="H3109" i="5"/>
  <c r="H1835" i="5"/>
  <c r="F400" i="6"/>
  <c r="H5349" i="5"/>
  <c r="E1358" i="8" s="1"/>
  <c r="G429" i="6"/>
  <c r="H4939" i="5"/>
  <c r="F3480" i="8"/>
  <c r="H3480" i="8"/>
  <c r="I3480" i="8" s="1"/>
  <c r="F2333" i="8"/>
  <c r="H2333" i="8"/>
  <c r="I2333" i="8" s="1"/>
  <c r="F164" i="6"/>
  <c r="F1065" i="8"/>
  <c r="H1065" i="8"/>
  <c r="I1065" i="8" s="1"/>
  <c r="F1241" i="8"/>
  <c r="H1241" i="8"/>
  <c r="I1241" i="8" s="1"/>
  <c r="H527" i="5"/>
  <c r="E107" i="8" s="1"/>
  <c r="F2088" i="8"/>
  <c r="H2088" i="8"/>
  <c r="I2088" i="8" s="1"/>
  <c r="H205" i="8"/>
  <c r="I205" i="8" s="1"/>
  <c r="F205" i="8"/>
  <c r="F1880" i="8"/>
  <c r="H1880" i="8"/>
  <c r="I1880" i="8" s="1"/>
  <c r="F494" i="8"/>
  <c r="H494" i="8"/>
  <c r="I494" i="8" s="1"/>
  <c r="F280" i="6"/>
  <c r="G276" i="6" s="1"/>
  <c r="H2968" i="5"/>
  <c r="H1651" i="5"/>
  <c r="F580" i="8"/>
  <c r="H580" i="8"/>
  <c r="I580" i="8" s="1"/>
  <c r="F2612" i="8"/>
  <c r="H2612" i="8"/>
  <c r="I2612" i="8" s="1"/>
  <c r="G460" i="6"/>
  <c r="F991" i="8"/>
  <c r="H991" i="8"/>
  <c r="I991" i="8" s="1"/>
  <c r="F919" i="8"/>
  <c r="H919" i="8"/>
  <c r="I919" i="8" s="1"/>
  <c r="F74" i="6"/>
  <c r="F1493" i="8"/>
  <c r="H1493" i="8"/>
  <c r="I1493" i="8" s="1"/>
  <c r="H5375" i="5"/>
  <c r="F2906" i="8"/>
  <c r="H2906" i="8"/>
  <c r="I2906" i="8" s="1"/>
  <c r="F262" i="6"/>
  <c r="H3129" i="5"/>
  <c r="H4549" i="5"/>
  <c r="F2617" i="8"/>
  <c r="H2617" i="8"/>
  <c r="I2617" i="8" s="1"/>
  <c r="F1408" i="8"/>
  <c r="H1408" i="8"/>
  <c r="I1408" i="8" s="1"/>
  <c r="H2846" i="5"/>
  <c r="H92" i="8"/>
  <c r="I92" i="8" s="1"/>
  <c r="F92" i="8"/>
  <c r="H4629" i="5"/>
  <c r="F2087" i="8"/>
  <c r="H2087" i="8"/>
  <c r="I2087" i="8" s="1"/>
  <c r="F937" i="8"/>
  <c r="H937" i="8"/>
  <c r="I937" i="8" s="1"/>
  <c r="H1029" i="5"/>
  <c r="G1710" i="5"/>
  <c r="H2851" i="5"/>
  <c r="G7497" i="5"/>
  <c r="F1418" i="8"/>
  <c r="H1418" i="8"/>
  <c r="I1418" i="8" s="1"/>
  <c r="F1189" i="8"/>
  <c r="H1189" i="8"/>
  <c r="I1189" i="8" s="1"/>
  <c r="F1884" i="8"/>
  <c r="H1884" i="8"/>
  <c r="I1884" i="8" s="1"/>
  <c r="F933" i="8"/>
  <c r="H933" i="8"/>
  <c r="I933" i="8" s="1"/>
  <c r="H2391" i="5"/>
  <c r="H93" i="8"/>
  <c r="I93" i="8" s="1"/>
  <c r="F93" i="8"/>
  <c r="F2368" i="8"/>
  <c r="H2368" i="8"/>
  <c r="I2368" i="8" s="1"/>
  <c r="F3367" i="8"/>
  <c r="H3367" i="8"/>
  <c r="I3367" i="8" s="1"/>
  <c r="F1368" i="8"/>
  <c r="H1368" i="8"/>
  <c r="I1368" i="8" s="1"/>
  <c r="F37" i="8"/>
  <c r="H37" i="8"/>
  <c r="I37" i="8" s="1"/>
  <c r="H1889" i="5"/>
  <c r="H5152" i="5"/>
  <c r="E1319" i="8" s="1"/>
  <c r="F346" i="8"/>
  <c r="H346" i="8"/>
  <c r="I346" i="8" s="1"/>
  <c r="F412" i="6"/>
  <c r="F411" i="6"/>
  <c r="G4331" i="5"/>
  <c r="H1046" i="8"/>
  <c r="I1046" i="8" s="1"/>
  <c r="F1046" i="8"/>
  <c r="F2937" i="8"/>
  <c r="H2937" i="8"/>
  <c r="I2937" i="8" s="1"/>
  <c r="F2870" i="8"/>
  <c r="H2870" i="8"/>
  <c r="I2870" i="8" s="1"/>
  <c r="H3587" i="5"/>
  <c r="F50" i="8"/>
  <c r="H50" i="8"/>
  <c r="I50" i="8" s="1"/>
  <c r="H938" i="8"/>
  <c r="I938" i="8" s="1"/>
  <c r="F938" i="8"/>
  <c r="F28" i="8"/>
  <c r="H28" i="8"/>
  <c r="I28" i="8" s="1"/>
  <c r="F101" i="6"/>
  <c r="F940" i="8"/>
  <c r="H940" i="8"/>
  <c r="I940" i="8" s="1"/>
  <c r="F153" i="8"/>
  <c r="H153" i="8"/>
  <c r="I153" i="8" s="1"/>
  <c r="G1818" i="5"/>
  <c r="G2017" i="5"/>
  <c r="G2879" i="5"/>
  <c r="G1743" i="5"/>
  <c r="G1635" i="5"/>
  <c r="E908" i="8" l="1"/>
  <c r="E912" i="8"/>
  <c r="E1363" i="8"/>
  <c r="E891" i="8"/>
  <c r="E1338" i="8"/>
  <c r="E902" i="8"/>
  <c r="E305" i="8"/>
  <c r="E148" i="8"/>
  <c r="E896" i="8"/>
  <c r="E378" i="8"/>
  <c r="E1164" i="8"/>
  <c r="E882" i="8"/>
  <c r="E130" i="8"/>
  <c r="E171" i="8"/>
  <c r="E271" i="8"/>
  <c r="E262" i="8"/>
  <c r="E978" i="8"/>
  <c r="E905" i="8"/>
  <c r="E879" i="8"/>
  <c r="E1365" i="8"/>
  <c r="E878" i="8"/>
  <c r="E361" i="8"/>
  <c r="E890" i="8"/>
  <c r="E225" i="8"/>
  <c r="E895" i="8"/>
  <c r="E868" i="8"/>
  <c r="E344" i="8"/>
  <c r="E318" i="8"/>
  <c r="E980" i="8"/>
  <c r="E862" i="8"/>
  <c r="E385" i="8"/>
  <c r="E254" i="8"/>
  <c r="E575" i="8"/>
  <c r="E1171" i="8"/>
  <c r="E573" i="8"/>
  <c r="E3490" i="8"/>
  <c r="E263" i="8"/>
  <c r="E910" i="8"/>
  <c r="E906" i="8"/>
  <c r="E363" i="8"/>
  <c r="E129" i="8"/>
  <c r="E865" i="8"/>
  <c r="E889" i="8"/>
  <c r="E861" i="8"/>
  <c r="E1265" i="8"/>
  <c r="E379" i="8"/>
  <c r="E904" i="8"/>
  <c r="E3132" i="8"/>
  <c r="E221" i="8"/>
  <c r="E312" i="8"/>
  <c r="E1173" i="8"/>
  <c r="E270" i="8"/>
  <c r="E303" i="8"/>
  <c r="E322" i="8"/>
  <c r="E888" i="8"/>
  <c r="E2709" i="8"/>
  <c r="E1185" i="8"/>
  <c r="E1256" i="8"/>
  <c r="E97" i="8"/>
  <c r="E304" i="8"/>
  <c r="E1247" i="8"/>
  <c r="E187" i="8"/>
  <c r="E1085" i="8"/>
  <c r="E892" i="8"/>
  <c r="E894" i="8"/>
  <c r="E1287" i="8"/>
  <c r="G71" i="6"/>
  <c r="G88" i="6"/>
  <c r="G4171" i="5"/>
  <c r="G98" i="6"/>
  <c r="G406" i="6"/>
  <c r="G1486" i="5"/>
  <c r="F3035" i="8"/>
  <c r="H3035" i="8"/>
  <c r="I3035" i="8" s="1"/>
  <c r="F2299" i="8"/>
  <c r="H2299" i="8"/>
  <c r="I2299" i="8" s="1"/>
  <c r="F2894" i="8"/>
  <c r="H2894" i="8"/>
  <c r="I2894" i="8" s="1"/>
  <c r="F3304" i="8"/>
  <c r="H3304" i="8"/>
  <c r="I3304" i="8" s="1"/>
  <c r="F3319" i="8"/>
  <c r="H3319" i="8"/>
  <c r="I3319" i="8" s="1"/>
  <c r="H3461" i="8"/>
  <c r="I3461" i="8" s="1"/>
  <c r="F3461" i="8"/>
  <c r="F1224" i="8"/>
  <c r="H1224" i="8"/>
  <c r="I1224" i="8" s="1"/>
  <c r="F3336" i="8"/>
  <c r="H3336" i="8"/>
  <c r="I3336" i="8" s="1"/>
  <c r="H1018" i="8"/>
  <c r="I1018" i="8" s="1"/>
  <c r="F1018" i="8"/>
  <c r="F750" i="8"/>
  <c r="H750" i="8"/>
  <c r="I750" i="8" s="1"/>
  <c r="F3345" i="8"/>
  <c r="H3345" i="8"/>
  <c r="I3345" i="8" s="1"/>
  <c r="F495" i="8"/>
  <c r="H495" i="8"/>
  <c r="I495" i="8" s="1"/>
  <c r="H1103" i="8"/>
  <c r="I1103" i="8" s="1"/>
  <c r="F1103" i="8"/>
  <c r="F3382" i="8"/>
  <c r="H3382" i="8"/>
  <c r="I3382" i="8" s="1"/>
  <c r="F834" i="8"/>
  <c r="H834" i="8"/>
  <c r="I834" i="8" s="1"/>
  <c r="F3117" i="8"/>
  <c r="H3117" i="8"/>
  <c r="I3117" i="8" s="1"/>
  <c r="F179" i="8"/>
  <c r="H179" i="8"/>
  <c r="I179" i="8" s="1"/>
  <c r="F3439" i="8"/>
  <c r="H3439" i="8"/>
  <c r="I3439" i="8" s="1"/>
  <c r="G2878" i="5"/>
  <c r="F1211" i="8"/>
  <c r="H1211" i="8"/>
  <c r="I1211" i="8" s="1"/>
  <c r="F3295" i="8"/>
  <c r="H3295" i="8"/>
  <c r="I3295" i="8" s="1"/>
  <c r="F1831" i="8"/>
  <c r="H1831" i="8"/>
  <c r="I1831" i="8" s="1"/>
  <c r="G3953" i="5"/>
  <c r="F3045" i="8"/>
  <c r="H3045" i="8"/>
  <c r="I3045" i="8" s="1"/>
  <c r="F216" i="8"/>
  <c r="H216" i="8"/>
  <c r="I216" i="8" s="1"/>
  <c r="F1572" i="8"/>
  <c r="H1572" i="8"/>
  <c r="I1572" i="8" s="1"/>
  <c r="F3309" i="8"/>
  <c r="H3309" i="8"/>
  <c r="I3309" i="8" s="1"/>
  <c r="F1367" i="8"/>
  <c r="H1367" i="8"/>
  <c r="I1367" i="8" s="1"/>
  <c r="F2853" i="8"/>
  <c r="H2853" i="8"/>
  <c r="I2853" i="8" s="1"/>
  <c r="F566" i="8"/>
  <c r="H566" i="8"/>
  <c r="I566" i="8" s="1"/>
  <c r="F3333" i="8"/>
  <c r="H3333" i="8"/>
  <c r="I3333" i="8" s="1"/>
  <c r="F3100" i="8"/>
  <c r="H3100" i="8"/>
  <c r="I3100" i="8" s="1"/>
  <c r="H1853" i="5"/>
  <c r="F414" i="8"/>
  <c r="H414" i="8"/>
  <c r="I414" i="8" s="1"/>
  <c r="F3407" i="8"/>
  <c r="H3407" i="8"/>
  <c r="I3407" i="8" s="1"/>
  <c r="H1119" i="8"/>
  <c r="I1119" i="8" s="1"/>
  <c r="F1119" i="8"/>
  <c r="F1842" i="8"/>
  <c r="H1842" i="8"/>
  <c r="I1842" i="8" s="1"/>
  <c r="F2255" i="8"/>
  <c r="H2255" i="8"/>
  <c r="I2255" i="8" s="1"/>
  <c r="F3022" i="8"/>
  <c r="H3022" i="8"/>
  <c r="I3022" i="8" s="1"/>
  <c r="H104" i="8"/>
  <c r="I104" i="8" s="1"/>
  <c r="F104" i="8"/>
  <c r="F1577" i="8"/>
  <c r="H1577" i="8"/>
  <c r="I1577" i="8" s="1"/>
  <c r="F2819" i="8"/>
  <c r="H2819" i="8"/>
  <c r="I2819" i="8" s="1"/>
  <c r="F3421" i="8"/>
  <c r="H3421" i="8"/>
  <c r="I3421" i="8" s="1"/>
  <c r="F3351" i="8"/>
  <c r="H3351" i="8"/>
  <c r="I3351" i="8" s="1"/>
  <c r="F200" i="8"/>
  <c r="H200" i="8"/>
  <c r="I200" i="8" s="1"/>
  <c r="F2883" i="8"/>
  <c r="H2883" i="8"/>
  <c r="I2883" i="8" s="1"/>
  <c r="F2904" i="8"/>
  <c r="H2904" i="8"/>
  <c r="I2904" i="8" s="1"/>
  <c r="H1098" i="8"/>
  <c r="I1098" i="8" s="1"/>
  <c r="F1098" i="8"/>
  <c r="F1124" i="8"/>
  <c r="H1124" i="8"/>
  <c r="I1124" i="8" s="1"/>
  <c r="F820" i="8"/>
  <c r="H820" i="8"/>
  <c r="I820" i="8" s="1"/>
  <c r="F2926" i="8"/>
  <c r="H2926" i="8"/>
  <c r="I2926" i="8" s="1"/>
  <c r="F2981" i="8"/>
  <c r="H2981" i="8"/>
  <c r="I2981" i="8" s="1"/>
  <c r="F501" i="8"/>
  <c r="H501" i="8"/>
  <c r="I501" i="8" s="1"/>
  <c r="F3318" i="8"/>
  <c r="H3318" i="8"/>
  <c r="I3318" i="8" s="1"/>
  <c r="H3266" i="8"/>
  <c r="I3266" i="8" s="1"/>
  <c r="F3266" i="8"/>
  <c r="F3037" i="8"/>
  <c r="H3037" i="8"/>
  <c r="I3037" i="8" s="1"/>
  <c r="F3330" i="8"/>
  <c r="H3330" i="8"/>
  <c r="I3330" i="8" s="1"/>
  <c r="F3313" i="8"/>
  <c r="H3313" i="8"/>
  <c r="I3313" i="8" s="1"/>
  <c r="F3381" i="8"/>
  <c r="H3381" i="8"/>
  <c r="I3381" i="8" s="1"/>
  <c r="F2081" i="8"/>
  <c r="H2081" i="8"/>
  <c r="I2081" i="8" s="1"/>
  <c r="G3468" i="5"/>
  <c r="F151" i="8"/>
  <c r="H151" i="8"/>
  <c r="I151" i="8" s="1"/>
  <c r="F1099" i="8"/>
  <c r="H1099" i="8"/>
  <c r="I1099" i="8" s="1"/>
  <c r="F1147" i="8"/>
  <c r="H1147" i="8"/>
  <c r="I1147" i="8" s="1"/>
  <c r="F2858" i="8"/>
  <c r="H2858" i="8"/>
  <c r="I2858" i="8" s="1"/>
  <c r="H3164" i="8"/>
  <c r="I3164" i="8" s="1"/>
  <c r="F3164" i="8"/>
  <c r="F3462" i="8"/>
  <c r="H3462" i="8"/>
  <c r="I3462" i="8" s="1"/>
  <c r="F2335" i="8"/>
  <c r="H2335" i="8"/>
  <c r="I2335" i="8" s="1"/>
  <c r="H1285" i="8"/>
  <c r="I1285" i="8" s="1"/>
  <c r="F1285" i="8"/>
  <c r="H1271" i="8"/>
  <c r="I1271" i="8" s="1"/>
  <c r="F1271" i="8"/>
  <c r="F2927" i="8"/>
  <c r="H2927" i="8"/>
  <c r="I2927" i="8" s="1"/>
  <c r="F3310" i="8"/>
  <c r="H3310" i="8"/>
  <c r="I3310" i="8" s="1"/>
  <c r="F2875" i="8"/>
  <c r="H2875" i="8"/>
  <c r="I2875" i="8" s="1"/>
  <c r="F3395" i="8"/>
  <c r="H3395" i="8"/>
  <c r="I3395" i="8" s="1"/>
  <c r="F1165" i="8"/>
  <c r="H1165" i="8"/>
  <c r="I1165" i="8" s="1"/>
  <c r="F196" i="8"/>
  <c r="H196" i="8"/>
  <c r="I196" i="8" s="1"/>
  <c r="F3030" i="8"/>
  <c r="H3030" i="8"/>
  <c r="I3030" i="8" s="1"/>
  <c r="F3485" i="8"/>
  <c r="H3485" i="8"/>
  <c r="I3485" i="8" s="1"/>
  <c r="F448" i="8"/>
  <c r="H448" i="8"/>
  <c r="I448" i="8" s="1"/>
  <c r="H1240" i="8"/>
  <c r="I1240" i="8" s="1"/>
  <c r="F1240" i="8"/>
  <c r="H1083" i="8"/>
  <c r="I1083" i="8" s="1"/>
  <c r="F1083" i="8"/>
  <c r="F1129" i="8"/>
  <c r="H1129" i="8"/>
  <c r="I1129" i="8" s="1"/>
  <c r="H3449" i="8"/>
  <c r="I3449" i="8" s="1"/>
  <c r="F3449" i="8"/>
  <c r="F2832" i="8"/>
  <c r="H2832" i="8"/>
  <c r="I2832" i="8" s="1"/>
  <c r="F3301" i="8"/>
  <c r="H3301" i="8"/>
  <c r="I3301" i="8" s="1"/>
  <c r="F846" i="8"/>
  <c r="H846" i="8"/>
  <c r="I846" i="8" s="1"/>
  <c r="F3029" i="8"/>
  <c r="H3029" i="8"/>
  <c r="I3029" i="8" s="1"/>
  <c r="F1843" i="8"/>
  <c r="H1843" i="8"/>
  <c r="I1843" i="8" s="1"/>
  <c r="F420" i="8"/>
  <c r="H420" i="8"/>
  <c r="I420" i="8" s="1"/>
  <c r="F2901" i="8"/>
  <c r="H2901" i="8"/>
  <c r="I2901" i="8" s="1"/>
  <c r="F3464" i="8"/>
  <c r="H3464" i="8"/>
  <c r="I3464" i="8" s="1"/>
  <c r="G4773" i="5"/>
  <c r="G1471" i="5"/>
  <c r="F1115" i="8"/>
  <c r="H1115" i="8"/>
  <c r="I1115" i="8" s="1"/>
  <c r="H1145" i="8"/>
  <c r="I1145" i="8" s="1"/>
  <c r="F1145" i="8"/>
  <c r="G902" i="5"/>
  <c r="F833" i="8"/>
  <c r="H833" i="8"/>
  <c r="I833" i="8" s="1"/>
  <c r="F2891" i="8"/>
  <c r="H2891" i="8"/>
  <c r="I2891" i="8" s="1"/>
  <c r="F204" i="8"/>
  <c r="H204" i="8"/>
  <c r="I204" i="8" s="1"/>
  <c r="F2806" i="8"/>
  <c r="H2806" i="8"/>
  <c r="I2806" i="8" s="1"/>
  <c r="F3414" i="8"/>
  <c r="H3414" i="8"/>
  <c r="I3414" i="8" s="1"/>
  <c r="F3346" i="8"/>
  <c r="H3346" i="8"/>
  <c r="I3346" i="8" s="1"/>
  <c r="G1744" i="5"/>
  <c r="F3011" i="8"/>
  <c r="H3011" i="8"/>
  <c r="I3011" i="8" s="1"/>
  <c r="F211" i="8"/>
  <c r="H211" i="8"/>
  <c r="I211" i="8" s="1"/>
  <c r="F3408" i="8"/>
  <c r="H3408" i="8"/>
  <c r="I3408" i="8" s="1"/>
  <c r="F1949" i="8"/>
  <c r="H1949" i="8"/>
  <c r="I1949" i="8" s="1"/>
  <c r="F3360" i="8"/>
  <c r="H3360" i="8"/>
  <c r="I3360" i="8" s="1"/>
  <c r="F1575" i="8"/>
  <c r="H1575" i="8"/>
  <c r="I1575" i="8" s="1"/>
  <c r="H886" i="8"/>
  <c r="I886" i="8" s="1"/>
  <c r="F886" i="8"/>
  <c r="F3300" i="8"/>
  <c r="H3300" i="8"/>
  <c r="I3300" i="8" s="1"/>
  <c r="F2855" i="8"/>
  <c r="H2855" i="8"/>
  <c r="I2855" i="8" s="1"/>
  <c r="F2912" i="8"/>
  <c r="H2912" i="8"/>
  <c r="I2912" i="8" s="1"/>
  <c r="F7" i="8"/>
  <c r="H7" i="8"/>
  <c r="I7" i="8" s="1"/>
  <c r="F2815" i="8"/>
  <c r="H2815" i="8"/>
  <c r="I2815" i="8" s="1"/>
  <c r="F218" i="8"/>
  <c r="H218" i="8"/>
  <c r="I218" i="8" s="1"/>
  <c r="F1894" i="8"/>
  <c r="H1894" i="8"/>
  <c r="I1894" i="8" s="1"/>
  <c r="F2911" i="8"/>
  <c r="H2911" i="8"/>
  <c r="I2911" i="8" s="1"/>
  <c r="F2859" i="8"/>
  <c r="H2859" i="8"/>
  <c r="I2859" i="8" s="1"/>
  <c r="F1863" i="8"/>
  <c r="H1863" i="8"/>
  <c r="I1863" i="8" s="1"/>
  <c r="F3375" i="8"/>
  <c r="H3375" i="8"/>
  <c r="I3375" i="8" s="1"/>
  <c r="F850" i="8"/>
  <c r="H850" i="8"/>
  <c r="I850" i="8" s="1"/>
  <c r="F3003" i="8"/>
  <c r="H3003" i="8"/>
  <c r="I3003" i="8" s="1"/>
  <c r="F3020" i="8"/>
  <c r="H3020" i="8"/>
  <c r="I3020" i="8" s="1"/>
  <c r="F2783" i="8"/>
  <c r="H2783" i="8"/>
  <c r="I2783" i="8" s="1"/>
  <c r="F15" i="8"/>
  <c r="H15" i="8"/>
  <c r="I15" i="8" s="1"/>
  <c r="F2831" i="8"/>
  <c r="H2831" i="8"/>
  <c r="I2831" i="8" s="1"/>
  <c r="F2884" i="8"/>
  <c r="H2884" i="8"/>
  <c r="I2884" i="8" s="1"/>
  <c r="F777" i="8"/>
  <c r="H777" i="8"/>
  <c r="I777" i="8" s="1"/>
  <c r="F2873" i="8"/>
  <c r="H2873" i="8"/>
  <c r="I2873" i="8" s="1"/>
  <c r="H4129" i="5"/>
  <c r="E1112" i="8" s="1"/>
  <c r="F2854" i="8"/>
  <c r="H2854" i="8"/>
  <c r="I2854" i="8" s="1"/>
  <c r="F172" i="8"/>
  <c r="H172" i="8"/>
  <c r="I172" i="8" s="1"/>
  <c r="F751" i="8"/>
  <c r="H751" i="8"/>
  <c r="I751" i="8" s="1"/>
  <c r="F2996" i="8"/>
  <c r="H2996" i="8"/>
  <c r="I2996" i="8" s="1"/>
  <c r="F3048" i="8"/>
  <c r="H3048" i="8"/>
  <c r="I3048" i="8" s="1"/>
  <c r="F127" i="8"/>
  <c r="H127" i="8"/>
  <c r="I127" i="8" s="1"/>
  <c r="F1414" i="8"/>
  <c r="H1414" i="8"/>
  <c r="I1414" i="8" s="1"/>
  <c r="F2099" i="8"/>
  <c r="H2099" i="8"/>
  <c r="I2099" i="8" s="1"/>
  <c r="H1871" i="5"/>
  <c r="F562" i="8"/>
  <c r="H562" i="8"/>
  <c r="I562" i="8" s="1"/>
  <c r="F2984" i="8"/>
  <c r="H2984" i="8"/>
  <c r="I2984" i="8" s="1"/>
  <c r="F2295" i="8"/>
  <c r="H2295" i="8"/>
  <c r="I2295" i="8" s="1"/>
  <c r="F3033" i="8"/>
  <c r="H3033" i="8"/>
  <c r="I3033" i="8" s="1"/>
  <c r="F3222" i="8"/>
  <c r="H3222" i="8"/>
  <c r="I3222" i="8" s="1"/>
  <c r="F2765" i="8"/>
  <c r="H2765" i="8"/>
  <c r="I2765" i="8" s="1"/>
  <c r="F2892" i="8"/>
  <c r="H2892" i="8"/>
  <c r="I2892" i="8" s="1"/>
  <c r="F2104" i="8"/>
  <c r="H2104" i="8"/>
  <c r="I2104" i="8" s="1"/>
  <c r="F3396" i="8"/>
  <c r="H3396" i="8"/>
  <c r="I3396" i="8" s="1"/>
  <c r="F3299" i="8"/>
  <c r="H3299" i="8"/>
  <c r="I3299" i="8" s="1"/>
  <c r="F3423" i="8"/>
  <c r="H3423" i="8"/>
  <c r="I3423" i="8" s="1"/>
  <c r="F1605" i="8"/>
  <c r="H1605" i="8"/>
  <c r="I1605" i="8" s="1"/>
  <c r="F2985" i="8"/>
  <c r="H2985" i="8"/>
  <c r="I2985" i="8" s="1"/>
  <c r="F1891" i="8"/>
  <c r="H1891" i="8"/>
  <c r="I1891" i="8" s="1"/>
  <c r="F1933" i="8"/>
  <c r="H1933" i="8"/>
  <c r="I1933" i="8" s="1"/>
  <c r="F496" i="8"/>
  <c r="H496" i="8"/>
  <c r="I496" i="8" s="1"/>
  <c r="F1885" i="8"/>
  <c r="H1885" i="8"/>
  <c r="I1885" i="8" s="1"/>
  <c r="F2930" i="8"/>
  <c r="H2930" i="8"/>
  <c r="I2930" i="8" s="1"/>
  <c r="F2736" i="8"/>
  <c r="H2736" i="8"/>
  <c r="I2736" i="8" s="1"/>
  <c r="F1864" i="8"/>
  <c r="H1864" i="8"/>
  <c r="I1864" i="8" s="1"/>
  <c r="H987" i="8"/>
  <c r="I987" i="8" s="1"/>
  <c r="F987" i="8"/>
  <c r="F993" i="8"/>
  <c r="H993" i="8"/>
  <c r="I993" i="8" s="1"/>
  <c r="F3308" i="8"/>
  <c r="H3308" i="8"/>
  <c r="I3308" i="8" s="1"/>
  <c r="F1846" i="8"/>
  <c r="H1846" i="8"/>
  <c r="I1846" i="8" s="1"/>
  <c r="F1546" i="8"/>
  <c r="H1546" i="8"/>
  <c r="I1546" i="8" s="1"/>
  <c r="F182" i="8"/>
  <c r="H182" i="8"/>
  <c r="I182" i="8" s="1"/>
  <c r="F3332" i="8"/>
  <c r="H3332" i="8"/>
  <c r="I3332" i="8" s="1"/>
  <c r="F2940" i="8"/>
  <c r="H2940" i="8"/>
  <c r="I2940" i="8" s="1"/>
  <c r="F1357" i="8"/>
  <c r="H1357" i="8"/>
  <c r="I1357" i="8" s="1"/>
  <c r="F1174" i="8"/>
  <c r="H1174" i="8"/>
  <c r="I1174" i="8" s="1"/>
  <c r="F2934" i="8"/>
  <c r="H2934" i="8"/>
  <c r="I2934" i="8" s="1"/>
  <c r="F3353" i="8"/>
  <c r="H3353" i="8"/>
  <c r="I3353" i="8" s="1"/>
  <c r="F2880" i="8"/>
  <c r="H2880" i="8"/>
  <c r="I2880" i="8" s="1"/>
  <c r="F2747" i="8"/>
  <c r="H2747" i="8"/>
  <c r="I2747" i="8" s="1"/>
  <c r="F3031" i="8"/>
  <c r="H3031" i="8"/>
  <c r="I3031" i="8" s="1"/>
  <c r="H372" i="8"/>
  <c r="I372" i="8" s="1"/>
  <c r="F372" i="8"/>
  <c r="F3393" i="8"/>
  <c r="H3393" i="8"/>
  <c r="I3393" i="8" s="1"/>
  <c r="F2740" i="8"/>
  <c r="H2740" i="8"/>
  <c r="I2740" i="8" s="1"/>
  <c r="H1633" i="5"/>
  <c r="E267" i="8" s="1"/>
  <c r="H2015" i="5"/>
  <c r="F3302" i="8"/>
  <c r="H3302" i="8"/>
  <c r="I3302" i="8" s="1"/>
  <c r="F1179" i="8"/>
  <c r="H1179" i="8"/>
  <c r="I1179" i="8" s="1"/>
  <c r="F2818" i="8"/>
  <c r="H2818" i="8"/>
  <c r="I2818" i="8" s="1"/>
  <c r="F3446" i="8"/>
  <c r="H3446" i="8"/>
  <c r="I3446" i="8" s="1"/>
  <c r="F13" i="8"/>
  <c r="H13" i="8"/>
  <c r="I13" i="8" s="1"/>
  <c r="F1866" i="8"/>
  <c r="H1866" i="8"/>
  <c r="I1866" i="8" s="1"/>
  <c r="F1576" i="8"/>
  <c r="H1576" i="8"/>
  <c r="I1576" i="8" s="1"/>
  <c r="F3419" i="8"/>
  <c r="H3419" i="8"/>
  <c r="I3419" i="8" s="1"/>
  <c r="G1733" i="5"/>
  <c r="F1548" i="8"/>
  <c r="H1548" i="8"/>
  <c r="I1548" i="8" s="1"/>
  <c r="F1568" i="8"/>
  <c r="H1568" i="8"/>
  <c r="I1568" i="8" s="1"/>
  <c r="F2897" i="8"/>
  <c r="H2897" i="8"/>
  <c r="I2897" i="8" s="1"/>
  <c r="F1570" i="8"/>
  <c r="H1570" i="8"/>
  <c r="I1570" i="8" s="1"/>
  <c r="F952" i="8"/>
  <c r="H952" i="8"/>
  <c r="I952" i="8" s="1"/>
  <c r="F2504" i="8"/>
  <c r="H2504" i="8"/>
  <c r="I2504" i="8" s="1"/>
  <c r="F2890" i="8"/>
  <c r="H2890" i="8"/>
  <c r="I2890" i="8" s="1"/>
  <c r="F1273" i="8"/>
  <c r="H1273" i="8"/>
  <c r="I1273" i="8" s="1"/>
  <c r="F2993" i="8"/>
  <c r="H2993" i="8"/>
  <c r="I2993" i="8" s="1"/>
  <c r="F3342" i="8"/>
  <c r="H3342" i="8"/>
  <c r="I3342" i="8" s="1"/>
  <c r="F3361" i="8"/>
  <c r="H3361" i="8"/>
  <c r="I3361" i="8" s="1"/>
  <c r="F3316" i="8"/>
  <c r="H3316" i="8"/>
  <c r="I3316" i="8" s="1"/>
  <c r="F2606" i="8"/>
  <c r="H2606" i="8"/>
  <c r="I2606" i="8" s="1"/>
  <c r="F3043" i="8"/>
  <c r="H3043" i="8"/>
  <c r="I3043" i="8" s="1"/>
  <c r="H5356" i="5"/>
  <c r="E1359" i="8" s="1"/>
  <c r="F510" i="8"/>
  <c r="H510" i="8"/>
  <c r="I510" i="8" s="1"/>
  <c r="F3442" i="8"/>
  <c r="H3442" i="8"/>
  <c r="I3442" i="8" s="1"/>
  <c r="F3352" i="8"/>
  <c r="H3352" i="8"/>
  <c r="I3352" i="8" s="1"/>
  <c r="F3455" i="8"/>
  <c r="H3455" i="8"/>
  <c r="I3455" i="8" s="1"/>
  <c r="F3376" i="8"/>
  <c r="H3376" i="8"/>
  <c r="I3376" i="8" s="1"/>
  <c r="F2752" i="8"/>
  <c r="H2752" i="8"/>
  <c r="I2752" i="8" s="1"/>
  <c r="F3101" i="8"/>
  <c r="H3101" i="8"/>
  <c r="I3101" i="8" s="1"/>
  <c r="F3329" i="8"/>
  <c r="H3329" i="8"/>
  <c r="I3329" i="8" s="1"/>
  <c r="F3413" i="8"/>
  <c r="H3413" i="8"/>
  <c r="I3413" i="8" s="1"/>
  <c r="F2881" i="8"/>
  <c r="H2881" i="8"/>
  <c r="I2881" i="8" s="1"/>
  <c r="F927" i="8"/>
  <c r="H927" i="8"/>
  <c r="I927" i="8" s="1"/>
  <c r="H337" i="8"/>
  <c r="I337" i="8" s="1"/>
  <c r="F337" i="8"/>
  <c r="H1094" i="8"/>
  <c r="I1094" i="8" s="1"/>
  <c r="F1094" i="8"/>
  <c r="F1102" i="8"/>
  <c r="H1102" i="8"/>
  <c r="I1102" i="8" s="1"/>
  <c r="F16" i="8"/>
  <c r="H16" i="8"/>
  <c r="I16" i="8" s="1"/>
  <c r="H1938" i="5"/>
  <c r="F1097" i="8"/>
  <c r="H1097" i="8"/>
  <c r="I1097" i="8" s="1"/>
  <c r="F2872" i="8"/>
  <c r="H2872" i="8"/>
  <c r="I2872" i="8" s="1"/>
  <c r="F3377" i="8"/>
  <c r="H3377" i="8"/>
  <c r="I3377" i="8" s="1"/>
  <c r="F3403" i="8"/>
  <c r="H3403" i="8"/>
  <c r="I3403" i="8" s="1"/>
  <c r="F3466" i="8"/>
  <c r="H3466" i="8"/>
  <c r="I3466" i="8" s="1"/>
  <c r="F1848" i="8"/>
  <c r="H1848" i="8"/>
  <c r="I1848" i="8" s="1"/>
  <c r="H173" i="8"/>
  <c r="I173" i="8" s="1"/>
  <c r="F173" i="8"/>
  <c r="F350" i="8"/>
  <c r="H350" i="8"/>
  <c r="I350" i="8" s="1"/>
  <c r="F2735" i="8"/>
  <c r="H2735" i="8"/>
  <c r="I2735" i="8" s="1"/>
  <c r="H105" i="8"/>
  <c r="I105" i="8" s="1"/>
  <c r="F105" i="8"/>
  <c r="F341" i="8"/>
  <c r="H341" i="8"/>
  <c r="I341" i="8" s="1"/>
  <c r="F2878" i="8"/>
  <c r="H2878" i="8"/>
  <c r="I2878" i="8" s="1"/>
  <c r="F352" i="8"/>
  <c r="H352" i="8"/>
  <c r="I352" i="8" s="1"/>
  <c r="F1882" i="8"/>
  <c r="H1882" i="8"/>
  <c r="I1882" i="8" s="1"/>
  <c r="F3397" i="8"/>
  <c r="H3397" i="8"/>
  <c r="I3397" i="8" s="1"/>
  <c r="F268" i="8"/>
  <c r="H268" i="8"/>
  <c r="I268" i="8" s="1"/>
  <c r="F1113" i="8"/>
  <c r="H1113" i="8"/>
  <c r="I1113" i="8" s="1"/>
  <c r="F3327" i="8"/>
  <c r="H3327" i="8"/>
  <c r="I3327" i="8" s="1"/>
  <c r="F2857" i="8"/>
  <c r="H2857" i="8"/>
  <c r="I2857" i="8" s="1"/>
  <c r="G1681" i="5"/>
  <c r="G1456" i="5"/>
  <c r="F3404" i="8"/>
  <c r="H3404" i="8"/>
  <c r="I3404" i="8" s="1"/>
  <c r="F118" i="8"/>
  <c r="H118" i="8"/>
  <c r="I118" i="8" s="1"/>
  <c r="F3040" i="8"/>
  <c r="H3040" i="8"/>
  <c r="I3040" i="8" s="1"/>
  <c r="F1889" i="8"/>
  <c r="H1889" i="8"/>
  <c r="I1889" i="8" s="1"/>
  <c r="F1132" i="8"/>
  <c r="H1132" i="8"/>
  <c r="I1132" i="8" s="1"/>
  <c r="F973" i="8"/>
  <c r="H973" i="8"/>
  <c r="I973" i="8" s="1"/>
  <c r="F969" i="8"/>
  <c r="H969" i="8"/>
  <c r="I969" i="8" s="1"/>
  <c r="F1169" i="8"/>
  <c r="H1169" i="8"/>
  <c r="I1169" i="8" s="1"/>
  <c r="F2995" i="8"/>
  <c r="H2995" i="8"/>
  <c r="I2995" i="8" s="1"/>
  <c r="F1897" i="8"/>
  <c r="H1897" i="8"/>
  <c r="I1897" i="8" s="1"/>
  <c r="F3405" i="8"/>
  <c r="H3405" i="8"/>
  <c r="I3405" i="8" s="1"/>
  <c r="F215" i="8"/>
  <c r="H215" i="8"/>
  <c r="I215" i="8" s="1"/>
  <c r="F2982" i="8"/>
  <c r="H2982" i="8"/>
  <c r="I2982" i="8" s="1"/>
  <c r="F3409" i="8"/>
  <c r="H3409" i="8"/>
  <c r="I3409" i="8" s="1"/>
  <c r="F1905" i="8"/>
  <c r="H1905" i="8"/>
  <c r="I1905" i="8" s="1"/>
  <c r="F1230" i="8"/>
  <c r="H1230" i="8"/>
  <c r="I1230" i="8" s="1"/>
  <c r="G1722" i="5"/>
  <c r="H1606" i="8"/>
  <c r="I1606" i="8" s="1"/>
  <c r="F1606" i="8"/>
  <c r="F3412" i="8"/>
  <c r="H3412" i="8"/>
  <c r="I3412" i="8" s="1"/>
  <c r="F155" i="8"/>
  <c r="H155" i="8"/>
  <c r="I155" i="8" s="1"/>
  <c r="H1877" i="5"/>
  <c r="H1672" i="5"/>
  <c r="F1887" i="8"/>
  <c r="H1887" i="8"/>
  <c r="I1887" i="8" s="1"/>
  <c r="F3372" i="8"/>
  <c r="H3372" i="8"/>
  <c r="I3372" i="8" s="1"/>
  <c r="F1907" i="8"/>
  <c r="H1907" i="8"/>
  <c r="I1907" i="8" s="1"/>
  <c r="F3399" i="8"/>
  <c r="H3399" i="8"/>
  <c r="I3399" i="8" s="1"/>
  <c r="F3365" i="8"/>
  <c r="H3365" i="8"/>
  <c r="I3365" i="8" s="1"/>
  <c r="F1890" i="8"/>
  <c r="H1890" i="8"/>
  <c r="I1890" i="8" s="1"/>
  <c r="F412" i="8"/>
  <c r="H412" i="8"/>
  <c r="I412" i="8" s="1"/>
  <c r="F3306" i="8"/>
  <c r="H3306" i="8"/>
  <c r="I3306" i="8" s="1"/>
  <c r="F3398" i="8"/>
  <c r="H3398" i="8"/>
  <c r="I3398" i="8" s="1"/>
  <c r="F3386" i="8"/>
  <c r="H3386" i="8"/>
  <c r="I3386" i="8" s="1"/>
  <c r="F564" i="8"/>
  <c r="H564" i="8"/>
  <c r="I564" i="8" s="1"/>
  <c r="F2825" i="8"/>
  <c r="H2825" i="8"/>
  <c r="I2825" i="8" s="1"/>
  <c r="F383" i="8"/>
  <c r="H383" i="8"/>
  <c r="I383" i="8" s="1"/>
  <c r="F1389" i="8"/>
  <c r="H1389" i="8"/>
  <c r="I1389" i="8" s="1"/>
  <c r="H928" i="8"/>
  <c r="I928" i="8" s="1"/>
  <c r="F928" i="8"/>
  <c r="F2932" i="8"/>
  <c r="H2932" i="8"/>
  <c r="I2932" i="8" s="1"/>
  <c r="F3428" i="8"/>
  <c r="H3428" i="8"/>
  <c r="I3428" i="8" s="1"/>
  <c r="H3465" i="8"/>
  <c r="I3465" i="8" s="1"/>
  <c r="F3465" i="8"/>
  <c r="F1903" i="8"/>
  <c r="H1903" i="8"/>
  <c r="I1903" i="8" s="1"/>
  <c r="F2829" i="8"/>
  <c r="H2829" i="8"/>
  <c r="I2829" i="8" s="1"/>
  <c r="F220" i="8"/>
  <c r="H220" i="8"/>
  <c r="I220" i="8" s="1"/>
  <c r="F499" i="8"/>
  <c r="H499" i="8"/>
  <c r="I499" i="8" s="1"/>
  <c r="F1833" i="8"/>
  <c r="H1833" i="8"/>
  <c r="I1833" i="8" s="1"/>
  <c r="F3014" i="8"/>
  <c r="H3014" i="8"/>
  <c r="I3014" i="8" s="1"/>
  <c r="F586" i="8"/>
  <c r="H586" i="8"/>
  <c r="I586" i="8" s="1"/>
  <c r="H163" i="8"/>
  <c r="I163" i="8" s="1"/>
  <c r="F163" i="8"/>
  <c r="F195" i="8"/>
  <c r="H195" i="8"/>
  <c r="I195" i="8" s="1"/>
  <c r="F1906" i="8"/>
  <c r="H1906" i="8"/>
  <c r="I1906" i="8" s="1"/>
  <c r="F1837" i="8"/>
  <c r="H1837" i="8"/>
  <c r="I1837" i="8" s="1"/>
  <c r="F2608" i="8"/>
  <c r="H2608" i="8"/>
  <c r="I2608" i="8" s="1"/>
  <c r="H3172" i="8"/>
  <c r="I3172" i="8" s="1"/>
  <c r="F3172" i="8"/>
  <c r="F3019" i="8"/>
  <c r="H3019" i="8"/>
  <c r="I3019" i="8" s="1"/>
  <c r="F578" i="8"/>
  <c r="H578" i="8"/>
  <c r="I578" i="8" s="1"/>
  <c r="F3350" i="8"/>
  <c r="H3350" i="8"/>
  <c r="I3350" i="8" s="1"/>
  <c r="H109" i="8"/>
  <c r="I109" i="8" s="1"/>
  <c r="F109" i="8"/>
  <c r="H331" i="8"/>
  <c r="I331" i="8" s="1"/>
  <c r="F331" i="8"/>
  <c r="F3339" i="8"/>
  <c r="H3339" i="8"/>
  <c r="I3339" i="8" s="1"/>
  <c r="F3320" i="8"/>
  <c r="H3320" i="8"/>
  <c r="I3320" i="8" s="1"/>
  <c r="H1106" i="8"/>
  <c r="I1106" i="8" s="1"/>
  <c r="F1106" i="8"/>
  <c r="F2217" i="8"/>
  <c r="H2217" i="8"/>
  <c r="I2217" i="8" s="1"/>
  <c r="F3338" i="8"/>
  <c r="H3338" i="8"/>
  <c r="I3338" i="8" s="1"/>
  <c r="F1138" i="8"/>
  <c r="H1138" i="8"/>
  <c r="I1138" i="8" s="1"/>
  <c r="H1389" i="5"/>
  <c r="E239" i="8" s="1"/>
  <c r="F1573" i="8"/>
  <c r="H1573" i="8"/>
  <c r="I1573" i="8" s="1"/>
  <c r="F774" i="8"/>
  <c r="H774" i="8"/>
  <c r="I774" i="8" s="1"/>
  <c r="F1569" i="8"/>
  <c r="H1569" i="8"/>
  <c r="I1569" i="8" s="1"/>
  <c r="H971" i="8"/>
  <c r="I971" i="8" s="1"/>
  <c r="F971" i="8"/>
  <c r="F2822" i="8"/>
  <c r="H2822" i="8"/>
  <c r="I2822" i="8" s="1"/>
  <c r="F3448" i="8"/>
  <c r="H3448" i="8"/>
  <c r="I3448" i="8" s="1"/>
  <c r="F854" i="8"/>
  <c r="H854" i="8"/>
  <c r="I854" i="8" s="1"/>
  <c r="F3307" i="8"/>
  <c r="H3307" i="8"/>
  <c r="I3307" i="8" s="1"/>
  <c r="F176" i="8"/>
  <c r="H176" i="8"/>
  <c r="I176" i="8" s="1"/>
  <c r="F1093" i="8"/>
  <c r="H1093" i="8"/>
  <c r="I1093" i="8" s="1"/>
  <c r="F3305" i="8"/>
  <c r="H3305" i="8"/>
  <c r="I3305" i="8" s="1"/>
  <c r="F1036" i="8"/>
  <c r="H1036" i="8"/>
  <c r="I1036" i="8" s="1"/>
  <c r="F419" i="8"/>
  <c r="H419" i="8"/>
  <c r="I419" i="8" s="1"/>
  <c r="F330" i="8"/>
  <c r="H330" i="8"/>
  <c r="I330" i="8" s="1"/>
  <c r="F3296" i="8"/>
  <c r="H3296" i="8"/>
  <c r="I3296" i="8" s="1"/>
  <c r="F2931" i="8"/>
  <c r="H2931" i="8"/>
  <c r="I2931" i="8" s="1"/>
  <c r="F3004" i="8"/>
  <c r="H3004" i="8"/>
  <c r="I3004" i="8" s="1"/>
  <c r="F3444" i="8"/>
  <c r="H3444" i="8"/>
  <c r="I3444" i="8" s="1"/>
  <c r="F1852" i="8"/>
  <c r="H1852" i="8"/>
  <c r="I1852" i="8" s="1"/>
  <c r="F260" i="8"/>
  <c r="H260" i="8"/>
  <c r="I260" i="8" s="1"/>
  <c r="F3388" i="8"/>
  <c r="H3388" i="8"/>
  <c r="I3388" i="8" s="1"/>
  <c r="F1847" i="8"/>
  <c r="H1847" i="8"/>
  <c r="I1847" i="8" s="1"/>
  <c r="F3355" i="8"/>
  <c r="H3355" i="8"/>
  <c r="I3355" i="8" s="1"/>
  <c r="F723" i="8"/>
  <c r="H723" i="8"/>
  <c r="I723" i="8" s="1"/>
  <c r="F2724" i="8"/>
  <c r="H2724" i="8"/>
  <c r="I2724" i="8" s="1"/>
  <c r="F1393" i="8"/>
  <c r="H1393" i="8"/>
  <c r="I1393" i="8" s="1"/>
  <c r="F2879" i="8"/>
  <c r="H2879" i="8"/>
  <c r="I2879" i="8" s="1"/>
  <c r="F2830" i="8"/>
  <c r="H2830" i="8"/>
  <c r="I2830" i="8" s="1"/>
  <c r="F1120" i="8"/>
  <c r="H1120" i="8"/>
  <c r="I1120" i="8" s="1"/>
  <c r="F1206" i="8"/>
  <c r="H1206" i="8"/>
  <c r="I1206" i="8" s="1"/>
  <c r="F3406" i="8"/>
  <c r="H3406" i="8"/>
  <c r="I3406" i="8" s="1"/>
  <c r="F259" i="8"/>
  <c r="H259" i="8"/>
  <c r="I259" i="8" s="1"/>
  <c r="F2990" i="8"/>
  <c r="H2990" i="8"/>
  <c r="I2990" i="8" s="1"/>
  <c r="F1951" i="8"/>
  <c r="H1951" i="8"/>
  <c r="I1951" i="8" s="1"/>
  <c r="F2882" i="8"/>
  <c r="H2882" i="8"/>
  <c r="I2882" i="8" s="1"/>
  <c r="F3384" i="8"/>
  <c r="H3384" i="8"/>
  <c r="I3384" i="8" s="1"/>
  <c r="F3356" i="8"/>
  <c r="H3356" i="8"/>
  <c r="I3356" i="8" s="1"/>
  <c r="F1341" i="8"/>
  <c r="H1341" i="8"/>
  <c r="I1341" i="8" s="1"/>
  <c r="F3027" i="8"/>
  <c r="H3027" i="8"/>
  <c r="I3027" i="8" s="1"/>
  <c r="F2909" i="8"/>
  <c r="H2909" i="8"/>
  <c r="I2909" i="8" s="1"/>
  <c r="F2219" i="8"/>
  <c r="H2219" i="8"/>
  <c r="I2219" i="8" s="1"/>
  <c r="F3303" i="8"/>
  <c r="H3303" i="8"/>
  <c r="I3303" i="8" s="1"/>
  <c r="F3420" i="8"/>
  <c r="H3420" i="8"/>
  <c r="I3420" i="8" s="1"/>
  <c r="H989" i="8"/>
  <c r="I989" i="8" s="1"/>
  <c r="F989" i="8"/>
  <c r="F1867" i="8"/>
  <c r="H1867" i="8"/>
  <c r="I1867" i="8" s="1"/>
  <c r="F1219" i="8"/>
  <c r="H1219" i="8"/>
  <c r="I1219" i="8" s="1"/>
  <c r="H1816" i="5"/>
  <c r="F3422" i="8"/>
  <c r="H3422" i="8"/>
  <c r="I3422" i="8" s="1"/>
  <c r="H3248" i="8"/>
  <c r="I3248" i="8" s="1"/>
  <c r="F3248" i="8"/>
  <c r="F3036" i="8"/>
  <c r="H3036" i="8"/>
  <c r="I3036" i="8" s="1"/>
  <c r="F1114" i="8"/>
  <c r="H1114" i="8"/>
  <c r="I1114" i="8" s="1"/>
  <c r="F1896" i="8"/>
  <c r="H1896" i="8"/>
  <c r="I1896" i="8" s="1"/>
  <c r="H373" i="8"/>
  <c r="I373" i="8" s="1"/>
  <c r="F373" i="8"/>
  <c r="F1839" i="8"/>
  <c r="H1839" i="8"/>
  <c r="I1839" i="8" s="1"/>
  <c r="G1711" i="5"/>
  <c r="F1836" i="8"/>
  <c r="H1836" i="8"/>
  <c r="I1836" i="8" s="1"/>
  <c r="F1904" i="8"/>
  <c r="H1904" i="8"/>
  <c r="I1904" i="8" s="1"/>
  <c r="F3400" i="8"/>
  <c r="H3400" i="8"/>
  <c r="I3400" i="8" s="1"/>
  <c r="F3390" i="8"/>
  <c r="H3390" i="8"/>
  <c r="I3390" i="8" s="1"/>
  <c r="F1574" i="8"/>
  <c r="H1574" i="8"/>
  <c r="I1574" i="8" s="1"/>
  <c r="F2708" i="8"/>
  <c r="H2708" i="8"/>
  <c r="I2708" i="8" s="1"/>
  <c r="F269" i="8"/>
  <c r="H269" i="8"/>
  <c r="I269" i="8" s="1"/>
  <c r="F2750" i="8"/>
  <c r="H2750" i="8"/>
  <c r="I2750" i="8" s="1"/>
  <c r="F1900" i="8"/>
  <c r="H1900" i="8"/>
  <c r="I1900" i="8" s="1"/>
  <c r="F410" i="8"/>
  <c r="H410" i="8"/>
  <c r="I410" i="8" s="1"/>
  <c r="F145" i="8"/>
  <c r="H145" i="8"/>
  <c r="I145" i="8" s="1"/>
  <c r="F3347" i="8"/>
  <c r="H3347" i="8"/>
  <c r="I3347" i="8" s="1"/>
  <c r="F1547" i="8"/>
  <c r="H1547" i="8"/>
  <c r="I1547" i="8" s="1"/>
  <c r="H1077" i="8"/>
  <c r="I1077" i="8" s="1"/>
  <c r="F1077" i="8"/>
  <c r="F3219" i="8"/>
  <c r="H3219" i="8"/>
  <c r="I3219" i="8" s="1"/>
  <c r="F3314" i="8"/>
  <c r="H3314" i="8"/>
  <c r="I3314" i="8" s="1"/>
  <c r="F413" i="8"/>
  <c r="H413" i="8"/>
  <c r="I413" i="8" s="1"/>
  <c r="F3298" i="8"/>
  <c r="H3298" i="8"/>
  <c r="I3298" i="8" s="1"/>
  <c r="G158" i="6"/>
  <c r="F1608" i="8"/>
  <c r="H1608" i="8"/>
  <c r="I1608" i="8" s="1"/>
  <c r="F3341" i="8"/>
  <c r="H3341" i="8"/>
  <c r="I3341" i="8" s="1"/>
  <c r="F2910" i="8"/>
  <c r="H2910" i="8"/>
  <c r="I2910" i="8" s="1"/>
  <c r="F503" i="8"/>
  <c r="H503" i="8"/>
  <c r="I503" i="8" s="1"/>
  <c r="F2789" i="8"/>
  <c r="H2789" i="8"/>
  <c r="I2789" i="8" s="1"/>
  <c r="F3042" i="8"/>
  <c r="H3042" i="8"/>
  <c r="I3042" i="8" s="1"/>
  <c r="F1902" i="8"/>
  <c r="H1902" i="8"/>
  <c r="I1902" i="8" s="1"/>
  <c r="H1122" i="8"/>
  <c r="I1122" i="8" s="1"/>
  <c r="F1122" i="8"/>
  <c r="F1374" i="8"/>
  <c r="H1374" i="8"/>
  <c r="I1374" i="8" s="1"/>
  <c r="F2874" i="8"/>
  <c r="H2874" i="8"/>
  <c r="I2874" i="8" s="1"/>
  <c r="F2886" i="8"/>
  <c r="H2886" i="8"/>
  <c r="I2886" i="8" s="1"/>
  <c r="F1854" i="8"/>
  <c r="H1854" i="8"/>
  <c r="I1854" i="8" s="1"/>
  <c r="F1552" i="8"/>
  <c r="H1552" i="8"/>
  <c r="I1552" i="8" s="1"/>
  <c r="F475" i="8"/>
  <c r="H475" i="8"/>
  <c r="I475" i="8" s="1"/>
  <c r="F1095" i="8"/>
  <c r="H1095" i="8"/>
  <c r="I1095" i="8" s="1"/>
  <c r="F54" i="8"/>
  <c r="H54" i="8"/>
  <c r="I54" i="8" s="1"/>
  <c r="F3362" i="8"/>
  <c r="H3362" i="8"/>
  <c r="I3362" i="8" s="1"/>
  <c r="F328" i="8"/>
  <c r="H328" i="8"/>
  <c r="I328" i="8" s="1"/>
  <c r="G394" i="6"/>
  <c r="F2895" i="8"/>
  <c r="H2895" i="8"/>
  <c r="I2895" i="8" s="1"/>
  <c r="F2871" i="8"/>
  <c r="H2871" i="8"/>
  <c r="I2871" i="8" s="1"/>
  <c r="F597" i="8"/>
  <c r="H597" i="8"/>
  <c r="I597" i="8" s="1"/>
  <c r="H90" i="8"/>
  <c r="I90" i="8" s="1"/>
  <c r="F90" i="8"/>
  <c r="F3435" i="8"/>
  <c r="H3435" i="8"/>
  <c r="I3435" i="8" s="1"/>
  <c r="F3335" i="8"/>
  <c r="H3335" i="8"/>
  <c r="I3335" i="8" s="1"/>
  <c r="H192" i="8"/>
  <c r="I192" i="8" s="1"/>
  <c r="F192" i="8"/>
  <c r="H955" i="8"/>
  <c r="I955" i="8" s="1"/>
  <c r="F955" i="8"/>
  <c r="F2394" i="8"/>
  <c r="H2394" i="8"/>
  <c r="I2394" i="8" s="1"/>
  <c r="F929" i="8"/>
  <c r="H929" i="8"/>
  <c r="I929" i="8" s="1"/>
  <c r="F3294" i="8"/>
  <c r="H3294" i="8"/>
  <c r="I3294" i="8" s="1"/>
  <c r="F3348" i="8"/>
  <c r="H3348" i="8"/>
  <c r="I3348" i="8" s="1"/>
  <c r="H217" i="8"/>
  <c r="I217" i="8" s="1"/>
  <c r="F217" i="8"/>
  <c r="F3047" i="8"/>
  <c r="H3047" i="8"/>
  <c r="I3047" i="8" s="1"/>
  <c r="F1571" i="8"/>
  <c r="H1571" i="8"/>
  <c r="I1571" i="8" s="1"/>
  <c r="F3343" i="8"/>
  <c r="H3343" i="8"/>
  <c r="I3343" i="8" s="1"/>
  <c r="F265" i="8"/>
  <c r="H265" i="8"/>
  <c r="I265" i="8" s="1"/>
  <c r="F3046" i="8"/>
  <c r="H3046" i="8"/>
  <c r="I3046" i="8" s="1"/>
  <c r="F2992" i="8"/>
  <c r="H2992" i="8"/>
  <c r="I2992" i="8" s="1"/>
  <c r="G628" i="5"/>
  <c r="G3072" i="5"/>
  <c r="G6162" i="5"/>
  <c r="F6" i="8"/>
  <c r="H6" i="8"/>
  <c r="I6" i="8" s="1"/>
  <c r="F1348" i="8"/>
  <c r="H1348" i="8"/>
  <c r="I1348" i="8" s="1"/>
  <c r="F1861" i="8"/>
  <c r="H1861" i="8"/>
  <c r="I1861" i="8" s="1"/>
  <c r="F2828" i="8"/>
  <c r="H2828" i="8"/>
  <c r="I2828" i="8" s="1"/>
  <c r="F3255" i="8"/>
  <c r="H3255" i="8"/>
  <c r="I3255" i="8" s="1"/>
  <c r="F3340" i="8"/>
  <c r="H3340" i="8"/>
  <c r="I3340" i="8" s="1"/>
  <c r="F3411" i="8"/>
  <c r="H3411" i="8"/>
  <c r="I3411" i="8" s="1"/>
  <c r="F1170" i="8"/>
  <c r="H1170" i="8"/>
  <c r="I1170" i="8" s="1"/>
  <c r="F1125" i="8"/>
  <c r="H1125" i="8"/>
  <c r="I1125" i="8" s="1"/>
  <c r="F1087" i="8"/>
  <c r="H1087" i="8"/>
  <c r="I1087" i="8" s="1"/>
  <c r="F349" i="8"/>
  <c r="H349" i="8"/>
  <c r="I349" i="8" s="1"/>
  <c r="F3243" i="8"/>
  <c r="H3243" i="8"/>
  <c r="I3243" i="8" s="1"/>
  <c r="G1702" i="5"/>
  <c r="F3359" i="8"/>
  <c r="H3359" i="8"/>
  <c r="I3359" i="8" s="1"/>
  <c r="F2817" i="8"/>
  <c r="H2817" i="8"/>
  <c r="I2817" i="8" s="1"/>
  <c r="F3378" i="8"/>
  <c r="H3378" i="8"/>
  <c r="I3378" i="8" s="1"/>
  <c r="F3354" i="8"/>
  <c r="H3354" i="8"/>
  <c r="I3354" i="8" s="1"/>
  <c r="F1006" i="8"/>
  <c r="H1006" i="8"/>
  <c r="I1006" i="8" s="1"/>
  <c r="F3441" i="8"/>
  <c r="H3441" i="8"/>
  <c r="I3441" i="8" s="1"/>
  <c r="F178" i="8"/>
  <c r="H178" i="8"/>
  <c r="I178" i="8" s="1"/>
  <c r="H19" i="8"/>
  <c r="I19" i="8" s="1"/>
  <c r="F19" i="8"/>
  <c r="F3028" i="8"/>
  <c r="H3028" i="8"/>
  <c r="I3028" i="8" s="1"/>
  <c r="F3322" i="8"/>
  <c r="H3322" i="8"/>
  <c r="I3322" i="8" s="1"/>
  <c r="F1953" i="8"/>
  <c r="H1953" i="8"/>
  <c r="I1953" i="8" s="1"/>
  <c r="F3437" i="8"/>
  <c r="H3437" i="8"/>
  <c r="I3437" i="8" s="1"/>
  <c r="H256" i="8"/>
  <c r="I256" i="8" s="1"/>
  <c r="F256" i="8"/>
  <c r="F3468" i="8"/>
  <c r="H3468" i="8"/>
  <c r="I3468" i="8" s="1"/>
  <c r="F1868" i="8"/>
  <c r="H1868" i="8"/>
  <c r="I1868" i="8" s="1"/>
  <c r="H1360" i="8"/>
  <c r="I1360" i="8" s="1"/>
  <c r="F1360" i="8"/>
  <c r="F2290" i="8"/>
  <c r="H2290" i="8"/>
  <c r="I2290" i="8" s="1"/>
  <c r="F3051" i="8"/>
  <c r="H3051" i="8"/>
  <c r="I3051" i="8" s="1"/>
  <c r="H995" i="8"/>
  <c r="I995" i="8" s="1"/>
  <c r="F995" i="8"/>
  <c r="F1566" i="8"/>
  <c r="H1566" i="8"/>
  <c r="I1566" i="8" s="1"/>
  <c r="F2593" i="8"/>
  <c r="H2593" i="8"/>
  <c r="I2593" i="8" s="1"/>
  <c r="F3389" i="8"/>
  <c r="H3389" i="8"/>
  <c r="I3389" i="8" s="1"/>
  <c r="H348" i="8"/>
  <c r="I348" i="8" s="1"/>
  <c r="F348" i="8"/>
  <c r="F3034" i="8"/>
  <c r="H3034" i="8"/>
  <c r="I3034" i="8" s="1"/>
  <c r="F593" i="8"/>
  <c r="H593" i="8"/>
  <c r="I593" i="8" s="1"/>
  <c r="F3370" i="8"/>
  <c r="H3370" i="8"/>
  <c r="I3370" i="8" s="1"/>
  <c r="F3337" i="8"/>
  <c r="H3337" i="8"/>
  <c r="I3337" i="8" s="1"/>
  <c r="F3453" i="8"/>
  <c r="H3453" i="8"/>
  <c r="I3453" i="8" s="1"/>
  <c r="F1272" i="8"/>
  <c r="H1272" i="8"/>
  <c r="I1272" i="8" s="1"/>
  <c r="F1034" i="8"/>
  <c r="H1034" i="8"/>
  <c r="I1034" i="8" s="1"/>
  <c r="H931" i="8"/>
  <c r="I931" i="8" s="1"/>
  <c r="F931" i="8"/>
  <c r="F3357" i="8"/>
  <c r="H3357" i="8"/>
  <c r="I3357" i="8" s="1"/>
  <c r="F162" i="8"/>
  <c r="H162" i="8"/>
  <c r="I162" i="8" s="1"/>
  <c r="F334" i="8"/>
  <c r="H334" i="8"/>
  <c r="I334" i="8" s="1"/>
  <c r="H3254" i="8"/>
  <c r="I3254" i="8" s="1"/>
  <c r="F3254" i="8"/>
  <c r="F1895" i="8"/>
  <c r="H1895" i="8"/>
  <c r="I1895" i="8" s="1"/>
  <c r="F2975" i="8"/>
  <c r="H2975" i="8"/>
  <c r="I2975" i="8" s="1"/>
  <c r="F1551" i="8"/>
  <c r="H1551" i="8"/>
  <c r="I1551" i="8" s="1"/>
  <c r="F3315" i="8"/>
  <c r="H3315" i="8"/>
  <c r="I3315" i="8" s="1"/>
  <c r="F3328" i="8"/>
  <c r="H3328" i="8"/>
  <c r="I3328" i="8" s="1"/>
  <c r="F1871" i="8"/>
  <c r="H1871" i="8"/>
  <c r="I1871" i="8" s="1"/>
  <c r="F3049" i="8"/>
  <c r="H3049" i="8"/>
  <c r="I3049" i="8" s="1"/>
  <c r="F264" i="8"/>
  <c r="H264" i="8"/>
  <c r="I264" i="8" s="1"/>
  <c r="F3053" i="8"/>
  <c r="H3053" i="8"/>
  <c r="I3053" i="8" s="1"/>
  <c r="F1869" i="8"/>
  <c r="H1869" i="8"/>
  <c r="I1869" i="8" s="1"/>
  <c r="F1176" i="8"/>
  <c r="H1176" i="8"/>
  <c r="I1176" i="8" s="1"/>
  <c r="F3451" i="8"/>
  <c r="H3451" i="8"/>
  <c r="I3451" i="8" s="1"/>
  <c r="F3208" i="8"/>
  <c r="H3208" i="8"/>
  <c r="I3208" i="8" s="1"/>
  <c r="F177" i="8"/>
  <c r="H177" i="8"/>
  <c r="I177" i="8" s="1"/>
  <c r="F845" i="8"/>
  <c r="H845" i="8"/>
  <c r="I845" i="8" s="1"/>
  <c r="F953" i="8"/>
  <c r="H953" i="8"/>
  <c r="I953" i="8" s="1"/>
  <c r="F3012" i="8"/>
  <c r="H3012" i="8"/>
  <c r="I3012" i="8" s="1"/>
  <c r="F3324" i="8"/>
  <c r="H3324" i="8"/>
  <c r="I3324" i="8" s="1"/>
  <c r="F2824" i="8"/>
  <c r="H2824" i="8"/>
  <c r="I2824" i="8" s="1"/>
  <c r="F1834" i="8"/>
  <c r="H1834" i="8"/>
  <c r="I1834" i="8" s="1"/>
  <c r="F3321" i="8"/>
  <c r="H3321" i="8"/>
  <c r="I3321" i="8" s="1"/>
  <c r="F1412" i="8"/>
  <c r="H1412" i="8"/>
  <c r="I1412" i="8" s="1"/>
  <c r="F1841" i="8"/>
  <c r="H1841" i="8"/>
  <c r="I1841" i="8" s="1"/>
  <c r="H3456" i="8"/>
  <c r="I3456" i="8" s="1"/>
  <c r="F3456" i="8"/>
  <c r="F3415" i="8"/>
  <c r="H3415" i="8"/>
  <c r="I3415" i="8" s="1"/>
  <c r="G568" i="5"/>
  <c r="F3416" i="8"/>
  <c r="H3416" i="8"/>
  <c r="I3416" i="8" s="1"/>
  <c r="F1878" i="8"/>
  <c r="H1878" i="8"/>
  <c r="I1878" i="8" s="1"/>
  <c r="F3479" i="8"/>
  <c r="H3479" i="8"/>
  <c r="I3479" i="8" s="1"/>
  <c r="F3394" i="8"/>
  <c r="H3394" i="8"/>
  <c r="I3394" i="8" s="1"/>
  <c r="F2334" i="8"/>
  <c r="H2334" i="8"/>
  <c r="I2334" i="8" s="1"/>
  <c r="F2979" i="8"/>
  <c r="H2979" i="8"/>
  <c r="I2979" i="8" s="1"/>
  <c r="F1849" i="8"/>
  <c r="H1849" i="8"/>
  <c r="I1849" i="8" s="1"/>
  <c r="F224" i="8"/>
  <c r="H224" i="8"/>
  <c r="I224" i="8" s="1"/>
  <c r="F2994" i="8"/>
  <c r="H2994" i="8"/>
  <c r="I2994" i="8" s="1"/>
  <c r="F2924" i="8"/>
  <c r="H2924" i="8"/>
  <c r="I2924" i="8" s="1"/>
  <c r="G595" i="5"/>
  <c r="F1071" i="8"/>
  <c r="H1071" i="8"/>
  <c r="I1071" i="8" s="1"/>
  <c r="F3041" i="8"/>
  <c r="H3041" i="8"/>
  <c r="I3041" i="8" s="1"/>
  <c r="F3418" i="8"/>
  <c r="H3418" i="8"/>
  <c r="I3418" i="8" s="1"/>
  <c r="F1347" i="8"/>
  <c r="H1347" i="8"/>
  <c r="I1347" i="8" s="1"/>
  <c r="F283" i="8"/>
  <c r="H283" i="8"/>
  <c r="I283" i="8" s="1"/>
  <c r="F3401" i="8"/>
  <c r="H3401" i="8"/>
  <c r="I3401" i="8" s="1"/>
  <c r="F733" i="8"/>
  <c r="H733" i="8"/>
  <c r="I733" i="8" s="1"/>
  <c r="F472" i="8"/>
  <c r="H472" i="8"/>
  <c r="I472" i="8" s="1"/>
  <c r="H257" i="8"/>
  <c r="I257" i="8" s="1"/>
  <c r="F257" i="8"/>
  <c r="F2823" i="8"/>
  <c r="H2823" i="8"/>
  <c r="I2823" i="8" s="1"/>
  <c r="H3116" i="8"/>
  <c r="I3116" i="8" s="1"/>
  <c r="F3116" i="8"/>
  <c r="F2744" i="8"/>
  <c r="H2744" i="8"/>
  <c r="I2744" i="8" s="1"/>
  <c r="F1856" i="8"/>
  <c r="H1856" i="8"/>
  <c r="I1856" i="8" s="1"/>
  <c r="F56" i="8"/>
  <c r="H56" i="8"/>
  <c r="I56" i="8" s="1"/>
  <c r="F3032" i="8"/>
  <c r="H3032" i="8"/>
  <c r="I3032" i="8" s="1"/>
  <c r="F18" i="8"/>
  <c r="H18" i="8"/>
  <c r="I18" i="8" s="1"/>
  <c r="F3226" i="8"/>
  <c r="H3226" i="8"/>
  <c r="I3226" i="8" s="1"/>
  <c r="H1293" i="8"/>
  <c r="I1293" i="8" s="1"/>
  <c r="F1293" i="8"/>
  <c r="H181" i="8"/>
  <c r="I181" i="8" s="1"/>
  <c r="F181" i="8"/>
  <c r="H121" i="8"/>
  <c r="I121" i="8" s="1"/>
  <c r="F121" i="8"/>
  <c r="F2898" i="8"/>
  <c r="H2898" i="8"/>
  <c r="I2898" i="8" s="1"/>
  <c r="F3417" i="8"/>
  <c r="H3417" i="8"/>
  <c r="I3417" i="8" s="1"/>
  <c r="F1155" i="8"/>
  <c r="H1155" i="8"/>
  <c r="I1155" i="8" s="1"/>
  <c r="H186" i="8"/>
  <c r="I186" i="8" s="1"/>
  <c r="F186" i="8"/>
  <c r="G7498" i="5"/>
  <c r="F1829" i="8"/>
  <c r="H1829" i="8"/>
  <c r="I1829" i="8" s="1"/>
  <c r="F2821" i="8"/>
  <c r="H2821" i="8"/>
  <c r="I2821" i="8" s="1"/>
  <c r="F1893" i="8"/>
  <c r="H1893" i="8"/>
  <c r="I1893" i="8" s="1"/>
  <c r="H1128" i="8"/>
  <c r="I1128" i="8" s="1"/>
  <c r="F1128" i="8"/>
  <c r="F2945" i="8"/>
  <c r="H2945" i="8"/>
  <c r="I2945" i="8" s="1"/>
  <c r="F1851" i="8"/>
  <c r="H1851" i="8"/>
  <c r="I1851" i="8" s="1"/>
  <c r="F2893" i="8"/>
  <c r="H2893" i="8"/>
  <c r="I2893" i="8" s="1"/>
  <c r="F1604" i="8"/>
  <c r="H1604" i="8"/>
  <c r="I1604" i="8" s="1"/>
  <c r="F2887" i="8"/>
  <c r="H2887" i="8"/>
  <c r="I2887" i="8" s="1"/>
  <c r="F202" i="8"/>
  <c r="H202" i="8"/>
  <c r="I202" i="8" s="1"/>
  <c r="F2948" i="8"/>
  <c r="H2948" i="8"/>
  <c r="I2948" i="8" s="1"/>
  <c r="H238" i="8"/>
  <c r="I238" i="8" s="1"/>
  <c r="F238" i="8"/>
  <c r="F1838" i="8"/>
  <c r="H1838" i="8"/>
  <c r="I1838" i="8" s="1"/>
  <c r="F3410" i="8"/>
  <c r="H3410" i="8"/>
  <c r="I3410" i="8" s="1"/>
  <c r="F819" i="8"/>
  <c r="H819" i="8"/>
  <c r="I819" i="8" s="1"/>
  <c r="F3002" i="8"/>
  <c r="H3002" i="8"/>
  <c r="I3002" i="8" s="1"/>
  <c r="F1175" i="8"/>
  <c r="H1175" i="8"/>
  <c r="I1175" i="8" s="1"/>
  <c r="G258" i="6"/>
  <c r="F98" i="8"/>
  <c r="H98" i="8"/>
  <c r="I98" i="8" s="1"/>
  <c r="H5122" i="5"/>
  <c r="E1315" i="8" s="1"/>
  <c r="F1545" i="8"/>
  <c r="H1545" i="8"/>
  <c r="I1545" i="8" s="1"/>
  <c r="F10" i="8"/>
  <c r="H10" i="8"/>
  <c r="I10" i="8" s="1"/>
  <c r="F1137" i="8"/>
  <c r="H1137" i="8"/>
  <c r="I1137" i="8" s="1"/>
  <c r="F88" i="8"/>
  <c r="H88" i="8"/>
  <c r="I88" i="8" s="1"/>
  <c r="H1066" i="8"/>
  <c r="I1066" i="8" s="1"/>
  <c r="F1066" i="8"/>
  <c r="F3325" i="8"/>
  <c r="H3325" i="8"/>
  <c r="I3325" i="8" s="1"/>
  <c r="F2218" i="8"/>
  <c r="H2218" i="8"/>
  <c r="I2218" i="8" s="1"/>
  <c r="F2885" i="8"/>
  <c r="H2885" i="8"/>
  <c r="I2885" i="8" s="1"/>
  <c r="F985" i="8"/>
  <c r="H985" i="8"/>
  <c r="I985" i="8" s="1"/>
  <c r="F1267" i="8"/>
  <c r="H1267" i="8"/>
  <c r="I1267" i="8" s="1"/>
  <c r="F3373" i="8"/>
  <c r="H3373" i="8"/>
  <c r="I3373" i="8" s="1"/>
  <c r="F1859" i="8"/>
  <c r="H1859" i="8"/>
  <c r="I1859" i="8" s="1"/>
  <c r="F2899" i="8"/>
  <c r="H2899" i="8"/>
  <c r="I2899" i="8" s="1"/>
  <c r="F3463" i="8"/>
  <c r="H3463" i="8"/>
  <c r="I3463" i="8" s="1"/>
  <c r="G1379" i="5"/>
  <c r="G1974" i="5"/>
  <c r="F3240" i="8"/>
  <c r="H3240" i="8"/>
  <c r="I3240" i="8" s="1"/>
  <c r="F2980" i="8"/>
  <c r="H2980" i="8"/>
  <c r="I2980" i="8" s="1"/>
  <c r="F1411" i="8"/>
  <c r="H1411" i="8"/>
  <c r="I1411" i="8" s="1"/>
  <c r="H4328" i="5"/>
  <c r="F3391" i="8"/>
  <c r="H3391" i="8"/>
  <c r="I3391" i="8" s="1"/>
  <c r="H347" i="8"/>
  <c r="I347" i="8" s="1"/>
  <c r="F347" i="8"/>
  <c r="F3374" i="8"/>
  <c r="H3374" i="8"/>
  <c r="I3374" i="8" s="1"/>
  <c r="F3369" i="8"/>
  <c r="H3369" i="8"/>
  <c r="I3369" i="8" s="1"/>
  <c r="F3387" i="8"/>
  <c r="H3387" i="8"/>
  <c r="I3387" i="8" s="1"/>
  <c r="F193" i="8"/>
  <c r="H193" i="8"/>
  <c r="I193" i="8" s="1"/>
  <c r="F2861" i="8"/>
  <c r="H2861" i="8"/>
  <c r="I2861" i="8" s="1"/>
  <c r="F416" i="8"/>
  <c r="H416" i="8"/>
  <c r="I416" i="8" s="1"/>
  <c r="F3185" i="8"/>
  <c r="H3185" i="8"/>
  <c r="I3185" i="8" s="1"/>
  <c r="F3385" i="8"/>
  <c r="H3385" i="8"/>
  <c r="I3385" i="8" s="1"/>
  <c r="F2729" i="8"/>
  <c r="H2729" i="8"/>
  <c r="I2729" i="8" s="1"/>
  <c r="F3044" i="8"/>
  <c r="H3044" i="8"/>
  <c r="I3044" i="8" s="1"/>
  <c r="H1832" i="8"/>
  <c r="I1832" i="8" s="1"/>
  <c r="F1832" i="8"/>
  <c r="F2946" i="8"/>
  <c r="H2946" i="8"/>
  <c r="I2946" i="8" s="1"/>
  <c r="F1954" i="8"/>
  <c r="H1954" i="8"/>
  <c r="I1954" i="8" s="1"/>
  <c r="F2860" i="8"/>
  <c r="H2860" i="8"/>
  <c r="I2860" i="8" s="1"/>
  <c r="F3013" i="8"/>
  <c r="H3013" i="8"/>
  <c r="I3013" i="8" s="1"/>
  <c r="F775" i="8"/>
  <c r="H775" i="8"/>
  <c r="I775" i="8" s="1"/>
  <c r="F3326" i="8"/>
  <c r="H3326" i="8"/>
  <c r="I3326" i="8" s="1"/>
  <c r="H1284" i="8"/>
  <c r="I1284" i="8" s="1"/>
  <c r="F1284" i="8"/>
  <c r="F1899" i="8"/>
  <c r="H1899" i="8"/>
  <c r="I1899" i="8" s="1"/>
  <c r="F2833" i="8"/>
  <c r="H2833" i="8"/>
  <c r="I2833" i="8" s="1"/>
  <c r="H351" i="8"/>
  <c r="I351" i="8" s="1"/>
  <c r="F351" i="8"/>
  <c r="F2929" i="8"/>
  <c r="H2929" i="8"/>
  <c r="I2929" i="8" s="1"/>
  <c r="F1549" i="8"/>
  <c r="H1549" i="8"/>
  <c r="I1549" i="8" s="1"/>
  <c r="F1294" i="8"/>
  <c r="H1294" i="8"/>
  <c r="I1294" i="8" s="1"/>
  <c r="F3052" i="8"/>
  <c r="H3052" i="8"/>
  <c r="I3052" i="8" s="1"/>
  <c r="F2933" i="8"/>
  <c r="H2933" i="8"/>
  <c r="I2933" i="8" s="1"/>
  <c r="G1975" i="5"/>
  <c r="F3317" i="8"/>
  <c r="H3317" i="8"/>
  <c r="I3317" i="8" s="1"/>
  <c r="F1088" i="8"/>
  <c r="H1088" i="8"/>
  <c r="I1088" i="8" s="1"/>
  <c r="F1892" i="8"/>
  <c r="H1892" i="8"/>
  <c r="I1892" i="8" s="1"/>
  <c r="F1035" i="8"/>
  <c r="H1035" i="8"/>
  <c r="I1035" i="8" s="1"/>
  <c r="F3366" i="8"/>
  <c r="H3366" i="8"/>
  <c r="I3366" i="8" s="1"/>
  <c r="F3331" i="8"/>
  <c r="H3331" i="8"/>
  <c r="I3331" i="8" s="1"/>
  <c r="F3363" i="8"/>
  <c r="H3363" i="8"/>
  <c r="I3363" i="8" s="1"/>
  <c r="H1121" i="8"/>
  <c r="I1121" i="8" s="1"/>
  <c r="F1121" i="8"/>
  <c r="F3039" i="8"/>
  <c r="H3039" i="8"/>
  <c r="I3039" i="8" s="1"/>
  <c r="H240" i="8"/>
  <c r="I240" i="8" s="1"/>
  <c r="F240" i="8"/>
  <c r="H3364" i="8"/>
  <c r="I3364" i="8" s="1"/>
  <c r="F3364" i="8"/>
  <c r="G3716" i="5"/>
  <c r="F1898" i="8"/>
  <c r="H1898" i="8"/>
  <c r="I1898" i="8" s="1"/>
  <c r="F945" i="8"/>
  <c r="H945" i="8"/>
  <c r="I945" i="8" s="1"/>
  <c r="F3297" i="8"/>
  <c r="H3297" i="8"/>
  <c r="I3297" i="8" s="1"/>
  <c r="F3402" i="8"/>
  <c r="H3402" i="8"/>
  <c r="I3402" i="8" s="1"/>
  <c r="F258" i="8"/>
  <c r="H258" i="8"/>
  <c r="I258" i="8" s="1"/>
  <c r="F2748" i="8"/>
  <c r="H2748" i="8"/>
  <c r="I2748" i="8" s="1"/>
  <c r="F3323" i="8"/>
  <c r="H3323" i="8"/>
  <c r="I3323" i="8" s="1"/>
  <c r="F3344" i="8"/>
  <c r="H3344" i="8"/>
  <c r="I3344" i="8" s="1"/>
  <c r="F3469" i="8"/>
  <c r="H3469" i="8"/>
  <c r="I3469" i="8" s="1"/>
  <c r="F53" i="8"/>
  <c r="H53" i="8"/>
  <c r="I53" i="8" s="1"/>
  <c r="F3312" i="8"/>
  <c r="H3312" i="8"/>
  <c r="I3312" i="8" s="1"/>
  <c r="F2820" i="8"/>
  <c r="H2820" i="8"/>
  <c r="I2820" i="8" s="1"/>
  <c r="F2896" i="8"/>
  <c r="H2896" i="8"/>
  <c r="I2896" i="8" s="1"/>
  <c r="F1853" i="8"/>
  <c r="H1853" i="8"/>
  <c r="I1853" i="8" s="1"/>
  <c r="F353" i="8"/>
  <c r="H353" i="8"/>
  <c r="I353" i="8" s="1"/>
  <c r="F103" i="8"/>
  <c r="H103" i="8"/>
  <c r="I103" i="8" s="1"/>
  <c r="F3334" i="8"/>
  <c r="H3334" i="8"/>
  <c r="I3334" i="8" s="1"/>
  <c r="F742" i="8"/>
  <c r="H742" i="8"/>
  <c r="I742" i="8" s="1"/>
  <c r="F126" i="8"/>
  <c r="H126" i="8"/>
  <c r="I126" i="8" s="1"/>
  <c r="F3001" i="8"/>
  <c r="H3001" i="8"/>
  <c r="I3001" i="8" s="1"/>
  <c r="F2978" i="8"/>
  <c r="H2978" i="8"/>
  <c r="I2978" i="8" s="1"/>
  <c r="H2697" i="8"/>
  <c r="I2697" i="8" s="1"/>
  <c r="F2697" i="8"/>
  <c r="F1844" i="8"/>
  <c r="H1844" i="8"/>
  <c r="I1844" i="8" s="1"/>
  <c r="F1862" i="8"/>
  <c r="H1862" i="8"/>
  <c r="I1862" i="8" s="1"/>
  <c r="F1858" i="8"/>
  <c r="H1858" i="8"/>
  <c r="I1858" i="8" s="1"/>
  <c r="H958" i="8"/>
  <c r="I958" i="8" s="1"/>
  <c r="F958" i="8"/>
  <c r="H1180" i="8"/>
  <c r="I1180" i="8" s="1"/>
  <c r="F1180" i="8"/>
  <c r="F1901" i="8"/>
  <c r="H1901" i="8"/>
  <c r="I1901" i="8" s="1"/>
  <c r="G1982" i="5"/>
  <c r="E306" i="8" l="1"/>
  <c r="E310" i="8"/>
  <c r="E300" i="8"/>
  <c r="E321" i="8"/>
  <c r="E1136" i="8"/>
  <c r="E274" i="8"/>
  <c r="E332" i="8"/>
  <c r="E309" i="8"/>
  <c r="H1739" i="5"/>
  <c r="H3950" i="5"/>
  <c r="H899" i="5"/>
  <c r="H1706" i="5"/>
  <c r="F374" i="8"/>
  <c r="H374" i="8"/>
  <c r="I374" i="8" s="1"/>
  <c r="G3921" i="5"/>
  <c r="F1366" i="8"/>
  <c r="H1366" i="8"/>
  <c r="I1366" i="8" s="1"/>
  <c r="F1290" i="8"/>
  <c r="H1290" i="8"/>
  <c r="I1290" i="8" s="1"/>
  <c r="H1698" i="5"/>
  <c r="E278" i="8" s="1"/>
  <c r="H226" i="8"/>
  <c r="I226" i="8" s="1"/>
  <c r="F226" i="8"/>
  <c r="G3518" i="5"/>
  <c r="G5275" i="5"/>
  <c r="H1979" i="5"/>
  <c r="E327" i="8" s="1"/>
  <c r="F3270" i="8"/>
  <c r="H3270" i="8"/>
  <c r="I3270" i="8" s="1"/>
  <c r="F3271" i="8"/>
  <c r="H3271" i="8"/>
  <c r="I3271" i="8" s="1"/>
  <c r="H564" i="5"/>
  <c r="H1717" i="5"/>
  <c r="F530" i="6"/>
  <c r="G528" i="6" s="1"/>
  <c r="H335" i="8"/>
  <c r="I335" i="8" s="1"/>
  <c r="F335" i="8"/>
  <c r="F197" i="8"/>
  <c r="H197" i="8"/>
  <c r="I197" i="8" s="1"/>
  <c r="H343" i="8"/>
  <c r="I343" i="8" s="1"/>
  <c r="F343" i="8"/>
  <c r="H229" i="8"/>
  <c r="I229" i="8" s="1"/>
  <c r="F229" i="8"/>
  <c r="G4125" i="5"/>
  <c r="F209" i="8"/>
  <c r="H209" i="8"/>
  <c r="I209" i="8" s="1"/>
  <c r="F1355" i="8"/>
  <c r="H1355" i="8"/>
  <c r="I1355" i="8" s="1"/>
  <c r="H3068" i="5"/>
  <c r="E901" i="8" s="1"/>
  <c r="F3269" i="8"/>
  <c r="H3269" i="8"/>
  <c r="I3269" i="8" s="1"/>
  <c r="F486" i="6"/>
  <c r="F106" i="8"/>
  <c r="H106" i="8"/>
  <c r="I106" i="8" s="1"/>
  <c r="H1728" i="5"/>
  <c r="G3920" i="5"/>
  <c r="H116" i="8"/>
  <c r="I116" i="8" s="1"/>
  <c r="F116" i="8"/>
  <c r="H1163" i="8"/>
  <c r="I1163" i="8" s="1"/>
  <c r="F1163" i="8"/>
  <c r="H1971" i="5"/>
  <c r="E326" i="8" s="1"/>
  <c r="F210" i="8"/>
  <c r="H210" i="8"/>
  <c r="I210" i="8" s="1"/>
  <c r="F128" i="8"/>
  <c r="H128" i="8"/>
  <c r="I128" i="8" s="1"/>
  <c r="F230" i="8"/>
  <c r="H230" i="8"/>
  <c r="I230" i="8" s="1"/>
  <c r="F454" i="6"/>
  <c r="F117" i="8"/>
  <c r="H117" i="8"/>
  <c r="I117" i="8" s="1"/>
  <c r="F487" i="6"/>
  <c r="G3493" i="5"/>
  <c r="G4172" i="5"/>
  <c r="H381" i="8"/>
  <c r="I381" i="8" s="1"/>
  <c r="F381" i="8"/>
  <c r="F524" i="6"/>
  <c r="G522" i="6" s="1"/>
  <c r="F206" i="8"/>
  <c r="H206" i="8"/>
  <c r="I206" i="8" s="1"/>
  <c r="F339" i="8"/>
  <c r="H339" i="8"/>
  <c r="I339" i="8" s="1"/>
  <c r="G3560" i="5"/>
  <c r="H591" i="5"/>
  <c r="E115" i="8" s="1"/>
  <c r="F453" i="6"/>
  <c r="H624" i="5"/>
  <c r="E119" i="8" s="1"/>
  <c r="H180" i="8"/>
  <c r="I180" i="8" s="1"/>
  <c r="F180" i="8"/>
  <c r="F1320" i="8"/>
  <c r="H1320" i="8"/>
  <c r="I1320" i="8" s="1"/>
  <c r="G4466" i="5"/>
  <c r="H1277" i="8"/>
  <c r="I1277" i="8" s="1"/>
  <c r="F1277" i="8"/>
  <c r="H376" i="8"/>
  <c r="I376" i="8" s="1"/>
  <c r="F376" i="8"/>
  <c r="H1352" i="8"/>
  <c r="I1352" i="8" s="1"/>
  <c r="F1352" i="8"/>
  <c r="F338" i="8"/>
  <c r="H338" i="8"/>
  <c r="I338" i="8" s="1"/>
  <c r="G6324" i="5"/>
  <c r="G8209" i="5"/>
  <c r="H2876" i="5"/>
  <c r="E867" i="8" s="1"/>
  <c r="F2607" i="8"/>
  <c r="H2607" i="8"/>
  <c r="I2607" i="8" s="1"/>
  <c r="G3457" i="5"/>
  <c r="G7519" i="5"/>
  <c r="G6321" i="5"/>
  <c r="G6329" i="5"/>
  <c r="F384" i="8"/>
  <c r="H384" i="8"/>
  <c r="I384" i="8" s="1"/>
  <c r="H261" i="8"/>
  <c r="I261" i="8" s="1"/>
  <c r="F261" i="8"/>
  <c r="F1140" i="8"/>
  <c r="H1140" i="8"/>
  <c r="I1140" i="8" s="1"/>
  <c r="F1292" i="8"/>
  <c r="H1292" i="8"/>
  <c r="I1292" i="8" s="1"/>
  <c r="H7493" i="5"/>
  <c r="H1376" i="5"/>
  <c r="E237" i="8" s="1"/>
  <c r="H1266" i="8"/>
  <c r="I1266" i="8" s="1"/>
  <c r="F1266" i="8"/>
  <c r="H948" i="8"/>
  <c r="I948" i="8" s="1"/>
  <c r="F948" i="8"/>
  <c r="H1678" i="5"/>
  <c r="E275" i="8" s="1"/>
  <c r="F203" i="8"/>
  <c r="H203" i="8"/>
  <c r="I203" i="8" s="1"/>
  <c r="G5443" i="5"/>
  <c r="G6368" i="5"/>
  <c r="G478" i="5"/>
  <c r="G1316" i="5"/>
  <c r="E281" i="8" l="1"/>
  <c r="E1076" i="8"/>
  <c r="E112" i="8"/>
  <c r="E3281" i="8"/>
  <c r="E279" i="8"/>
  <c r="E282" i="8"/>
  <c r="E280" i="8"/>
  <c r="E165" i="8"/>
  <c r="G474" i="6"/>
  <c r="G441" i="6"/>
  <c r="G3978" i="5"/>
  <c r="F65" i="6"/>
  <c r="G63" i="6" s="1"/>
  <c r="F221" i="8"/>
  <c r="H221" i="8"/>
  <c r="I221" i="8" s="1"/>
  <c r="G3837" i="5"/>
  <c r="G4514" i="5"/>
  <c r="F311" i="8"/>
  <c r="H311" i="8"/>
  <c r="I311" i="8" s="1"/>
  <c r="G5296" i="5"/>
  <c r="G5270" i="5"/>
  <c r="H1311" i="5"/>
  <c r="E227" i="8" s="1"/>
  <c r="H87" i="8"/>
  <c r="I87" i="8" s="1"/>
  <c r="F87" i="8"/>
  <c r="F318" i="8"/>
  <c r="H318" i="8"/>
  <c r="I318" i="8" s="1"/>
  <c r="G7371" i="5"/>
  <c r="F909" i="8"/>
  <c r="H909" i="8"/>
  <c r="I909" i="8" s="1"/>
  <c r="F363" i="6"/>
  <c r="G363" i="6" s="1"/>
  <c r="G5431" i="5"/>
  <c r="G428" i="5"/>
  <c r="F308" i="8"/>
  <c r="H308" i="8"/>
  <c r="I308" i="8" s="1"/>
  <c r="F369" i="6"/>
  <c r="G369" i="6" s="1"/>
  <c r="F1246" i="8"/>
  <c r="H1246" i="8"/>
  <c r="I1246" i="8" s="1"/>
  <c r="G5429" i="5"/>
  <c r="F1058" i="8"/>
  <c r="H1058" i="8"/>
  <c r="I1058" i="8" s="1"/>
  <c r="F879" i="8"/>
  <c r="H879" i="8"/>
  <c r="I879" i="8" s="1"/>
  <c r="H157" i="8"/>
  <c r="I157" i="8" s="1"/>
  <c r="F157" i="8"/>
  <c r="F907" i="8"/>
  <c r="H907" i="8"/>
  <c r="I907" i="8" s="1"/>
  <c r="G4532" i="5"/>
  <c r="G275" i="5"/>
  <c r="F320" i="8"/>
  <c r="H320" i="8"/>
  <c r="I320" i="8" s="1"/>
  <c r="G3372" i="5"/>
  <c r="H997" i="8"/>
  <c r="I997" i="8" s="1"/>
  <c r="F997" i="8"/>
  <c r="G4451" i="5"/>
  <c r="F378" i="6"/>
  <c r="G375" i="6" s="1"/>
  <c r="G7543" i="5"/>
  <c r="G4506" i="5"/>
  <c r="G6307" i="5"/>
  <c r="H898" i="8"/>
  <c r="I898" i="8" s="1"/>
  <c r="F898" i="8"/>
  <c r="H474" i="5"/>
  <c r="G5426" i="5"/>
  <c r="G3717" i="5"/>
  <c r="G5273" i="5"/>
  <c r="H8201" i="5"/>
  <c r="G6476" i="5"/>
  <c r="H1364" i="8"/>
  <c r="I1364" i="8" s="1"/>
  <c r="F1364" i="8"/>
  <c r="G443" i="5"/>
  <c r="G6214" i="5"/>
  <c r="H1245" i="8"/>
  <c r="I1245" i="8" s="1"/>
  <c r="F1245" i="8"/>
  <c r="G5441" i="5"/>
  <c r="F864" i="8"/>
  <c r="H864" i="8"/>
  <c r="I864" i="8" s="1"/>
  <c r="G377" i="5"/>
  <c r="H4168" i="5"/>
  <c r="G3622" i="5"/>
  <c r="H3907" i="5"/>
  <c r="F144" i="8"/>
  <c r="H144" i="8"/>
  <c r="I144" i="8" s="1"/>
  <c r="H4121" i="5"/>
  <c r="E1111" i="8" s="1"/>
  <c r="G8234" i="5"/>
  <c r="H893" i="8"/>
  <c r="I893" i="8" s="1"/>
  <c r="F893" i="8"/>
  <c r="F273" i="8"/>
  <c r="H273" i="8"/>
  <c r="I273" i="8" s="1"/>
  <c r="G1359" i="5"/>
  <c r="F1067" i="8"/>
  <c r="H1067" i="8"/>
  <c r="I1067" i="8" s="1"/>
  <c r="G7230" i="5"/>
  <c r="G4463" i="5"/>
  <c r="G431" i="5"/>
  <c r="F896" i="8"/>
  <c r="H896" i="8"/>
  <c r="I896" i="8" s="1"/>
  <c r="G7533" i="5"/>
  <c r="F266" i="8"/>
  <c r="H266" i="8"/>
  <c r="I266" i="8" s="1"/>
  <c r="F869" i="8"/>
  <c r="H869" i="8"/>
  <c r="I869" i="8" s="1"/>
  <c r="G1346" i="5"/>
  <c r="F863" i="8"/>
  <c r="H863" i="8"/>
  <c r="I863" i="8" s="1"/>
  <c r="F301" i="8"/>
  <c r="H301" i="8"/>
  <c r="I301" i="8" s="1"/>
  <c r="G3458" i="5"/>
  <c r="F1247" i="8"/>
  <c r="H1247" i="8"/>
  <c r="I1247" i="8" s="1"/>
  <c r="H1340" i="8"/>
  <c r="I1340" i="8" s="1"/>
  <c r="F1340" i="8"/>
  <c r="G1800" i="5"/>
  <c r="F2620" i="8"/>
  <c r="H2620" i="8"/>
  <c r="I2620" i="8" s="1"/>
  <c r="G6269" i="5"/>
  <c r="F1168" i="8"/>
  <c r="H1168" i="8"/>
  <c r="I1168" i="8" s="1"/>
  <c r="F1135" i="8"/>
  <c r="H1135" i="8"/>
  <c r="I1135" i="8" s="1"/>
  <c r="F911" i="8"/>
  <c r="H911" i="8"/>
  <c r="I911" i="8" s="1"/>
  <c r="G558" i="5"/>
  <c r="H877" i="8"/>
  <c r="I877" i="8" s="1"/>
  <c r="F877" i="8"/>
  <c r="F1392" i="8"/>
  <c r="H1392" i="8"/>
  <c r="I1392" i="8" s="1"/>
  <c r="H894" i="8"/>
  <c r="I894" i="8" s="1"/>
  <c r="F894" i="8"/>
  <c r="H1287" i="8"/>
  <c r="I1287" i="8" s="1"/>
  <c r="F1287" i="8"/>
  <c r="H307" i="8"/>
  <c r="I307" i="8" s="1"/>
  <c r="F307" i="8"/>
  <c r="G398" i="5"/>
  <c r="H6359" i="5"/>
  <c r="F319" i="8"/>
  <c r="H319" i="8"/>
  <c r="I319" i="8" s="1"/>
  <c r="F892" i="8"/>
  <c r="H892" i="8"/>
  <c r="I892" i="8" s="1"/>
  <c r="F3282" i="8"/>
  <c r="H3282" i="8"/>
  <c r="I3282" i="8" s="1"/>
  <c r="G6483" i="5"/>
  <c r="G3733" i="5"/>
  <c r="G7449" i="5"/>
  <c r="G6239" i="5"/>
  <c r="G3407" i="5"/>
  <c r="G3691" i="5"/>
  <c r="G3469" i="5"/>
  <c r="G5438" i="5"/>
  <c r="G3414" i="5"/>
  <c r="G548" i="5"/>
  <c r="G7520" i="5"/>
  <c r="H323" i="8"/>
  <c r="I323" i="8" s="1"/>
  <c r="F323" i="8"/>
  <c r="H272" i="8"/>
  <c r="I272" i="8" s="1"/>
  <c r="F272" i="8"/>
  <c r="G3447" i="5"/>
  <c r="F860" i="8"/>
  <c r="H860" i="8"/>
  <c r="I860" i="8" s="1"/>
  <c r="G4537" i="5"/>
  <c r="H365" i="8"/>
  <c r="I365" i="8" s="1"/>
  <c r="F365" i="8"/>
  <c r="G6490" i="5"/>
  <c r="G7534" i="5"/>
  <c r="E1070" i="8" l="1"/>
  <c r="E1117" i="8"/>
  <c r="E2619" i="8"/>
  <c r="E3483" i="8"/>
  <c r="E100" i="8"/>
  <c r="H3453" i="5"/>
  <c r="F1064" i="8"/>
  <c r="H1064" i="8"/>
  <c r="I1064" i="8" s="1"/>
  <c r="H374" i="5"/>
  <c r="H895" i="8"/>
  <c r="I895" i="8" s="1"/>
  <c r="F895" i="8"/>
  <c r="H6300" i="5"/>
  <c r="F132" i="8"/>
  <c r="H132" i="8"/>
  <c r="I132" i="8" s="1"/>
  <c r="H912" i="8"/>
  <c r="I912" i="8" s="1"/>
  <c r="F912" i="8"/>
  <c r="F905" i="8"/>
  <c r="H905" i="8"/>
  <c r="I905" i="8" s="1"/>
  <c r="H574" i="8"/>
  <c r="I574" i="8" s="1"/>
  <c r="F574" i="8"/>
  <c r="F921" i="8"/>
  <c r="H921" i="8"/>
  <c r="I921" i="8" s="1"/>
  <c r="H6214" i="5"/>
  <c r="E2602" i="8" s="1"/>
  <c r="H4528" i="5"/>
  <c r="E1161" i="8" s="1"/>
  <c r="H379" i="8"/>
  <c r="I379" i="8" s="1"/>
  <c r="F379" i="8"/>
  <c r="H890" i="8"/>
  <c r="I890" i="8" s="1"/>
  <c r="F890" i="8"/>
  <c r="H322" i="8"/>
  <c r="I322" i="8" s="1"/>
  <c r="F322" i="8"/>
  <c r="H3687" i="5"/>
  <c r="E996" i="8" s="1"/>
  <c r="H397" i="5"/>
  <c r="H878" i="8"/>
  <c r="I878" i="8" s="1"/>
  <c r="F878" i="8"/>
  <c r="F573" i="8"/>
  <c r="H573" i="8"/>
  <c r="I573" i="8" s="1"/>
  <c r="F2611" i="8"/>
  <c r="H2611" i="8"/>
  <c r="I2611" i="8" s="1"/>
  <c r="H443" i="5"/>
  <c r="E96" i="8" s="1"/>
  <c r="F1263" i="8"/>
  <c r="H1263" i="8"/>
  <c r="I1263" i="8" s="1"/>
  <c r="H7542" i="5"/>
  <c r="H548" i="5"/>
  <c r="E110" i="8" s="1"/>
  <c r="F271" i="8"/>
  <c r="H271" i="8"/>
  <c r="I271" i="8" s="1"/>
  <c r="H3464" i="5"/>
  <c r="F904" i="8"/>
  <c r="H904" i="8"/>
  <c r="I904" i="8" s="1"/>
  <c r="H1316" i="8"/>
  <c r="I1316" i="8" s="1"/>
  <c r="F1316" i="8"/>
  <c r="H6264" i="5"/>
  <c r="H1799" i="5"/>
  <c r="F1173" i="8"/>
  <c r="H1173" i="8"/>
  <c r="I1173" i="8" s="1"/>
  <c r="F303" i="8"/>
  <c r="H303" i="8"/>
  <c r="I303" i="8" s="1"/>
  <c r="F225" i="8"/>
  <c r="H225" i="8"/>
  <c r="I225" i="8" s="1"/>
  <c r="H3712" i="5"/>
  <c r="F1363" i="8"/>
  <c r="H1363" i="8"/>
  <c r="I1363" i="8" s="1"/>
  <c r="H289" i="8"/>
  <c r="I289" i="8" s="1"/>
  <c r="F289" i="8"/>
  <c r="F865" i="8"/>
  <c r="H865" i="8"/>
  <c r="I865" i="8" s="1"/>
  <c r="H378" i="8"/>
  <c r="I378" i="8" s="1"/>
  <c r="F378" i="8"/>
  <c r="F1164" i="8"/>
  <c r="H1164" i="8"/>
  <c r="I1164" i="8" s="1"/>
  <c r="F1324" i="8"/>
  <c r="H1324" i="8"/>
  <c r="I1324" i="8" s="1"/>
  <c r="H6489" i="5"/>
  <c r="H3132" i="8"/>
  <c r="I3132" i="8" s="1"/>
  <c r="F3132" i="8"/>
  <c r="F147" i="8"/>
  <c r="H147" i="8"/>
  <c r="I147" i="8" s="1"/>
  <c r="F902" i="8"/>
  <c r="H902" i="8"/>
  <c r="I902" i="8" s="1"/>
  <c r="H3406" i="5"/>
  <c r="H7448" i="5"/>
  <c r="H1344" i="5"/>
  <c r="E232" i="8" s="1"/>
  <c r="H4458" i="5"/>
  <c r="F288" i="8"/>
  <c r="H288" i="8"/>
  <c r="I288" i="8" s="1"/>
  <c r="H888" i="8"/>
  <c r="I888" i="8" s="1"/>
  <c r="F888" i="8"/>
  <c r="H3620" i="5"/>
  <c r="E986" i="8" s="1"/>
  <c r="H4446" i="5"/>
  <c r="H271" i="5"/>
  <c r="E79" i="8" s="1"/>
  <c r="F312" i="8"/>
  <c r="H312" i="8"/>
  <c r="I312" i="8" s="1"/>
  <c r="H3977" i="5"/>
  <c r="H3490" i="8"/>
  <c r="I3490" i="8" s="1"/>
  <c r="F3490" i="8"/>
  <c r="H1365" i="8"/>
  <c r="I1365" i="8" s="1"/>
  <c r="F1365" i="8"/>
  <c r="H8233" i="5"/>
  <c r="F1332" i="8"/>
  <c r="H1332" i="8"/>
  <c r="I1332" i="8" s="1"/>
  <c r="H556" i="5"/>
  <c r="E111" i="8" s="1"/>
  <c r="H868" i="8"/>
  <c r="I868" i="8" s="1"/>
  <c r="F868" i="8"/>
  <c r="F891" i="8"/>
  <c r="H891" i="8"/>
  <c r="I891" i="8" s="1"/>
  <c r="H922" i="8"/>
  <c r="I922" i="8" s="1"/>
  <c r="F922" i="8"/>
  <c r="F1331" i="8"/>
  <c r="H1331" i="8"/>
  <c r="I1331" i="8" s="1"/>
  <c r="F1264" i="8"/>
  <c r="H1264" i="8"/>
  <c r="I1264" i="8" s="1"/>
  <c r="H1357" i="5"/>
  <c r="E234" i="8" s="1"/>
  <c r="F86" i="8"/>
  <c r="H86" i="8"/>
  <c r="I86" i="8" s="1"/>
  <c r="F385" i="8"/>
  <c r="H385" i="8"/>
  <c r="I385" i="8" s="1"/>
  <c r="F980" i="8"/>
  <c r="H980" i="8"/>
  <c r="I980" i="8" s="1"/>
  <c r="H994" i="8"/>
  <c r="I994" i="8" s="1"/>
  <c r="F994" i="8"/>
  <c r="F926" i="8"/>
  <c r="H926" i="8"/>
  <c r="I926" i="8" s="1"/>
  <c r="H7370" i="5"/>
  <c r="H361" i="8"/>
  <c r="I361" i="8" s="1"/>
  <c r="F361" i="8"/>
  <c r="H236" i="8"/>
  <c r="I236" i="8" s="1"/>
  <c r="F236" i="8"/>
  <c r="F1334" i="8"/>
  <c r="H1334" i="8"/>
  <c r="I1334" i="8" s="1"/>
  <c r="G7521" i="5"/>
  <c r="H3443" i="5"/>
  <c r="F363" i="8"/>
  <c r="H363" i="8"/>
  <c r="I363" i="8" s="1"/>
  <c r="H3413" i="5"/>
  <c r="F1082" i="8"/>
  <c r="H1082" i="8"/>
  <c r="I1082" i="8" s="1"/>
  <c r="F263" i="8"/>
  <c r="H263" i="8"/>
  <c r="I263" i="8" s="1"/>
  <c r="H6482" i="5"/>
  <c r="H1171" i="8"/>
  <c r="I1171" i="8" s="1"/>
  <c r="F1171" i="8"/>
  <c r="H262" i="8"/>
  <c r="I262" i="8" s="1"/>
  <c r="F262" i="8"/>
  <c r="F930" i="8"/>
  <c r="H930" i="8"/>
  <c r="I930" i="8" s="1"/>
  <c r="F9" i="8"/>
  <c r="H9" i="8"/>
  <c r="I9" i="8" s="1"/>
  <c r="H7230" i="5"/>
  <c r="E3136" i="8" s="1"/>
  <c r="F325" i="8"/>
  <c r="H325" i="8"/>
  <c r="I325" i="8" s="1"/>
  <c r="F1395" i="8"/>
  <c r="H1395" i="8"/>
  <c r="I1395" i="8" s="1"/>
  <c r="F382" i="8"/>
  <c r="H382" i="8"/>
  <c r="I382" i="8" s="1"/>
  <c r="H1265" i="8"/>
  <c r="I1265" i="8" s="1"/>
  <c r="F1265" i="8"/>
  <c r="H4504" i="5"/>
  <c r="E1157" i="8" s="1"/>
  <c r="H5293" i="5"/>
  <c r="H906" i="8"/>
  <c r="I906" i="8" s="1"/>
  <c r="F906" i="8"/>
  <c r="H908" i="8"/>
  <c r="I908" i="8" s="1"/>
  <c r="F908" i="8"/>
  <c r="F882" i="8"/>
  <c r="H882" i="8"/>
  <c r="I882" i="8" s="1"/>
  <c r="H6236" i="5"/>
  <c r="E2605" i="8" s="1"/>
  <c r="H3727" i="5"/>
  <c r="E1016" i="8" s="1"/>
  <c r="F903" i="8"/>
  <c r="H903" i="8"/>
  <c r="I903" i="8" s="1"/>
  <c r="H1269" i="8"/>
  <c r="I1269" i="8" s="1"/>
  <c r="F1269" i="8"/>
  <c r="F304" i="8"/>
  <c r="H304" i="8"/>
  <c r="I304" i="8" s="1"/>
  <c r="H6475" i="5"/>
  <c r="F101" i="8"/>
  <c r="H101" i="8"/>
  <c r="I101" i="8" s="1"/>
  <c r="H889" i="8"/>
  <c r="I889" i="8" s="1"/>
  <c r="F889" i="8"/>
  <c r="F861" i="8"/>
  <c r="H861" i="8"/>
  <c r="I861" i="8" s="1"/>
  <c r="H3371" i="5"/>
  <c r="H910" i="8"/>
  <c r="I910" i="8" s="1"/>
  <c r="F910" i="8"/>
  <c r="F148" i="8"/>
  <c r="H148" i="8"/>
  <c r="I148" i="8" s="1"/>
  <c r="F575" i="8"/>
  <c r="H575" i="8"/>
  <c r="I575" i="8" s="1"/>
  <c r="F1134" i="8"/>
  <c r="H1134" i="8"/>
  <c r="I1134" i="8" s="1"/>
  <c r="F978" i="8"/>
  <c r="H978" i="8"/>
  <c r="I978" i="8" s="1"/>
  <c r="F2601" i="8"/>
  <c r="H2601" i="8"/>
  <c r="I2601" i="8" s="1"/>
  <c r="F1078" i="8"/>
  <c r="H1078" i="8"/>
  <c r="I1078" i="8" s="1"/>
  <c r="H4512" i="5"/>
  <c r="E1158" i="8" s="1"/>
  <c r="F270" i="8"/>
  <c r="H270" i="8"/>
  <c r="I270" i="8" s="1"/>
  <c r="F344" i="8"/>
  <c r="H344" i="8"/>
  <c r="I344" i="8" s="1"/>
  <c r="H4536" i="5"/>
  <c r="E1162" i="8" s="1"/>
  <c r="H171" i="8"/>
  <c r="I171" i="8" s="1"/>
  <c r="F171" i="8"/>
  <c r="H1317" i="8"/>
  <c r="I1317" i="8" s="1"/>
  <c r="F1317" i="8"/>
  <c r="F862" i="8"/>
  <c r="H862" i="8"/>
  <c r="I862" i="8" s="1"/>
  <c r="G7535" i="5"/>
  <c r="H1085" i="8"/>
  <c r="I1085" i="8" s="1"/>
  <c r="F1085" i="8"/>
  <c r="F2600" i="8"/>
  <c r="H2600" i="8"/>
  <c r="I2600" i="8" s="1"/>
  <c r="F1185" i="8"/>
  <c r="H1185" i="8"/>
  <c r="I1185" i="8" s="1"/>
  <c r="H425" i="5"/>
  <c r="E94" i="8" s="1"/>
  <c r="H3835" i="5"/>
  <c r="H305" i="8"/>
  <c r="I305" i="8" s="1"/>
  <c r="F305" i="8"/>
  <c r="E959" i="8" l="1"/>
  <c r="E1059" i="8"/>
  <c r="E89" i="8"/>
  <c r="E967" i="8"/>
  <c r="E1344" i="8"/>
  <c r="E1079" i="8"/>
  <c r="E1152" i="8"/>
  <c r="E290" i="8"/>
  <c r="E968" i="8"/>
  <c r="E2609" i="8"/>
  <c r="E1153" i="8"/>
  <c r="E999" i="8"/>
  <c r="E3286" i="8"/>
  <c r="E3491" i="8"/>
  <c r="E2710" i="8"/>
  <c r="E960" i="8"/>
  <c r="E3253" i="8"/>
  <c r="E951" i="8"/>
  <c r="E2714" i="8"/>
  <c r="E2614" i="8"/>
  <c r="E966" i="8"/>
  <c r="E3265" i="8"/>
  <c r="E2715" i="8"/>
  <c r="E91" i="8"/>
  <c r="H942" i="8"/>
  <c r="I942" i="8" s="1"/>
  <c r="F942" i="8"/>
  <c r="F82" i="8"/>
  <c r="H82" i="8"/>
  <c r="I82" i="8" s="1"/>
  <c r="F1268" i="8"/>
  <c r="H1268" i="8"/>
  <c r="I1268" i="8" s="1"/>
  <c r="F187" i="8"/>
  <c r="H187" i="8"/>
  <c r="I187" i="8" s="1"/>
  <c r="F306" i="8"/>
  <c r="H306" i="8"/>
  <c r="I306" i="8" s="1"/>
  <c r="H310" i="8"/>
  <c r="I310" i="8" s="1"/>
  <c r="F310" i="8"/>
  <c r="H254" i="8"/>
  <c r="I254" i="8" s="1"/>
  <c r="F254" i="8"/>
  <c r="F1319" i="8"/>
  <c r="H1319" i="8"/>
  <c r="I1319" i="8" s="1"/>
  <c r="G3492" i="5"/>
  <c r="F83" i="8"/>
  <c r="H83" i="8"/>
  <c r="I83" i="8" s="1"/>
  <c r="G6330" i="5"/>
  <c r="F1136" i="8"/>
  <c r="H1136" i="8"/>
  <c r="I1136" i="8" s="1"/>
  <c r="F120" i="8"/>
  <c r="H120" i="8"/>
  <c r="I120" i="8" s="1"/>
  <c r="G6177" i="5"/>
  <c r="F287" i="8"/>
  <c r="H287" i="8"/>
  <c r="I287" i="8" s="1"/>
  <c r="H129" i="8"/>
  <c r="I129" i="8" s="1"/>
  <c r="F129" i="8"/>
  <c r="F274" i="8"/>
  <c r="H274" i="8"/>
  <c r="I274" i="8" s="1"/>
  <c r="G6166" i="5"/>
  <c r="F3256" i="8"/>
  <c r="H3256" i="8"/>
  <c r="I3256" i="8" s="1"/>
  <c r="H1330" i="8"/>
  <c r="I1330" i="8" s="1"/>
  <c r="F1330" i="8"/>
  <c r="F949" i="8"/>
  <c r="H949" i="8"/>
  <c r="I949" i="8" s="1"/>
  <c r="H1338" i="8"/>
  <c r="I1338" i="8" s="1"/>
  <c r="F1338" i="8"/>
  <c r="F1262" i="8"/>
  <c r="H1262" i="8"/>
  <c r="I1262" i="8" s="1"/>
  <c r="F107" i="8"/>
  <c r="H107" i="8"/>
  <c r="I107" i="8" s="1"/>
  <c r="G6325" i="5"/>
  <c r="G3517" i="5"/>
  <c r="H286" i="8"/>
  <c r="I286" i="8" s="1"/>
  <c r="F286" i="8"/>
  <c r="G4777" i="5"/>
  <c r="F925" i="8"/>
  <c r="H925" i="8"/>
  <c r="I925" i="8" s="1"/>
  <c r="H1139" i="8"/>
  <c r="I1139" i="8" s="1"/>
  <c r="F1139" i="8"/>
  <c r="H2709" i="8"/>
  <c r="I2709" i="8" s="1"/>
  <c r="F2709" i="8"/>
  <c r="H1382" i="8"/>
  <c r="I1382" i="8" s="1"/>
  <c r="F1382" i="8"/>
  <c r="F3252" i="8"/>
  <c r="H3252" i="8"/>
  <c r="I3252" i="8" s="1"/>
  <c r="H332" i="8"/>
  <c r="I332" i="8" s="1"/>
  <c r="F332" i="8"/>
  <c r="F233" i="8"/>
  <c r="H233" i="8"/>
  <c r="I233" i="8" s="1"/>
  <c r="F324" i="8"/>
  <c r="H324" i="8"/>
  <c r="I324" i="8" s="1"/>
  <c r="F1141" i="8"/>
  <c r="H1141" i="8"/>
  <c r="I1141" i="8" s="1"/>
  <c r="F309" i="8"/>
  <c r="H309" i="8"/>
  <c r="I309" i="8" s="1"/>
  <c r="G7536" i="5"/>
  <c r="G3559" i="5"/>
  <c r="F1069" i="8"/>
  <c r="H1069" i="8"/>
  <c r="I1069" i="8" s="1"/>
  <c r="F1318" i="8"/>
  <c r="H1318" i="8"/>
  <c r="I1318" i="8" s="1"/>
  <c r="H102" i="8"/>
  <c r="I102" i="8" s="1"/>
  <c r="F102" i="8"/>
  <c r="H380" i="8"/>
  <c r="I380" i="8" s="1"/>
  <c r="F380" i="8"/>
  <c r="F235" i="8"/>
  <c r="H235" i="8"/>
  <c r="I235" i="8" s="1"/>
  <c r="F285" i="8"/>
  <c r="H285" i="8"/>
  <c r="I285" i="8" s="1"/>
  <c r="H1256" i="8"/>
  <c r="I1256" i="8" s="1"/>
  <c r="F1256" i="8"/>
  <c r="H1321" i="8"/>
  <c r="I1321" i="8" s="1"/>
  <c r="F1321" i="8"/>
  <c r="G7522" i="5"/>
  <c r="H1323" i="8"/>
  <c r="I1323" i="8" s="1"/>
  <c r="F1323" i="8"/>
  <c r="H130" i="8"/>
  <c r="I130" i="8" s="1"/>
  <c r="F130" i="8"/>
  <c r="F1358" i="8"/>
  <c r="H1358" i="8"/>
  <c r="I1358" i="8" s="1"/>
  <c r="F95" i="8"/>
  <c r="H95" i="8"/>
  <c r="I95" i="8" s="1"/>
  <c r="H255" i="8"/>
  <c r="I255" i="8" s="1"/>
  <c r="F255" i="8"/>
  <c r="H1261" i="8"/>
  <c r="I1261" i="8" s="1"/>
  <c r="F1261" i="8"/>
  <c r="F97" i="8"/>
  <c r="H97" i="8"/>
  <c r="I97" i="8" s="1"/>
  <c r="H943" i="8"/>
  <c r="I943" i="8" s="1"/>
  <c r="F943" i="8"/>
  <c r="G6326" i="5"/>
  <c r="H321" i="8"/>
  <c r="I321" i="8" s="1"/>
  <c r="F321" i="8"/>
  <c r="F300" i="8"/>
  <c r="H300" i="8"/>
  <c r="I300" i="8" s="1"/>
  <c r="H279" i="8" l="1"/>
  <c r="I279" i="8" s="1"/>
  <c r="F279" i="8"/>
  <c r="H3483" i="5"/>
  <c r="H239" i="8"/>
  <c r="I239" i="8" s="1"/>
  <c r="F239" i="8"/>
  <c r="H3508" i="5"/>
  <c r="H6170" i="5"/>
  <c r="H3551" i="5"/>
  <c r="H1315" i="8"/>
  <c r="I1315" i="8" s="1"/>
  <c r="F1315" i="8"/>
  <c r="H6159" i="5"/>
  <c r="F1070" i="8"/>
  <c r="G5442" i="5"/>
  <c r="G7537" i="5"/>
  <c r="F3483" i="8"/>
  <c r="H6311" i="5"/>
  <c r="G5430" i="5"/>
  <c r="F3281" i="8"/>
  <c r="H3281" i="8"/>
  <c r="I3281" i="8" s="1"/>
  <c r="H1112" i="8"/>
  <c r="I1112" i="8" s="1"/>
  <c r="F1112" i="8"/>
  <c r="G7523" i="5"/>
  <c r="H4770" i="5"/>
  <c r="F1076" i="8"/>
  <c r="H1076" i="8"/>
  <c r="I1076" i="8" s="1"/>
  <c r="H282" i="8"/>
  <c r="I282" i="8" s="1"/>
  <c r="F282" i="8"/>
  <c r="F165" i="8"/>
  <c r="H165" i="8"/>
  <c r="I165" i="8" s="1"/>
  <c r="H2619" i="8"/>
  <c r="I2619" i="8" s="1"/>
  <c r="F267" i="8"/>
  <c r="H267" i="8"/>
  <c r="I267" i="8" s="1"/>
  <c r="G5274" i="5"/>
  <c r="F1359" i="8"/>
  <c r="H1359" i="8"/>
  <c r="I1359" i="8" s="1"/>
  <c r="E1237" i="8" l="1"/>
  <c r="E2596" i="8"/>
  <c r="E2615" i="8"/>
  <c r="E2595" i="8"/>
  <c r="E972" i="8"/>
  <c r="E970" i="8"/>
  <c r="E976" i="8"/>
  <c r="F2619" i="8"/>
  <c r="H3483" i="8"/>
  <c r="I3483" i="8" s="1"/>
  <c r="G7538" i="5"/>
  <c r="H5435" i="5"/>
  <c r="E1378" i="8" s="1"/>
  <c r="F275" i="8"/>
  <c r="H275" i="8"/>
  <c r="I275" i="8" s="1"/>
  <c r="G3896" i="5"/>
  <c r="H5425" i="5"/>
  <c r="E1375" i="8" s="1"/>
  <c r="F1117" i="8"/>
  <c r="H1117" i="8"/>
  <c r="I1117" i="8" s="1"/>
  <c r="F112" i="8"/>
  <c r="H112" i="8"/>
  <c r="I112" i="8" s="1"/>
  <c r="G1419" i="5"/>
  <c r="G7524" i="5"/>
  <c r="F326" i="8"/>
  <c r="H326" i="8"/>
  <c r="I326" i="8" s="1"/>
  <c r="F867" i="8"/>
  <c r="H867" i="8"/>
  <c r="I867" i="8" s="1"/>
  <c r="F115" i="8"/>
  <c r="H115" i="8"/>
  <c r="I115" i="8" s="1"/>
  <c r="H5267" i="5"/>
  <c r="E1339" i="8" s="1"/>
  <c r="F237" i="8"/>
  <c r="H237" i="8"/>
  <c r="I237" i="8" s="1"/>
  <c r="F119" i="8"/>
  <c r="H119" i="8"/>
  <c r="I119" i="8" s="1"/>
  <c r="F901" i="8"/>
  <c r="H901" i="8"/>
  <c r="I901" i="8" s="1"/>
  <c r="F327" i="8"/>
  <c r="H327" i="8"/>
  <c r="I327" i="8" s="1"/>
  <c r="F280" i="8"/>
  <c r="H280" i="8"/>
  <c r="I280" i="8" s="1"/>
  <c r="H1070" i="8"/>
  <c r="I1070" i="8" s="1"/>
  <c r="F281" i="8"/>
  <c r="H281" i="8"/>
  <c r="I281" i="8" s="1"/>
  <c r="F100" i="8"/>
  <c r="H100" i="8"/>
  <c r="I100" i="8" s="1"/>
  <c r="F278" i="8"/>
  <c r="H278" i="8"/>
  <c r="I278" i="8" s="1"/>
  <c r="H967" i="8" l="1"/>
  <c r="I967" i="8" s="1"/>
  <c r="F967" i="8"/>
  <c r="H7514" i="5"/>
  <c r="H999" i="8"/>
  <c r="I999" i="8" s="1"/>
  <c r="F999" i="8"/>
  <c r="F1059" i="8"/>
  <c r="H1059" i="8"/>
  <c r="I1059" i="8" s="1"/>
  <c r="H227" i="8"/>
  <c r="I227" i="8" s="1"/>
  <c r="F227" i="8"/>
  <c r="H1111" i="8"/>
  <c r="I1111" i="8" s="1"/>
  <c r="F1111" i="8"/>
  <c r="G1449" i="5"/>
  <c r="H1152" i="8"/>
  <c r="I1152" i="8" s="1"/>
  <c r="F1152" i="8"/>
  <c r="G1434" i="5"/>
  <c r="F966" i="8"/>
  <c r="H966" i="8"/>
  <c r="I966" i="8" s="1"/>
  <c r="H1408" i="5"/>
  <c r="F968" i="8"/>
  <c r="H968" i="8"/>
  <c r="I968" i="8" s="1"/>
  <c r="F1153" i="8"/>
  <c r="H1153" i="8"/>
  <c r="I1153" i="8" s="1"/>
  <c r="H3885" i="5"/>
  <c r="E1068" i="8" s="1"/>
  <c r="H7528" i="5"/>
  <c r="E3285" i="8" s="1"/>
  <c r="G1509" i="5"/>
  <c r="E242" i="8" l="1"/>
  <c r="E3284" i="8"/>
  <c r="H1498" i="5"/>
  <c r="F1158" i="8"/>
  <c r="H1158" i="8"/>
  <c r="I1158" i="8" s="1"/>
  <c r="H2614" i="8"/>
  <c r="I2614" i="8" s="1"/>
  <c r="F2614" i="8"/>
  <c r="H232" i="8"/>
  <c r="I232" i="8" s="1"/>
  <c r="F232" i="8"/>
  <c r="F3265" i="8"/>
  <c r="H3265" i="8"/>
  <c r="I3265" i="8" s="1"/>
  <c r="F111" i="8"/>
  <c r="H111" i="8"/>
  <c r="I111" i="8" s="1"/>
  <c r="F1016" i="8"/>
  <c r="H1016" i="8"/>
  <c r="I1016" i="8" s="1"/>
  <c r="H3491" i="8"/>
  <c r="I3491" i="8" s="1"/>
  <c r="F3491" i="8"/>
  <c r="H2615" i="8"/>
  <c r="I2615" i="8" s="1"/>
  <c r="F2605" i="8"/>
  <c r="H2605" i="8"/>
  <c r="I2605" i="8" s="1"/>
  <c r="F2609" i="8"/>
  <c r="H2609" i="8"/>
  <c r="I2609" i="8" s="1"/>
  <c r="F290" i="8"/>
  <c r="H290" i="8"/>
  <c r="I290" i="8" s="1"/>
  <c r="F1157" i="8"/>
  <c r="H1157" i="8"/>
  <c r="I1157" i="8" s="1"/>
  <c r="F1161" i="8"/>
  <c r="H1161" i="8"/>
  <c r="I1161" i="8" s="1"/>
  <c r="F3253" i="8"/>
  <c r="H3253" i="8"/>
  <c r="I3253" i="8" s="1"/>
  <c r="F234" i="8"/>
  <c r="H234" i="8"/>
  <c r="I234" i="8" s="1"/>
  <c r="F959" i="8"/>
  <c r="H959" i="8"/>
  <c r="I959" i="8" s="1"/>
  <c r="F2710" i="8"/>
  <c r="H2710" i="8"/>
  <c r="I2710" i="8" s="1"/>
  <c r="F2602" i="8"/>
  <c r="H2602" i="8"/>
  <c r="I2602" i="8" s="1"/>
  <c r="F94" i="8"/>
  <c r="H94" i="8"/>
  <c r="I94" i="8" s="1"/>
  <c r="G1494" i="5"/>
  <c r="F2715" i="8"/>
  <c r="H2715" i="8"/>
  <c r="I2715" i="8" s="1"/>
  <c r="F91" i="8"/>
  <c r="H91" i="8"/>
  <c r="I91" i="8" s="1"/>
  <c r="H960" i="8"/>
  <c r="I960" i="8" s="1"/>
  <c r="F960" i="8"/>
  <c r="G1464" i="5"/>
  <c r="F3136" i="8"/>
  <c r="H3136" i="8"/>
  <c r="I3136" i="8" s="1"/>
  <c r="F96" i="8"/>
  <c r="H96" i="8"/>
  <c r="I96" i="8" s="1"/>
  <c r="H951" i="8"/>
  <c r="I951" i="8" s="1"/>
  <c r="F951" i="8"/>
  <c r="G1479" i="5"/>
  <c r="H3286" i="8"/>
  <c r="I3286" i="8" s="1"/>
  <c r="F3286" i="8"/>
  <c r="F1079" i="8"/>
  <c r="H1079" i="8"/>
  <c r="I1079" i="8" s="1"/>
  <c r="F89" i="8"/>
  <c r="H89" i="8"/>
  <c r="I89" i="8" s="1"/>
  <c r="H996" i="8"/>
  <c r="I996" i="8" s="1"/>
  <c r="F996" i="8"/>
  <c r="H79" i="8"/>
  <c r="I79" i="8" s="1"/>
  <c r="F79" i="8"/>
  <c r="F986" i="8"/>
  <c r="H986" i="8"/>
  <c r="I986" i="8" s="1"/>
  <c r="H1423" i="5"/>
  <c r="H110" i="8"/>
  <c r="I110" i="8" s="1"/>
  <c r="F110" i="8"/>
  <c r="H1438" i="5"/>
  <c r="F1162" i="8"/>
  <c r="H1162" i="8"/>
  <c r="I1162" i="8" s="1"/>
  <c r="F1344" i="8"/>
  <c r="H1344" i="8"/>
  <c r="I1344" i="8" s="1"/>
  <c r="F2714" i="8"/>
  <c r="H2714" i="8"/>
  <c r="I2714" i="8" s="1"/>
  <c r="E244" i="8" l="1"/>
  <c r="E248" i="8"/>
  <c r="E243" i="8"/>
  <c r="F2615" i="8"/>
  <c r="H1468" i="5"/>
  <c r="H1483" i="5"/>
  <c r="H1453" i="5"/>
  <c r="F976" i="8"/>
  <c r="H976" i="8"/>
  <c r="I976" i="8" s="1"/>
  <c r="H970" i="8"/>
  <c r="I970" i="8" s="1"/>
  <c r="F970" i="8"/>
  <c r="F2596" i="8"/>
  <c r="H2596" i="8"/>
  <c r="I2596" i="8" s="1"/>
  <c r="H2595" i="8"/>
  <c r="I2595" i="8" s="1"/>
  <c r="F2595" i="8"/>
  <c r="F972" i="8"/>
  <c r="H972" i="8"/>
  <c r="I972" i="8" s="1"/>
  <c r="F1237" i="8"/>
  <c r="H1237" i="8"/>
  <c r="I1237" i="8" s="1"/>
  <c r="E247" i="8" l="1"/>
  <c r="E245" i="8"/>
  <c r="E246" i="8"/>
  <c r="H242" i="8" l="1"/>
  <c r="I242" i="8" s="1"/>
  <c r="F242" i="8"/>
  <c r="H1378" i="8"/>
  <c r="I1378" i="8" s="1"/>
  <c r="F1378" i="8"/>
  <c r="H3284" i="8"/>
  <c r="I3284" i="8" s="1"/>
  <c r="F3284" i="8"/>
  <c r="F1339" i="8"/>
  <c r="H1339" i="8"/>
  <c r="I1339" i="8" s="1"/>
  <c r="F1375" i="8"/>
  <c r="H1375" i="8"/>
  <c r="I1375" i="8" s="1"/>
  <c r="F243" i="8" l="1"/>
  <c r="H243" i="8"/>
  <c r="I243" i="8" s="1"/>
  <c r="H1068" i="8"/>
  <c r="I1068" i="8" s="1"/>
  <c r="F1068" i="8"/>
  <c r="F244" i="8"/>
  <c r="H244" i="8"/>
  <c r="I244" i="8" s="1"/>
  <c r="F248" i="8"/>
  <c r="H248" i="8"/>
  <c r="I248" i="8" s="1"/>
  <c r="F3285" i="8"/>
  <c r="H3285" i="8"/>
  <c r="I3285" i="8" s="1"/>
  <c r="F246" i="8" l="1"/>
  <c r="H246" i="8"/>
  <c r="I246" i="8" s="1"/>
  <c r="H245" i="8"/>
  <c r="I245" i="8" s="1"/>
  <c r="I3494" i="8" s="1"/>
  <c r="F245" i="8"/>
  <c r="F247" i="8"/>
  <c r="H247" i="8"/>
  <c r="I247" i="8" s="1"/>
  <c r="I3493" i="8" l="1"/>
</calcChain>
</file>

<file path=xl/sharedStrings.xml><?xml version="1.0" encoding="utf-8"?>
<sst xmlns="http://schemas.openxmlformats.org/spreadsheetml/2006/main" count="29554" uniqueCount="8576">
  <si>
    <t>COMPOSIÇÕES DE CUSTO UNITÁRIO</t>
  </si>
  <si>
    <t>ITEM</t>
  </si>
  <si>
    <t>DESCRIÇÃO</t>
  </si>
  <si>
    <t>DISCRIMINAÇÃO DA COMPOSIÇÃO</t>
  </si>
  <si>
    <t>UNIDADE</t>
  </si>
  <si>
    <t>COEFICIENTE</t>
  </si>
  <si>
    <t>CUSTO UNITÁRIO</t>
  </si>
  <si>
    <t>CUSTO TOTAL</t>
  </si>
  <si>
    <t>TOTAL DO SERVIÇO</t>
  </si>
  <si>
    <t>QTD</t>
  </si>
  <si>
    <t>SF-00001</t>
  </si>
  <si>
    <t>h</t>
  </si>
  <si>
    <t>SF-00002</t>
  </si>
  <si>
    <t>SF-00003</t>
  </si>
  <si>
    <t>SF-00004</t>
  </si>
  <si>
    <t>Anotação de Responsabilidade Técnica</t>
  </si>
  <si>
    <t>un</t>
  </si>
  <si>
    <t>SF-00005</t>
  </si>
  <si>
    <t>SF-00006</t>
  </si>
  <si>
    <t>SF-00007</t>
  </si>
  <si>
    <t>SF-00008</t>
  </si>
  <si>
    <t>SF-00009</t>
  </si>
  <si>
    <t>SF-00010</t>
  </si>
  <si>
    <t>SF-00011</t>
  </si>
  <si>
    <t>SF-00012</t>
  </si>
  <si>
    <t>SF-00013</t>
  </si>
  <si>
    <t>SF-00014</t>
  </si>
  <si>
    <t>CABO DE ACO GALVANIZADO, DIAMETRO 9,53 MM (3/8"), COM ALMA DE FIBRA 6 X 25 F</t>
  </si>
  <si>
    <t>kg</t>
  </si>
  <si>
    <t>SF-00016</t>
  </si>
  <si>
    <t>SF-00017</t>
  </si>
  <si>
    <t>SF-00018</t>
  </si>
  <si>
    <t>SF-00019</t>
  </si>
  <si>
    <t>SF-00020</t>
  </si>
  <si>
    <t>SF-00021</t>
  </si>
  <si>
    <t>SF-00022</t>
  </si>
  <si>
    <t>SF-00023</t>
  </si>
  <si>
    <t>SF-00024</t>
  </si>
  <si>
    <t>SF-00025</t>
  </si>
  <si>
    <t>SF-00026</t>
  </si>
  <si>
    <t>SF-00027</t>
  </si>
  <si>
    <t>SF-00028</t>
  </si>
  <si>
    <t>SF-00029</t>
  </si>
  <si>
    <t>SF-00030</t>
  </si>
  <si>
    <t>SF-00031</t>
  </si>
  <si>
    <t>SF-00032</t>
  </si>
  <si>
    <r>
      <t xml:space="preserve">Obs.: Remoção </t>
    </r>
    <r>
      <rPr>
        <b/>
        <u/>
        <sz val="10"/>
        <rFont val="Arial"/>
        <family val="2"/>
      </rPr>
      <t>com</t>
    </r>
    <r>
      <rPr>
        <b/>
        <sz val="10"/>
        <rFont val="Arial"/>
        <family val="2"/>
      </rPr>
      <t xml:space="preserve"> reaproveitamento</t>
    </r>
  </si>
  <si>
    <t>SF-00033</t>
  </si>
  <si>
    <t>SF-00034</t>
  </si>
  <si>
    <t>SF-00035</t>
  </si>
  <si>
    <t>SF-00036</t>
  </si>
  <si>
    <t>SF-00037</t>
  </si>
  <si>
    <t>SF-00038</t>
  </si>
  <si>
    <r>
      <t xml:space="preserve">Obs.: remoção </t>
    </r>
    <r>
      <rPr>
        <b/>
        <u/>
        <sz val="10"/>
        <rFont val="Arial"/>
        <family val="2"/>
      </rPr>
      <t>com</t>
    </r>
    <r>
      <rPr>
        <b/>
        <sz val="10"/>
        <rFont val="Arial"/>
        <family val="2"/>
      </rPr>
      <t xml:space="preserve"> reaproveitamento</t>
    </r>
  </si>
  <si>
    <t>SF-00039</t>
  </si>
  <si>
    <t>SF-00040</t>
  </si>
  <si>
    <t>SF-00041</t>
  </si>
  <si>
    <t>SF-00042</t>
  </si>
  <si>
    <t>SF-00043</t>
  </si>
  <si>
    <t>SF-00044</t>
  </si>
  <si>
    <t>SF-00045</t>
  </si>
  <si>
    <t>SF-00046</t>
  </si>
  <si>
    <t>SF-00048</t>
  </si>
  <si>
    <t>M2XMES</t>
  </si>
  <si>
    <t>SF-00049</t>
  </si>
  <si>
    <t>MXMES</t>
  </si>
  <si>
    <t>SF-00051</t>
  </si>
  <si>
    <t>CORDA DE POLIAMIDA 12 MM TIPO BOMBEIRO, PARA TRABALHO EM ALTURA</t>
  </si>
  <si>
    <t>SF-00057</t>
  </si>
  <si>
    <t>m</t>
  </si>
  <si>
    <t>m2</t>
  </si>
  <si>
    <t>SF-00070</t>
  </si>
  <si>
    <t>Chapa de madeira compensada resinada 1,10 x 2,20 m # 6 mm</t>
  </si>
  <si>
    <t>PREGO DE ACO POLIDO COM CABECA 18 X 30 (2 3/4 X 10)</t>
  </si>
  <si>
    <t>Oleo de linhaca</t>
  </si>
  <si>
    <t>L</t>
  </si>
  <si>
    <t>Pigmento em po para argamassas, cimentos e outros</t>
  </si>
  <si>
    <t>SF-00073</t>
  </si>
  <si>
    <t>SF-00074</t>
  </si>
  <si>
    <t>ARGAMASSA TRAÇO 1:3 (EM VOLUME DE CIMENTO E AREIA MÉDIA ÚMIDA), PREPARO MANUAL. AF_08/2019</t>
  </si>
  <si>
    <t>m3</t>
  </si>
  <si>
    <t>SF-00075</t>
  </si>
  <si>
    <t>SF-00076</t>
  </si>
  <si>
    <t>SF-00077</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</si>
  <si>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</si>
  <si>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</si>
  <si>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CARGA, MANOBRAS E DESCARGA DE AREIA, BRITA, PEDRA DE MAO E SOLOS COM CAMINHAO BASCULANTE 6 M3 (DESCARGA LIVRE)</t>
  </si>
  <si>
    <t>M3</t>
  </si>
  <si>
    <t>TRANSPORTE COM CAMINHÃO BASCULANTE DE 6 M3, EM VIA URBANA PAVIMENTADA, DMT ATÉ 30 KM (UNIDADE: M3xKM). AF_01/2018</t>
  </si>
  <si>
    <t>M3xKM</t>
  </si>
  <si>
    <t>Obs.: Considerando fornecedor de areia e brita a 20 km do Senado Federal.</t>
  </si>
  <si>
    <t>SF-00078</t>
  </si>
  <si>
    <t>SF-00079</t>
  </si>
  <si>
    <t>MES</t>
  </si>
  <si>
    <t>SF-00080</t>
  </si>
  <si>
    <t>CANTONEIRA ACO ABAS IGUAIS (QUALQUER BITOLA), ESPESSURA ENTRE 1/8" E 1/4"</t>
  </si>
  <si>
    <t>Chapa de aco USI-SAC 350, de (2,44x6)m, com espessura de 1/2"</t>
  </si>
  <si>
    <t>ELETRODO REVESTIDO AWS - E7018, DIAMETRO IGUAL A 4,00 MM</t>
  </si>
  <si>
    <t>OXIGENIO, RECARGA PARA CILINDRO DE CONJUNTO OXICORTE GRANDE</t>
  </si>
  <si>
    <t>Perfil "H" de aco carbono, padrao americano, de (6"x6")</t>
  </si>
  <si>
    <t>Perda em perfil de aco carbono tipo "H", de 6"x6" - 5% - equivalente ao elementar MAT095450</t>
  </si>
  <si>
    <t>Repintura interna ou externa sobre ferro, inclusive lixamento, limpeza, demao de tinta anti oxido Ferroloide ou equivalente e outra de tinta alquidica esmaltada Condor ou equivalente.</t>
  </si>
  <si>
    <t>Retificador de solda, eletrico, de 430A. Custo horario corrido.</t>
  </si>
  <si>
    <t>Talha Guincho manual de 10Kg, sem operador, com as seguintes especificacoes minimas: capacidade de icamento de 1500Kg e de tracao de 1800Kg, cabo de aco com curso ilimitado, alavanca, gancho e carretel. Custo horario corrido.</t>
  </si>
  <si>
    <t>SF-00081</t>
  </si>
  <si>
    <t>SF-00082</t>
  </si>
  <si>
    <t>Bloco de concreto tipo canaleta 11,5 x 19 x 39 cm</t>
  </si>
  <si>
    <t xml:space="preserve">un </t>
  </si>
  <si>
    <t>SF-00083</t>
  </si>
  <si>
    <t>SF-00084</t>
  </si>
  <si>
    <t>ARGAMASSA TRAÇO 1:2:8 (EM VOLUME DE CIMENTO, CAL E AREIA MÉDIA ÚMIDA) PARA EMBOÇO/MASSA ÚNICA/ASSENTAMENTO DE ALVENARIA DE VEDAÇÃO, PREPARO MECÂNICO COM BETONEIRA 400 L. AF_08/2019</t>
  </si>
  <si>
    <t>SF-00085</t>
  </si>
  <si>
    <t>SF-00086</t>
  </si>
  <si>
    <t>ARGAMASSA TRAÇO 1:2:9 (EM VOLUME DE CIMENTO, CAL E AREIA MÉDIA ÚMIDA) PARA EMBOÇO/MASSA ÚNICA/ASSENTAMENTO DE ALVENARIA DE VEDAÇÃO, PREPARO MECÂNICO COM BETONEIRA 600 L. AF_08/2019</t>
  </si>
  <si>
    <t>SF-00087</t>
  </si>
  <si>
    <t>SF-00088</t>
  </si>
  <si>
    <t>SF-00089</t>
  </si>
  <si>
    <t>SF-00090</t>
  </si>
  <si>
    <t>ARGAMASSA INDUSTRIALIZADA PARA CHAPISCO COLANTE, PREPARO COM MISTURADOR DE EIXO HORIZONTAL DE 300 KG. AF_08/2019</t>
  </si>
  <si>
    <t>SF-00091</t>
  </si>
  <si>
    <t>ARGAMASSA TRAÇO 1:3 (EM VOLUME DE CIMENTO E AREIA GROSSA ÚMIDA) PARA CHAPISCO CONVENCIONAL, PREPARO MANUAL. AF_08/2019</t>
  </si>
  <si>
    <t>SF-00092</t>
  </si>
  <si>
    <t>Gesso cola</t>
  </si>
  <si>
    <t>Obs.: Fonte para o coeficiente do gesso (0,75 kg/m2) : http://www.gessotrevo.com.br/gesso_cola.php - acesso em 16/08/18</t>
  </si>
  <si>
    <t>SF-00093</t>
  </si>
  <si>
    <t>Obs.: Rendimento de argamassa obtido como referência no SINAPI e no link abaixo. Extrato: "Revestimento: Em média 17,0 a 19,5 Kg/m2  para cada 1,0 cm de espessura, variando em função da aplicação".</t>
  </si>
  <si>
    <t>https://s3.amazonaws.com/mapa-da-obra-producao/wp-content/uploads/2015/12/2101-matrix-revestimento-interno.pdf</t>
  </si>
  <si>
    <t>SF-00094</t>
  </si>
  <si>
    <t>SF-00095</t>
  </si>
  <si>
    <t>Tela de poliéster adesiva largura 150mm e reforço central de 50mm</t>
  </si>
  <si>
    <t>SELANTE A BASE DE RESINAS ACRILICAS PARA TRINCAS</t>
  </si>
  <si>
    <t>http://www.bautechbrasil.com.br/produtos/pinturas-especiais-e-complementos/bautech-resina-acr%C3%ADlica-multiuso</t>
  </si>
  <si>
    <t>SF-00096</t>
  </si>
  <si>
    <t>Fundo selador a base d'água</t>
  </si>
  <si>
    <t>SF-00097</t>
  </si>
  <si>
    <t>Fundo anticorrosivo e de aderência a base de água</t>
  </si>
  <si>
    <t xml:space="preserve">Obs.: Rendimento do fundo obtido de acordo com recomendação do fabricante. Consumo médio. </t>
  </si>
  <si>
    <t>https://www.sherwin-williams.com.br/produto-detalhe/metalatex-eco-complementos</t>
  </si>
  <si>
    <t>https://www.suvinil.com.br/upload/78d22676-91b1-4086-99ad-4258fadd7b08-suvinil-fundo-seca-rapidomaio2018.pdf</t>
  </si>
  <si>
    <t>SF-00098</t>
  </si>
  <si>
    <t>SF-00099</t>
  </si>
  <si>
    <t>SF-00100</t>
  </si>
  <si>
    <t>SF-00101</t>
  </si>
  <si>
    <t>Verniz a base de água para madeira</t>
  </si>
  <si>
    <t>SF-00102</t>
  </si>
  <si>
    <t>Tinta esmalte sintetico a base de água</t>
  </si>
  <si>
    <t>SF-00103</t>
  </si>
  <si>
    <t>SF-00104</t>
  </si>
  <si>
    <t>REVESTIMENTO EM CERAMICA ESMALTADA EXTRA, PEI MAIOR OU IGUAL 4, FORMATO MAIOR A 2025 CM2</t>
  </si>
  <si>
    <t>SF-00105</t>
  </si>
  <si>
    <t>ARGAMASSA TRAÇO 1:4 (EM VOLUME DE CIMENTO E AREIA MÉDIA ÚMIDA) PARA CONTRAPISO, PREPARO MANUAL. AF_08/2019</t>
  </si>
  <si>
    <t>SF-00106</t>
  </si>
  <si>
    <t>SF-00107</t>
  </si>
  <si>
    <t>Granito Cinza Andorinha, com 20 mm de espessura, para piso</t>
  </si>
  <si>
    <t>SF-00108</t>
  </si>
  <si>
    <t>Granito Cinza Andorinha, com 20 mm de espessura e 70 mm de altura, para rodapé</t>
  </si>
  <si>
    <t>Obs: na pesquisa de preços do insumo, considerou-se 1 m de polimento a cada metro de rodapé.</t>
  </si>
  <si>
    <t>SF-00109</t>
  </si>
  <si>
    <t>Granito Cinza Andorinha, com 20 mm de espessura e 150 mm de altura, para soleira e peitoril</t>
  </si>
  <si>
    <t>Obs: na pesquisa de preços do insumo, considerou-se 1 m de polimento a cada metro de soleira.</t>
  </si>
  <si>
    <t>SF-00110</t>
  </si>
  <si>
    <t>Granito Preto São Gabriel, com 20 mm de espessura, para piso</t>
  </si>
  <si>
    <t>SF-00111</t>
  </si>
  <si>
    <t>Granito Preto São Gabriel, com 20 mm de espessura e 70 mm de altura, para rodapé</t>
  </si>
  <si>
    <t>SF-00112</t>
  </si>
  <si>
    <t>Granito Preto São Gabriel, com 20 mm de espessura e 150 mm de altura, para soleira e peitoril</t>
  </si>
  <si>
    <t>SF-00113</t>
  </si>
  <si>
    <t>SF-00114</t>
  </si>
  <si>
    <t>Mármore Bege Bahia, com 20 mm de espessura, para piso e parede</t>
  </si>
  <si>
    <t>SF-00115</t>
  </si>
  <si>
    <t>Mármore Branco Especial, com 20 mm de espessura, para piso e parede</t>
  </si>
  <si>
    <t>SF-00116</t>
  </si>
  <si>
    <t>SF-00117</t>
  </si>
  <si>
    <t>SF-00118</t>
  </si>
  <si>
    <t>SF-00119</t>
  </si>
  <si>
    <t>SF-00120</t>
  </si>
  <si>
    <t>SF-00121</t>
  </si>
  <si>
    <t>ABERTURA PARA ENCAIXE DE CUBA OU LAVATORIO EM BANCADA DE MARMORE/ GRANITO OU OUTRO TIPO DE PEDRA NATURAL</t>
  </si>
  <si>
    <t>SF-00122</t>
  </si>
  <si>
    <t>SF-00123</t>
  </si>
  <si>
    <t>Granito Cinza Andorinha ou equivalente, com 20 mm de espessura e 150 mm de altura, polido, para rodabancada</t>
  </si>
  <si>
    <t>SF-00124</t>
  </si>
  <si>
    <t>Granito Cinza Andorinha, com 20 mm de espessura, polido, para bancadas, com testeira com acabamento em meia esquadria</t>
  </si>
  <si>
    <t>SF-00125</t>
  </si>
  <si>
    <t>ARGAMASSA TRAÇO 1:4 (EM VOLUME DE CIMENTO E AREIA MÉDIA ÚMIDA), PREPARO MANUAL. AF_08/2019</t>
  </si>
  <si>
    <t>SF-00126</t>
  </si>
  <si>
    <t>Granito Preto São Gabriel ou equivalente, com 20 mm de espessura e 150 mm de altura, polido, para rodabancada</t>
  </si>
  <si>
    <t>SF-00127</t>
  </si>
  <si>
    <t>Granito Preto São Gabriel ou equivalente, com 20 mm de espessura, polido, com testeira para acabamento em meia esquadria, para bancadas</t>
  </si>
  <si>
    <t>SF-00128</t>
  </si>
  <si>
    <t>SF-00129</t>
  </si>
  <si>
    <t>SF-00130</t>
  </si>
  <si>
    <t>SF-00131</t>
  </si>
  <si>
    <t>Mármore Branco Especial, com 20 mm de espessura e 150 mm de altura, polido, para rodabancada</t>
  </si>
  <si>
    <t>SF-00138</t>
  </si>
  <si>
    <t>Instalação de divisórias # 35 mm estruturadas em perfis de alumínio, mão de obra para execução</t>
  </si>
  <si>
    <t>SF-00139</t>
  </si>
  <si>
    <t>Placa de PVC com espessura mínima de 5 mm na cor branca</t>
  </si>
  <si>
    <t>SF-00140</t>
  </si>
  <si>
    <t>ARAME GALVANIZADO 6 BWG, D = 5,16 MM (0,157 KG/M), OU 8 BWG, D = 4,19 MM (0,101 KG/M), OU 10 BWG, D = 3,40 MM (0,0713 KG/M)</t>
  </si>
  <si>
    <t>PARAFUSO ZINCADO, AUTOBROCANTE, FLANGEADO, 4,2 MM X 19 MM</t>
  </si>
  <si>
    <t>PARAFUSO, AUTO ATARRACHANTE, CABECA CHATA, FENDA SIMPLES, 1/4 (6,35 MM) X 25 MM</t>
  </si>
  <si>
    <t>SF-00141</t>
  </si>
  <si>
    <t>SF-00142</t>
  </si>
  <si>
    <t>Forro de PVC modular em placas de 625 mm x 1250 mm</t>
  </si>
  <si>
    <t>SF-00143</t>
  </si>
  <si>
    <t>Forro em chapa galvanizada</t>
  </si>
  <si>
    <t>Pintura eletrostática</t>
  </si>
  <si>
    <t>SF-00144</t>
  </si>
  <si>
    <t>SF-00145</t>
  </si>
  <si>
    <t>SF-00146</t>
  </si>
  <si>
    <t>FORRO DE FIBRA MINERAL EM PLACAS DE 625 X 625 MM, E = 15 MM, BORDA RETA, COM PINTURA ANTIMOFO, APOIADO EM PERFIL DE ACO GALVANIZADO COM 24 MM DE BASE - INSTALADO</t>
  </si>
  <si>
    <t>SF-00147</t>
  </si>
  <si>
    <t>UN</t>
  </si>
  <si>
    <t>SF-00148</t>
  </si>
  <si>
    <t>SF-00149</t>
  </si>
  <si>
    <t>SF-00150</t>
  </si>
  <si>
    <t>SF-00151</t>
  </si>
  <si>
    <t>SF-00152</t>
  </si>
  <si>
    <t>Baguetes metálicos</t>
  </si>
  <si>
    <t>SF-00153</t>
  </si>
  <si>
    <t>SF-00154</t>
  </si>
  <si>
    <t>Espelho cristal comum #5mm</t>
  </si>
  <si>
    <t>SF-00155</t>
  </si>
  <si>
    <t>SF-00156</t>
  </si>
  <si>
    <t>Obs.: considerando que cada bisnaga rende, no mínimo, 3 m de aplicação.</t>
  </si>
  <si>
    <t>SF-00157</t>
  </si>
  <si>
    <t>SF-00158</t>
  </si>
  <si>
    <t>VIDRO LISO INCOLOR 6 MM - SEM COLOCACAO</t>
  </si>
  <si>
    <t>SF-00159</t>
  </si>
  <si>
    <t>SF-00160</t>
  </si>
  <si>
    <t>SF-00161</t>
  </si>
  <si>
    <t>SF-00166</t>
  </si>
  <si>
    <t>Tubo de ligação para bacia sanitária em PVC, com acabamento cromado, ajustável ou não. Ref.: DECA 1968C ou equivalente</t>
  </si>
  <si>
    <t>SF-00167</t>
  </si>
  <si>
    <t>SF-00168</t>
  </si>
  <si>
    <t>SF-00169</t>
  </si>
  <si>
    <t>SF-00170</t>
  </si>
  <si>
    <t>SF-00171</t>
  </si>
  <si>
    <t>SF-00172</t>
  </si>
  <si>
    <t>SF-00173</t>
  </si>
  <si>
    <t>SF-00174</t>
  </si>
  <si>
    <t>SF-00175</t>
  </si>
  <si>
    <t>Base registro gaveta 3/4" em liga de cobre, mod 4509.202 ref: DECA ou equivalente</t>
  </si>
  <si>
    <t>FITA VEDA ROSCA EM ROLOS DE 18 MM X 50 M (L X C)</t>
  </si>
  <si>
    <t>SF-00176</t>
  </si>
  <si>
    <t>SF-00177</t>
  </si>
  <si>
    <t>SF-00178</t>
  </si>
  <si>
    <t>Grelha quadrada para ralo, com caixilho, dimensões 10x10cm, em Aço polido, ref.: Moldenox ou equivalente</t>
  </si>
  <si>
    <t>SF-00179</t>
  </si>
  <si>
    <t>Grelha quadrada para ralo, com caixilho, dimensões 15x15cm, em Aço polido, ref.: Moldenox ou equivalente</t>
  </si>
  <si>
    <t>SF-00180</t>
  </si>
  <si>
    <t>SF-00181</t>
  </si>
  <si>
    <t>Assento poliéster com fixação cromada na cor branco gelo, ref: AP.75.17 – Linha Fast/Aspen – Deca ou equivalente</t>
  </si>
  <si>
    <t>SF-00182</t>
  </si>
  <si>
    <t>SF-00183</t>
  </si>
  <si>
    <t>Bacia convencional com saída horizontal (Modelo P.90.17 – Linha Ravena – Deca)</t>
  </si>
  <si>
    <t>SF-00184</t>
  </si>
  <si>
    <t>Cuba oval de embutir, mod.: L37, cor branca ref: DECA ou equivalente</t>
  </si>
  <si>
    <t>SF-00185</t>
  </si>
  <si>
    <t>Cuba retangular com as dimensões 0,34x0,40x0,18m, em aço Inox AISI 304 com acabamento em alto brilho, com válvula de escoamento, ref: Franke 12646 ou equivalente</t>
  </si>
  <si>
    <t>SF-00186</t>
  </si>
  <si>
    <t>Cuba semi-encaixe com mesa, mod.: L830 ref: DECA ou equivalente</t>
  </si>
  <si>
    <t>SF-00187</t>
  </si>
  <si>
    <t>SF-00188</t>
  </si>
  <si>
    <t>Obs.: Redução do coeficiente de MO, considerando que esse serviço não inclui engate flexível e válvula de descarga.</t>
  </si>
  <si>
    <t>SF-00189</t>
  </si>
  <si>
    <t>SF-00190</t>
  </si>
  <si>
    <t>SF-00191</t>
  </si>
  <si>
    <t>SF-00192</t>
  </si>
  <si>
    <t>Tanque de louça com capacidade de 38 litros na cor branca, suspenso, sem coluna</t>
  </si>
  <si>
    <t>SF-00193</t>
  </si>
  <si>
    <t>Acabamento para registro de gaveta de 1 ¼” a 1 ½” (GD), cromado. Ref.: Modelo 4900.C35.GD – Linha Aspen – Deca</t>
  </si>
  <si>
    <t>SF-00194</t>
  </si>
  <si>
    <t>Acabamento para registro de gaveta e pressão até 1” (PQ), cromado. Ref.: Modelo, 4900.C35.PQ – Linha Aspen – Deca</t>
  </si>
  <si>
    <t>SF-00195</t>
  </si>
  <si>
    <t>Ducha higiênica com registro e derivação, com gatilho branco e flexível de 1,2m. Ref.: Modelo 1984.C35.ACT – Linha Aspen – Deca</t>
  </si>
  <si>
    <t>SF-00196</t>
  </si>
  <si>
    <t>SF-00197</t>
  </si>
  <si>
    <t>SF-00198</t>
  </si>
  <si>
    <t>Sifão regulável com tubo de saída corrugado para cozinha, cromado.  Ref.: Modelo VSM182 – Esteves</t>
  </si>
  <si>
    <t>SF-00199</t>
  </si>
  <si>
    <t>SF-00200</t>
  </si>
  <si>
    <t>SF-00201</t>
  </si>
  <si>
    <t>Torneira de mesa para cozinha, cromada. Ref.: Deca Targa 1167.C40.CR</t>
  </si>
  <si>
    <t>SF-00202</t>
  </si>
  <si>
    <t>Torneira de mesa bica móvel com arejador articulado para cozinha, cromada. Ref.: Código B5814C2CRB – Linha City – Celite</t>
  </si>
  <si>
    <t>SF-00203</t>
  </si>
  <si>
    <t>Torneira de mesa para lavatório, para uso clínico e apoio à pessoa. Ref.: Deca Link 1196.CLNK</t>
  </si>
  <si>
    <t>SF-00204</t>
  </si>
  <si>
    <t>Torneira de mesa para lavatorio, bica alta, com arejador, cromado. Ref.: Código B5810C2CRB – Linha City – Celite</t>
  </si>
  <si>
    <t>SF-00205</t>
  </si>
  <si>
    <t>Torneira de mesa para lavatorio bica baixa. Ref.: Código B5811C2CRB – Linha City – Celite</t>
  </si>
  <si>
    <t>SF-00206</t>
  </si>
  <si>
    <t>SF-00207</t>
  </si>
  <si>
    <t>Torneira de parede para cozinha bica móvel com arejador articulado, cromada. Ref.: Código B5815C2CRB – Linha City – Celite</t>
  </si>
  <si>
    <t>SF-00208</t>
  </si>
  <si>
    <t>SF-00209</t>
  </si>
  <si>
    <t>SF-00210</t>
  </si>
  <si>
    <t>SF-00211</t>
  </si>
  <si>
    <t>SF-00212</t>
  </si>
  <si>
    <t>SF-00213</t>
  </si>
  <si>
    <t>SF-00214</t>
  </si>
  <si>
    <t>SF-00215</t>
  </si>
  <si>
    <t>SF-00216</t>
  </si>
  <si>
    <t xml:space="preserve">Alarme de emergência audiovisual intermitente com fio. Ref. Planeta Acessível Alarme PCD ou AbaFire AFSAVPNE + AbaFire AFAMPNE </t>
  </si>
  <si>
    <t>SF-00217</t>
  </si>
  <si>
    <t>Barra de apoio com comprimento de 405mm e espaçamento de 66mm da parede, barra com bitola de 32m, em aço escovado</t>
  </si>
  <si>
    <t>SF-00218</t>
  </si>
  <si>
    <t>Barra de apoio com comprimento de 705mm e espaçamento de 66mm da parede, barra com bitola de 32mm em aço escovado</t>
  </si>
  <si>
    <t>SF-00219</t>
  </si>
  <si>
    <t>Barra de apoio linha conforto com comprimento de 805mm e espaçamento de 66mm da parede, barra com bitola de 32mm em aço escovado</t>
  </si>
  <si>
    <t>SF-00220</t>
  </si>
  <si>
    <t>Barra de apoio lateral fixa, com 303mm de comprimento, com a bitola de 32mm e em aço escovado</t>
  </si>
  <si>
    <t>SF-00221</t>
  </si>
  <si>
    <t>Lavatório para instalação com coluna suspensa, para apoio à pessoa com deficiência. Ref.: Modelo L.39.17 – Linha Spot – Deca</t>
  </si>
  <si>
    <t>SF-00222</t>
  </si>
  <si>
    <t>Coluna suspensa para lavatório para apoio à pessoa com deficiência. Ref..: Deca Spot CS.39.17</t>
  </si>
  <si>
    <t>SF-00223</t>
  </si>
  <si>
    <t>Cabide, cromado. Ref.: Modelo 2060.C.FLX – Linha Flex – Deca</t>
  </si>
  <si>
    <t>SF-00224</t>
  </si>
  <si>
    <t>Papeleira, cromada. Ref.: Modelo 2020.C.FLX – Linha Flex – Deca</t>
  </si>
  <si>
    <t>SF-00225</t>
  </si>
  <si>
    <t>Porta-toalha em argola, cromado. Ref.: Modelo 2050.C.FLX – Linha Flex – Deca</t>
  </si>
  <si>
    <t>SF-00226</t>
  </si>
  <si>
    <t>Porta-toalha em barra, cromado. Ref.: Modelo 2040.C.FLX – Linha Flex – Deca</t>
  </si>
  <si>
    <t>SF-00227</t>
  </si>
  <si>
    <t>SF-00228</t>
  </si>
  <si>
    <t>Caixa 4x2 para drywall</t>
  </si>
  <si>
    <t>SF-00229</t>
  </si>
  <si>
    <t>SF-00230</t>
  </si>
  <si>
    <t>Caixa 4x4 para drywall</t>
  </si>
  <si>
    <t>SF-00231</t>
  </si>
  <si>
    <t>Caixa de passagem em alumínio c/ tampa, 100x100x50mm</t>
  </si>
  <si>
    <t>SF-00232</t>
  </si>
  <si>
    <t>Caixa de passagem em alumínio c/ tampa, 200x200x100mm</t>
  </si>
  <si>
    <t>SF-00233</t>
  </si>
  <si>
    <t>CAIXA DE PASSAGEM ELETRICA DE PAREDE, DE EMBUTIR, EM PVC, COM TAMPA APARAFUSADA, DIMENSOES 150 X 150 X *75* MM</t>
  </si>
  <si>
    <t>SF-00234</t>
  </si>
  <si>
    <t>Caixa para piso elevado, 170 mm x 170 mm x 70 mm (dimensões aproximadas), incluindo módulos de tomadas 2P+T (fêmea).</t>
  </si>
  <si>
    <t>SF-00235</t>
  </si>
  <si>
    <t>Canaleta em alumínio com tampa, divisória interna, 73x25mm, incluindo curvas, conexões e acessórios de fixação</t>
  </si>
  <si>
    <t>SF-00236</t>
  </si>
  <si>
    <t>SF-00237</t>
  </si>
  <si>
    <t>Tiro com pistola para fixação de pino Ø 1/4" em concreto, inclusive cartucho e pino</t>
  </si>
  <si>
    <t>Eletrocalha perfurada (cabos elétricos) ou lisa (dados), tipo "U", de aço galvanizado eletrolítico 100 x 50 mm, fabricado em chapa #20 (0,95 mm)</t>
  </si>
  <si>
    <t>Barra roscada em aço Ø 1/4", comprimento 1 m, bicromatizada ou zincada</t>
  </si>
  <si>
    <t>PORCA ZINCADA, SEXTAVADA, DIAMETRO 1/4"</t>
  </si>
  <si>
    <t>Arruela em aço galvanizado Ø 1/4"</t>
  </si>
  <si>
    <t>Suporte suspensão vertical para eletrocalha 100 x 50 mm largura x aba</t>
  </si>
  <si>
    <t>Prolongador para tirante rosqueado de 1/4" x 50 mm</t>
  </si>
  <si>
    <t>Parafuso lentilha 1/4 x 1/2"</t>
  </si>
  <si>
    <t>Tala auto portante para emenda 50 mm</t>
  </si>
  <si>
    <t>Tampa de encaixe para eletrocalha aço galvanizado perfurada ou lisa, 100 mm</t>
  </si>
  <si>
    <t>SF-00238</t>
  </si>
  <si>
    <t>Eletrocalha perfurada (cabos elétricos) ou lisa (dados), tipo "U", de aço galvanizado eletrolítico 200 x 100 mm, fabricado em chapa #18 (1,25 mm)</t>
  </si>
  <si>
    <t>Suporte suspensão omega para eletrocalha 200 x 100mm largura x aba</t>
  </si>
  <si>
    <t>Tala auto portante para emenda 100 mm</t>
  </si>
  <si>
    <t>Tampa de encaixe para eletrocalha aço galvanizado perfurada ou lisa, 200 mm</t>
  </si>
  <si>
    <t>SF-00239</t>
  </si>
  <si>
    <t>Eletrocalha perfurada (cabos elétricos) ou lisa (dados), tipo "U", de aço galvanizado eletrolítico 200 x 50 mm, fabricado em chapa #18 (1,25 mm)</t>
  </si>
  <si>
    <t>Suporte suspensão omega para eletrocalha 200 x 50 mm largura x aba</t>
  </si>
  <si>
    <t>SF-00240</t>
  </si>
  <si>
    <t>Eletrocalha perfurada (cabos elétricos) ou lisa (dados), tipo "U", de aço galvanizado eletrolítico 300 x 100 mm, fabricado em chapa #18 (1,25 mm)</t>
  </si>
  <si>
    <t>Suporte suspensão omega para eletrocalha 300 x 100 mm largura x aba</t>
  </si>
  <si>
    <t>Tampa de encaixe para eletrocalha aço galvanizado perfurada ou lisa, 300 mm</t>
  </si>
  <si>
    <t>SF-00241</t>
  </si>
  <si>
    <t>Eletrocalha perfurada (cabos elétricos) ou lisa (dados), tipo "U", de aço galvanizado eletrolítico 300 x 050 mm, fabricado em chapa #18 (1,25 mm)</t>
  </si>
  <si>
    <t>Suporte suspensão omega para eletrocalha 300 x 50 mm largura x aba</t>
  </si>
  <si>
    <t>SF-00242</t>
  </si>
  <si>
    <t>Eletrocalha perfurada (cabos elétricos) ou lisa (dados), tipo "U", de aço galvanizado eletrolítico 400 x 050 mm, fabricado em chapa #16 (1,55 mm)</t>
  </si>
  <si>
    <t>Suporte suspensão omega para eletrocalha 400 x 50 mm largura x aba</t>
  </si>
  <si>
    <t>Tampa de encaixe para eletrocalha aço galvanizado perfurada ou lisa, 400 mm</t>
  </si>
  <si>
    <t>SF-00243</t>
  </si>
  <si>
    <t>Eletrocalha perfurada (cabos elétricos) ou lisa (dados), tipo "U", de aço galvanizado eletrolítico 50 x 50 mm, fabricado em chapa #22 (0,8 mm)</t>
  </si>
  <si>
    <t>Suporte suspensão vertical para eletrocalha 50 x 50 mm largura x aba</t>
  </si>
  <si>
    <t>Tampa de encaixe para eletrocalha aço galvanizado perfurada ou lisa, 50 mm</t>
  </si>
  <si>
    <t>SF-00244</t>
  </si>
  <si>
    <t>Eletroduto de aço com costura galvanização eletrolítica Ø 1 1/2"</t>
  </si>
  <si>
    <t>SF-00245</t>
  </si>
  <si>
    <t>Eletroduto de aço com costura galvanização eletrolítica Ø 1 1/4"</t>
  </si>
  <si>
    <t>SF-00246</t>
  </si>
  <si>
    <t>Eletroduto de aço com costura galvanização eletrolítica Ø 1"</t>
  </si>
  <si>
    <t>SF-00247</t>
  </si>
  <si>
    <t>Eletroduto de aço com costura galvanização eletrolítica Ø 2"</t>
  </si>
  <si>
    <t>M</t>
  </si>
  <si>
    <t>SF-00248</t>
  </si>
  <si>
    <t>Eletroduto de aço com costura galvanização eletrolítica Ø 3/4"</t>
  </si>
  <si>
    <t>SF-00249</t>
  </si>
  <si>
    <t>Fixação de tubos horizontais de PVC, CPVC ou cobre diâmetros menores ou iguais a 40 mm ou eletrocalhas até 150mm de largura, com abraçadeira metálica rígida tipo d 1/2, fixada em perfilado em laje. af_05/2015</t>
  </si>
  <si>
    <t>SF-00250</t>
  </si>
  <si>
    <t>SF-00251</t>
  </si>
  <si>
    <t>SF-00252</t>
  </si>
  <si>
    <t>SF-00253</t>
  </si>
  <si>
    <t>Perfilado perfurado em aço galvanizado # 18, 38 x 38 mm</t>
  </si>
  <si>
    <t>Suporte curto para perfilado em aço galvanizado # 22, 38 mm x 100 mm</t>
  </si>
  <si>
    <t>Tala 4 furos para emenda 38 mm</t>
  </si>
  <si>
    <t>Tampa de encaixe para perfilado em aço galvanizado 38 mm</t>
  </si>
  <si>
    <t>SF-00254</t>
  </si>
  <si>
    <t>SF-00255</t>
  </si>
  <si>
    <t>SF-00256</t>
  </si>
  <si>
    <t>Espelho cego redondo</t>
  </si>
  <si>
    <t>SF-00257</t>
  </si>
  <si>
    <t xml:space="preserve">Tampa para condulete alumínio para eletrodutos de 1", de sobrepor , com conexões e acessórios. </t>
  </si>
  <si>
    <t>Interruptor para condulete alumínio para eletrodutos de 1’’, de sobrepor, com conexões e acessórios.</t>
  </si>
  <si>
    <t>SF-00258</t>
  </si>
  <si>
    <t>Módulo cego</t>
  </si>
  <si>
    <t>SF-00259</t>
  </si>
  <si>
    <t>SF-00260</t>
  </si>
  <si>
    <t>SF-00261</t>
  </si>
  <si>
    <t>Módulo para saída de fio</t>
  </si>
  <si>
    <t>SF-00262</t>
  </si>
  <si>
    <t>Módulo sensor de presença</t>
  </si>
  <si>
    <t>SF-00263</t>
  </si>
  <si>
    <t>SF-00264</t>
  </si>
  <si>
    <t>SF-00265</t>
  </si>
  <si>
    <t/>
  </si>
  <si>
    <t>Porta equipamentos para canaleta de alumínio aparente</t>
  </si>
  <si>
    <t>SF-00266</t>
  </si>
  <si>
    <t xml:space="preserve">Tampa cega para caixa de piso 4x2 cromada. </t>
  </si>
  <si>
    <t>SF-00267</t>
  </si>
  <si>
    <t xml:space="preserve">Tampa cega para caixa de piso 4x4 cromada. </t>
  </si>
  <si>
    <t>SF-00268</t>
  </si>
  <si>
    <t>Tampa cega para condulete alumínio para eletrodutos de 1’’, de sobrepor, com conexões e acessórios.</t>
  </si>
  <si>
    <t>SF-00269</t>
  </si>
  <si>
    <t>Espelho para dois módulos RJ45 para condulete alumínio para eletrodutos de 1’’, de sobrepor, com conexões e acessórios.</t>
  </si>
  <si>
    <t>SF-00270</t>
  </si>
  <si>
    <t>SF-00271</t>
  </si>
  <si>
    <t>Caixa com tampa fixa em perfil para tomada em perfilado</t>
  </si>
  <si>
    <t>Tomada de embutir 2 polos + terra sem placa 250 V 10 A</t>
  </si>
  <si>
    <t>SF-00272</t>
  </si>
  <si>
    <t>Bloco autônomo (luminária de emergência). Ref.: Aureon BLOKITO BLK 500 (9901.0000.1079.05 – Aclaramento e 9901.0000.1128.05 – balizamento)</t>
  </si>
  <si>
    <t>SF-00273</t>
  </si>
  <si>
    <t>Cabo PP 3x2,5mm2 300/500 V, extraflexível (classe 5), com condutor de proteção, com isolação, enchimento e cobertura de PVC</t>
  </si>
  <si>
    <t>Plugue (macho) com 3 polos (2P+T), para 10A</t>
  </si>
  <si>
    <t>Plugue (fêmea) com 3 polos (2P+T), para 10A</t>
  </si>
  <si>
    <t>SF-00274</t>
  </si>
  <si>
    <t>Luminária de embutir T5 2 x 14W, ref: Intral DE-500 (cod. 08017); Lumicenter FAA20-E214</t>
  </si>
  <si>
    <t>Lâmpada fluorescente T5 de 14W, ref: Osram HE 14W/840 SMARTLUX; Philips TL5-14W-HE/840; GE F14W/T5/840</t>
  </si>
  <si>
    <t>SF-00275</t>
  </si>
  <si>
    <t>Luminária de sobrepor T5 2 x 14W, ref: Intral DS-500 (cod. 08021); Lumicenter FAA20-S214</t>
  </si>
  <si>
    <t>SF-00276</t>
  </si>
  <si>
    <t>Luminária de embutir T5 2 x 28W, ref: Intral DE-500 (cod. 08025); Lumicenter FAA20-E228</t>
  </si>
  <si>
    <t>Lâmpada fluorescente T5 de 28W, ref: Osram HE 28W/840 SMARTLUX; Philips TL5-28W-HE/840; GE F28W/T5/840</t>
  </si>
  <si>
    <t>SF-00277</t>
  </si>
  <si>
    <t>Luminária de sobrepor T5 2 x 28W, ref: Intral DS-500 (cod. 08029); Lumicenter FAA20-S228</t>
  </si>
  <si>
    <t>SF-00278</t>
  </si>
  <si>
    <t>Cabo flexível isolado em EPR não halogenado 10 mm² 0,6 a 1 kV</t>
  </si>
  <si>
    <t>SF-00279</t>
  </si>
  <si>
    <t>Cabo flexível isolado em EPR não halogenado 16 mm² 0,6 a 1 kV</t>
  </si>
  <si>
    <t>SF-00280</t>
  </si>
  <si>
    <t>Cabo de cobre isolado PVC 450/750V 2,5mm² resistente a chamas, livre de halogênios</t>
  </si>
  <si>
    <t>SF-00281</t>
  </si>
  <si>
    <t>Cabo de cobre multipolar, classe 5, isolação em EPR, 0,6/1 kV, 3x2,5mm² resistente a chama, livre de halogênios</t>
  </si>
  <si>
    <t>SF-00282</t>
  </si>
  <si>
    <t>Cabo de cobre isolado PVC 450/750V 4mm² resistente a chamas, livre de halogênios</t>
  </si>
  <si>
    <t>SF-00283</t>
  </si>
  <si>
    <t>Cabo de cobre multipolar, classe 5, isolação em EPR, 0,6/1 kV, 4x2,5mm² resistente a chama, livre de halogênios</t>
  </si>
  <si>
    <t>SF-00284</t>
  </si>
  <si>
    <t>Cabo de cobre isolado PVC 450/750V 6mm² resistente a chamas, livre de halogênios</t>
  </si>
  <si>
    <t>SF-00285</t>
  </si>
  <si>
    <t>SF-00293</t>
  </si>
  <si>
    <t>MONTADOR ELETROMECÃNICO COM ENCARGOS COMPLEMENTARES</t>
  </si>
  <si>
    <t>SF-00294</t>
  </si>
  <si>
    <t>SF-00295</t>
  </si>
  <si>
    <t>Exaustor axial, 1F/220V/60Hz,  vazão máxima 340 m3/h, pressão estática máxima 104 Pa. Referência Comercial: Multivac Muro150B 220V</t>
  </si>
  <si>
    <t>SF-00296</t>
  </si>
  <si>
    <t>Exaustor axial, 1F/220V/60Hz,  vazão máxima 865 m3/h, pressão estática máxima 582 Pa . Referência Comercial: Multivac AXC 200B</t>
  </si>
  <si>
    <t>SF-00297</t>
  </si>
  <si>
    <t>Suportes e acessórios de fixação de dutos em chapa de aço #22</t>
  </si>
  <si>
    <t>cj</t>
  </si>
  <si>
    <t>SF-00298</t>
  </si>
  <si>
    <t>Duto flexível com isolamento térmico e barreira de vapor, diâmetro 6”, 6 m de comprimento. Referência Comercial: Multivac Isodec RT 0.6</t>
  </si>
  <si>
    <t>SF-00299</t>
  </si>
  <si>
    <t>Duto flexível com isolamento térmico e barreira de vapor, diâmetro 8”, 6 m de comprimento. Referência: Multivac Isodec RT 0.6</t>
  </si>
  <si>
    <t>SF-00300</t>
  </si>
  <si>
    <t>Difusor de ar quadrado, 360x360 mm, Referência Comercial: Trox ADLQ-AG Nº4</t>
  </si>
  <si>
    <t>SF-00301</t>
  </si>
  <si>
    <t>Difusor de ar quadrado com caixa pleno AK6 360x360 mm. Ref.: Trox ADLK-AG Nº4</t>
  </si>
  <si>
    <t>SF-00302</t>
  </si>
  <si>
    <t>Difusor de ar quadrado para insuflamento em duas direções perpendiculares 376x376 mm, Referência Comercial: Trox  ADQ-2C-AG</t>
  </si>
  <si>
    <t>SF-00303</t>
  </si>
  <si>
    <t>Difusor de ar retangular para insuflamento em duas direções (fluxo na direção perpendicular às maiores arestas do retângulo), 371x208 mm. Ref.: Trox ADQ-2</t>
  </si>
  <si>
    <t>SF-00304</t>
  </si>
  <si>
    <t>Difusor de ar retangular para insuflamento em três direções (um fluxo na direção perpendicular às maiores arestas do retângulo e dois fluxos na direção perpendicular às menores arestas), 264x432 mm, Referência Comercial: Trox  ADQ-32-AG</t>
  </si>
  <si>
    <t>SF-00305</t>
  </si>
  <si>
    <t>Difusor de ar retangular para insuflamento em três direções 320x562 mm. Ref.: Trox ADQ-32-AG</t>
  </si>
  <si>
    <t>SF-00306</t>
  </si>
  <si>
    <t>Difusor de ar retangular para insuflamento em três direções (dois fluxos na direção perpendicular às maiores arestas do retângulo e um fluxo na direção perpendicular às menores arestas), 371x208 mm. Ref.: Trox ADQ-3</t>
  </si>
  <si>
    <t>SF-00307</t>
  </si>
  <si>
    <t>Difusor de ar retangular para insuflamento em uma direção (fluxo na direção perpendicular às maiores arestas do retângulo), 371x208 mm. Ref.: Trox ADQ-1</t>
  </si>
  <si>
    <t>SF-00308</t>
  </si>
  <si>
    <t>Grelha para retorno de ar com lâminas fixas e registro, 40 x 20 cm</t>
  </si>
  <si>
    <t>SF-00309</t>
  </si>
  <si>
    <t>Grelha para retorno de ar com lâminas fixas e registro, 50 x 30 cm</t>
  </si>
  <si>
    <t>SF-00310</t>
  </si>
  <si>
    <t>SF-00311</t>
  </si>
  <si>
    <t>SF-00312</t>
  </si>
  <si>
    <t>SF-00313</t>
  </si>
  <si>
    <t>Bomba para condensado de ar-condicionado para instalação oculta, 1F/220V/60Hz, vazão 14 l/h (a 0 mmca). Ref.: Elgin Mini Orange</t>
  </si>
  <si>
    <t>SF-00314</t>
  </si>
  <si>
    <t>Fita aluminizada 48 mm</t>
  </si>
  <si>
    <t>SF-00315</t>
  </si>
  <si>
    <t>Fita PVC 100 mm</t>
  </si>
  <si>
    <t>SF-00316</t>
  </si>
  <si>
    <t>Mangueira emborrachada 3/4"</t>
  </si>
  <si>
    <t>SF-00317</t>
  </si>
  <si>
    <t>Suporte para unidade condensadora de aparelho split ou fancolete</t>
  </si>
  <si>
    <t>SF-00318</t>
  </si>
  <si>
    <t>Suporte para unidade evaporadora de aparelho split ou fancolete</t>
  </si>
  <si>
    <t>SF-00319</t>
  </si>
  <si>
    <t>Filtro em Y 1" (DN 25 mm), fabricado em bronze, extremidade com roscas, filtro em aço inoxidável, classe de pressão PN20 ou superior. Ref.: Deca 000.085.100.03</t>
  </si>
  <si>
    <t>SF-00320</t>
  </si>
  <si>
    <t>Filtro em Y 3/4" (DN 20 mm), fabricado em bronze, extremidade com roscas, filtro em aço inoxidável, classe de pressão PN20 ou superior. Ref.: Deca 000.085.034.03</t>
  </si>
  <si>
    <t>SF-00321</t>
  </si>
  <si>
    <t>Atuador tipo liga/desliga (ON/OFF), com tensão compatível com o restante do sistema (24 V ou 220 V) e mecanicamente compatível com a válvula fornecida. Referência comercial: IMI Hydronic Engineering EMO-T</t>
  </si>
  <si>
    <t>Válvula de balanceamento e controle (PIBCV) 2 vias, para controle on-off, diâmetro nominal 1" (25 mm). Ref.: IMI Hydronic Engineering TA-COMPACT-P DN 25, Honeywell VRN2C</t>
  </si>
  <si>
    <t>SF-00322</t>
  </si>
  <si>
    <t>Válvula de balanceamento e controle (PIBCV) 2 vias, para controle on-off, diâmetro nominal 3/4" (20 mm). Ref.: IMI Hydronic Engineering TA-COMPACT-P DN 20, Honeywell VRN2B</t>
  </si>
  <si>
    <t>SF-00323</t>
  </si>
  <si>
    <t>VALVULA DE ESFERA BRUTA EM BRONZE, BITOLA 1 1/2 " (REF 1552-B)</t>
  </si>
  <si>
    <t>SF-00324</t>
  </si>
  <si>
    <t>VALVULA DE ESFERA BRUTA EM BRONZE, BITOLA 1 1/4 " (REF 1552-B)</t>
  </si>
  <si>
    <t>SF-00325</t>
  </si>
  <si>
    <t>SF-00326</t>
  </si>
  <si>
    <t>SF-00327</t>
  </si>
  <si>
    <t>Isolamento elastomérico em formato prancha autoadesiva de espessura M. Ref.: AF/Armaflex M-99/E-A, K-Flex ST</t>
  </si>
  <si>
    <t>SF-00328</t>
  </si>
  <si>
    <t>Isolamento elastomérico em formato de tubo ou coquilha de espessura M, próprio para tubulação de cobre de diâmetro nominal 1 1/8" e para tubulações de ferro de diâmetro nominal 3/4". Ref.: AF/Armaflex M-28, K-Flex ST</t>
  </si>
  <si>
    <t>Obs.: As seguintes proporções foram consideradas quanto ao tempo de mão de obra: 70% para instalação do tubo e 30% para instalação do isolamento térmico.</t>
  </si>
  <si>
    <t>SF-00329</t>
  </si>
  <si>
    <t>Isolamento elastomérico em formato de tubo ou coquilha de espessura M, próprio para tubulação de cobre de diâmetro nominal 1/2". Ref.: AF/Armaflex M-12, K-Flex ST</t>
  </si>
  <si>
    <t>SF-00330</t>
  </si>
  <si>
    <t>Isolamento elastomérico em formato de tubo ou coquilha de espessura M, próprio para tubulação de cobre de diâmetro nominal 1/4". Ref.: AF/Armaflex M-06, K-Flex ST</t>
  </si>
  <si>
    <t>SF-00331</t>
  </si>
  <si>
    <t>Isolamento elastomérico em formato de tubo ou coquilha de espessura M, próprio para tubulação de cobre de diâmetro nominal 3/4". Ref.: AF/Armaflex M-18, K-Flex ST</t>
  </si>
  <si>
    <t>SF-00332</t>
  </si>
  <si>
    <t>Isolamento elastomérico em formato de tubo ou coquilha de espessura M, próprio para tubulação de cobre de diâmetro nominal 3/8". Ref.: AF/Armaflex M-10, K-Flex ST</t>
  </si>
  <si>
    <t>SF-00333</t>
  </si>
  <si>
    <t>Isolamento elastomérico em formato de tubo ou coquilha de espessura M, próprio para tubulação de cobre de diâmetro nominal 5/8". Ref.: AF/Armaflex M-15, K-Flex ST</t>
  </si>
  <si>
    <t>SF-00334</t>
  </si>
  <si>
    <t>Isolamento elastomérico em formato de tubo ou coquilha de espessura M, próprio para tubulação de cobre de diâmetro nominal 7/8" e para tubulações de ferro de diâmetro nominal 1/2". Ref.: AF/Armaflex M-22, K-Flex ST</t>
  </si>
  <si>
    <t>SF-00335</t>
  </si>
  <si>
    <t>Isolamento elastomérico em formato de tubo ou coquilha de espessura M, próprio para tubulação de cobre de diâmetro nominal 1". Ref.: AF/Armaflex M-25, K-Flex ST</t>
  </si>
  <si>
    <t>SF-00336</t>
  </si>
  <si>
    <t>Isolamento elastomérico em formato de tubo ou coquilha de espessura M, próprio para tubulação ferro de diâmetro nominal 1 1/2". Ref.: AF/Armaflex M-48, K-Flex ST</t>
  </si>
  <si>
    <t>SF-00337</t>
  </si>
  <si>
    <t>Isolamento elastomérico em formato de tubo ou coquilha de espessura M, próprio para tubulação ferro de diâmetro nominal 1 1/4". Ref.: AF/Armaflex M-42, K-Flex ST</t>
  </si>
  <si>
    <t>SF-00338</t>
  </si>
  <si>
    <t>Isolamento elastomérico em formato de tubo ou coquilha de espessura M, próprio para tubulação ferro de diâmetro nominal 1". Ref.: AF/Armaflex M-35, K-Flex ST</t>
  </si>
  <si>
    <t>SF-00339</t>
  </si>
  <si>
    <t>Alumínio corrugado sem barreira espessura mínima = 0,15mm</t>
  </si>
  <si>
    <t>SF-00340</t>
  </si>
  <si>
    <t>TUBO ACO CARBONO SEM COSTURA 1 1/2", E= *3,68 MM, SCHEDULE 40, 4,05 KG/M</t>
  </si>
  <si>
    <t>SF-00341</t>
  </si>
  <si>
    <t>SF-00342</t>
  </si>
  <si>
    <t>SF-00343</t>
  </si>
  <si>
    <t>TUBO ACO CARBONO SEM COSTURA 3/4", E= *2,87 MM, SCHEDULE 40, *1,69 KG/M</t>
  </si>
  <si>
    <t>SF-00344</t>
  </si>
  <si>
    <t>SF-00345</t>
  </si>
  <si>
    <t>SF-00346</t>
  </si>
  <si>
    <t>SF-00347</t>
  </si>
  <si>
    <t>SF-00348</t>
  </si>
  <si>
    <t>SF-00349</t>
  </si>
  <si>
    <t>Tubo de cobre flexivel, D = 7/8 ", E = 0,79 mm, para ar-condicionado/ instalacoes gas residenciais e comerciais</t>
  </si>
  <si>
    <t>SF-00350</t>
  </si>
  <si>
    <t>Tubo de cobre flexivel, D = 1 ", E = 0,79 mm, para ar-condicionado/ instalacoes gas residenciais e comerciais</t>
  </si>
  <si>
    <t>SF-00351</t>
  </si>
  <si>
    <t>Tubo de cobre flexivel, D = 1 1/8 ", E = 0,79 mm, para ar-condicionado/ instalacoes gas residenciais e comerciais</t>
  </si>
  <si>
    <t>SF-00354</t>
  </si>
  <si>
    <t>SF-00355</t>
  </si>
  <si>
    <t>SF-00356</t>
  </si>
  <si>
    <t>SF-00357</t>
  </si>
  <si>
    <t>SF-00358</t>
  </si>
  <si>
    <t>Painel de TV de 90 x 120 cm, fabricado em MDP. Ref.: Germai Ipanema 90 x 120 x 26,5</t>
  </si>
  <si>
    <t>SF-00359</t>
  </si>
  <si>
    <t>BATENTE PARA PORTA DE MADEIRA, PADRÃO MÉDIO - FORNECIMENTO E MONTAGEM. AF_12/2019</t>
  </si>
  <si>
    <t>SF-00360</t>
  </si>
  <si>
    <t>Chapa de proteção em aço inox AISI 304, largura conforme projeto, 400 mm de altura, chapa com espessura de 1 mm, acabamento escovado fosco</t>
  </si>
  <si>
    <t>SF-00361</t>
  </si>
  <si>
    <t>DOBRADICA EM LATAO, 3 " X 2 1/2 ", E= 1,9 A 2 MM, COM ANEL, CROMADO, TAMPA BOLA, COM PARAFUSOS</t>
  </si>
  <si>
    <t>PARAFUSO ROSCA SOBERBA ZINCADO CABECA CHATA FENDA SIMPLES 3,5 X 25 MM (1 ")</t>
  </si>
  <si>
    <t>CARPINTEIRO DE ESQUADRIA COM ENCARGOS COMPLEMENTARES</t>
  </si>
  <si>
    <t>H</t>
  </si>
  <si>
    <t>SERVENTE COM ENCARGOS COMPLEMENTARES</t>
  </si>
  <si>
    <t>SF-00362</t>
  </si>
  <si>
    <t>SF-00363</t>
  </si>
  <si>
    <t>SF-00364</t>
  </si>
  <si>
    <t>SF-00365</t>
  </si>
  <si>
    <t>SF-00366</t>
  </si>
  <si>
    <t>SF-00367</t>
  </si>
  <si>
    <t>PEDREIRO COM ENCARGOS COMPLEMENTARES</t>
  </si>
  <si>
    <t>SF-00368</t>
  </si>
  <si>
    <t>SF-00369</t>
  </si>
  <si>
    <t>Fechadura para porta de banheiro, com maçaneta em formato de barra, confeccionada em aço com acabamento inox polido. Ref.: MZ 270 WC Standard – Linha Standard – Papaiz</t>
  </si>
  <si>
    <t>SF-00370</t>
  </si>
  <si>
    <t>Fechadura para porta externa, com maçaneta em formato de barra, confeccionada em zamac com acabamento cromado. Ref.: MZ 270 EXT Standard – Linha Standard – Papaiz</t>
  </si>
  <si>
    <t>SF-00371</t>
  </si>
  <si>
    <t>Fechadura para porta interna, com acabamento cromado brilhante, maçaneta tipo pera, com pino giratório central. Ref.: CJ 030 (externo) – Linha Professionel – La Fonte</t>
  </si>
  <si>
    <t>SF-00372</t>
  </si>
  <si>
    <t>SF-00373</t>
  </si>
  <si>
    <t>Mola aérea para fechamento automático de portas com regulagem da velocidade de fechamento. Ref.: Mola automática – Modelo 453 - Coimbra</t>
  </si>
  <si>
    <t>SF-00374</t>
  </si>
  <si>
    <t>Pivô em latão com acabamento cromado para portas pivotantes até 150 kg. Conjunto completo composto de superior macho e fêmea e inferior macho e fêmea. Ref.: Pivô Strong 150 - La fonte</t>
  </si>
  <si>
    <t>SF-00375</t>
  </si>
  <si>
    <t>Cabo de dados tipo UTP, tipo LSZH, categoria 6. Ref.: AMP 1989106-6, Furukawa 23400196</t>
  </si>
  <si>
    <t>SF-00376</t>
  </si>
  <si>
    <t>Tampa p/ conector /RJ45. ref.: Schneider Electric PRM47761 (Padrão Keystone), Schneider Electric PRM47771 (Padrão AMP)</t>
  </si>
  <si>
    <t>Módulo RJ 45 - CAT 6. Ref.: AMP 1375055-2, Furukawa 35030621</t>
  </si>
  <si>
    <t>Certificação de ponto de rede</t>
  </si>
  <si>
    <t>SF-00377</t>
  </si>
  <si>
    <t>Painel de distribuição (patch panel) de 24 portas, categoria 6. Ref.: AMP 1375014-2</t>
  </si>
  <si>
    <t>SF-00378</t>
  </si>
  <si>
    <t>CABO TELEFONICO CCI 50, 2 PARES, USO INTERNO, SEM BLINDAGEM</t>
  </si>
  <si>
    <t>SF-00379</t>
  </si>
  <si>
    <t>Tampa p/ conector /RJ45. ref.: Schneider Electric PRM47761 (padrão Keystone), Schneider Electric PRM47771 (padrão AMP)</t>
  </si>
  <si>
    <t>SF-00380</t>
  </si>
  <si>
    <t>Grelha para retorno para portas, divisórias e paredes 525x325 mm, Ref. Trox AGS-T</t>
  </si>
  <si>
    <t>SF-00408</t>
  </si>
  <si>
    <t>CJ</t>
  </si>
  <si>
    <t>SF-00467</t>
  </si>
  <si>
    <t>ESPUMA EXPANSIVA DE POLIURETANO, APLICACAO MANUAL - 500 ML</t>
  </si>
  <si>
    <t>SF-00563</t>
  </si>
  <si>
    <t>ARGAMASSA PRONTA PARA CONTRAPISO</t>
  </si>
  <si>
    <t>SF-00564</t>
  </si>
  <si>
    <t>SF-00565</t>
  </si>
  <si>
    <t>SF-00566</t>
  </si>
  <si>
    <t>SF-00567</t>
  </si>
  <si>
    <t>SF-00568</t>
  </si>
  <si>
    <t>TRANSPORTE COM CAMINHÃO BASCULANTE DE 6 M3, EM VIA URBANA PAVIMENTADA, DMT ATÉ 30 KM (UNIDADE: TxKM). AF_01/2018</t>
  </si>
  <si>
    <t>TxKM</t>
  </si>
  <si>
    <t>Obs.: Considerando fornecedor de areia a 20 km do Senado Federal.</t>
  </si>
  <si>
    <t>SF-00569</t>
  </si>
  <si>
    <t>PEDRA BRITADA N. 0, OU PEDRISCO (4,8 A 9,5 MM) POSTO PEDREIRA/FORNECEDOR, SEM FRETE</t>
  </si>
  <si>
    <t>Obs.: Considerando fornecedor de brita a 20 km do Senado Federal.</t>
  </si>
  <si>
    <t>SF-00570</t>
  </si>
  <si>
    <t>SF-00571</t>
  </si>
  <si>
    <t>SF-00572</t>
  </si>
  <si>
    <t>SF-00573</t>
  </si>
  <si>
    <t>SF-00574</t>
  </si>
  <si>
    <t>SF-00575</t>
  </si>
  <si>
    <t>SF-00576</t>
  </si>
  <si>
    <t>ACO CA-50, 6,3 MM, VERGALHAO</t>
  </si>
  <si>
    <t>SF-00577</t>
  </si>
  <si>
    <t>ACO CA-50, 8,0 MM, VERGALHAO</t>
  </si>
  <si>
    <t>SF-00578</t>
  </si>
  <si>
    <t>SF-00579</t>
  </si>
  <si>
    <t>ACO CA-50, 12,5 MM OU 16,0 MM, VERGALHAO</t>
  </si>
  <si>
    <t>SF-00580</t>
  </si>
  <si>
    <t>SF-00581</t>
  </si>
  <si>
    <t>ADESIVO ESTRUTURAL A BASE DE RESINA EPOXI, BICOMPONENTE, PASTOSO (TIXOTROPICO)</t>
  </si>
  <si>
    <t>SF-00588</t>
  </si>
  <si>
    <t>ADITIVO IMPERMEABILIZANTE DE PEGA NORMAL PARA ARGAMASSAS E CONCRETOS SEM ARMACAO, LIQUIDO E ISENTO DE CLORETOS</t>
  </si>
  <si>
    <t>SF-00708</t>
  </si>
  <si>
    <t>ENGENHEIRO CIVIL DE OBRA PLENO COM ENCARGOS COMPLEMENTARES</t>
  </si>
  <si>
    <t>Obs: considerando 220h/mês e encargos sociais indicados na tabela do SINAPI.</t>
  </si>
  <si>
    <t>SF-00709</t>
  </si>
  <si>
    <t>ALMOXARIFE COM ENCARGOS COMPLEMENTARES</t>
  </si>
  <si>
    <t>SF-00710</t>
  </si>
  <si>
    <t>SF-00711</t>
  </si>
  <si>
    <t>AJUDANTE DE CARPINTEIRO COM ENCARGOS COMPLEMENTARES</t>
  </si>
  <si>
    <t>SF-00712</t>
  </si>
  <si>
    <t>AUXILIAR DE SERRALHEIRO COM ENCARGOS COMPLEMENTARES</t>
  </si>
  <si>
    <t>SF-00713</t>
  </si>
  <si>
    <t>SF-00714</t>
  </si>
  <si>
    <t>SF-00715</t>
  </si>
  <si>
    <t>SF-00716</t>
  </si>
  <si>
    <t>SF-00717</t>
  </si>
  <si>
    <t>SF-00844</t>
  </si>
  <si>
    <t>Kg</t>
  </si>
  <si>
    <t>SF-00845</t>
  </si>
  <si>
    <t>VIDRO LISO INCOLOR 5MM - SEM COLOCACAO</t>
  </si>
  <si>
    <t>SF-00846</t>
  </si>
  <si>
    <t>VIDRO TEMPERADO INCOLOR E = 8 MM, SEM COLOCACAO</t>
  </si>
  <si>
    <t>SF-00849</t>
  </si>
  <si>
    <t>VIDRO TEMPERADO INCOLOR E = 10 MM, SEM COLOCACAO</t>
  </si>
  <si>
    <t>SF-00850</t>
  </si>
  <si>
    <t>Bucha para pivô de dobradiça para vidro temperado. Ref.: Santa Marina/1201; Belga Metais / 9201</t>
  </si>
  <si>
    <t>SF-00851</t>
  </si>
  <si>
    <t>Suporte para bandeira de vidro temperado, com ponto de giro para dobradiça. Ref.: Santa Marina / 1203; Belga Metais / 9203</t>
  </si>
  <si>
    <t>SF-00852</t>
  </si>
  <si>
    <t>Suporte de canto, simples, para vidro temperado. Ref.: Santa Marina/1302; Belga Metais/9302</t>
  </si>
  <si>
    <t>SF-00853</t>
  </si>
  <si>
    <t>Suporte de união em "L" em latão fundido, sem batedor, para dois ou três vidros temperados de 10 mm. Ref.: Santa Marina/1310; Belga Metais/9310</t>
  </si>
  <si>
    <t>OBS: Para o preço unitário do insumo, considerou-se 85% do preço da peça tipo 1308 da tabela TCPO/Pini, percentual esse verificado mediante pesquisa de mercado.</t>
  </si>
  <si>
    <t>SF-00854</t>
  </si>
  <si>
    <t>Botão de correção fosco acetinado com parafuso. Ref.: Santa Marina/1002</t>
  </si>
  <si>
    <t>SF-00855</t>
  </si>
  <si>
    <t>Fechadura bico-de-papagaio, com furo, para porta de correr em vidro temperado 10 mm. Ref.: Santa Marina / 3530; Belga Metais / 9510-F</t>
  </si>
  <si>
    <t>SF-00856</t>
  </si>
  <si>
    <t>Fechadura bico-de-papagaio, com furo, para aplicação em janela de correr em vidro temperado 10 mm. Ref.: Santa Marina/3532; Belga Metais/9510-JF</t>
  </si>
  <si>
    <t>SF-00857</t>
  </si>
  <si>
    <t>Fechadura para aplicação em porta de abrirem vidro temperado 10 mm. Ref.: Santa Marina/1520; Belga Metais/9520</t>
  </si>
  <si>
    <t>SF-00858</t>
  </si>
  <si>
    <t>Contra fechadura, para alvenaria, para porta com fechadura 1520/952, aplicada em alvenaria junto a porta de abrirem vidro temperado 10 mm. Ref.: TQ Ferragens/1504; Santa Marina/1504; Belga Metais/1504</t>
  </si>
  <si>
    <t>SF-00859</t>
  </si>
  <si>
    <t>Contra fechadura de pressão para porta de vidro temperado de 10 mm, usada com fechaduras de referência 1520SE / 9520PRD / 9520PRE. Ref.: Santa Marina/1504S; Belga Metais 9504S</t>
  </si>
  <si>
    <t>SF-00860</t>
  </si>
  <si>
    <t>Contra fechadura, com furo, para porta de correr com furo em vidro temperado 10 mm, usada com fechaduras de referência 3530/9510-F. Ref.: Santa Marina/3534; Belga Metais/9511-F</t>
  </si>
  <si>
    <t>SF-00861</t>
  </si>
  <si>
    <t>Trinco inferior, com miolo, em latão fundido cromado, para porta de vidro temperado 10 mm. Ref.: Santa Marina/1502; Belga Metais/9502</t>
  </si>
  <si>
    <t>SF-00862</t>
  </si>
  <si>
    <t>SF-00863</t>
  </si>
  <si>
    <t>Puxador para porta de vidro temperado redondo duplo em resina poliéster incolor com aditivo anti-UV com 110-135 mm de diâmetro. Ref.: 1608 e 1609, Poliforma Alumínios e Ferragens; 1613, Aço Metais</t>
  </si>
  <si>
    <t>SF-00864</t>
  </si>
  <si>
    <t>Puxador para porta de vidro temperado em aço inox, sob medida, tipo A</t>
  </si>
  <si>
    <t>SF-00865</t>
  </si>
  <si>
    <t>Dobradiça superior para porta de vidro temperado, em latão fundido cromado. Ref.: Santa Marina / 1101 ou Belga Metais / 9101</t>
  </si>
  <si>
    <t>SF-00866</t>
  </si>
  <si>
    <t>PERFIL DE ALUMINIO ANODIZADO</t>
  </si>
  <si>
    <t>Obs: Perfil em alumínio anodizado, tipo U - abas iguais - PU 5/8" x 5/8" – espessura 1,58mm</t>
  </si>
  <si>
    <t>Fonte do coeficiente: http://www.estreladosmetais.com.br/pag_metal_aluminio_perfil_u_igual.php</t>
  </si>
  <si>
    <t>SF-00867</t>
  </si>
  <si>
    <t>Obs: Trilho superior em alumínio anodizado 60mm x 49,5mm, para vidro temperado. Ref.: AL-0051</t>
  </si>
  <si>
    <t>Fonte do coeficiente: http://www.ferragensdbf.com.br/produtos-aluminio.html</t>
  </si>
  <si>
    <t>SF-00868</t>
  </si>
  <si>
    <t>Obs: Perfil guia inferior de alumínio anodizado 39,3 mm x 24 mm para vidro temperado 10mm. Ref.: Perfil Guia Inferior AL-0005</t>
  </si>
  <si>
    <t>SF-00869</t>
  </si>
  <si>
    <t>SF-00870</t>
  </si>
  <si>
    <t>Obs: Perfil Guia Inferior “Click” de alumínio anodizado. Ref.: Perfil AL-0013</t>
  </si>
  <si>
    <t>SF-00871</t>
  </si>
  <si>
    <t>Dobradiça inferior para porta de vidro temperado, em latão fundido cromado. Ref.: Santa Marina / 1103; Belga Metais / 9103</t>
  </si>
  <si>
    <t>SF-00872</t>
  </si>
  <si>
    <t>Escova de vedação para aplicação em janela ou porta de vidro temperado, autocolante ou de encaixe, na cor preta, branca ou cinza alumínio, entre 5mm e 7mm de base. Ref.: 290-1 (vidromax) 5x5 preto; Seal; VBrasil; Aluinter</t>
  </si>
  <si>
    <t>SF-00873</t>
  </si>
  <si>
    <t>Roldana simples em nylon para porta ou janela de correr de vidro temperado. Ref.: Santa Marina/1125N; Belga Metais/9125</t>
  </si>
  <si>
    <t>SF-00874</t>
  </si>
  <si>
    <t>Roldana dupla em nylon para porta ou janela de correr de vidro temperado. Ref.: Santa Marina/1125N; Belga Metais/9125</t>
  </si>
  <si>
    <t>SF-00875</t>
  </si>
  <si>
    <t>Capuchinho para trinco para vidro temperado, com furo de 8 ou 10 mm, em latão fundido. Ref.: Santa Marina/1037; Santa Marina/1038; Belga Metais/9038</t>
  </si>
  <si>
    <t>SF-00876</t>
  </si>
  <si>
    <t>Facão simples para lateral e bandeira de vidro temperado 10 mm, com ponto de giro para dobradiça superior, em latão fundido cromado. Ref.: Santa Marina/1209; Belga Metais/9209</t>
  </si>
  <si>
    <t>SF-00877</t>
  </si>
  <si>
    <t>Fechadura de pressão para porta de abrir em vidro temperado 10 mm. Ref.: Belga  Metais/9520-PRD (lado direito); Santa Marina/1520SE; Belga Metais/9520-PRE (lado esquerdo)</t>
  </si>
  <si>
    <t>SF-00878</t>
  </si>
  <si>
    <t>Suporte de união, com miolo, para vidro temperado de 10 mm, em latão fundido cromado. Ref.: Santa Marina/1306; Belga Metais/9306</t>
  </si>
  <si>
    <t>SF-00879</t>
  </si>
  <si>
    <t>Suporte para basculante e pivotante de vidro temperado 10 mm, em latão fundido cromado. Ref.: Santa Marina/1230; Belga Metais/9230</t>
  </si>
  <si>
    <t>SF-00880</t>
  </si>
  <si>
    <t>Trinco central para basculante em vidro temperado 10 mm, em latão fundido cromado. Ref.: Santa Marina/1523; Belga Metais/9523</t>
  </si>
  <si>
    <t>SF-00881</t>
  </si>
  <si>
    <t>Vidro laminado incolor de 8mm de espessura</t>
  </si>
  <si>
    <t>SF-00883</t>
  </si>
  <si>
    <t>Dobradiça automática para Box de vidro temperado. Ref.: Belga Metais/9114 e Belga Metais/9115</t>
  </si>
  <si>
    <t>SF-00884</t>
  </si>
  <si>
    <t>Dobradiça horizontal, com trinco central, para janela tipo basculante de vidro temperado com 8mm ou 10mm de espessura. Ref.: Belga Metais/9123-A</t>
  </si>
  <si>
    <t>SF-00885</t>
  </si>
  <si>
    <t>Dobradiça horizontal, sem trinco, para janela tipo basculante de vidro temperado com 8mm ou 10mm de espessura. Ref.: Belga Metais/9123</t>
  </si>
  <si>
    <t>SF-00886</t>
  </si>
  <si>
    <t>Fechadura elétrica para porta de vidro temperado com 8mm ou 10mm de espessura, acabamento cromado. Ref.: Fechadura Modelo FV35ICR / FV35ECRA / FV32ICR / FV32IPR / FV32ICRA / FV32ECRA, fabricante Amelco</t>
  </si>
  <si>
    <t>SF-00887</t>
  </si>
  <si>
    <t>Porteiro eletrônico residencial. Ref.: Amelco AM-m²00</t>
  </si>
  <si>
    <t>SF-00888</t>
  </si>
  <si>
    <t>Acionador de fechadura elétrica para porta de vidro temperado com 01 acionador fixo. Ref.; Amelco AF62UP</t>
  </si>
  <si>
    <t>SF-00889</t>
  </si>
  <si>
    <t>Mini chapinha para trinco de janela basculante em vidro temperado 8 ou 10 mm, em latão fundido cromado. Ref.: Belga Metais/9801-M</t>
  </si>
  <si>
    <t>SF-00890</t>
  </si>
  <si>
    <t>Puxador de latão polido - diâmetro 25mm, para portas e janelas de vidro temperado. Ref.: Belga Metais/9629</t>
  </si>
  <si>
    <t>SF-00891</t>
  </si>
  <si>
    <t>Trinco sem miolo, para vidro temperado 8mm ou 10 mm, funcionando como suporte inferior de centro, em latão fundido cromado. Ref.: Belga Metais/9335</t>
  </si>
  <si>
    <t>SF-00892</t>
  </si>
  <si>
    <t>Obs: Tubo de alumínio quadrado 50x50, para fixação de painéis em vidro temperado de 8mm ou 10 mm</t>
  </si>
  <si>
    <t>SF-00893</t>
  </si>
  <si>
    <t>Veda fresta adesivo “E” em PVC branco, elemento vedante adesivo para portas e janelas</t>
  </si>
  <si>
    <t>SF-00894</t>
  </si>
  <si>
    <t>Obs: Vedapress 10mm, elemento vedante para portas e janelas de vidro temperado de 8mm ou 10 mm. Ref.: AL-15 - Poliformas alumínio e ferragens</t>
  </si>
  <si>
    <t>Fonte do coeficiente: http://www.alumipremium.com/produto/al15</t>
  </si>
  <si>
    <t>SF-00895</t>
  </si>
  <si>
    <t>SF-00896</t>
  </si>
  <si>
    <t>Vidro fumê/bronze temperado 10mm</t>
  </si>
  <si>
    <t>SF-00897</t>
  </si>
  <si>
    <t>Puxador para porta de vidro temperado em aço inox, sob medida, tipo B</t>
  </si>
  <si>
    <t>SF-00898</t>
  </si>
  <si>
    <t>KG</t>
  </si>
  <si>
    <t>ESPACADOR / DISTANCIADOR CIRCULAR COM ENTRADA LATERAL, EM PLASTICO, PARA VERGALHAO *4,2 A 12,5* MM, COBRIMENTO 20 MM</t>
  </si>
  <si>
    <t>AJUDANTE DE ARMADOR COM ENCARGOS COMPLEMENTARES</t>
  </si>
  <si>
    <t>ARMADOR COM ENCARGOS COMPLEMENTARES</t>
  </si>
  <si>
    <t>SF-00899</t>
  </si>
  <si>
    <t>Pivô para dobradiça inferior (montagem com a 1103- TQ) para porta em vidro temperado</t>
  </si>
  <si>
    <t>SF-00900</t>
  </si>
  <si>
    <t>Dobradiça direita inferior excêntrica para porta pivotante em vidro temperado, dimensões máximas recomendadas 1000 x 2100 mm ou 900 x 2400 mm</t>
  </si>
  <si>
    <t>SF-00901</t>
  </si>
  <si>
    <t>Dobradiça esquerda inferior excêntrica para porta pivotante em vidro temperado, dimensões máximas recomendadas 1000 x 2100 mm ou 900 x 2400 mm</t>
  </si>
  <si>
    <t>SF-00902</t>
  </si>
  <si>
    <t>Dobradiça pivotante inferior com trinco, em alumínio, para porta em vidro temperado, dimensões máximas recomendadas 900 x 2200 mm</t>
  </si>
  <si>
    <t>SF-00903</t>
  </si>
  <si>
    <t>Carrinho para porta de correr em vidro temperado até 20kg 1 roldana e 2 furos. Ref.: Vidromax 1122-S</t>
  </si>
  <si>
    <t>SF-00904</t>
  </si>
  <si>
    <t>Carrinho para porta de correr em vidro temperado até 80kg 2 roldanas e 2 furos. Ref.: Vidromax 1122</t>
  </si>
  <si>
    <t>SF-00905</t>
  </si>
  <si>
    <t>Carrinho para porta de correr em vidro temperado com roldana côncava, dimensões máximas recomendadas 600 x 1800 mm</t>
  </si>
  <si>
    <t>SF-00906</t>
  </si>
  <si>
    <t>Guia de nylon para porta de correr em vidro temperado</t>
  </si>
  <si>
    <t>SF-00907</t>
  </si>
  <si>
    <t>Puxador H tubular em aço inox AISI304, com porcas tipo castelo, comprimento 45cm, entre furos de 30cm,  diâmetro 1.1/4",  chapa #16, acabamento escovado. Ref.: PX-RD, Poliforma Alumínio e Ferragens</t>
  </si>
  <si>
    <t>SF-00908</t>
  </si>
  <si>
    <t>SF-00909</t>
  </si>
  <si>
    <t>VIDRO MARTELADO OU CANELADO, 4 MM - SEM COLOCACAO</t>
  </si>
  <si>
    <t>SF-00910</t>
  </si>
  <si>
    <t>VIDRO LISO FUME, E = 5 MM - SEM COLOCACAO</t>
  </si>
  <si>
    <t>SF-00911</t>
  </si>
  <si>
    <t>SF-00912</t>
  </si>
  <si>
    <t>SF-00913</t>
  </si>
  <si>
    <t>Espelho fumê/bronze 4mm lapidado</t>
  </si>
  <si>
    <t>SF-00914</t>
  </si>
  <si>
    <t>SF-00915</t>
  </si>
  <si>
    <t>GRAUTE CIMENTICIO PARA USO GERAL</t>
  </si>
  <si>
    <t>SF-00916</t>
  </si>
  <si>
    <t>SF-00917</t>
  </si>
  <si>
    <t>SF-00918</t>
  </si>
  <si>
    <t>SF-00919</t>
  </si>
  <si>
    <t>SF-00920</t>
  </si>
  <si>
    <t>COMPACTADOR DE SOLOS DE PERCUSSÃO (SOQUETE) COM MOTOR A GASOLINA 4 TEMPOS, POTÊNCIA 4 CV - CHP DIURNO. AF_08/2015</t>
  </si>
  <si>
    <t>CHP</t>
  </si>
  <si>
    <t>COMPACTADOR DE SOLOS DE PERCUSSÃO (SOQUETE) COM MOTOR A GASOLINA 4 TEMPOS, POTÊNCIA 4 CV - CHI DIURNO. AF_08/2015</t>
  </si>
  <si>
    <t>CHI</t>
  </si>
  <si>
    <t>UMIDIFICAÇÃO DE MATERIAL PARA VALAS COM CAMINHÃO PIPA 10000L. AF_11/2016</t>
  </si>
  <si>
    <t>SF-00921</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</si>
  <si>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</si>
  <si>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</si>
  <si>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ARGILA, ARGILA VERMELHA OU ARGILA ARENOSA (RETIRADA NA JAZIDA, SEM TRANSPORTE)</t>
  </si>
  <si>
    <t>Obs.: Considerando fornecedor de argila a 20 km do Senado Federal.</t>
  </si>
  <si>
    <t>SF-00922</t>
  </si>
  <si>
    <t>TUBO DE COBRE CLASSE "E", DN = 22 MM, PARA INSTALACAO HIDRAULICA PREDIAL</t>
  </si>
  <si>
    <t>AUXILIAR DE ENCANADOR OU BOMBEIRO HIDRÁULICO COM ENCARGOS COMPLEMENTARES</t>
  </si>
  <si>
    <t>ENCANADOR OU BOMBEIRO HIDRÁULICO COM ENCARGOS COMPLEMENTARES</t>
  </si>
  <si>
    <t>SF-00923</t>
  </si>
  <si>
    <t>TUBO DE COBRE CLASSE "E", DN = 28 MM, PARA INSTALACAO HIDRAULICA PREDIAL</t>
  </si>
  <si>
    <t>SF-00924</t>
  </si>
  <si>
    <t>TUBO DE COBRE CLASSE "E", DN = 42 MM, PARA INSTALACAO HIDRAULICA PREDIAL</t>
  </si>
  <si>
    <t>SF-00925</t>
  </si>
  <si>
    <t>SF-00926</t>
  </si>
  <si>
    <t>Assento poliéster, mod.: Vogue plus, cor branca, com fixação cromada. AP.51 ref: DECA ou equivalente</t>
  </si>
  <si>
    <t>SF-00927</t>
  </si>
  <si>
    <t>Registro gaveta em liga de cobre, bitola 1 1/2" mod:1502.B.112 ref: DECA ou equivalente</t>
  </si>
  <si>
    <t>SF-00928</t>
  </si>
  <si>
    <t>Cabo flexível isolado em EPR não halogenado 25 mm² 0,6 a 1 kV</t>
  </si>
  <si>
    <t>SF-00929</t>
  </si>
  <si>
    <t>Cabo flexível isolado em EPR não halogenado 35 mm² 0,6 a 1 kV</t>
  </si>
  <si>
    <t>SF-00930</t>
  </si>
  <si>
    <t>Cabo flexível isolado em EPR não halogenado 50 mm² 0,6 a 1 kV</t>
  </si>
  <si>
    <t>SF-00931</t>
  </si>
  <si>
    <t>Cabo flexível isolado em EPR não halogenado 70 mm² 0,6 a 1 kV</t>
  </si>
  <si>
    <t>SF-00932</t>
  </si>
  <si>
    <t>Cabo flexível isolado em EPR não halogenado 95 mm² 0,6 a 1 kV</t>
  </si>
  <si>
    <t>SF-00933</t>
  </si>
  <si>
    <t>Cabo flexível isolado em EPR não halogenado 120 mm² 0,6 a 1 kV</t>
  </si>
  <si>
    <t>SF-00934</t>
  </si>
  <si>
    <t>Cabo flexível isolado em EPR não halogenado 150 mm² 0,6 a 1 kV</t>
  </si>
  <si>
    <t>SF-00935</t>
  </si>
  <si>
    <t>Cabo flexível isolado em EPR não halogenado 185 mm² 0,6 a 1 kV</t>
  </si>
  <si>
    <t>SF-00936</t>
  </si>
  <si>
    <t>Cabo flexível isolado em EPR não halogenado 240 mm² 0,6 a 1 kV</t>
  </si>
  <si>
    <t>SF-00937</t>
  </si>
  <si>
    <t>MONTADOR DE ESTRUTURA METÁLICA COM ENCARGOS COMPLEMENTARES</t>
  </si>
  <si>
    <t>TRANSPORTE HORIZONTAL MANUAL, DE TUBO DE AÇO CARBONO LEVE OU MÉDIO, PRETO OU GALVANIZADO, COM DIÂMETRO MAIOR QUE 32 MM E MENOR OU IGUAL A 65 MM (UNIDADE: MXKM). AF_07/2019</t>
  </si>
  <si>
    <t>MXKM</t>
  </si>
  <si>
    <t>SF-00938</t>
  </si>
  <si>
    <t>SF-00940</t>
  </si>
  <si>
    <t>ABRACADEIRA DE NYLON PARA AMARRACAO DE CABOS, COMPRIMENTO DE 200 X *4,6* MM</t>
  </si>
  <si>
    <t>TELA FACHADEIRA EM POLIETILENO, ROLO DE 3 X 100 M (L X C), COR BRANCA, SEM LOGOMARCA - PARA PROTECAO DE OBRAS</t>
  </si>
  <si>
    <t>M2</t>
  </si>
  <si>
    <t>CARPINTEIRO DE FORMAS COM ENCARGOS COMPLEMENTARES</t>
  </si>
  <si>
    <t>Obs.: Considerou-se aproveitamento de 3x para a tela, já que trata-se de locação.</t>
  </si>
  <si>
    <t>SF-00942</t>
  </si>
  <si>
    <t>SF-00943</t>
  </si>
  <si>
    <t>Registro de gaveta em liga de cobre, bitola 1" mod: 4509.302 ref: DECA ou equivalente</t>
  </si>
  <si>
    <t>SF-00944</t>
  </si>
  <si>
    <t>Registro de pressão em liga de cobre, bitola 3/4" mod: 4416.202 ref: DECA ou equivalente</t>
  </si>
  <si>
    <t>SF-00946</t>
  </si>
  <si>
    <t>TAMPAO FOFO ARTICULADO P/ REGISTRO, CLASSE A15 CARGA MAXIMA 1,5 T, *400 X 400* MM</t>
  </si>
  <si>
    <t>ARGAMASSA TRAÇO 1:4 (EM VOLUME DE CIMENTO E AREIA GROSSA ÚMIDA) PARA CHAPISCO CONVENCIONAL, PREPARO MECÂNICO COM BETONEIRA 400 L. AF_08/2019</t>
  </si>
  <si>
    <t>SF-00947</t>
  </si>
  <si>
    <t>SF-00948</t>
  </si>
  <si>
    <t>LOCACAO DE ANDAIME SUSPENSO OU BALANCIM MANUAL, CAPACIDADE DE CARGA TOTAL DE APROXIMADAMENTE 250 KG/M2, PLATAFORMA DE 1,50 M X 0,80 M (C X L), CABO DE 45 M</t>
  </si>
  <si>
    <t>SF-00950</t>
  </si>
  <si>
    <t>LAVADORA DE ALTA PRESSAO (LAVA-JATO) PARA AGUA FRIA, PRESSAO DE OPERACAO ENTRE 1400 E 1900 LIB/POL2, VAZAO MAXIMA ENTRE 400 E 700 L/H - CHP DIURNO. AF_04/2019</t>
  </si>
  <si>
    <t>SF-00951</t>
  </si>
  <si>
    <t>SF-00952</t>
  </si>
  <si>
    <t>SF-00953</t>
  </si>
  <si>
    <t>MANTA LIQUIDA DE BASE ASFALTICA MODIFICADA COM A ADICAO DE ELASTOMEROS DILUIDOS EM SOLVENTE ORGANICO, APLICACAO A FRIO (MEMBRANA IMPERMEABILIZANTE ASFASTICA)</t>
  </si>
  <si>
    <t>IMPERMEABILIZADOR COM ENCARGOS COMPLEMENTARES</t>
  </si>
  <si>
    <t>SF-00954</t>
  </si>
  <si>
    <t>CAMADA SEPARADORA DE FILME DE POLIETILENO 20 A 25 MICRA</t>
  </si>
  <si>
    <t>ARGAMASSA TRAÇO 1:3 (EM VOLUME DE CIMENTO E AREIA MÉDIA ÚMIDA) PARA CONTRAPISO, PREPARO MANUAL. AF_08/2019</t>
  </si>
  <si>
    <t>SF-00955</t>
  </si>
  <si>
    <t>TELA DE ARAME GALVANIZADA, HEXAGONAL, FIO 0,56 MM (24 BWG), MALHA 1/2", H = 1 M</t>
  </si>
  <si>
    <t>SF-00956</t>
  </si>
  <si>
    <t>SF-00957</t>
  </si>
  <si>
    <t>SF-00958</t>
  </si>
  <si>
    <t>SF-00959</t>
  </si>
  <si>
    <t>SF-00960</t>
  </si>
  <si>
    <t>SF-00961</t>
  </si>
  <si>
    <t>Broca com ponta de widia Ø 3/8" x 160 mm</t>
  </si>
  <si>
    <t>Furadeira de impacto elétrica - 0,65 kW, Ø mandril 5/8"</t>
  </si>
  <si>
    <t>h prod</t>
  </si>
  <si>
    <t>GRAUTE FGK=25 MPA; TRAÇO 1:0,02:1,2:1,5 (CIMENTO/ CAL/ AREIA GROSSA/ BRITA 0) - PREPARO MECÂNICO COM BETONEIRA 400 L. AF_02/2015</t>
  </si>
  <si>
    <r>
      <rPr>
        <b/>
        <sz val="10"/>
        <rFont val="Arial"/>
        <family val="2"/>
      </rPr>
      <t>Fontes:</t>
    </r>
    <r>
      <rPr>
        <sz val="10"/>
        <rFont val="Arial"/>
        <family val="2"/>
      </rPr>
      <t xml:space="preserve"> PINI 05.102.000020.SER</t>
    </r>
  </si>
  <si>
    <t>SF-00962</t>
  </si>
  <si>
    <t>Insert metálico tipo 2, conforme projeto</t>
  </si>
  <si>
    <t>SF-00964</t>
  </si>
  <si>
    <t>Mármore branco especial 20mm</t>
  </si>
  <si>
    <t>SF-00965</t>
  </si>
  <si>
    <t>PARAFUSO DE ACO TIPO CHUMBADOR PARABOLT, DIAMETRO 3/8", COMPRIMENTO 75 MM</t>
  </si>
  <si>
    <t>Insert metálico tipo 1, conforme projeto</t>
  </si>
  <si>
    <r>
      <rPr>
        <b/>
        <sz val="10"/>
        <rFont val="Arial"/>
        <family val="2"/>
      </rPr>
      <t>Fontes:</t>
    </r>
    <r>
      <rPr>
        <sz val="10"/>
        <rFont val="Arial"/>
        <family val="2"/>
      </rPr>
      <t xml:space="preserve"> ORSE 03735, PINI 05.102.000020.SER e 05.108.000450.SER</t>
    </r>
  </si>
  <si>
    <r>
      <rPr>
        <b/>
        <sz val="10"/>
        <rFont val="Arial"/>
        <family val="2"/>
      </rPr>
      <t>Observações:</t>
    </r>
    <r>
      <rPr>
        <sz val="10"/>
        <rFont val="Arial"/>
        <family val="2"/>
      </rPr>
      <t xml:space="preserve"> Considerando uma placa de 0,40 m x 0,80 m, que, conforme projeto, necessita de 2 inserts.</t>
    </r>
  </si>
  <si>
    <t>SF-00966</t>
  </si>
  <si>
    <t>Mármore branco especial 30mm</t>
  </si>
  <si>
    <t>SF-00967</t>
  </si>
  <si>
    <t>SF-00968</t>
  </si>
  <si>
    <r>
      <rPr>
        <b/>
        <sz val="10"/>
        <rFont val="Arial"/>
        <family val="2"/>
      </rPr>
      <t>Fontes:</t>
    </r>
    <r>
      <rPr>
        <sz val="10"/>
        <rFont val="Arial"/>
        <family val="2"/>
      </rPr>
      <t xml:space="preserve"> PINI 05.102.000020.SER e 05.108.000450.SER</t>
    </r>
  </si>
  <si>
    <t>SF-00970</t>
  </si>
  <si>
    <t>SF-00971</t>
  </si>
  <si>
    <t>SF-00972</t>
  </si>
  <si>
    <t>Hidrofugante à base de silano e silicone</t>
  </si>
  <si>
    <t>SF-00973</t>
  </si>
  <si>
    <t>Cantoneira em alumínio abas iguais 1" x 1/8" com pintura eletrostática branca</t>
  </si>
  <si>
    <t>SF-00974</t>
  </si>
  <si>
    <t>Granito Amarelo Capri para rodapé</t>
  </si>
  <si>
    <t>SF-00975</t>
  </si>
  <si>
    <t>Lixadeira angular manual elétrica Ø 7" 2200 W 6600 rpm</t>
  </si>
  <si>
    <t>loc/un/dia</t>
  </si>
  <si>
    <t>Ponta montada A2 haste 1/4"</t>
  </si>
  <si>
    <t>SF-00976</t>
  </si>
  <si>
    <t>SF-00977</t>
  </si>
  <si>
    <t>Primer de secagem rápida e alto poder de aderência ao concreto</t>
  </si>
  <si>
    <t>Corpo de apoio em polietileno para aplicação de mástiques em juntas</t>
  </si>
  <si>
    <t>SELANTE ELASTICO MONOCOMPONENTE A BASE DE POLIURETANO (PU) PARA JUNTAS DIVERSAS</t>
  </si>
  <si>
    <t>SF-00978</t>
  </si>
  <si>
    <t>SF-00980</t>
  </si>
  <si>
    <t>CHUVEIRO COMUM EM PLASTICO BRANCO, COM CANO, 3 TEMPERATURAS, 5500 W (110/220 V)</t>
  </si>
  <si>
    <t>SF-00981</t>
  </si>
  <si>
    <t>CONCRETO MAGRO PARA LASTRO, TRAÇO 1:4,5:4,5 (CIMENTO/ AREIA MÉDIA/ BRITA 1)  - PREPARO MECÂNICO COM BETONEIRA 600 L. AF_07/2016</t>
  </si>
  <si>
    <t>SF-00982</t>
  </si>
  <si>
    <t>TELA DE ACO SOLDADA NERVURADA, CA-60, Q-196, (3,11 KG/M2), DIAMETRO DO FIO = 5,0 MM, LARGURA = 2,45 M, ESPACAMENTO DA MALHA = 10 X 10 CM</t>
  </si>
  <si>
    <t>CONCRETO FCK = 20MPA, TRAÇO 1:2,7:3 (CIMENTO/ AREIA MÉDIA/ BRITA 1)  - PREPARO MECÂNICO COM BETONEIRA 600 L. AF_07/2016</t>
  </si>
  <si>
    <t>SF-00983</t>
  </si>
  <si>
    <t>SF-00984</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</si>
  <si>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</si>
  <si>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</si>
  <si>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SF-00986</t>
  </si>
  <si>
    <t>APARELHO PARA CORTE E SOLDA OXI-ACETILENO SOBRE RODAS, INCLUSIVE CILINDROS E MAÇARICOS - CHP DIURNO. AF_12/2015</t>
  </si>
  <si>
    <t>SF-00987</t>
  </si>
  <si>
    <t>SF-00988</t>
  </si>
  <si>
    <t>SF-00989</t>
  </si>
  <si>
    <t>GRAMA BATATAIS EM PLACAS, SEM PLANTIO</t>
  </si>
  <si>
    <t>JARDINEIRO COM ENCARGOS COMPLEMENTARES</t>
  </si>
  <si>
    <t>CALCARIO DOLOMITICO A (POSTO PEDREIRA/FORNECEDOR, SEM FRETE)</t>
  </si>
  <si>
    <t>TERRA VEGETAL (GRANEL)</t>
  </si>
  <si>
    <t>FERTILIZANTE NPK - 10:10:10</t>
  </si>
  <si>
    <t>FERTILIZANTE ORGANICO COMPOSTO, CLASSE A</t>
  </si>
  <si>
    <t>t</t>
  </si>
  <si>
    <t>Obs.: Considerando fornecedor de calcário a 20km do Senado Federal.</t>
  </si>
  <si>
    <t>SF-00990</t>
  </si>
  <si>
    <t>TINTA ACRILICA PREMIUM PARA PISO</t>
  </si>
  <si>
    <t>PINTOR COM ENCARGOS COMPLEMENTARES</t>
  </si>
  <si>
    <t>Obs: considerando uma demão, meio-fio de 30 cm x 15 cm x 13 cm (altura, base inferior, base superior), enterrado 5 cm.</t>
  </si>
  <si>
    <t>SF-00991</t>
  </si>
  <si>
    <t>Obs.: Considerando fornecedor de areia a 20km do Senado Federal.</t>
  </si>
  <si>
    <t>SF-00992</t>
  </si>
  <si>
    <t>CAMINHÃO BASCULANTE 6 M3, PESO BRUTO TOTAL 16.000 KG, CARGA ÚTIL MÁXIMA 13.071 KG, DISTÂNCIA ENTRE EIXOS 4,80 M, POTÊNCIA 230 CV INCLUSIVE CAÇAMBA METÁLICA - CHP DIURNO. AF_06/2014</t>
  </si>
  <si>
    <t>TUBO DRENO, CORRUGADO, ESPIRALADO, FLEXIVEL, PERFURADO, EM POLIETILENO DE ALTA DENSIDADE (PEAD), DN 100 MM, (4") PARA DRENAGEM - EM ROLO (NORMA DNIT 093/2006 - E.M)</t>
  </si>
  <si>
    <t>PLACA VIBRATÓRIA REVERSÍVEL COM MOTOR 4 TEMPOS A GASOLINA, FORÇA CENTRÍFUGA DE 25 KN (2500 KGF), POTÊNCIA 5,5 CV - CHP DIURNO. AF_08/2015</t>
  </si>
  <si>
    <t>Obs.: Considerando fornecedor de brita a 20km do Senado Federal.</t>
  </si>
  <si>
    <t>SF-00994</t>
  </si>
  <si>
    <t>Insert metálico tipo 3, conforme projeto</t>
  </si>
  <si>
    <t>SF-01001</t>
  </si>
  <si>
    <t>SF-01011</t>
  </si>
  <si>
    <t>MARTELETE OU ROMPEDOR PNEUMÁTICO MANUAL, 28 KG, COM SILENCIADOR - CHP DIURNO. AF_07/2016</t>
  </si>
  <si>
    <t>MARTELETE OU ROMPEDOR PNEUMÁTICO MANUAL, 28 KG, COM SILENCIADOR - CHI DIURNO. AF_07/2016</t>
  </si>
  <si>
    <t>SF-01012</t>
  </si>
  <si>
    <t>SF-01013</t>
  </si>
  <si>
    <t>Impermeabilizante Idea HP</t>
  </si>
  <si>
    <t>Obs: Rendimento informado na especificação do serviço (12 m2 para 1 L, considerando duas demãos).</t>
  </si>
  <si>
    <t>Fonte: SINAPI 73872/2</t>
  </si>
  <si>
    <t>SF-01014</t>
  </si>
  <si>
    <t>PLACA VINILICA SEMIFLEXIVEL PARA REVESTIMENTO DE PISOS E PAREDES, E = 2 MM (SEM COLOCACAO)</t>
  </si>
  <si>
    <t>SF-01029</t>
  </si>
  <si>
    <t>SF-01030</t>
  </si>
  <si>
    <t>SF-01031</t>
  </si>
  <si>
    <t>SF-01041</t>
  </si>
  <si>
    <t>TÉCNICO EM SEGURANÇA DO TRABALHO COM ENCARGOS COMPLEMENTARES</t>
  </si>
  <si>
    <t>SF-01053</t>
  </si>
  <si>
    <t>Adesivo epóxi estrutural - bisnaga de 50ml</t>
  </si>
  <si>
    <t>SF-01054</t>
  </si>
  <si>
    <t>Perfil metálico em chapa #14 dobrada</t>
  </si>
  <si>
    <t>Fonte: SIURB 08-01-70 e CDHU 403091</t>
  </si>
  <si>
    <t>SF-01059</t>
  </si>
  <si>
    <t>Granito Vermelho Brasília, com 20 mm de espessura, polido, com testeira para acabamento em meia esquadria, para bancadas</t>
  </si>
  <si>
    <t>SF-01060</t>
  </si>
  <si>
    <t>BUCHA DE NYLON SEM ABA S10, COM PARAFUSO DE 6,10 X 65 MM EM ACO ZINCADO COM ROSCA SOBERBA, CABECA CHATA E FENDA PHILLIPS</t>
  </si>
  <si>
    <t>PORTA DE ABRIR EM ALUMINIO TIPO VENEZIANA, ACABAMENTO ANODIZADO NATURAL, SEM GUARNICAO/ALIZAR/VISTA, 87 X 210 CM</t>
  </si>
  <si>
    <t>SF-01061</t>
  </si>
  <si>
    <t>PARAFUSO DE ACO ZINCADO COM ROSCA SOBERBA, CABECA CHATA E FENDA SIMPLES, DIAMETRO 4,2 MM, COMPRIMENTO * 32 * MM</t>
  </si>
  <si>
    <t>SF-01062</t>
  </si>
  <si>
    <t>PORTA DE ENROLAR MANUAL COMPLETA, ARTICULADA RAIADA LARGA, EM ACO GALVANIZADO NATURAL, CHAPA NUMERO 24 (SEM INSTALACAO)</t>
  </si>
  <si>
    <t>SF-01063</t>
  </si>
  <si>
    <t>COTOVELO 90 GRAUS DE FERRO GALVANIZADO, COM ROSCA BSP, DE 1"</t>
  </si>
  <si>
    <t>NIPLE DE FERRO GALVANIZADO, COM ROSCA BSP, DE 1"</t>
  </si>
  <si>
    <t>PLUG OU BUJAO DE FERRO GALVANIZADO, DE 1/2"</t>
  </si>
  <si>
    <t>TE DE REDUCAO DE FERRO GALVANIZADO, COM ROSCA BSP, DE 1" X 1/2"</t>
  </si>
  <si>
    <t>UNIAO DE FERRO GALVANIZADO, COM ROSCA BSP, COM ASSENTO PLANO, DE 1"</t>
  </si>
  <si>
    <t>VALVULA DE ESFERA BRUTA EM BRONZE, BITOLA 1/2 " (REF 1552-B)</t>
  </si>
  <si>
    <t>TUBO ACO GALVANIZADO COM COSTURA, CLASSE MEDIA, DN 1", E = 3,38 MM, PESO 2,50 KG/M (NBR 5580)</t>
  </si>
  <si>
    <t xml:space="preserve">MEDIDOR DE GÁS EM ALUMÍNIO. Ref. LAO G6 </t>
  </si>
  <si>
    <t>SF-01064</t>
  </si>
  <si>
    <t>Válvula de esfera tripartida Classe 300</t>
  </si>
  <si>
    <t>SF-01065</t>
  </si>
  <si>
    <t>DESMOLDANTE PROTETOR PARA FORMAS DE MADEIRA, DE BASE OLEOSA EMULSIONADA EM AGUA</t>
  </si>
  <si>
    <t>PREGO DE ACO POLIDO COM CABECA 15 X 15 (1 1/4 X 13)</t>
  </si>
  <si>
    <t>VIBRADOR DE IMERSÃO, DIÂMETRO DE PONTEIRA 45MM, MOTOR ELÉTRICO TRIFÁSICO POTÊNCIA DE 2 CV - CHP DIURNO. AF_06/2015</t>
  </si>
  <si>
    <t>VIBRADOR DE IMERSÃO, DIÂMETRO DE PONTEIRA 45MM, MOTOR ELÉTRICO TRIFÁSICO POTÊNCIA DE 2 CV - CHI DIURNO. AF_06/2015</t>
  </si>
  <si>
    <t>SERRA CIRCULAR DE BANCADA COM MOTOR ELÉTRICO POTÊNCIA DE 5HP, COM COIFA PARA DISCO 10" - CHP DIURNO. AF_08/2015</t>
  </si>
  <si>
    <t>SERRA CIRCULAR DE BANCADA COM MOTOR ELÉTRICO POTÊNCIA DE 5HP, COM COIFA PARA DISCO 10" - CHI DIURNO. AF_08/2015</t>
  </si>
  <si>
    <t>ARMAÇÃO DE LAJE DE UMA ESTRUTURA CONVENCIONAL DE CONCRETO ARMADO EM UMA EDIFICAÇÃO TÉRREA OU SOBRADO UTILIZANDO AÇO CA-60 DE 4,2 MM - MONTAGEM. AF_12/2015</t>
  </si>
  <si>
    <t>SF-01066</t>
  </si>
  <si>
    <t>AUXILIAR DE ELETRICISTA COM ENCARGOS COMPLEMENTARES</t>
  </si>
  <si>
    <t>ELETRICISTA COM ENCARGOS COMPLEMENTARES</t>
  </si>
  <si>
    <t>SF-01068</t>
  </si>
  <si>
    <t>Eletroduto de aço com costura galvanização eletrolítica Ø 3"</t>
  </si>
  <si>
    <t>SF-01069</t>
  </si>
  <si>
    <t>Grelha em ferro fundido com caixilho de apoio espessura 15 mm, largura 200 mm</t>
  </si>
  <si>
    <t>SF-01070</t>
  </si>
  <si>
    <t>Granito Vermelho Brasília, com 20 mm de espessura e 150 mm de altura, para soleira e peitoril</t>
  </si>
  <si>
    <t>SF-01071</t>
  </si>
  <si>
    <t>Luminária redonda de embutir, LED, potência 19 W, temperatura de cor 3000 K, fluxo luminoso 1770 lm. Ref: OSRAM - LEDVANCE DOWNLIGHT XL WT 830</t>
  </si>
  <si>
    <t>SF-01072</t>
  </si>
  <si>
    <t>SF-01073</t>
  </si>
  <si>
    <t>SF-01074</t>
  </si>
  <si>
    <t>TAMPAO FOFO ARTICULADO P/ REGISTRO, CLASSE A15 CARGA MAX 1,5 T, *200 X 200* MM</t>
  </si>
  <si>
    <t>SF-01076</t>
  </si>
  <si>
    <t>Cerâmica GAIL (Referência 1009 Placa Cerâmica Linha Gressit da Marca Gail, tamanho 240 mm x 116 mm, espessura 9 mm)</t>
  </si>
  <si>
    <t>SF-01077</t>
  </si>
  <si>
    <t>AREIA PARA ATERRO - POSTO JAZIDA/FORNECEDOR (RETIRADO NA JAZIDA, SEM TRANSPORTE)</t>
  </si>
  <si>
    <t>SF-01078</t>
  </si>
  <si>
    <t>CHAPA DE ACO GROSSA, ASTM A36, E = 3/8 " (9,53 MM) 74,69 KG/M2</t>
  </si>
  <si>
    <t>ELETRODO REVESTIDO AWS - E6013, DIAMETRO IGUAL A 2,50 MM</t>
  </si>
  <si>
    <t>PARAFUSO DE FERRO POLIDO, SEXTAVADO, COM ROSCA INTEIRA, DIAMETRO 5/16", COMPRIMENTO 3/4", COM PORCA E ARRUELA LISA LEVE</t>
  </si>
  <si>
    <t>PERFIL DE BORRACHA EPDM MACICO *12 X 15* MM PARA ESQUADRIAS</t>
  </si>
  <si>
    <t>VIDRO COMUM LAMINADO LISO INCOLOR DUPLO, ESPESSURA TOTAL 8 MM (CADA CAMADA DE 4 MM) - COLOCADO</t>
  </si>
  <si>
    <t>SERRALHEIRO COM ENCARGOS COMPLEMENTARES</t>
  </si>
  <si>
    <t>SF-01080</t>
  </si>
  <si>
    <t>Perfil "U" em aço galvanizado 25mm x 25mm, espessura 1,5mm (#16)</t>
  </si>
  <si>
    <t>SF-01082</t>
  </si>
  <si>
    <t>SF-01083</t>
  </si>
  <si>
    <t>SF-01088</t>
  </si>
  <si>
    <t>COTOVELO DE COBRE 90 GRAUS (REF 607) SEM ANEL DE SOLDA, BOLSA X BOLSA, 35 MM</t>
  </si>
  <si>
    <t>SOLDA ESTANHO/COBRE PARA CONEXOES DE COBRE, FIO 2,5 MM, CARRETEL 500 GR (SEM CHUMBO)</t>
  </si>
  <si>
    <t>PASTA PARA SOLDA DE TUBOS E CONEXOES DE COBRE (EMBALAGEM COM 250 G)</t>
  </si>
  <si>
    <t>SF-01089</t>
  </si>
  <si>
    <t>COTOVELO DE COBRE 90 GRAUS (REF 607) SEM ANEL DE SOLDA, BOLSA X BOLSA, 42 MM</t>
  </si>
  <si>
    <t>SF-01090</t>
  </si>
  <si>
    <t>COTOVELO DE COBRE 90 GRAUS (REF 607) SEM ANEL DE SOLDA, BOLSA X BOLSA, 22 MM</t>
  </si>
  <si>
    <t>SF-01092</t>
  </si>
  <si>
    <t>LUVA DE COBRE (REF 600) SEM ANEL DE SOLDA, BOLSA X BOLSA, 35 MM</t>
  </si>
  <si>
    <t>SF-01093</t>
  </si>
  <si>
    <t>LUVA DE COBRE (REF 600) SEM ANEL DE SOLDA, BOLSA X BOLSA, 42 MM</t>
  </si>
  <si>
    <t>SF-01094</t>
  </si>
  <si>
    <t>LUVA DE COBRE (REF 600) SEM ANEL DE SOLDA, BOLSA X BOLSA, 22 MM</t>
  </si>
  <si>
    <t>SF-01097</t>
  </si>
  <si>
    <t>TUBO DE COBRE CLASSE "A", DN = 1 1/4 " (35 MM), PARA INSTALACOES DE MEDIA PRESSAO PARA GASES COMBUSTIVEIS E MEDICINAIS</t>
  </si>
  <si>
    <t>SF-01098</t>
  </si>
  <si>
    <t>TUBO DE COBRE CLASSE "A", DN = 1 1/2 " (42 MM), PARA INSTALACOES DE MEDIA PRESSAO PARA GASES COMBUSTIVEIS E MEDICINAIS</t>
  </si>
  <si>
    <t>SF-01101</t>
  </si>
  <si>
    <t>ELETRODUTO FLEXIVEL, EM ACO GALVANIZADO, REVESTIDO EXTERNAMENTE COM PVC PRETO, DIAMETRO EXTERNO DE 50 MM( 1 1/2"), TIPO SEALTUBO</t>
  </si>
  <si>
    <t>SF-01102</t>
  </si>
  <si>
    <t>TECNICO DE EDIFICACOES COM ENCARGOS COMPLEMENTARES</t>
  </si>
  <si>
    <t>SF-01104</t>
  </si>
  <si>
    <t>ENGENHEIRO CIVIL PLENO COM ENCARGOS COMPLEMENTARES</t>
  </si>
  <si>
    <t>SF-01105</t>
  </si>
  <si>
    <t>TAQUEADOR OU TAQUEIRO COM ENCARGOS COMPLEMENTARES</t>
  </si>
  <si>
    <t>Laminado melamínico texturizado esp. 1,3 mm</t>
  </si>
  <si>
    <t>SF-01106</t>
  </si>
  <si>
    <t>Granito Preto Absoluto, com 20 mm de espessura</t>
  </si>
  <si>
    <t>SF-01107</t>
  </si>
  <si>
    <t>Granito Arabesco, com 20 mm de espessura</t>
  </si>
  <si>
    <t>SF-01108</t>
  </si>
  <si>
    <t>PISO EM PORCELANATO RETIFICADO EXTRA, FORMATO MENOR OU IGUAL A 2025 CM2</t>
  </si>
  <si>
    <t>AZULEJISTA OU LADRILHISTA COM ENCARGOS COMPLEMENTARES</t>
  </si>
  <si>
    <t>SF-01109</t>
  </si>
  <si>
    <t>SF-01110</t>
  </si>
  <si>
    <t>Piso vinílico em manta esp. 2 mm</t>
  </si>
  <si>
    <t>SF-01111</t>
  </si>
  <si>
    <t>SELANTE MONOCOMPONENTE A BASE DE SILICONE DE BAIXO MODULO, PARA JUNTAS DE PAVIMENTACAO</t>
  </si>
  <si>
    <t>SF-01112</t>
  </si>
  <si>
    <t>Lixa grana 100 para superfície metálica</t>
  </si>
  <si>
    <t>Fonte: Pini 20.105.000010.SER e Pini 20.105.000015.SER</t>
  </si>
  <si>
    <t>SF-01113</t>
  </si>
  <si>
    <t>Raspagem, calafetagem, aplicação de synteko alto brilho em piso de madeira</t>
  </si>
  <si>
    <t>SF-01114</t>
  </si>
  <si>
    <t>TACO DE MADEIRA PARA PISO, IPE (CERNE) OU EQUIVALENTE DA REGIAO, 7 X 42 CM, E = 2 CM</t>
  </si>
  <si>
    <t>COLA BRANCA BASE PVA</t>
  </si>
  <si>
    <t>SF-01115</t>
  </si>
  <si>
    <t>SF-01116</t>
  </si>
  <si>
    <t>Piso sintético flutuante, laminado de alta resistência, superfície em overlay, substrato HDF-H, painel de fibras de madeira de alta densidade, e = 7 cm</t>
  </si>
  <si>
    <t>SF-01117</t>
  </si>
  <si>
    <t>Placa acústica perfilada, semi-rígida, de estrutura micro-celular, com dimensões de 625x625x25 mm, na cor natural (cinza claro)</t>
  </si>
  <si>
    <t>SF-01118</t>
  </si>
  <si>
    <t>Placa acústica plana, semi-rígida, de estrutura micro-celular, com dimensões de 625x625x25 mm, na cor natural (cinza claro)</t>
  </si>
  <si>
    <t>SF-01119</t>
  </si>
  <si>
    <t>ARAME GALVANIZADO 18 BWG, D = 1,24MM (0,009 KG/M)</t>
  </si>
  <si>
    <t>CENTO</t>
  </si>
  <si>
    <t>GESSEIRO COM ENCARGOS COMPLEMENTARES</t>
  </si>
  <si>
    <t>SF-01120</t>
  </si>
  <si>
    <t>SF-01121</t>
  </si>
  <si>
    <t>Obs.: Acréscimo de 15% no coeficiente da tinta para suprir a diferença de preço da tinta branca para as tintas de cores especiais.</t>
  </si>
  <si>
    <t>SF-01122</t>
  </si>
  <si>
    <t>SF-01123</t>
  </si>
  <si>
    <t>SF-01124</t>
  </si>
  <si>
    <t>SF-01125</t>
  </si>
  <si>
    <t>SF-01126</t>
  </si>
  <si>
    <t>Carga inerte para tratamento antiderrapante em piso (ref.: Sikadur 512 ou 515)</t>
  </si>
  <si>
    <t>SF-01127</t>
  </si>
  <si>
    <t>LIXA EM FOLHA PARA FERRO, NUMERO 150</t>
  </si>
  <si>
    <t>SF-01128</t>
  </si>
  <si>
    <t>Compressor de ar portátil de 71 PCM - 15 kW</t>
  </si>
  <si>
    <t>Serra para corte de concreto e asfalto - 10 kW</t>
  </si>
  <si>
    <t>Cordão de polietileno expandido</t>
  </si>
  <si>
    <t>Disco diamantado - D = 350 mm</t>
  </si>
  <si>
    <t>SELANTE A BASE DE ALCATRAO E POLIURETANO PARA JUNTAS HORIZONTAIS</t>
  </si>
  <si>
    <t>SF-01129</t>
  </si>
  <si>
    <t>PO DE PEDRA (POSTO PEDREIRA/FORNECEDOR, SEM FRETE)</t>
  </si>
  <si>
    <t>BLOQUETE/PISO DE CONCRETO - MODELO BLOCO PISOGRAMA/CONCREGRAMA 2 FUROS, DIMENSOES APROX. DE 35 CM X 15 CM E ESPESSURA DE 7 CM (+/- 1 CM), COR NATURAL</t>
  </si>
  <si>
    <t>CALCETEIRO COM ENCARGOS COMPLEMENTARES</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</si>
  <si>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</si>
  <si>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</si>
  <si>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</si>
  <si>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Obs: considerando fornecedor de areia e brita a 20 km do Senado Federal</t>
  </si>
  <si>
    <t>SF-01130</t>
  </si>
  <si>
    <t>ROLO COMPACTADOR DE PNEUS, ESTATICO, PRESSAO VARIAVEL, POTENCIA 110 HP, PESO SEM/COM LASTRO 10,8/27 T, LARGURA DE ROLAGEM 2,30 M - CHI DIURNO. AF_06/2017</t>
  </si>
  <si>
    <t>ROLO COMPACTADOR DE PNEUS, ESTATICO, PRESSAO VARIAVEL, POTENCIA 110 HP, PESO SEM/COM LASTRO 10,8/27 T, LARGURA DE ROLAGEM 2,30 M - CHP DIURNO. AF_06/2017</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</si>
  <si>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</si>
  <si>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</si>
  <si>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TRATOR DE PNEUS, POTÊNCIA 85 CV, TRAÇÃO 4X4, PESO COM LASTRO DE 4.675 KG - CHI DIURNO. AF_06/2014</t>
  </si>
  <si>
    <t>TRATOR DE PNEUS, POTÊNCIA 85 CV, TRAÇÃO 4X4, PESO COM LASTRO DE 4.675 KG - CHP DIURNO. AF_06/2014</t>
  </si>
  <si>
    <t>VASSOURA MECÂNICA REBOCÁVEL COM ESCOVA CILÍNDRICA, LARGURA ÚTIL DE VARRIMENTO DE 2,44 M - CHI DIURNO. AF_06/2014</t>
  </si>
  <si>
    <t>VASSOURA MECÂNICA REBOCÁVEL COM ESCOVA CILÍNDRICA, LARGURA ÚTIL DE VARRIMENTO DE 2,44 M - CHP DIURNO. AF_06/2014</t>
  </si>
  <si>
    <t>VIBROACABADORA DE ASFALTO SOBRE ESTEIRAS, LARGURA DE PAVIMENTAÇÃO 1,90 M A 5,30 M, POTÊNCIA 105 HP CAPACIDADE 450 T/H - CHP DIURNO. AF_11/2014</t>
  </si>
  <si>
    <t>CAMINHÃO BASCULANTE 10 M3, TRUCADO, POTÊNCIA 230 CV, INCLUSIVE CAÇAMBA METÁLICA, COM DISTRIBUIDOR DE AGREGADOS ACOPLADO - CHP DIURNO. AF_02/2017</t>
  </si>
  <si>
    <t>AREIA GROSSA - POSTO JAZIDA/FORNECEDOR (RETIRADO NA JAZIDA, SEM TRANSPORTE)</t>
  </si>
  <si>
    <t>T</t>
  </si>
  <si>
    <t>GRUPO GERADOR ESTACIONÁRIO, POTÊNCIA 150 KVA, MOTOR A DIESEL- CHP DIURNO. AF_03/2016</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</si>
  <si>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</si>
  <si>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</si>
  <si>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USINA DE ASFALTO À FRIO, CAPACIDADE DE 40 A 60 TON/HORA, ELÉTRICA POTÊNCIA 30 CV - CHP DIURNO. AF_03/2016</t>
  </si>
  <si>
    <t>TANQUE DE ASFALTO ESTACIONÁRIO COM SERPENTINA, CAPACIDADE 30.000 L - CHP DIURNO. AF_06/2014</t>
  </si>
  <si>
    <t>SF-01131</t>
  </si>
  <si>
    <t>Compactador manual de placa vibratória - 3 kW - CHP</t>
  </si>
  <si>
    <t>Compactador manual de placa vibratória - 3 kW - CHI</t>
  </si>
  <si>
    <t>Asfalto a frio ensacado</t>
  </si>
  <si>
    <t>SF-01132</t>
  </si>
  <si>
    <t>MICROESFERAS DE VIDRO PARA SINALIZACAO HORIZONTAL VIARIA, TIPO I-B (PREMIX) - NBR 16184</t>
  </si>
  <si>
    <t>MÁQUINA DEMARCADORA DE FAIXA DE TRÁFEGO À FRIO, AUTOPROPELIDA, POTÊNCIA 38 HP - CHP DIURNO. AF_07/2016</t>
  </si>
  <si>
    <t>SF-01133</t>
  </si>
  <si>
    <t>HASTE RETA PARA GANCHO DE FERRO GALVANIZADO, COM ROSCA 1/4 " X 30 CM PARA FIXACAO DE TELHA METALICA, INCLUI PORCA E ARRUELAS DE VEDACAO</t>
  </si>
  <si>
    <t>TELHADISTA COM ENCARGOS COMPLEMENTARES</t>
  </si>
  <si>
    <t>GUINCHO ELÉTRICO DE COLUNA, CAPACIDADE 400 KG, COM MOTO FREIO, MOTOR TRIFÁSICO DE 1,25 CV - CHP DIURNO. AF_03/2016</t>
  </si>
  <si>
    <t>GUINCHO ELÉTRICO DE COLUNA, CAPACIDADE 400 KG, COM MOTO FREIO, MOTOR TRIFÁSICO DE 1,25 CV - CHI DIURNO. AF_03/2016</t>
  </si>
  <si>
    <t>SF-01134</t>
  </si>
  <si>
    <t>SF-01135</t>
  </si>
  <si>
    <t>Telha metálica trapezoidal galvanizada GR 25 com espessura de 0,43 mm, com largura de 1020 mm e comprimento de 5 metros.</t>
  </si>
  <si>
    <t>SF-01136</t>
  </si>
  <si>
    <t>SF-01137</t>
  </si>
  <si>
    <t>Conjunto de vedação elástica para furo Ø 8 mm</t>
  </si>
  <si>
    <t>Telha estrutural de fibrocimento ondulada esp. 8 mm largura útil 102 cm</t>
  </si>
  <si>
    <t>Calço plástico para fixação de telha de fibrocimento tipo modulada e onda 50</t>
  </si>
  <si>
    <t>Fixador de aba telha de fibrocimento simples modulada</t>
  </si>
  <si>
    <t>Parafuso rosca soberba galvanizado Ø 8 mm x 165 mm</t>
  </si>
  <si>
    <t>SF-01138</t>
  </si>
  <si>
    <t>Cumeeira articulada superior para telha de fibrocimento modulada ou onda 50</t>
  </si>
  <si>
    <t>SF-01139</t>
  </si>
  <si>
    <t>Cumeeira articulada inferior para telha de fibrocimento tipo modulada ou onda 50</t>
  </si>
  <si>
    <t>SF-01140</t>
  </si>
  <si>
    <t>CONJUNTO ARRUELAS DE VEDACAO 5/16" PARA TELHA FIBROCIMENTO (UMA ARRUELA METALICA E UMA ARRUELA PVC - CONICAS)</t>
  </si>
  <si>
    <t>PARAFUSO ZINCADO ROSCA SOBERBA, CABECA SEXTAVADA, 5/16 " X 250 MM, PARA FIXACAO DE TELHA EM MADEIRA</t>
  </si>
  <si>
    <t>TELHA DE FIBROCIMENTO ONDULADA E = 6 MM, DE 2,44 X 1,10 M (SEM AMIANTO)</t>
  </si>
  <si>
    <t>SF-01141</t>
  </si>
  <si>
    <t>CUMEEIRA UNIVERSAL PARA TELHA ONDULADA DE FIBROCIMENTO, E = 6 MM, ABA 210 MM, COMPRIMENTO 1100 MM (SEM AMIANTO)</t>
  </si>
  <si>
    <t>SF-01142</t>
  </si>
  <si>
    <t>CUMEEIRA SHED PARA TELHA ONDULADA DE FIBROCIMENTO, E = 6 MM, ABA 280 MM, COMPRIMENTO 1100 MM (SEM AMIANTO)</t>
  </si>
  <si>
    <t>SF-01143</t>
  </si>
  <si>
    <t>Parafuso rosca soberba galvanizado Ø 8 mm x 250 mm</t>
  </si>
  <si>
    <t>SF-01147</t>
  </si>
  <si>
    <t>FUNDO ANTICORROSIVO PARA METAIS FERROSOS (ZARCAO)</t>
  </si>
  <si>
    <t>SF-01148</t>
  </si>
  <si>
    <t>SF-01149</t>
  </si>
  <si>
    <t>Lava-jato água fria pressão 1700 psi</t>
  </si>
  <si>
    <t>loc/un/h</t>
  </si>
  <si>
    <t>Solução limpadora diluída em água</t>
  </si>
  <si>
    <t>SF-01150</t>
  </si>
  <si>
    <t>ANEL BORRACHA, DN 150 MM, PARA TUBO SERIE REFORCADA ESGOTO PREDIAL</t>
  </si>
  <si>
    <t>REDUCAO EXCENTRICA PVC, SERIE R, DN 150 X 100 MM, PARA ESGOTO PREDIAL</t>
  </si>
  <si>
    <t>TUBO PVC, SERIE R, DN 150 MM, PARA ESGOTO OU AGUAS PLUVIAIS PREDIAL (NBR 5688)</t>
  </si>
  <si>
    <t>RALO FOFO SEMIESFERICO, 150 MM, PARA LAJES/ CALHAS</t>
  </si>
  <si>
    <t>SF-01151</t>
  </si>
  <si>
    <t>SF-01152</t>
  </si>
  <si>
    <t>ARGAMASSA TRAÇO 1:4 (EM VOLUME DE CIMENTO E AREIA MÉDIA ÚMIDA) PARA CONTRAPISO, PREPARO MECÂNICO COM BETONEIRA 400 L. AF_08/2019</t>
  </si>
  <si>
    <t>SF-01153</t>
  </si>
  <si>
    <t>SF-01154</t>
  </si>
  <si>
    <t>GEOTEXTIL NAO TECIDO AGULHADO DE FILAMENTOS CONTINUOS 100% POLIESTER, RESITENCIA A TRACAO = 10 KN/M</t>
  </si>
  <si>
    <t>SF-01155</t>
  </si>
  <si>
    <t>POLIESTIRENO EXPANDIDO/EPS (ISOPOR), TIPO 2F, PLACA, ISOLAMENTO TERMOACUSTICO, E = 20 MM, 1000 X 500 MM</t>
  </si>
  <si>
    <t>SF-01156</t>
  </si>
  <si>
    <t>SF-01157</t>
  </si>
  <si>
    <t>SF-01158</t>
  </si>
  <si>
    <t>Pintura inibidora de raízes</t>
  </si>
  <si>
    <t>SF-01159</t>
  </si>
  <si>
    <t>Geocomposto Drenante industrializado formado por estrutura drenante de pelo menos 10 mm</t>
  </si>
  <si>
    <t>SF-01160</t>
  </si>
  <si>
    <t>REBITE DE ALUMINIO VAZADO DE REPUXO, 3,2 X 8 MM (1KG = 1025 UNIDADES)</t>
  </si>
  <si>
    <t>SOLDA EM BARRA DE ESTANHO-CHUMBO 50/50</t>
  </si>
  <si>
    <t>CALHA QUADRADA DE CHAPA DE ACO GALVANIZADA NUM 24, CORTE 100 CM</t>
  </si>
  <si>
    <t>SF-01161</t>
  </si>
  <si>
    <t>RUFO INTERNO/EXTERNO DE CHAPA DE ACO GALVANIZADA NUM 24, CORTE 25 CM</t>
  </si>
  <si>
    <t>SF-01163</t>
  </si>
  <si>
    <t>ACO CA-50, 10,0 MM, OU 12,5 MM, OU 16,0 MM, OU 20,0 MM, DOBRADO E CORTADO</t>
  </si>
  <si>
    <t>Chapa de madeira compensada resinada 1,10 x 2,20 m # 10 mm</t>
  </si>
  <si>
    <t>BETONEIRA CAPACIDADE NOMINAL DE 600 L, CAPACIDADE DE MISTURA 360 L, MOTOR ELÉTRICO TRIFÁSICO POTÊNCIA DE 4 CV, SEM CARREGADOR - CHP DIURNO. AF_11/2014</t>
  </si>
  <si>
    <t>PREGO DE ACO POLIDO COM CABECA 17 X 21 (2 X 11)</t>
  </si>
  <si>
    <t>SF-01164</t>
  </si>
  <si>
    <t>SF-01165</t>
  </si>
  <si>
    <t>PARAFUSO, COMUM, ASTM A307, SEXTAVADO, DIAMETRO 1/2" (12,7 MM), COMPRIMENTO 1" (25,4 MM)</t>
  </si>
  <si>
    <t>PERFIL "U" ENRIJECIDO DE ACO GALVANIZADO, DOBRADO, 150 X 60 X 20 MM, E = 3,00 MM OU 200 X 75 X 25 MM, E = 3,75 MM</t>
  </si>
  <si>
    <t>SF-01166</t>
  </si>
  <si>
    <t>Obs: considerando rendimento informado na especificação técnica do produto indicado como referência comercial (Lata de 3,6L rende até 3 demãos, com 25 m²/demão).</t>
  </si>
  <si>
    <t>SF-01167</t>
  </si>
  <si>
    <t>Tinta aluminizada de base asfáltica</t>
  </si>
  <si>
    <t>SF-01168</t>
  </si>
  <si>
    <t>POLIESTIRENO EXPANDIDO/EPS (ISOPOR), PEROLAS, PARA CONCRETO LEVE</t>
  </si>
  <si>
    <t>Obs: considerando fornecedor de areia a 20 km do Senado Federal</t>
  </si>
  <si>
    <t>SF-01169</t>
  </si>
  <si>
    <t>PRIMER PARA MANTA ASFALTICA A BASE DE ASFALTO MODIFICADO DILUIDO EM SOLVENTE, APLICACAO A FRIO</t>
  </si>
  <si>
    <t>AJUDANTE ESPECIALIZADO COM ENCARGOS COMPLEMENTARES</t>
  </si>
  <si>
    <t>Obs: Adotou-se o consumo de 350 mL/m², conforme recomendação do fabricante do produto para aplicação homogênea.</t>
  </si>
  <si>
    <t>http://vedacit.com.br/produtos/primer-eco-vedacit</t>
  </si>
  <si>
    <t>SF-01170</t>
  </si>
  <si>
    <t>MEMBRANA IMPERMEABILIZANTE A BASE DE POLIURETANO</t>
  </si>
  <si>
    <t>SF-01171</t>
  </si>
  <si>
    <t>MANTA ASFALTICA ELASTOMERICA EM POLIESTER 4 MM, TIPO III, CLASSE B, ACABAMENTO PP (NBR 9952)</t>
  </si>
  <si>
    <t>GAS DE COZINHA - GLP</t>
  </si>
  <si>
    <t>SF-01172</t>
  </si>
  <si>
    <t>Manta asfáltica aluminizada</t>
  </si>
  <si>
    <t>SF-01173</t>
  </si>
  <si>
    <t>Emulsão hidro-asfáltica</t>
  </si>
  <si>
    <t>Tinta betuminosa</t>
  </si>
  <si>
    <t>Manta butílica # 0,8 mm</t>
  </si>
  <si>
    <t>Fita de caldeação para manta butilíca largura 50 mm # 3 mm</t>
  </si>
  <si>
    <t>Adesivo auto vulcanizante para manta butilíca</t>
  </si>
  <si>
    <t>SF-01174</t>
  </si>
  <si>
    <t>MEMBRANA IMPERMEABILIZANTE ACRILICA MONOCOMPONENTE</t>
  </si>
  <si>
    <t>SF-01175</t>
  </si>
  <si>
    <t>Asfalto elastomérico</t>
  </si>
  <si>
    <t>*Adotou-se o consumo de 2 kg/m², valor intermediário da recomendação do fabricante do produto.</t>
  </si>
  <si>
    <t>http://www.denverimper.com.br/files/produtos/0000001-0000500/122/e5fe48d2b8810574e94921c5fb6cea0c.pdf</t>
  </si>
  <si>
    <t>SF-01176</t>
  </si>
  <si>
    <t>MANTA ASFALTICA ELASTOMERICA EM POLIESTER 3 MM, TIPO III, CLASSE B, ACABAMENTO PP (NBR 9952)</t>
  </si>
  <si>
    <t>SF-01177</t>
  </si>
  <si>
    <t>SF-01179</t>
  </si>
  <si>
    <t>ADITIVO LIQUIDO INCORPORADOR DE AR PARA CONCRETO E ARGAMASSA, LIQUIDO E ISENTO DE CLORETOS</t>
  </si>
  <si>
    <t>Obs: considerando 1,01 L/kg, conforme especificado na ficha técnica do produto indicado como referência comercial.</t>
  </si>
  <si>
    <t>SF-01180</t>
  </si>
  <si>
    <t>Obs: considerando fornecedor de brita a 20 km do Senado Federal</t>
  </si>
  <si>
    <t>SF-01232</t>
  </si>
  <si>
    <t>Adjuvante para argamassa base PVA</t>
  </si>
  <si>
    <t>Carpete aveludado azul royal, para uso comercial, adequado para tráfego pesado, conforme especificações técnicas.</t>
  </si>
  <si>
    <t>SF-01233</t>
  </si>
  <si>
    <t>COMPOSIÇÕES DE CUSTO UNITÁRIO AUXILIARES DE 1º NÍVEL</t>
  </si>
  <si>
    <t>TOTAL</t>
  </si>
  <si>
    <t>M3XKM</t>
  </si>
  <si>
    <t>TXKM</t>
  </si>
  <si>
    <t>OPERADOR DE BETONEIRA ESTACIONÁRIA/MISTURADOR COM ENCARGOS COMPLEMENTARES</t>
  </si>
  <si>
    <t>BETONEIRA CAPACIDADE NOMINAL DE 600 L, CAPACIDADE DE MISTURA 360 L, MOTOR ELÉTRICO TRIFÁSICO POTÊNCIA DE 4 CV, SEM CARREGADOR - CHI DIURNO. AF_11/2014</t>
  </si>
  <si>
    <t>JG</t>
  </si>
  <si>
    <t>PREGO DE ACO POLIDO COM CABECA 12 X 12</t>
  </si>
  <si>
    <t>CORTE E DOBRA DE AÇO CA-60, DIÂMETRO DE 4,2 MM, UTILIZADO EM LAJE. AF_12/2015</t>
  </si>
  <si>
    <t>ARGAMASSA TRAÇO 1:0,5:4,5 (EM VOLUME DE CIMENTO, CAL E AREIA MÉDIA ÚMIDA) PARA ASSENTAMENTO DE ALVENARIA, PREPARO MANUAL. AF_08/2019</t>
  </si>
  <si>
    <t>ACO CA-60, 4,2 MM, OU 5,0 MM, OU 6,0 MM, OU 7,0 MM, VERGALHAO</t>
  </si>
  <si>
    <t>COMPOSIÇÕES DE CUSTO UNITÁRIO AUXILIARES DE 2º NÍVEL</t>
  </si>
  <si>
    <t>PLANILHA ORÇAMENTÁRIA</t>
  </si>
  <si>
    <t>Padrão</t>
  </si>
  <si>
    <t>QUANTIDADE</t>
  </si>
  <si>
    <t>CUSTO DIRETO</t>
  </si>
  <si>
    <t>BDI (%)</t>
  </si>
  <si>
    <t>PREÇO UNITÁRIO COM BDI</t>
  </si>
  <si>
    <t>Engenheiro(a) /Arquiteto(a) júnior</t>
  </si>
  <si>
    <t>hh</t>
  </si>
  <si>
    <t>Mestre de obras</t>
  </si>
  <si>
    <t>Planejamento físico-financeiro</t>
  </si>
  <si>
    <t>Projetos de segurança do trabalho</t>
  </si>
  <si>
    <t>Demolição de alvenarias</t>
  </si>
  <si>
    <t>Demolição de concreto simples</t>
  </si>
  <si>
    <t>Demolição de contrapiso</t>
  </si>
  <si>
    <t>Demolição de fechamento ou parede em gesso acartonado</t>
  </si>
  <si>
    <t>Demolição de infraestrutura elétrica (eletrodutos, eletrocalhas, cabos)</t>
  </si>
  <si>
    <t>Demolição de revestimento cerâmico, granito, mármore ou granitina</t>
  </si>
  <si>
    <t>Demolição de revestimento em argamassa</t>
  </si>
  <si>
    <t>Demolição de tubulação hidrossanitária embutida com conexões e acessórios</t>
  </si>
  <si>
    <t>Demolição em concreto armado</t>
  </si>
  <si>
    <t>SF-00015</t>
  </si>
  <si>
    <t>Locação de caçambas</t>
  </si>
  <si>
    <t>Remoção de armários</t>
  </si>
  <si>
    <t>Remoção de bancadas</t>
  </si>
  <si>
    <t>Remoção de batentes de madeira</t>
  </si>
  <si>
    <t>Remoção de canaleta em alumínio</t>
  </si>
  <si>
    <t>Remoção de carpete</t>
  </si>
  <si>
    <t>Remoção de cortinas</t>
  </si>
  <si>
    <t>Remoção de difusores, grelhas e acessórios de climatização</t>
  </si>
  <si>
    <t>Remoção de divisória de mármore ou granito</t>
  </si>
  <si>
    <t>Remoção de divisórias de MDF e gesso acartonado</t>
  </si>
  <si>
    <t>Remoção de dutos/tubulações</t>
  </si>
  <si>
    <t>Remoção de esquadrias metálicas</t>
  </si>
  <si>
    <t>Remoção de exaustor</t>
  </si>
  <si>
    <t>Remoção de fechadura/puxador de porta</t>
  </si>
  <si>
    <t>Remoção de laminado melamínico (LDAP), em PVC ou vinílico</t>
  </si>
  <si>
    <t>Remoção de louças</t>
  </si>
  <si>
    <t>Remoção de luminária</t>
  </si>
  <si>
    <t>Remoção de metais e acessórios</t>
  </si>
  <si>
    <t>Remoção de painéis de vidro temperado</t>
  </si>
  <si>
    <t>Remoção de película</t>
  </si>
  <si>
    <t>Remoção de persianas</t>
  </si>
  <si>
    <t>Remoção de pintura ou textura</t>
  </si>
  <si>
    <t>Remoção de placas de forro</t>
  </si>
  <si>
    <t>Remoção de quadros de elétricos ou de telecomunicações</t>
  </si>
  <si>
    <t>Remoção de revestimento acústico</t>
  </si>
  <si>
    <t>Remoção de rodapé/rodabanca de mármore ou granito</t>
  </si>
  <si>
    <t>Remoção de rodapés de madeira</t>
  </si>
  <si>
    <t>Remoção de soleira de mármore ou granito</t>
  </si>
  <si>
    <t>Remoção de split/fancolete/ACJ (equipamento unitário)</t>
  </si>
  <si>
    <t>Remoção de vidro comum / espelho</t>
  </si>
  <si>
    <t>Retirada de entulhos</t>
  </si>
  <si>
    <t>SF-00047</t>
  </si>
  <si>
    <t>Absorvedor de energia para linha de vida</t>
  </si>
  <si>
    <t>Andaime fachadeiro</t>
  </si>
  <si>
    <t>m2 x mês</t>
  </si>
  <si>
    <t>Andaime tubular (aluguel/mês)</t>
  </si>
  <si>
    <t>m x mês</t>
  </si>
  <si>
    <t>SF-00050</t>
  </si>
  <si>
    <t>Cabo de aço com 8 mm de diâmetro galvanizado para linha de vida</t>
  </si>
  <si>
    <t>Corda de poliamida 12 mm tipo bombeiro, para trabalho em altura</t>
  </si>
  <si>
    <t>SF-00052</t>
  </si>
  <si>
    <t>Ensaio de ponto de ancoragem existente</t>
  </si>
  <si>
    <t>SF-00053</t>
  </si>
  <si>
    <t>Escadas de acesso para andaime tubular</t>
  </si>
  <si>
    <t>SF-00054</t>
  </si>
  <si>
    <t>Esticador de cabo de aço</t>
  </si>
  <si>
    <t>SF-00055</t>
  </si>
  <si>
    <t>Guarda-corpo com rodapé para andaime tubular</t>
  </si>
  <si>
    <t>SF-00056</t>
  </si>
  <si>
    <t>Indicador de tensão</t>
  </si>
  <si>
    <t>Isolamento de obra com tela plástica com malha de 5mm e estrutura de madeira pontaleteada</t>
  </si>
  <si>
    <t>SF-00058</t>
  </si>
  <si>
    <t>Suporte intermediário curvo para linha de vida</t>
  </si>
  <si>
    <t>SF-00059</t>
  </si>
  <si>
    <t>Kit de linha de vida para escada de marinheiro</t>
  </si>
  <si>
    <t>SF-00060</t>
  </si>
  <si>
    <t>Kit para montagem de dois olhais</t>
  </si>
  <si>
    <t>SF-00061</t>
  </si>
  <si>
    <t>Manilha com travamento por porca e cupilha</t>
  </si>
  <si>
    <t>SF-00062</t>
  </si>
  <si>
    <t>Pilar de ancoragem para linha de vida</t>
  </si>
  <si>
    <t>SF-00063</t>
  </si>
  <si>
    <t>Piso metálico para andaime tubular</t>
  </si>
  <si>
    <t>SF-00064</t>
  </si>
  <si>
    <t>Placa de ancoragem para extremidade</t>
  </si>
  <si>
    <t>SF-00065</t>
  </si>
  <si>
    <t>Placa de ancoragem para montagem no pilar</t>
  </si>
  <si>
    <t>SF-00066</t>
  </si>
  <si>
    <t>Ponto de ancoragem</t>
  </si>
  <si>
    <t>SF-00067</t>
  </si>
  <si>
    <t>Sapatas e rodízios para andaime tubular</t>
  </si>
  <si>
    <t>conj x mês</t>
  </si>
  <si>
    <t>SF-00068</t>
  </si>
  <si>
    <t>Sistema Guarda-corpo-Rodapé (GcR) metálico</t>
  </si>
  <si>
    <t>SF-00069</t>
  </si>
  <si>
    <t>Tapume</t>
  </si>
  <si>
    <t>SF-00071</t>
  </si>
  <si>
    <t>Trole para linha de vida horizontal</t>
  </si>
  <si>
    <t>SF-00072</t>
  </si>
  <si>
    <t>Trole para travaqueda retrátil</t>
  </si>
  <si>
    <t>Abertura/fechamento rasgo em alvenaria</t>
  </si>
  <si>
    <t>Concreto virado em betoneira, fck = 15 MPa</t>
  </si>
  <si>
    <t>Escoramento metálico</t>
  </si>
  <si>
    <t>Estrutura metálica em aço</t>
  </si>
  <si>
    <t>Forma para estruturas de concreto</t>
  </si>
  <si>
    <t>Verga/contraverga/cinta em bloco de concreto canaleta 11,5 x 19 x 39 cm</t>
  </si>
  <si>
    <t>Impermeabilização de superfície com revestimento bicomponente semi flexível</t>
  </si>
  <si>
    <t>Alvenaria de vedação</t>
  </si>
  <si>
    <t>Fechamento ou shaft em gesso acartonado tipo drywall</t>
  </si>
  <si>
    <t>Fixação (encunhamento) de Alvenaria de Vedação</t>
  </si>
  <si>
    <t>Parede em gesso acartonado (drywall)</t>
  </si>
  <si>
    <t>Reparos superficiais em painéis de gesso acartonado</t>
  </si>
  <si>
    <t>Sóculo h=10 cm</t>
  </si>
  <si>
    <t>Chapisco colante industrializado em vigas e pilares</t>
  </si>
  <si>
    <t>Chapisco com argamassa traço 1:3</t>
  </si>
  <si>
    <t>Tratamento de trincas superficiais</t>
  </si>
  <si>
    <t>Aplicação de fundo selador base água</t>
  </si>
  <si>
    <t>Massa acrílica</t>
  </si>
  <si>
    <t>Massa corrida</t>
  </si>
  <si>
    <t>Pintura com tinta látex acrílica Premium (paredes)</t>
  </si>
  <si>
    <t>Pintura em verniz sintético</t>
  </si>
  <si>
    <t>Pintura esmalte acetinado (metais e madeiras)</t>
  </si>
  <si>
    <t>Pintura tinta látex acrílica standard (tetos)</t>
  </si>
  <si>
    <t>Cerâmica para revestimento de superfícies internas ou externas – Linha Administrativa</t>
  </si>
  <si>
    <t>Contrapiso em argamassa</t>
  </si>
  <si>
    <t>Granito cinza andorinha para piso</t>
  </si>
  <si>
    <t>Granito Cinza Andorinha para rodapé</t>
  </si>
  <si>
    <t>Granito Cinza Andorinha para soleira e peitoril</t>
  </si>
  <si>
    <t>Granito Preto São Gabriel para piso</t>
  </si>
  <si>
    <t>Granito Preto São Gabriel para rodapé</t>
  </si>
  <si>
    <t>Granito Preto São Gabriel para soleira e peitoril</t>
  </si>
  <si>
    <t>Instalação de rodapé de madeira reaproveitado</t>
  </si>
  <si>
    <t>Mármore Bege Bahia para piso e parede</t>
  </si>
  <si>
    <t>Mármore Branco Especial para piso e parede</t>
  </si>
  <si>
    <t>Rodapé de madeira</t>
  </si>
  <si>
    <t>Acabamento abaulado em placas de granito ou mármore reaproveitadas</t>
  </si>
  <si>
    <t>Acabamento em meia esquadria em placas de granito ou mármore reaproveitadas</t>
  </si>
  <si>
    <t>Acabamento reto em placas de granito ou mármore reaproveitadas</t>
  </si>
  <si>
    <t>Corte de peça de granito ou mármore reaproveitada</t>
  </si>
  <si>
    <t>Corte em placas de granito ou mármore reaproveitadas, para instalação de cubas</t>
  </si>
  <si>
    <t>Furo em placas de granito ou mármore reaproveitadas, para instalação de torneira ou misturador</t>
  </si>
  <si>
    <t>Instalação de bancada de granito ou mármore reaproveitada</t>
  </si>
  <si>
    <t>Instalação de soleira ou peitoril, de mármore ou granito, reaproveitados</t>
  </si>
  <si>
    <t>SF-00132</t>
  </si>
  <si>
    <t>Divisória em gesso acartonado revestido - Painel liso cego - Ed. Anexo I</t>
  </si>
  <si>
    <t>SF-00133</t>
  </si>
  <si>
    <t>Divisória em gesso acartonado revestido - Painel liso, painel de vidro e bandeira – ed. Anexo I</t>
  </si>
  <si>
    <t>SF-00134</t>
  </si>
  <si>
    <t>Divisória MDF com painel liso cego e bandeira</t>
  </si>
  <si>
    <t>SF-00135</t>
  </si>
  <si>
    <t>Divisória MDF com painel liso, painel de vidro e bandeira</t>
  </si>
  <si>
    <t>SF-00136</t>
  </si>
  <si>
    <t>Divisória MDF com painel paginado cego e bandeira - Interlegis</t>
  </si>
  <si>
    <t>SF-00137</t>
  </si>
  <si>
    <t>Divisória MDF com painel paginado, painel de vidro e bandeira - Interlegis</t>
  </si>
  <si>
    <t>Instalação de divisória e porta de divisória com dobradiça reaproveitadas</t>
  </si>
  <si>
    <t>Alçapão em forro de gesso acartonado</t>
  </si>
  <si>
    <t>Forro de PVC modular em placas</t>
  </si>
  <si>
    <t>Forro em chapas metálicas</t>
  </si>
  <si>
    <t>Forro em gesso acartonado monolítico</t>
  </si>
  <si>
    <t>Forro em gesso acartonado monolítico, sem estrutura</t>
  </si>
  <si>
    <t>Forro mineral modulado</t>
  </si>
  <si>
    <t>Forro mineral modulado, sem estrutura</t>
  </si>
  <si>
    <t>Instalação de forro de PVC reaproveitado</t>
  </si>
  <si>
    <t>Instalação de forro mineral reaproveitado</t>
  </si>
  <si>
    <t>Tabica metálica em forro de gesso acartonado</t>
  </si>
  <si>
    <t>Instalação de revestimento de piso têxtil (carpete) reaproveitado</t>
  </si>
  <si>
    <t>Cordão de massa de vidraceiro</t>
  </si>
  <si>
    <t>Instalação de vidro reaproveitado</t>
  </si>
  <si>
    <t>Substituição da calafetação com selante</t>
  </si>
  <si>
    <t>Instalação de painéis de vidro temperado reaproveitados</t>
  </si>
  <si>
    <t>Mola hidráulica de piso</t>
  </si>
  <si>
    <t>Instalação de persianas reaproveitadas</t>
  </si>
  <si>
    <t>SF-00162</t>
  </si>
  <si>
    <t>Persiana vertical em alumínio 90 mm, cor verde claro</t>
  </si>
  <si>
    <t>SF-00163</t>
  </si>
  <si>
    <t>SF-00164</t>
  </si>
  <si>
    <t>SF-00165</t>
  </si>
  <si>
    <t>Película jateada</t>
  </si>
  <si>
    <t>Tubo de ligação para bacia sanitária</t>
  </si>
  <si>
    <t>Base registro gaveta 3/4"</t>
  </si>
  <si>
    <t>Bacia convencional – Linha Administrativa</t>
  </si>
  <si>
    <t>Bacia convencional com saída horizontal</t>
  </si>
  <si>
    <t>Cuba oval de embutir</t>
  </si>
  <si>
    <t>Cuba semiencaixe quadrada com mesa</t>
  </si>
  <si>
    <t>Instalação de lavatório reaproveitado</t>
  </si>
  <si>
    <t>Instalação de mictório reaproveitado</t>
  </si>
  <si>
    <t>Instalação de vaso sanitário reaproveitado</t>
  </si>
  <si>
    <t>Lavatório suspenso</t>
  </si>
  <si>
    <t>Mictório – Linha Administrativa</t>
  </si>
  <si>
    <t>Instalação de metais e acessórios reaproveitados</t>
  </si>
  <si>
    <t>Sifão para lavatório 1 1/2"</t>
  </si>
  <si>
    <t>Torneira de mesa para cozinha bica móvel – Linha Administrativa</t>
  </si>
  <si>
    <t>Torneira de mesa para lavatório – Linha Acessibilidade</t>
  </si>
  <si>
    <t>Torneira de mesa para lavatório com fechamento automático – Linha Administrativa</t>
  </si>
  <si>
    <t>Válvula descarga para mictório – Linha Administrativa</t>
  </si>
  <si>
    <t>Alarme de emergência para sanitários PNE</t>
  </si>
  <si>
    <t>Lavatório suspenso – Linha Acessibilidade</t>
  </si>
  <si>
    <t>Lavatório suspenso com Coluna – Linha Acessibilidade</t>
  </si>
  <si>
    <t>Caixa para piso elevado</t>
  </si>
  <si>
    <t>Eletroduto de aço galvanizado de 1 1/2"</t>
  </si>
  <si>
    <t>Eletroduto de aço galvanizado de 1 1/4"</t>
  </si>
  <si>
    <t>Eletroduto de aço galvanizado de 1"</t>
  </si>
  <si>
    <t>Eletroduto de aço galvanizado de 2"</t>
  </si>
  <si>
    <t>Eletroduto de aço galvanizado de 3/4"</t>
  </si>
  <si>
    <t>Eletroduto flexível metálico com capa de PVC 1’’</t>
  </si>
  <si>
    <t>Eletroduto flexível metálico com capa de PVC 3/4"</t>
  </si>
  <si>
    <t>Interruptor para condulete</t>
  </si>
  <si>
    <t>Módulo interruptor paralelo</t>
  </si>
  <si>
    <t>Módulo interruptor simples</t>
  </si>
  <si>
    <t>Módulo tomada 10 A</t>
  </si>
  <si>
    <t>Módulo tomada 20 A</t>
  </si>
  <si>
    <t>Tampa cega para condulete</t>
  </si>
  <si>
    <t>Tampa RJ45 dupla para condulete</t>
  </si>
  <si>
    <t>Tomada para condulete</t>
  </si>
  <si>
    <t>Tomada para perfilado e eletrocalha</t>
  </si>
  <si>
    <t>Bloco autônomo de emergência</t>
  </si>
  <si>
    <t>Instalação de luminária reaproveitada</t>
  </si>
  <si>
    <t>Luminária 2x14 W de embutir</t>
  </si>
  <si>
    <t>Luminária 2x14 W de sobrepor</t>
  </si>
  <si>
    <t>Luminária 2x28 W de embutir</t>
  </si>
  <si>
    <t>Luminária 2x28 W de sobrepor</t>
  </si>
  <si>
    <t>Condutor 2,5 mm²</t>
  </si>
  <si>
    <t>Condutor 3x2,5 mm²</t>
  </si>
  <si>
    <t>Condutor 4 mm²</t>
  </si>
  <si>
    <t>Condutor 4x2,5 mm²</t>
  </si>
  <si>
    <t>Condutor 6 mm²</t>
  </si>
  <si>
    <t>Quadro elétrico TTA</t>
  </si>
  <si>
    <t>SF-00286</t>
  </si>
  <si>
    <t>SF-00287</t>
  </si>
  <si>
    <t>Ar-condicionado fancolete hidrônico dutado 2,5 TR</t>
  </si>
  <si>
    <t>SF-00288</t>
  </si>
  <si>
    <t>Ar-condicionado fancolete hidrônico dutado 4,5 TR</t>
  </si>
  <si>
    <t>SF-00289</t>
  </si>
  <si>
    <t>Ar-condicionado fancolete hidrônico hi-wall 1,4 TR</t>
  </si>
  <si>
    <t>SF-00290</t>
  </si>
  <si>
    <t>Ar-condicionado split dutado inverter 30.000 BTU/h</t>
  </si>
  <si>
    <t>SF-00291</t>
  </si>
  <si>
    <t>Ar-condicionado split hi-wall inverter 12.000 BTU/h</t>
  </si>
  <si>
    <t>SF-00292</t>
  </si>
  <si>
    <t>Ar-condicionado split hi-wall inverter 22.000 BTU/h</t>
  </si>
  <si>
    <t>Instalação de fancolete reaproveitado</t>
  </si>
  <si>
    <t>Instalação de split reaproveitado</t>
  </si>
  <si>
    <t>Exaustor axial 340 m3/h</t>
  </si>
  <si>
    <t>Exaustor axial 865 m3/h</t>
  </si>
  <si>
    <t>Duto chapa galvanizada # 22</t>
  </si>
  <si>
    <t>Duto flexível 6”</t>
  </si>
  <si>
    <t>Duto flexível 8”</t>
  </si>
  <si>
    <t>Instalação de difusores, grelhas e acessórios de climatização reaproveitados</t>
  </si>
  <si>
    <t>Instalação de exaustor reaproveitado</t>
  </si>
  <si>
    <t>Preparação para instalação de difusores/grelhas de ar em portas</t>
  </si>
  <si>
    <t>Bomba para condensado de ar-condicionado para instalação oculta</t>
  </si>
  <si>
    <t>Fita aluminizada para refrigeração 48 mm</t>
  </si>
  <si>
    <t>Fita PVC 100 mm para acabamento em refrigeração</t>
  </si>
  <si>
    <t>Mangueira emborrachada 3/4" para água gelada</t>
  </si>
  <si>
    <t>Suporte para unidade condensadora de aparelho split</t>
  </si>
  <si>
    <t>Filtro em Y 1"</t>
  </si>
  <si>
    <t>Filtro em Y 3/4"</t>
  </si>
  <si>
    <t>Válvula de balanceamento e controle independente da pressão (PIBCV) 2 vias 1"</t>
  </si>
  <si>
    <t>Válvula de balanceamento e controle independente da pressão (PIBCV) 2 vias 3/4"</t>
  </si>
  <si>
    <t>Válvula de esfera em bronze 1 1/2"</t>
  </si>
  <si>
    <t>Válvula de esfera em bronze 1 1/4"</t>
  </si>
  <si>
    <t>Válvula de esfera em bronze 1"</t>
  </si>
  <si>
    <t>Válvula de esfera em bronze 3/4"</t>
  </si>
  <si>
    <t>Isolamento elastomérico em formato de prancha autoadesiva</t>
  </si>
  <si>
    <t>Isolamento elastomérico para tubulações de cobre de 1 1/8" / tubulações de ferro de 3/4"</t>
  </si>
  <si>
    <t>Isolamento elastomérico para tubulações de cobre de 1/2"</t>
  </si>
  <si>
    <t>Isolamento elastomérico para tubulações de cobre de 1/4"</t>
  </si>
  <si>
    <t>Isolamento elastomérico para tubulações de cobre de 3/4"</t>
  </si>
  <si>
    <t>Isolamento elastomérico para tubulações de cobre de 3/8"</t>
  </si>
  <si>
    <t>Isolamento elastomérico para tubulações de cobre de 5/8"</t>
  </si>
  <si>
    <t>Isolamento elastomérico para tubulações de cobre de 7/8" / tubulações de ferro de 1/2"</t>
  </si>
  <si>
    <t>Isolamento elastomérico para tubulações de cobre de 1"</t>
  </si>
  <si>
    <t>Isolamento elastomérico para tubulações de ferro de 1 1/2"</t>
  </si>
  <si>
    <t>Proteção mecânica em alumínio</t>
  </si>
  <si>
    <t>Tubo de aço-carbono galvanizado 1 1/2"</t>
  </si>
  <si>
    <t>Tubo de aço-carbono galvanizado 1 1/4"</t>
  </si>
  <si>
    <t>Tubo de aço-carbono galvanizado 1"</t>
  </si>
  <si>
    <t>Tubo de aço-carbono galvanizado 3/4"</t>
  </si>
  <si>
    <t>Tubo de cobre de 1/2"</t>
  </si>
  <si>
    <t>Tubo de cobre de 1/4"</t>
  </si>
  <si>
    <t>Tubo de cobre de 3/4"</t>
  </si>
  <si>
    <t>Tubo de cobre de 3/8"</t>
  </si>
  <si>
    <t>Tubo de cobre de 5/8"</t>
  </si>
  <si>
    <t>Tubo de cobre de 7/8"</t>
  </si>
  <si>
    <t>Tubo de cobre de 1"</t>
  </si>
  <si>
    <t>Tubo de cobre de 1 1/8"</t>
  </si>
  <si>
    <t>SF-00352</t>
  </si>
  <si>
    <t>Armário em MDF laminado com porta e prateleiras</t>
  </si>
  <si>
    <t>SF-00353</t>
  </si>
  <si>
    <t>Instalação de armários reaproveitados</t>
  </si>
  <si>
    <t>Mesa/tampo de MDF, fixada em parede com mão-francesa</t>
  </si>
  <si>
    <t>Painel para TV de 90 x 120 cm</t>
  </si>
  <si>
    <t>Chapa de proteção para porta – Linha Acessibilidade</t>
  </si>
  <si>
    <t>Instalação de batentes de madeira reaproveitados</t>
  </si>
  <si>
    <t>Instalação de folhas de portas e dobradiças reaproveitadas</t>
  </si>
  <si>
    <t>Dobradiça para porta</t>
  </si>
  <si>
    <t>Fechadura para banheiro maçaneta em barra</t>
  </si>
  <si>
    <t>Fechadura para porta externa maçaneta em barra</t>
  </si>
  <si>
    <t>Fechadura para porta interna maçaneta tubular</t>
  </si>
  <si>
    <t>Instalação de fechadura/puxador de porta reaproveitados</t>
  </si>
  <si>
    <t>Mola hidráulica aérea</t>
  </si>
  <si>
    <t>Pivô em latão com acabamento cromado para portas pivotantes</t>
  </si>
  <si>
    <t>Cabo de dados tipo UTP, tipo LSZH, categoria 6</t>
  </si>
  <si>
    <t>Módulo (tomada) de rede RJ45, categoria 6, com conectorização e certificação</t>
  </si>
  <si>
    <t>Painel de distribuição (patch panel) de 24 portas, categoria 6</t>
  </si>
  <si>
    <t>Cabo de telefonia tipo CCI 50x2</t>
  </si>
  <si>
    <t>Módulo (tomada) de rede RJ45, para telefonia</t>
  </si>
  <si>
    <t>SF-00381</t>
  </si>
  <si>
    <t>Anilina</t>
  </si>
  <si>
    <t>SF-00382</t>
  </si>
  <si>
    <t>Seladora incolor</t>
  </si>
  <si>
    <t>SF-00383</t>
  </si>
  <si>
    <t>Veladura</t>
  </si>
  <si>
    <t>SF-00384</t>
  </si>
  <si>
    <t>Massa para calafetar madeira</t>
  </si>
  <si>
    <t>SF-00385</t>
  </si>
  <si>
    <t>Removedor pastoso</t>
  </si>
  <si>
    <t>SF-00386</t>
  </si>
  <si>
    <t>Tingidor para madeira</t>
  </si>
  <si>
    <t>150 ml</t>
  </si>
  <si>
    <t>SF-00387</t>
  </si>
  <si>
    <t>Thinner</t>
  </si>
  <si>
    <t>SF-00388</t>
  </si>
  <si>
    <t>Goma Laca Indiana</t>
  </si>
  <si>
    <t>SF-00389</t>
  </si>
  <si>
    <t>Cera em pasta para madeira</t>
  </si>
  <si>
    <t>SF-00390</t>
  </si>
  <si>
    <t>Fita de borda de 22 mm para encabeçamento</t>
  </si>
  <si>
    <t>SF-00391</t>
  </si>
  <si>
    <t>Fita de borda de 35 mm para encabeçamento</t>
  </si>
  <si>
    <t>SF-00392</t>
  </si>
  <si>
    <t>Fita de borda de 64 mm para encabeçamento</t>
  </si>
  <si>
    <t>SF-00393</t>
  </si>
  <si>
    <t>Fita de borda de 45 mm para encabeçamento</t>
  </si>
  <si>
    <t>SF-00394</t>
  </si>
  <si>
    <t>SF-00395</t>
  </si>
  <si>
    <t>Rodízio Giratório com Freio - 2 Polegadas</t>
  </si>
  <si>
    <t>SF-00396</t>
  </si>
  <si>
    <t>Rodízio fixo de 4 Polegadas</t>
  </si>
  <si>
    <t>SF-00397</t>
  </si>
  <si>
    <t>Rodízio Giratório  Ref. 1500HC – Base de Pino com Bucha</t>
  </si>
  <si>
    <t>SF-00398</t>
  </si>
  <si>
    <t>Cordão para Persiana Horizontal (metro)</t>
  </si>
  <si>
    <t>SF-00399</t>
  </si>
  <si>
    <t>Cordão para Persiana Vertical (metro)</t>
  </si>
  <si>
    <t>SF-00400</t>
  </si>
  <si>
    <t>Freio de Cordão de Persiana (travador de cordão) e acionador</t>
  </si>
  <si>
    <t>SF-00401</t>
  </si>
  <si>
    <t>Corrente para persiana (com clip)</t>
  </si>
  <si>
    <t>SF-00402</t>
  </si>
  <si>
    <t>Peso envelope para persiana</t>
  </si>
  <si>
    <t>SF-00403</t>
  </si>
  <si>
    <t>Rodízio de Cortina Comum</t>
  </si>
  <si>
    <t>SF-00404</t>
  </si>
  <si>
    <t>Cantoneira 2 furos - Cioba</t>
  </si>
  <si>
    <t>SF-00405</t>
  </si>
  <si>
    <t>Dobradiça para porta com anel</t>
  </si>
  <si>
    <t>SF-00406</t>
  </si>
  <si>
    <t>Dobradiça curva para porta de armário (com parafuso de fixação)</t>
  </si>
  <si>
    <t>SF-00407</t>
  </si>
  <si>
    <t>Fechadura para porta externa maçaneta em barra (fornecimento)</t>
  </si>
  <si>
    <t>Fechadura para Porta Externa com Espelho - Millenio</t>
  </si>
  <si>
    <t>SF-00409</t>
  </si>
  <si>
    <t>Fechadura para Porta de Banheiro com Espelho - Millenio</t>
  </si>
  <si>
    <t>SF-00410</t>
  </si>
  <si>
    <t>Fechadura para porta de divisória - Soprano</t>
  </si>
  <si>
    <t>SF-00411</t>
  </si>
  <si>
    <t>Tarjeta Livre / Ocupado para portas de banheiro</t>
  </si>
  <si>
    <t>SF-00412</t>
  </si>
  <si>
    <t>Fechadura tubular cilíndrica para porta de divisória</t>
  </si>
  <si>
    <t>SF-00413</t>
  </si>
  <si>
    <t>Fechadura Cilíndrica para Armário</t>
  </si>
  <si>
    <t>SF-00414</t>
  </si>
  <si>
    <t>Fechadura de embutir para armário e gaveta</t>
  </si>
  <si>
    <t>SF-00415</t>
  </si>
  <si>
    <t>Fechadura de embutir para móveis – Fechamento Superior - Referência 861</t>
  </si>
  <si>
    <t>SF-00416</t>
  </si>
  <si>
    <t>Fechadura de embutir para móveis – Fechamento lateral - Referência 871</t>
  </si>
  <si>
    <t>SF-00417</t>
  </si>
  <si>
    <t>Fechadura para porta de correr (Bico de Papagaio)</t>
  </si>
  <si>
    <t>SF-00418</t>
  </si>
  <si>
    <t>Fechadura para Gaveteiro</t>
  </si>
  <si>
    <t>SF-00419</t>
  </si>
  <si>
    <t>Fechadura para porta de divisória – LaFonte</t>
  </si>
  <si>
    <t>SF-00420</t>
  </si>
  <si>
    <t>Fechadura para Porta de divisória - Lockwell</t>
  </si>
  <si>
    <t>SF-00421</t>
  </si>
  <si>
    <t>Fechadura para Vitrine de 140 mm</t>
  </si>
  <si>
    <t>SF-00422</t>
  </si>
  <si>
    <t>Fecho para porta de armário – Tipo Gangorra – 75 mm</t>
  </si>
  <si>
    <t>SF-00423</t>
  </si>
  <si>
    <t>Fecho para porta de armário – Tipo Gangorra – 130 mm</t>
  </si>
  <si>
    <t>SF-00424</t>
  </si>
  <si>
    <t>Fecho de Pressão Tipo Roller</t>
  </si>
  <si>
    <t>SF-00425</t>
  </si>
  <si>
    <t>Fecho Eletromagnético</t>
  </si>
  <si>
    <t>SF-00426</t>
  </si>
  <si>
    <t>Acionador de Fechadura Elétrica</t>
  </si>
  <si>
    <t>SF-00427</t>
  </si>
  <si>
    <t>SF-00428</t>
  </si>
  <si>
    <t>SF-00429</t>
  </si>
  <si>
    <t>Corrediça Simples de Roldanas - 250 mm a 300 mm</t>
  </si>
  <si>
    <t>par</t>
  </si>
  <si>
    <t>SF-00430</t>
  </si>
  <si>
    <t>Corrediça Simples de Roldanas - 350 mm a 400 mm</t>
  </si>
  <si>
    <t>SF-00431</t>
  </si>
  <si>
    <t>Corrediça Simples de Roldanas - 450 mm a 500 mm</t>
  </si>
  <si>
    <t>SF-00432</t>
  </si>
  <si>
    <t>Corrediça Simples de Roldanas - 550 mm</t>
  </si>
  <si>
    <t>SF-00433</t>
  </si>
  <si>
    <t>Corrediça Telescópica - 300 mm</t>
  </si>
  <si>
    <t>SF-00434</t>
  </si>
  <si>
    <t>Corrediça Telescópica - 400 mm; 450 mm; 500 mm</t>
  </si>
  <si>
    <t>SF-00435</t>
  </si>
  <si>
    <t>Gancho de ferro com rosca – 17 x 50</t>
  </si>
  <si>
    <t>SF-00436</t>
  </si>
  <si>
    <t>Gancho de ferro tipo "pitão" com rosca – 21 x 80</t>
  </si>
  <si>
    <t>SF-00437</t>
  </si>
  <si>
    <t>Suporte triangular para quadro - nº 2</t>
  </si>
  <si>
    <t>SF-00438</t>
  </si>
  <si>
    <t>Suporte triangular para quadro - nº 3</t>
  </si>
  <si>
    <t>SF-00439</t>
  </si>
  <si>
    <t>Sapata niveladora para móveis com rosca 3/8"</t>
  </si>
  <si>
    <t>SF-00440</t>
  </si>
  <si>
    <t>Sapata niveladora para móveis com base de 40 mm</t>
  </si>
  <si>
    <t>SF-00441</t>
  </si>
  <si>
    <t>Sapata niveladora para móveis com base de 60 mm</t>
  </si>
  <si>
    <t>SF-00442</t>
  </si>
  <si>
    <t>Cabide duplo com gancho grande para banheiro</t>
  </si>
  <si>
    <t>SF-00443</t>
  </si>
  <si>
    <t>SF-00444</t>
  </si>
  <si>
    <t>SF-00445</t>
  </si>
  <si>
    <t>SF-00446</t>
  </si>
  <si>
    <t>Bucha para Gesso K 54</t>
  </si>
  <si>
    <t>SF-00447</t>
  </si>
  <si>
    <t>Alavanca curva com argola para basculante com cavalete – Direita ou Esquerda</t>
  </si>
  <si>
    <t>SF-00448</t>
  </si>
  <si>
    <t>Alavanca reta (chata) com argola para basculante com cavalete</t>
  </si>
  <si>
    <t>SF-00449</t>
  </si>
  <si>
    <t>Fecho maximar alavanca 100mm cromado</t>
  </si>
  <si>
    <t>SF-00450</t>
  </si>
  <si>
    <t>Gonzo com aba 1”</t>
  </si>
  <si>
    <t>SF-00451</t>
  </si>
  <si>
    <t>Gonzo com aba 3/4"</t>
  </si>
  <si>
    <t>SF-00452</t>
  </si>
  <si>
    <t>Gonzo com aba 7/8"</t>
  </si>
  <si>
    <t>SF-00453</t>
  </si>
  <si>
    <t>Gonzo sem aba 1"</t>
  </si>
  <si>
    <t>SF-00454</t>
  </si>
  <si>
    <t>Gonzo sem aba 3/4"</t>
  </si>
  <si>
    <t>SF-00455</t>
  </si>
  <si>
    <t>Gonzo sem aba 7/8"</t>
  </si>
  <si>
    <t>SF-00456</t>
  </si>
  <si>
    <t>Roldana em aço tipo Canal em (V) com eixo furado e 2 rolamentos (medidas: 2 1/2" x 50mm ou 2 1/2" x 70mm)</t>
  </si>
  <si>
    <t>SF-00457</t>
  </si>
  <si>
    <t>Roldana em aço tipo Canal em (V) com eixo furado e 2 rolamentos  (medidas: 3” x 50mm ou 3 1/2" x 50mm ou 3 1/2" x 70mm)</t>
  </si>
  <si>
    <t>SF-00458</t>
  </si>
  <si>
    <t>Mancal Pedestal</t>
  </si>
  <si>
    <t>SF-00459</t>
  </si>
  <si>
    <t>Rolamento rígido de esfera</t>
  </si>
  <si>
    <t>SF-00460</t>
  </si>
  <si>
    <t>Fixador trava porta de piso niquelado</t>
  </si>
  <si>
    <t>SF-00461</t>
  </si>
  <si>
    <t>SF-00462</t>
  </si>
  <si>
    <t>Porta cadeado de 4 1/2"</t>
  </si>
  <si>
    <t>SF-00463</t>
  </si>
  <si>
    <t>Porta Cadeado de 4”</t>
  </si>
  <si>
    <t>SF-00464</t>
  </si>
  <si>
    <t>Suporte para mesa dobrável</t>
  </si>
  <si>
    <t>SF-00465</t>
  </si>
  <si>
    <t>Suporte universal fixo de parede para TV</t>
  </si>
  <si>
    <t>SF-00466</t>
  </si>
  <si>
    <t>Mola aérea hidráulica automática para portas</t>
  </si>
  <si>
    <t>Espuma Expansiva à base de poliuretano</t>
  </si>
  <si>
    <t>500 ml</t>
  </si>
  <si>
    <t>SF-00468</t>
  </si>
  <si>
    <t>Adesivo de Contato à Base d’água</t>
  </si>
  <si>
    <t>SF-00469</t>
  </si>
  <si>
    <t>Adesivo de Contato de Alto Desempenho sem Toluol</t>
  </si>
  <si>
    <t>SF-00470</t>
  </si>
  <si>
    <t>Laminado fenólico melamínico texturizado - Azul Noturno</t>
  </si>
  <si>
    <t>SF-00471</t>
  </si>
  <si>
    <t>Laminado fenólico melamínico texturizado - Branco</t>
  </si>
  <si>
    <t>SF-00472</t>
  </si>
  <si>
    <t>Laminado fenólico melamínico texturizado - Ovo</t>
  </si>
  <si>
    <t>SF-00473</t>
  </si>
  <si>
    <t>SF-00474</t>
  </si>
  <si>
    <t>Lâmina de Madeira - Marfim</t>
  </si>
  <si>
    <t>SF-00475</t>
  </si>
  <si>
    <t>Lâmina de Madeira - Cerejeira</t>
  </si>
  <si>
    <t>SF-00476</t>
  </si>
  <si>
    <t>Compensado laminado comum - 04 mm</t>
  </si>
  <si>
    <t>SF-00477</t>
  </si>
  <si>
    <t>Compensado laminado comum - 06 mm</t>
  </si>
  <si>
    <t>SF-00478</t>
  </si>
  <si>
    <t>Compensado laminado comum - 10 mm</t>
  </si>
  <si>
    <t>SF-00479</t>
  </si>
  <si>
    <t>Compensado laminado comum - 15 mm</t>
  </si>
  <si>
    <t>SF-00480</t>
  </si>
  <si>
    <t>Compensado laminado comum - 20 mm</t>
  </si>
  <si>
    <t>SF-00481</t>
  </si>
  <si>
    <t>SF-00482</t>
  </si>
  <si>
    <t>Compensado Laminado de cerejeira em duas faces - 10 mm</t>
  </si>
  <si>
    <t>SF-00483</t>
  </si>
  <si>
    <t>Compensado Laminado de cerejeira em duas faces - 15 mm</t>
  </si>
  <si>
    <t>SF-00484</t>
  </si>
  <si>
    <t>Compensado Laminado de cerejeira em duas faces - 20 mm</t>
  </si>
  <si>
    <t>SF-00485</t>
  </si>
  <si>
    <t>Compensado Resinado – 10 mm</t>
  </si>
  <si>
    <t>SF-00486</t>
  </si>
  <si>
    <t>Tábua de madeira bruta certificada e aparelhada - Cedrinho</t>
  </si>
  <si>
    <t>SF-00487</t>
  </si>
  <si>
    <t>Tábua de madeira bruta certificada e aparelhada - Freijó</t>
  </si>
  <si>
    <t>SF-00488</t>
  </si>
  <si>
    <t>Tábua de madeira bruta certificada e aparelhada - Cedro</t>
  </si>
  <si>
    <t>SF-00489</t>
  </si>
  <si>
    <t>Tábua de Madeira bruta aparelhada - Pinus</t>
  </si>
  <si>
    <t>SF-00490</t>
  </si>
  <si>
    <t>Sarrafo De Madeira</t>
  </si>
  <si>
    <t>SF-00491</t>
  </si>
  <si>
    <t>Caibro De Madeira</t>
  </si>
  <si>
    <t>SF-00492</t>
  </si>
  <si>
    <t>Pontalete De Madeira</t>
  </si>
  <si>
    <t>SF-00493</t>
  </si>
  <si>
    <t>Ripa De Madeira</t>
  </si>
  <si>
    <t>SF-00494</t>
  </si>
  <si>
    <t>SF-00495</t>
  </si>
  <si>
    <t>SF-00496</t>
  </si>
  <si>
    <t>SF-00497</t>
  </si>
  <si>
    <t>SF-00498</t>
  </si>
  <si>
    <t>SF-00499</t>
  </si>
  <si>
    <t>SF-00500</t>
  </si>
  <si>
    <t>Cantoneira laminada em aço abas iguais 1" x 3/16"</t>
  </si>
  <si>
    <t>SF-00501</t>
  </si>
  <si>
    <t>Cantoneira laminada em aço abas iguais 1"1/4 x 3/16"</t>
  </si>
  <si>
    <t>SF-00502</t>
  </si>
  <si>
    <t>Cantoneira laminada em aço abas iguais 2” x 1/8”</t>
  </si>
  <si>
    <t>SF-00503</t>
  </si>
  <si>
    <t>Cantoneira laminada em aço abas Iguais 2” x 3/16”</t>
  </si>
  <si>
    <t>SF-00504</t>
  </si>
  <si>
    <t>Cantoneira laminada em aço abas Iguais 5/8” x 1/8”</t>
  </si>
  <si>
    <t>SF-00505</t>
  </si>
  <si>
    <t>Chapa aço galvanizado # 16 (kg)</t>
  </si>
  <si>
    <t>SF-00506</t>
  </si>
  <si>
    <t>Ferro chato 1"x1/8"</t>
  </si>
  <si>
    <t>SF-00507</t>
  </si>
  <si>
    <t>Ferro chato 1"x3/16"</t>
  </si>
  <si>
    <t>SF-00508</t>
  </si>
  <si>
    <t>Ferro chato  3/4"x1/4" ou 7/8"x1/4" ou 1” x 1/4”</t>
  </si>
  <si>
    <t>SF-00509</t>
  </si>
  <si>
    <t>Ferro chato 3/4"x1/8"</t>
  </si>
  <si>
    <t>SF-00510</t>
  </si>
  <si>
    <t>Ferro chato 3/4"x3/16"</t>
  </si>
  <si>
    <t>SF-00511</t>
  </si>
  <si>
    <t>Ferro chato 5/8"x1/8"</t>
  </si>
  <si>
    <t>SF-00512</t>
  </si>
  <si>
    <t>Ferro chato 5/8"x3/16"</t>
  </si>
  <si>
    <t>SF-00513</t>
  </si>
  <si>
    <t>Ferro chato 7/8"x1/8"</t>
  </si>
  <si>
    <t>SF-00514</t>
  </si>
  <si>
    <t>Ferro chato 7/8"x3/16"</t>
  </si>
  <si>
    <t>SF-00515</t>
  </si>
  <si>
    <t>SF-00516</t>
  </si>
  <si>
    <t>SF-00517</t>
  </si>
  <si>
    <t>Perfil Cadeirinha Fechada - 85 x 30 mm a 100 x 30 mm</t>
  </si>
  <si>
    <t>SF-00518</t>
  </si>
  <si>
    <t>Perfil Cadeirinha Fechada – 40 x 30 mm a 55 x 30 mm</t>
  </si>
  <si>
    <t>SF-00519</t>
  </si>
  <si>
    <t>Perfil Cadeirinha Aberta – 65 x 30 mm</t>
  </si>
  <si>
    <t>SF-00520</t>
  </si>
  <si>
    <t>Perfil Cadeirinha Aberta – 40 x 30 mm a 55 x 30 mm</t>
  </si>
  <si>
    <t>SF-00521</t>
  </si>
  <si>
    <t>Perfil Cadeirinha Fêmea – 40 x 30 mm</t>
  </si>
  <si>
    <t>SF-00522</t>
  </si>
  <si>
    <t>Perfil Cadeirinha Fechada Máximo Ar – 30 x 30 mm</t>
  </si>
  <si>
    <t>SF-00523</t>
  </si>
  <si>
    <t>Perfil Cadeirinha Engate – Direito ou Esquerdo</t>
  </si>
  <si>
    <t>SF-00524</t>
  </si>
  <si>
    <t>Perfil Cadeirinha Direito – 30 x 30 x 18 mm</t>
  </si>
  <si>
    <t>SF-00525</t>
  </si>
  <si>
    <t>Perfil Cadeirinha Direito – 60 x 25 mm a 60 x 30 mm</t>
  </si>
  <si>
    <t>SF-00526</t>
  </si>
  <si>
    <t>Perfil “T” dobrado Máximo Ar Abas Iguais – 50 x 30 mm a 60 x 30 mm</t>
  </si>
  <si>
    <t>SF-00527</t>
  </si>
  <si>
    <t>Perfil “T” dobrado Máximo Ar Abas Desiguais – 50 x 25 mm a 50 x 30 mm</t>
  </si>
  <si>
    <t>SF-00528</t>
  </si>
  <si>
    <t>Perfil Superior Máximo Ar – 48 x 30 mm</t>
  </si>
  <si>
    <t>SF-00529</t>
  </si>
  <si>
    <t>Perfil “T” Abas Iguais – 25 x 25 mm</t>
  </si>
  <si>
    <t>SF-00530</t>
  </si>
  <si>
    <t>Perfil “T” Dobrado – 75 x 30 mm</t>
  </si>
  <si>
    <t>SF-00531</t>
  </si>
  <si>
    <t>Perfil “T” Dobrado – 39 x 30 mm; 55 x 30 mm; 65 x 30 mm; ou 60 x 25 mm</t>
  </si>
  <si>
    <t>SF-00532</t>
  </si>
  <si>
    <t>Perfil “T” Dobrado – 39 x 25 mm</t>
  </si>
  <si>
    <t>SF-00533</t>
  </si>
  <si>
    <t>Perfil “T” Dobrado – 1/8” x 7/8” x 6000 mm a  1/8’’ x 1’’ x 6000 mm</t>
  </si>
  <si>
    <t>SF-00534</t>
  </si>
  <si>
    <t>Perfil Marco Vincado – 140 x 32 mm</t>
  </si>
  <si>
    <t>SF-00535</t>
  </si>
  <si>
    <t>Perfil Acabamento - 140 x 15 mm</t>
  </si>
  <si>
    <t>SF-00536</t>
  </si>
  <si>
    <t>Perfil Trilho Superior Tipo “G” - 45 x 30 mm</t>
  </si>
  <si>
    <t>SF-00537</t>
  </si>
  <si>
    <t>Perfil Tampa Trilho “G”</t>
  </si>
  <si>
    <t>SF-00538</t>
  </si>
  <si>
    <t>Chapa Perfurada de Aço Carbono - 3000 x 1200 x 3 mm</t>
  </si>
  <si>
    <t>SF-00539</t>
  </si>
  <si>
    <t>Chapa de Aço Xadrez – 3000 x 1200 x 3 mm</t>
  </si>
  <si>
    <t>SF-00540</t>
  </si>
  <si>
    <t>Ferro Redondo – 1/2”</t>
  </si>
  <si>
    <t>SF-00541</t>
  </si>
  <si>
    <t>Ferro Redondo – 1/4"</t>
  </si>
  <si>
    <t>SF-00542</t>
  </si>
  <si>
    <t>Ferro Redondo – 3/8”</t>
  </si>
  <si>
    <t>SF-00543</t>
  </si>
  <si>
    <t>Ferro Quadrado – 1/2”</t>
  </si>
  <si>
    <t>SF-00544</t>
  </si>
  <si>
    <t>Ferro Quadrado – 1/4”</t>
  </si>
  <si>
    <t>SF-00545</t>
  </si>
  <si>
    <t>Ferro Quadrado – 3/8”</t>
  </si>
  <si>
    <t>SF-00546</t>
  </si>
  <si>
    <t>Ferro maciço 1 1/2”</t>
  </si>
  <si>
    <t>SF-00547</t>
  </si>
  <si>
    <t>Tubo Industrial Redondo – 1”</t>
  </si>
  <si>
    <t>SF-00548</t>
  </si>
  <si>
    <t>Tubo Industrial Redondo – 1 1/2”</t>
  </si>
  <si>
    <t>SF-00549</t>
  </si>
  <si>
    <t>Tubo Industrial Redondo - 1 1/4”</t>
  </si>
  <si>
    <t>SF-00550</t>
  </si>
  <si>
    <t>Tubo Industrial Redondo – 2”</t>
  </si>
  <si>
    <t>SF-00551</t>
  </si>
  <si>
    <t>SF-00552</t>
  </si>
  <si>
    <t>SF-00553</t>
  </si>
  <si>
    <t>SF-00554</t>
  </si>
  <si>
    <t>SF-00555</t>
  </si>
  <si>
    <t>SF-00556</t>
  </si>
  <si>
    <t>Rolo</t>
  </si>
  <si>
    <t>SF-00557</t>
  </si>
  <si>
    <t>Tela de estuque</t>
  </si>
  <si>
    <t>SF-00558</t>
  </si>
  <si>
    <t>Tela tipo galinheiro (hexagonal) galvanizada 2" BWG 22</t>
  </si>
  <si>
    <t>SF-00559</t>
  </si>
  <si>
    <t>SF-00560</t>
  </si>
  <si>
    <t>Arame galvanizado nº 20</t>
  </si>
  <si>
    <t>SF-00561</t>
  </si>
  <si>
    <t>Tela em aço galvanizado, tipo alambrado, malha 2, fio 12</t>
  </si>
  <si>
    <t>SF-00562</t>
  </si>
  <si>
    <t>Massa Adesiva Plástica</t>
  </si>
  <si>
    <t>Argamassa Para Contrapiso</t>
  </si>
  <si>
    <t>40 kg</t>
  </si>
  <si>
    <t>Argamassa Múltiplo Uso</t>
  </si>
  <si>
    <t>Cimento Portland CP II E 32</t>
  </si>
  <si>
    <t>50 kg</t>
  </si>
  <si>
    <t>20 kg</t>
  </si>
  <si>
    <t>Gesso Para Uso Geral</t>
  </si>
  <si>
    <t>Areia Média</t>
  </si>
  <si>
    <t>Brita Nº 0</t>
  </si>
  <si>
    <t>Brita Nº 1</t>
  </si>
  <si>
    <t>Bloco Cerâmico De 08 Furos</t>
  </si>
  <si>
    <t>Tijolo Maciço</t>
  </si>
  <si>
    <t>Bloco De Concreto Com 02 Furos</t>
  </si>
  <si>
    <t>Bloco De Concreto Tipo Canaleta</t>
  </si>
  <si>
    <t>Arame Recozido Nº 18</t>
  </si>
  <si>
    <t>Adesivo Estrutural Epóxi Bicomponente</t>
  </si>
  <si>
    <t>SF-00582</t>
  </si>
  <si>
    <t>Adesivo Selante Poliuretano</t>
  </si>
  <si>
    <t>SF-00583</t>
  </si>
  <si>
    <t>Selante de Silicone</t>
  </si>
  <si>
    <t>SF-00584</t>
  </si>
  <si>
    <t>Fita Asfáltica Autoadesiva (30 cm)</t>
  </si>
  <si>
    <t>SF-00585</t>
  </si>
  <si>
    <t>Fita Asfáltica Autoadesiva (45 cm)</t>
  </si>
  <si>
    <t>SF-00586</t>
  </si>
  <si>
    <t>Membrana Impermeabilizante De Alto Desempenho</t>
  </si>
  <si>
    <t>SF-00587</t>
  </si>
  <si>
    <t>Aditivo de Pega Ultrarrápida</t>
  </si>
  <si>
    <t>Aditivo Impermeabilizante</t>
  </si>
  <si>
    <t>SF-00589</t>
  </si>
  <si>
    <t>Aditivo Plastificante Para Argamassa</t>
  </si>
  <si>
    <t>SF-00590</t>
  </si>
  <si>
    <t>Fita adesiva antiderrapante na cor preta</t>
  </si>
  <si>
    <t>SF-00591</t>
  </si>
  <si>
    <t>Fita adesiva antiderrapante na cor preta com faixa fosforescente na cor branca</t>
  </si>
  <si>
    <t>SF-00592</t>
  </si>
  <si>
    <t>Lona Plástica</t>
  </si>
  <si>
    <t>SF-00593</t>
  </si>
  <si>
    <t>Tapa Furo Plástico</t>
  </si>
  <si>
    <t>SF-00594</t>
  </si>
  <si>
    <t>Arremate de Plástico - (Tampa para cabeça de parafuso)</t>
  </si>
  <si>
    <t>SF-00595</t>
  </si>
  <si>
    <t>Rebite de Aço Maciço – 1/4” x 1/2"</t>
  </si>
  <si>
    <t>SF-00596</t>
  </si>
  <si>
    <t>Rebite de Aço Maciço – 3/16” x 1”</t>
  </si>
  <si>
    <t>SF-00597</t>
  </si>
  <si>
    <t>Rebite de Aço Maciço – 3/16” x 1/2"</t>
  </si>
  <si>
    <t>SF-00598</t>
  </si>
  <si>
    <t>Arruela Lisa de  1/2”</t>
  </si>
  <si>
    <t>SF-00599</t>
  </si>
  <si>
    <t>Arruela Lisa de  3/4”</t>
  </si>
  <si>
    <t>SF-00600</t>
  </si>
  <si>
    <t>Arruela Lisa de  5/16”</t>
  </si>
  <si>
    <t>SF-00601</t>
  </si>
  <si>
    <t>Arruela Lisa de  1/4”</t>
  </si>
  <si>
    <t>SF-00602</t>
  </si>
  <si>
    <t>Bucha Plástica S5</t>
  </si>
  <si>
    <t>SF-00603</t>
  </si>
  <si>
    <t>Bucha Plástica S6</t>
  </si>
  <si>
    <t>SF-00604</t>
  </si>
  <si>
    <t>Bucha Plástica S8</t>
  </si>
  <si>
    <t>SF-00605</t>
  </si>
  <si>
    <t>Bucha Plástica S10</t>
  </si>
  <si>
    <t>SF-00606</t>
  </si>
  <si>
    <t>Bucha Plástica S12</t>
  </si>
  <si>
    <t>SF-00607</t>
  </si>
  <si>
    <t>Rebite de Repuxo de 32 x 10</t>
  </si>
  <si>
    <t>SF-00608</t>
  </si>
  <si>
    <t>Rebite de Repuxo de 40 x 12</t>
  </si>
  <si>
    <t>SF-00609</t>
  </si>
  <si>
    <t>Rebite de repuxo de 62 x 30 mm</t>
  </si>
  <si>
    <t>SF-00610</t>
  </si>
  <si>
    <t>Rebite de Repuxo de  3/16” x 30 mm</t>
  </si>
  <si>
    <t>SF-00611</t>
  </si>
  <si>
    <t>Rebite de Repuxo de  4.8 x 12 mm</t>
  </si>
  <si>
    <t>SF-00612</t>
  </si>
  <si>
    <t>Rebite de Repuxo de  4.8 x 25 mm</t>
  </si>
  <si>
    <t>SF-00613</t>
  </si>
  <si>
    <t>Rebite de Repuxo de  6.2 x 22 mm</t>
  </si>
  <si>
    <t>SF-00614</t>
  </si>
  <si>
    <t>Parafuso Phillips Cabeça Chata - 3.0 x 10 mm</t>
  </si>
  <si>
    <t>SF-00615</t>
  </si>
  <si>
    <t>Parafuso Phillips Cabeça Chata - 3.0 x 12 mm</t>
  </si>
  <si>
    <t>SF-00616</t>
  </si>
  <si>
    <t>SF-00617</t>
  </si>
  <si>
    <t>SF-00618</t>
  </si>
  <si>
    <t>SF-00619</t>
  </si>
  <si>
    <t>SF-00620</t>
  </si>
  <si>
    <t>SF-00621</t>
  </si>
  <si>
    <t>SF-00622</t>
  </si>
  <si>
    <t>SF-00623</t>
  </si>
  <si>
    <t>Parafuso Philips Cabeça Chata - 3.5 x 22  mm</t>
  </si>
  <si>
    <t>SF-00624</t>
  </si>
  <si>
    <t>Parafuso Philips Cabeça Chata - 3.5 x 25 mm</t>
  </si>
  <si>
    <t>SF-00625</t>
  </si>
  <si>
    <t>SF-00626</t>
  </si>
  <si>
    <t>SF-00627</t>
  </si>
  <si>
    <t>SF-00628</t>
  </si>
  <si>
    <t>SF-00629</t>
  </si>
  <si>
    <t>SF-00630</t>
  </si>
  <si>
    <t>SF-00631</t>
  </si>
  <si>
    <t>SF-00632</t>
  </si>
  <si>
    <t>SF-00633</t>
  </si>
  <si>
    <t>SF-00634</t>
  </si>
  <si>
    <t>SF-00635</t>
  </si>
  <si>
    <t>SF-00636</t>
  </si>
  <si>
    <t>SF-00637</t>
  </si>
  <si>
    <t>Porca Tipo Borboleta – 1/4”</t>
  </si>
  <si>
    <t>SF-00638</t>
  </si>
  <si>
    <t>SF-00639</t>
  </si>
  <si>
    <t>Parafuso Tipo Board</t>
  </si>
  <si>
    <t>SF-00640</t>
  </si>
  <si>
    <t>Cavilha de Madeira – 6 x 30 mm</t>
  </si>
  <si>
    <t>SF-00641</t>
  </si>
  <si>
    <t>Cavilha de Madeira – 8 x 40 mm</t>
  </si>
  <si>
    <t>SF-00642</t>
  </si>
  <si>
    <t>Cavilha de Madeira – 10 x 50 mm</t>
  </si>
  <si>
    <t>SF-00643</t>
  </si>
  <si>
    <t>Orelhinha para suporte de Vitrô</t>
  </si>
  <si>
    <t>SF-00644</t>
  </si>
  <si>
    <t>Prego 18X27</t>
  </si>
  <si>
    <t>SF-00645</t>
  </si>
  <si>
    <t>Ácidos</t>
  </si>
  <si>
    <t>SF-00646</t>
  </si>
  <si>
    <t>Aditivos químicos</t>
  </si>
  <si>
    <t>SF-00647</t>
  </si>
  <si>
    <t>Água destilada</t>
  </si>
  <si>
    <t>SF-00648</t>
  </si>
  <si>
    <t>Água sanitária</t>
  </si>
  <si>
    <t>SF-00649</t>
  </si>
  <si>
    <t>Álcoois</t>
  </si>
  <si>
    <t>SF-00650</t>
  </si>
  <si>
    <t>SF-00651</t>
  </si>
  <si>
    <t>Cola branca</t>
  </si>
  <si>
    <t>SF-00652</t>
  </si>
  <si>
    <t>Desengraxantes</t>
  </si>
  <si>
    <t>SF-00653</t>
  </si>
  <si>
    <t>Desengripante</t>
  </si>
  <si>
    <t>SF-00654</t>
  </si>
  <si>
    <t>Detergentes</t>
  </si>
  <si>
    <t>SF-00655</t>
  </si>
  <si>
    <t>Eletrodos para solda</t>
  </si>
  <si>
    <t>SF-00656</t>
  </si>
  <si>
    <t>Espuma</t>
  </si>
  <si>
    <t>SF-00657</t>
  </si>
  <si>
    <t>Escovas para limpeza</t>
  </si>
  <si>
    <t>SF-00658</t>
  </si>
  <si>
    <t>Estopa</t>
  </si>
  <si>
    <t>SF-00659</t>
  </si>
  <si>
    <t>Fita de arquear</t>
  </si>
  <si>
    <t>SF-00660</t>
  </si>
  <si>
    <t>Fita teflon veda-rosca</t>
  </si>
  <si>
    <t>SF-00661</t>
  </si>
  <si>
    <t>Fita vinílica de proteção</t>
  </si>
  <si>
    <t>SF-00662</t>
  </si>
  <si>
    <t>Fitas adesivas</t>
  </si>
  <si>
    <t>SF-00663</t>
  </si>
  <si>
    <t>Fitas isolantes</t>
  </si>
  <si>
    <t>SF-00664</t>
  </si>
  <si>
    <t>Fluxo de solda</t>
  </si>
  <si>
    <t>SF-00665</t>
  </si>
  <si>
    <t>Fundo anticorrosivo</t>
  </si>
  <si>
    <t>SF-00666</t>
  </si>
  <si>
    <t>Gasolina</t>
  </si>
  <si>
    <t>SF-00667</t>
  </si>
  <si>
    <t>Graxas</t>
  </si>
  <si>
    <t>SF-00668</t>
  </si>
  <si>
    <t>Impermeabilizantes</t>
  </si>
  <si>
    <t>SF-00669</t>
  </si>
  <si>
    <t>Jogo de brocas para concreto</t>
  </si>
  <si>
    <t>SF-00670</t>
  </si>
  <si>
    <t>Jogo de brocas para madeira</t>
  </si>
  <si>
    <t>SF-00671</t>
  </si>
  <si>
    <t>Jogo de discos para polir e para lixar</t>
  </si>
  <si>
    <t>SF-00672</t>
  </si>
  <si>
    <t>Jogo de pontas e brocas para metal</t>
  </si>
  <si>
    <t>SF-00673</t>
  </si>
  <si>
    <t>Jogo de pontas para parafusadeira</t>
  </si>
  <si>
    <t>SF-00674</t>
  </si>
  <si>
    <t>Kit de brocas serra copos inclusive para metal</t>
  </si>
  <si>
    <t>SF-00675</t>
  </si>
  <si>
    <t>Lâminas de serra de arco</t>
  </si>
  <si>
    <t>SF-00676</t>
  </si>
  <si>
    <t>Lâminas de serra e de segueta</t>
  </si>
  <si>
    <t>SF-00677</t>
  </si>
  <si>
    <t>Lâminas de serra tico-tico</t>
  </si>
  <si>
    <t>SF-00678</t>
  </si>
  <si>
    <t>Limas chatas</t>
  </si>
  <si>
    <t>SF-00679</t>
  </si>
  <si>
    <t>Limas triangulares</t>
  </si>
  <si>
    <t>SF-00680</t>
  </si>
  <si>
    <t>Lixas</t>
  </si>
  <si>
    <t>SF-00681</t>
  </si>
  <si>
    <t>Lonas</t>
  </si>
  <si>
    <t>SF-00682</t>
  </si>
  <si>
    <t>Lubrificantes</t>
  </si>
  <si>
    <t>SF-00683</t>
  </si>
  <si>
    <t>Materiais de escritório</t>
  </si>
  <si>
    <t>SF-00684</t>
  </si>
  <si>
    <t>Óleos</t>
  </si>
  <si>
    <t>SF-00685</t>
  </si>
  <si>
    <t>Palha de aço</t>
  </si>
  <si>
    <t>SF-00686</t>
  </si>
  <si>
    <t>Panos</t>
  </si>
  <si>
    <t>SF-00687</t>
  </si>
  <si>
    <t>Parafina</t>
  </si>
  <si>
    <t>SF-00688</t>
  </si>
  <si>
    <t>Pasta para solda</t>
  </si>
  <si>
    <t>SF-00689</t>
  </si>
  <si>
    <t>Pilhas e baterias</t>
  </si>
  <si>
    <t>SF-00690</t>
  </si>
  <si>
    <t>Pincéis</t>
  </si>
  <si>
    <t>SF-00691</t>
  </si>
  <si>
    <t>Pregos em tamanhos variados</t>
  </si>
  <si>
    <t>SF-00692</t>
  </si>
  <si>
    <t>Produtos antiferrugem</t>
  </si>
  <si>
    <t>SF-00693</t>
  </si>
  <si>
    <t>Querosene</t>
  </si>
  <si>
    <t>SF-00694</t>
  </si>
  <si>
    <t>Rebolos</t>
  </si>
  <si>
    <t>SF-00695</t>
  </si>
  <si>
    <t>Rebolos de esmeril retangular</t>
  </si>
  <si>
    <t>SF-00696</t>
  </si>
  <si>
    <t>Resinas</t>
  </si>
  <si>
    <t>SF-00697</t>
  </si>
  <si>
    <t>Sabão</t>
  </si>
  <si>
    <t>SF-00698</t>
  </si>
  <si>
    <t>Serra copo</t>
  </si>
  <si>
    <t>SF-00699</t>
  </si>
  <si>
    <t>Silicone</t>
  </si>
  <si>
    <t>SF-00700</t>
  </si>
  <si>
    <t>Soldas</t>
  </si>
  <si>
    <t>SF-00701</t>
  </si>
  <si>
    <t>Solventes</t>
  </si>
  <si>
    <t>SF-00702</t>
  </si>
  <si>
    <t>Utensílios e produtos para limpeza</t>
  </si>
  <si>
    <t>SF-00703</t>
  </si>
  <si>
    <t>Varetas soldadoras</t>
  </si>
  <si>
    <t>SF-00704</t>
  </si>
  <si>
    <t>Vaselina</t>
  </si>
  <si>
    <t>SF-00705</t>
  </si>
  <si>
    <t>Vedante em gel</t>
  </si>
  <si>
    <t>SF-00706</t>
  </si>
  <si>
    <t>Massa epóxi</t>
  </si>
  <si>
    <t>SF-00707</t>
  </si>
  <si>
    <t>Algodão</t>
  </si>
  <si>
    <t>Supervisor(a)-Geral</t>
  </si>
  <si>
    <t>Profissional</t>
  </si>
  <si>
    <t>Apoio Técnico Administrativo – Controle de Almoxarifado</t>
  </si>
  <si>
    <t>Ajudante de Serviços Gerais</t>
  </si>
  <si>
    <t>Ajudante de Marceneiro(a)</t>
  </si>
  <si>
    <t>Ajudante de Serralheiro(a)</t>
  </si>
  <si>
    <t>Lustrador(a) de Móveis</t>
  </si>
  <si>
    <t>Marceneiro(a)</t>
  </si>
  <si>
    <t>Serralheiro(a)</t>
  </si>
  <si>
    <t>Mestre de Obras (Posto de Trabalho)</t>
  </si>
  <si>
    <t>Oficial de Serviços Gerais</t>
  </si>
  <si>
    <t>SF-00718</t>
  </si>
  <si>
    <t>Alicate  de corte diagonal 6''</t>
  </si>
  <si>
    <t>SF-00719</t>
  </si>
  <si>
    <t>Alicate de pressão de 10"</t>
  </si>
  <si>
    <t>SF-00720</t>
  </si>
  <si>
    <t>Alicate meia cana 6''</t>
  </si>
  <si>
    <t>SF-00721</t>
  </si>
  <si>
    <t>SF-00722</t>
  </si>
  <si>
    <t>Alicate universal de 8"</t>
  </si>
  <si>
    <t>SF-00723</t>
  </si>
  <si>
    <t>Arco de serra</t>
  </si>
  <si>
    <t>SF-00724</t>
  </si>
  <si>
    <t>Aspirador de pó industrial</t>
  </si>
  <si>
    <t>SF-00725</t>
  </si>
  <si>
    <t>SF-00726</t>
  </si>
  <si>
    <t>Caixa para ferramenta sanfonada metálica com cadeado</t>
  </si>
  <si>
    <t>SF-00727</t>
  </si>
  <si>
    <t>Carretel com linha em caixa de pó para marcação</t>
  </si>
  <si>
    <t>SF-00728</t>
  </si>
  <si>
    <t>Carrinho de mão reforçado</t>
  </si>
  <si>
    <t>SF-00729</t>
  </si>
  <si>
    <t>Cavadeira articulada</t>
  </si>
  <si>
    <t>SF-00730</t>
  </si>
  <si>
    <t>Chave de fenda de 1/2" x 10"</t>
  </si>
  <si>
    <t>SF-00731</t>
  </si>
  <si>
    <t>SF-00732</t>
  </si>
  <si>
    <t>Chave de fenda de 3/16" x 5"</t>
  </si>
  <si>
    <t>SF-00733</t>
  </si>
  <si>
    <t>Chave Philips PH2 1/4" x 6"</t>
  </si>
  <si>
    <t>SF-00734</t>
  </si>
  <si>
    <t>Chave Philips PH3 5/16" x 8"</t>
  </si>
  <si>
    <t>SF-00735</t>
  </si>
  <si>
    <t>SF-00736</t>
  </si>
  <si>
    <t>Enxadão com cabo</t>
  </si>
  <si>
    <t>SF-00737</t>
  </si>
  <si>
    <t>Enxadão estreito com cabo</t>
  </si>
  <si>
    <t>SF-00738</t>
  </si>
  <si>
    <t>SF-00739</t>
  </si>
  <si>
    <t>Escada tipo tesoura e singela de fibra com 2 m</t>
  </si>
  <si>
    <t>SF-00740</t>
  </si>
  <si>
    <t>SF-00741</t>
  </si>
  <si>
    <t>Esmerilhadeira Angular 4,5’’</t>
  </si>
  <si>
    <t>SF-00742</t>
  </si>
  <si>
    <t>Esmerilhadeira Angular 7’’</t>
  </si>
  <si>
    <t>SF-00743</t>
  </si>
  <si>
    <t>Espátula forjada de 12 cm</t>
  </si>
  <si>
    <t>SF-00744</t>
  </si>
  <si>
    <t>Espátula forjada de 4 cm</t>
  </si>
  <si>
    <t>SF-00745</t>
  </si>
  <si>
    <t>Espátula forjada de 8 cm</t>
  </si>
  <si>
    <t>SF-00746</t>
  </si>
  <si>
    <t>SF-00747</t>
  </si>
  <si>
    <t>Estilete emborrachado de 18 mm</t>
  </si>
  <si>
    <t>SF-00748</t>
  </si>
  <si>
    <t>Estilete emborrachado de 25 mm</t>
  </si>
  <si>
    <t>SF-00749</t>
  </si>
  <si>
    <t>Faca de 8"</t>
  </si>
  <si>
    <t>SF-00750</t>
  </si>
  <si>
    <t>Furadeira Industrial</t>
  </si>
  <si>
    <t>SF-00751</t>
  </si>
  <si>
    <t>Jogo de chave combinada de 8 mm a 24 mm, com 14 peças</t>
  </si>
  <si>
    <t>SF-00752</t>
  </si>
  <si>
    <t>Jogo de soquetes de 1/2’’, 10-32 mm</t>
  </si>
  <si>
    <t>SF-00753</t>
  </si>
  <si>
    <t>Jogo de soquetes de 1/4’’, 4-13 mm</t>
  </si>
  <si>
    <t>SF-00754</t>
  </si>
  <si>
    <t>Kit Parafusadeira de Impacto à Bateria</t>
  </si>
  <si>
    <t>SF-00755</t>
  </si>
  <si>
    <t>SF-00756</t>
  </si>
  <si>
    <t>Marreta de 1 kg</t>
  </si>
  <si>
    <t>SF-00757</t>
  </si>
  <si>
    <t>SF-00758</t>
  </si>
  <si>
    <t>SF-00759</t>
  </si>
  <si>
    <t>SF-00760</t>
  </si>
  <si>
    <t>SF-00761</t>
  </si>
  <si>
    <t>Nível manual de alumínio com base magnética 350 mm</t>
  </si>
  <si>
    <t>SF-00762</t>
  </si>
  <si>
    <t>Nível manual de alumínio com base magnética 220 mm</t>
  </si>
  <si>
    <t>SF-00763</t>
  </si>
  <si>
    <t>Pá quadrada com 120 cm</t>
  </si>
  <si>
    <t>SF-00764</t>
  </si>
  <si>
    <t>Pedra de afiar dupla face</t>
  </si>
  <si>
    <t>SF-00765</t>
  </si>
  <si>
    <t>Peneira fina</t>
  </si>
  <si>
    <t>SF-00766</t>
  </si>
  <si>
    <t>Peneira grossa</t>
  </si>
  <si>
    <t>SF-00767</t>
  </si>
  <si>
    <t>Peneira média</t>
  </si>
  <si>
    <t>SF-00768</t>
  </si>
  <si>
    <t>Picareta</t>
  </si>
  <si>
    <t>SF-00769</t>
  </si>
  <si>
    <t>Prumo de centro</t>
  </si>
  <si>
    <t>SF-00770</t>
  </si>
  <si>
    <t>Prumo de parede</t>
  </si>
  <si>
    <t>SF-00771</t>
  </si>
  <si>
    <t>SF-00772</t>
  </si>
  <si>
    <t>SF-00773</t>
  </si>
  <si>
    <t>SF-00774</t>
  </si>
  <si>
    <t>Serrote de costa</t>
  </si>
  <si>
    <t>SF-00775</t>
  </si>
  <si>
    <t>SF-00776</t>
  </si>
  <si>
    <t>Tesoura de chapas tipo aviação</t>
  </si>
  <si>
    <t>SF-00777</t>
  </si>
  <si>
    <t>SF-00778</t>
  </si>
  <si>
    <t>Desempenadeira 1800 x 200 mm</t>
  </si>
  <si>
    <t>SF-00779</t>
  </si>
  <si>
    <t>Formão de 1/2"</t>
  </si>
  <si>
    <t>SF-00780</t>
  </si>
  <si>
    <t>Formão de 1/4"</t>
  </si>
  <si>
    <t>SF-00781</t>
  </si>
  <si>
    <t>Formão de 3/4"</t>
  </si>
  <si>
    <t>SF-00782</t>
  </si>
  <si>
    <t>Grampeador para Molduras</t>
  </si>
  <si>
    <t>SF-00783</t>
  </si>
  <si>
    <t>Grampeador Uso Leve</t>
  </si>
  <si>
    <t>SF-00784</t>
  </si>
  <si>
    <t>Lixadeira de cinta</t>
  </si>
  <si>
    <t>SF-00785</t>
  </si>
  <si>
    <t>Lixadeira e politriz angular 7’’/9’’</t>
  </si>
  <si>
    <t>SF-00786</t>
  </si>
  <si>
    <t>Lixadeira Excêntrica</t>
  </si>
  <si>
    <t>SF-00787</t>
  </si>
  <si>
    <t>Lixadeira Fita</t>
  </si>
  <si>
    <t>SF-00788</t>
  </si>
  <si>
    <t>Lixadeira orbital</t>
  </si>
  <si>
    <t>SF-00789</t>
  </si>
  <si>
    <t>Pinador e Grampeador Pneumático</t>
  </si>
  <si>
    <t>SF-00790</t>
  </si>
  <si>
    <t>Plaina desempenadeira</t>
  </si>
  <si>
    <t>SF-00791</t>
  </si>
  <si>
    <t>Plaina desengrossadeira</t>
  </si>
  <si>
    <t>SF-00792</t>
  </si>
  <si>
    <t>Plaina elétrica</t>
  </si>
  <si>
    <t>SF-00793</t>
  </si>
  <si>
    <t>Plaina manual No. 5</t>
  </si>
  <si>
    <t>SF-00794</t>
  </si>
  <si>
    <t>Policorte 14’’ 2000 W</t>
  </si>
  <si>
    <t>SF-00795</t>
  </si>
  <si>
    <t>Raspador manual para madeira</t>
  </si>
  <si>
    <t>SF-00796</t>
  </si>
  <si>
    <t>Serra meia esquadria</t>
  </si>
  <si>
    <t>SF-00797</t>
  </si>
  <si>
    <t>Serra Meia Esquadria Radial</t>
  </si>
  <si>
    <t>SF-00798</t>
  </si>
  <si>
    <t>Serra tico-tico com controle de velocidade</t>
  </si>
  <si>
    <t>SF-00799</t>
  </si>
  <si>
    <t>Torno para Madeira com Copiador</t>
  </si>
  <si>
    <t>SF-00800</t>
  </si>
  <si>
    <t>Tupia de Coluna</t>
  </si>
  <si>
    <t>SF-00801</t>
  </si>
  <si>
    <t>Tupia de Laminação</t>
  </si>
  <si>
    <t>SF-00802</t>
  </si>
  <si>
    <t>Tupia Estacionária Refiladora de Borda Pinça</t>
  </si>
  <si>
    <t>SF-00803</t>
  </si>
  <si>
    <t>Calandra de chapas motorizada</t>
  </si>
  <si>
    <t>SF-00804</t>
  </si>
  <si>
    <t>Calandra de tubos e perfis motorizada</t>
  </si>
  <si>
    <t>SF-00805</t>
  </si>
  <si>
    <t>SF-00806</t>
  </si>
  <si>
    <t>Maçarico para gás GLP</t>
  </si>
  <si>
    <t>SF-00807</t>
  </si>
  <si>
    <t>SF-00808</t>
  </si>
  <si>
    <t>SF-00809</t>
  </si>
  <si>
    <t>Broxa Retangular</t>
  </si>
  <si>
    <t>SF-00810</t>
  </si>
  <si>
    <t>Caixa plástica para massas (masseira) 20 L</t>
  </si>
  <si>
    <t>SF-00811</t>
  </si>
  <si>
    <t>Colher de pedreiro 9"</t>
  </si>
  <si>
    <t>SF-00812</t>
  </si>
  <si>
    <t>Compactador de percussão elétrico monofásico 3 CV</t>
  </si>
  <si>
    <t>SF-00813</t>
  </si>
  <si>
    <t>Desempenadeira de aço dentada</t>
  </si>
  <si>
    <t>SF-00814</t>
  </si>
  <si>
    <t>Desempenadeira de aço lisa</t>
  </si>
  <si>
    <t>SF-00815</t>
  </si>
  <si>
    <t>Desempenadeira estriada em PVC 14 x 27 cm</t>
  </si>
  <si>
    <t>SF-00816</t>
  </si>
  <si>
    <t>Desempenadeira lisa em PVC 18 x 30 cm</t>
  </si>
  <si>
    <t>SF-00817</t>
  </si>
  <si>
    <t>Martelete demolidor 1,7 kW (12 kg)</t>
  </si>
  <si>
    <t>SF-00818</t>
  </si>
  <si>
    <t>SF-00819</t>
  </si>
  <si>
    <t>SF-00820</t>
  </si>
  <si>
    <t>Trado perfurador para terra manual 25 cm</t>
  </si>
  <si>
    <t>SF-00821</t>
  </si>
  <si>
    <t>Plataforma de trabalho aéreo articulada</t>
  </si>
  <si>
    <t>dia</t>
  </si>
  <si>
    <t>SF-00822</t>
  </si>
  <si>
    <t>SF-00823</t>
  </si>
  <si>
    <t>Camisa polo manga curta com logotipo da empresa na frente e indicação da categoria profissional nas costas</t>
  </si>
  <si>
    <t>pç</t>
  </si>
  <si>
    <t>SF-00824</t>
  </si>
  <si>
    <t>Camisa polo manga longa com logotipo da empresa na frente e indicação da categoria profissional nas costas</t>
  </si>
  <si>
    <t>SF-00825</t>
  </si>
  <si>
    <t>SF-00826</t>
  </si>
  <si>
    <t>Gorros com pala (boné) na mesma cor da camisa</t>
  </si>
  <si>
    <t>SF-00827</t>
  </si>
  <si>
    <t>SF-00828</t>
  </si>
  <si>
    <t>SF-00829</t>
  </si>
  <si>
    <t>Capa de chuva</t>
  </si>
  <si>
    <t>SF-00830</t>
  </si>
  <si>
    <t>Capacete de segurança</t>
  </si>
  <si>
    <t>SF-00831</t>
  </si>
  <si>
    <t>Cinto de segurança tipo paraquedista</t>
  </si>
  <si>
    <t>SF-00832</t>
  </si>
  <si>
    <t>Lanterna profissional</t>
  </si>
  <si>
    <t>SF-00833</t>
  </si>
  <si>
    <t>Lanterna para capacete</t>
  </si>
  <si>
    <t>SF-00834</t>
  </si>
  <si>
    <t>Luva de borracha</t>
  </si>
  <si>
    <t>SF-00835</t>
  </si>
  <si>
    <t>Máscara de proteção respiratória com válvula e com película de carbono FFP2</t>
  </si>
  <si>
    <t>SF-00836</t>
  </si>
  <si>
    <t>SF-00837</t>
  </si>
  <si>
    <t>SF-00838</t>
  </si>
  <si>
    <t>Protetor Facial</t>
  </si>
  <si>
    <t>SF-00839</t>
  </si>
  <si>
    <t>SF-00840</t>
  </si>
  <si>
    <t>Talabarte em Y</t>
  </si>
  <si>
    <t>SF-00841</t>
  </si>
  <si>
    <t>SF-00842</t>
  </si>
  <si>
    <t>SF-00843</t>
  </si>
  <si>
    <t>Uniforme Antichamas de Proteção Contra Arcos Elétricos</t>
  </si>
  <si>
    <t>Instalação de vidro (comum, temperado, aramado ou laminado) reaproveitado</t>
  </si>
  <si>
    <t>Vidro temperado incolor com 8mm de espessura</t>
  </si>
  <si>
    <t>Vidro liso comum transparente 5mm</t>
  </si>
  <si>
    <t>SF-00847</t>
  </si>
  <si>
    <t>Corte em vidro ou espelho reaproveitado</t>
  </si>
  <si>
    <t>SF-00848</t>
  </si>
  <si>
    <t>Lapidação de vidro / espelho reaproveitado</t>
  </si>
  <si>
    <t>Vidro temperado incolor com 10 mm de espessura</t>
  </si>
  <si>
    <t>Bucha para pivô de dobradiça para vidro temperado</t>
  </si>
  <si>
    <t>Suporte para bandeira de vidro temperado, com ponto de giro para dobradiça</t>
  </si>
  <si>
    <t>Suporte de canto, simples, para vidro temperado</t>
  </si>
  <si>
    <t>Suporte de união, sem batedor, para dois ou três vidros temperados</t>
  </si>
  <si>
    <t>Botão de correção para vidro temperado</t>
  </si>
  <si>
    <t>Fechadura bico-de-papagaio, com furo, para vidro temperado</t>
  </si>
  <si>
    <t>Fechadura bico-de-papagaio, com furo, para janela de vidro temperado</t>
  </si>
  <si>
    <t>Fechadura para porta de abrir de vidro temperado</t>
  </si>
  <si>
    <t>Contra fechadura, para alvenaria, para porta com fechadura 1520/9520</t>
  </si>
  <si>
    <t>Contra fechadura de pressão para porta de vidro temperado</t>
  </si>
  <si>
    <t>Contra fechadura, com furo, para porta com furo</t>
  </si>
  <si>
    <t>Trinco inferior, com miolo, para porta de vidro temperado</t>
  </si>
  <si>
    <t>Mola hidráulica BTS 75R</t>
  </si>
  <si>
    <t>Puxador redondo, padrão em poliéster, para porta de vidro temperado</t>
  </si>
  <si>
    <t>Puxador em aço inox sob medida – Tipo A</t>
  </si>
  <si>
    <t>Dobradiça superior para porta de vidro temperado</t>
  </si>
  <si>
    <t>Perfil em alumínio para acabamento de trilho superior</t>
  </si>
  <si>
    <t>Capa do Perfil Guia Inferior “Click”</t>
  </si>
  <si>
    <t>Dobradiça inferior para porta de vidro temperado</t>
  </si>
  <si>
    <t>Escova de vedação para vidro temperado</t>
  </si>
  <si>
    <t>Roldana simples para porta de correr em vidro temperado</t>
  </si>
  <si>
    <t>Roldana dupla para porta de correr em vidro temperado</t>
  </si>
  <si>
    <t>Capuchinho para trinco para vidro temperado</t>
  </si>
  <si>
    <t>Facão simples para lateral e bandeira de vidro temperado</t>
  </si>
  <si>
    <t>Fechadura de pressão para porta de abrir em vidro temperado</t>
  </si>
  <si>
    <t>Suporte de união, com miolo, para vidro temperado</t>
  </si>
  <si>
    <t>Suporte para basculante e pivotante de vidro temperado</t>
  </si>
  <si>
    <t>Trinco central para basculante em vidro temperado</t>
  </si>
  <si>
    <t>SF-00882</t>
  </si>
  <si>
    <t>Suporte tipo “Spiderglass” para vidro temperado</t>
  </si>
  <si>
    <t>Dobradiça horizontal para vidro basculante com trinco</t>
  </si>
  <si>
    <t>Dobradiça horizontal para vidro basculante</t>
  </si>
  <si>
    <t>Fechadura elétrica para porta de vidro temperado</t>
  </si>
  <si>
    <t>Porteiro eletrônico</t>
  </si>
  <si>
    <t>Acionador fixo</t>
  </si>
  <si>
    <t>Mini chapinha para trinco basculante</t>
  </si>
  <si>
    <t>Trinco sem miolo para vidro temperado</t>
  </si>
  <si>
    <t>Veda fresta adesivo “E” branco</t>
  </si>
  <si>
    <t>Regulagem de ferragens</t>
  </si>
  <si>
    <t>Puxador em aço inox sob medida – Tipo B</t>
  </si>
  <si>
    <t>Pivô para dobradiça inferior (Montagem com a 1103-TQ)</t>
  </si>
  <si>
    <t>Dobradiça direita inferior excêntrica</t>
  </si>
  <si>
    <t>Dobradiça esquerda inferior excêntrica</t>
  </si>
  <si>
    <t>Dobradiça pivotante inferior com trinco</t>
  </si>
  <si>
    <t>Carrinho para porta de correr 1 roldana e 2 furos</t>
  </si>
  <si>
    <t>Carrinho para porta de correr 2 roldanas e 2 furos</t>
  </si>
  <si>
    <t>Carrinho para porta de correr com roldana côncava</t>
  </si>
  <si>
    <t>Guia de nylon para porta de correr</t>
  </si>
  <si>
    <t>Puxador H tubular em aço inox, comprimento 45cm, para portas de vidro temperado</t>
  </si>
  <si>
    <t>Transporte de vidros</t>
  </si>
  <si>
    <t>m2 x km</t>
  </si>
  <si>
    <t>Recuperação de massa em esquadria metálica</t>
  </si>
  <si>
    <t>Instalação de espelho reaproveitado</t>
  </si>
  <si>
    <t>Finesson (parafuso de fixação francês)</t>
  </si>
  <si>
    <t>Remoção de mola hidráulica de piso</t>
  </si>
  <si>
    <t>Escavação manual de valas</t>
  </si>
  <si>
    <t>Reaterro de vala com compactação mecanizada</t>
  </si>
  <si>
    <t>Aterro de vala com compactação mecanizada</t>
  </si>
  <si>
    <t>Tubo de cobre classe "E" 28 mm</t>
  </si>
  <si>
    <t>Assento para bacia convencional - Linha Acessibilidade</t>
  </si>
  <si>
    <t>Base registro de gaveta 1 1/2”</t>
  </si>
  <si>
    <t>Montagem e desmontagem de andaime fachadeiro</t>
  </si>
  <si>
    <t>Montagem e desmontagem de andaime tubular</t>
  </si>
  <si>
    <t>SF-00939</t>
  </si>
  <si>
    <t>Tensor com indicador de tensão para linha de vida</t>
  </si>
  <si>
    <t>SF-00941</t>
  </si>
  <si>
    <t>Plataforma de trabalho aéreo tesoura</t>
  </si>
  <si>
    <t>Remoção de folha de porta de enrolar</t>
  </si>
  <si>
    <t>Base registro de gaveta 1"</t>
  </si>
  <si>
    <t>Base registro de pressão 3/4"</t>
  </si>
  <si>
    <t>SF-00945</t>
  </si>
  <si>
    <t>Porta para box de banheiro em laminado estrutural</t>
  </si>
  <si>
    <t>Arquiteto(a) com experiência em intervenção no patrimônio cultural</t>
  </si>
  <si>
    <t xml:space="preserve">hh </t>
  </si>
  <si>
    <t>Locação de andaime suspenso tipo leve</t>
  </si>
  <si>
    <t xml:space="preserve">un x mês </t>
  </si>
  <si>
    <t>SF-00949</t>
  </si>
  <si>
    <t>Cadeira suspensa (balancim individual)</t>
  </si>
  <si>
    <t>Limpeza de superfície por hidrojateamento de média pressão</t>
  </si>
  <si>
    <t>Inspeção da integridade e adesão de placas de rocha ornamental por percussão</t>
  </si>
  <si>
    <t>Demolição de proteção mecânica de impermeabilização</t>
  </si>
  <si>
    <t>Impermeabilização com emulsão asfáltica</t>
  </si>
  <si>
    <t>Camada de proteção mecânica simples de impermeabilização</t>
  </si>
  <si>
    <t>Camada de proteção mecânica estruturada de impermeabilização</t>
  </si>
  <si>
    <t>Remoção de placas  de mármore encaixadas por fixadores metálicos (modelo Ed. Principal)</t>
  </si>
  <si>
    <t>Remoção de placas de rocha ornamental argamassada, para reaproveitamento</t>
  </si>
  <si>
    <t>Identificação e acondicionamento de placas de rocha ornamental</t>
  </si>
  <si>
    <t>Limpeza de placas de rocha ornamental argamassada, para reaproveitamento</t>
  </si>
  <si>
    <t>Remoção e acondicionamento de fixadores metálicos para placas de mármore em fachada (modelo Ed. Principal)</t>
  </si>
  <si>
    <t>Instalação de fixadores metálicos para placas de mármore em fachada reaproveitados (modelo Ed. Principal)</t>
  </si>
  <si>
    <t>Fixadores metálicos para rochas ornamentais (tipo Ed. Principal, peça superior)</t>
  </si>
  <si>
    <t>SF-00963</t>
  </si>
  <si>
    <t>Fixadores metálicos para rochas ornamentais, sob medida</t>
  </si>
  <si>
    <t>SF-00969</t>
  </si>
  <si>
    <t>Instalação de placas de rocha ornamental reaproveitadas, por meio de argamassa</t>
  </si>
  <si>
    <t>Instalação de placas de rocha ornamental reaproveitadas, por meio de argamassa e fixadores metálicos</t>
  </si>
  <si>
    <t>Aplicação de hidrofugante à base de silano e silicone</t>
  </si>
  <si>
    <t>Cantoneira em alumínio abas iguais 1" x 1/8" – Pingadeira “L”</t>
  </si>
  <si>
    <t>Granito Amarelo Maracujá para rodapé</t>
  </si>
  <si>
    <t>Acabamento das extremidades aparentes dos parafusos de fixação (lixamento e revestimento)</t>
  </si>
  <si>
    <t>Rejuntamento de placas de rocha ornamental em fachada</t>
  </si>
  <si>
    <t>Junta de movimentação em fachada</t>
  </si>
  <si>
    <t>Adesivo Selante Poliuretano – fornecimento e aplicação</t>
  </si>
  <si>
    <t>SF-00979</t>
  </si>
  <si>
    <t>Esquadria para fachada do Bloco 14</t>
  </si>
  <si>
    <t>Chuveiro elétrico</t>
  </si>
  <si>
    <t xml:space="preserve">m3 </t>
  </si>
  <si>
    <t>Pavimentação em concreto armado simples</t>
  </si>
  <si>
    <t>Remoção de reservatório d’água</t>
  </si>
  <si>
    <t>Transporte e destinação final de entulho para distâncias até 30 km</t>
  </si>
  <si>
    <t>m3 x km</t>
  </si>
  <si>
    <t>SF-00985</t>
  </si>
  <si>
    <t>Locação de Caminhão Munck</t>
  </si>
  <si>
    <t>Demolição de estrutura metálica</t>
  </si>
  <si>
    <t xml:space="preserve">kg </t>
  </si>
  <si>
    <t>Escavação manual com profundidade maior do que 1,30 m</t>
  </si>
  <si>
    <t>Escavação mecânica com profundidade maior do que 1,30 m</t>
  </si>
  <si>
    <t>Grama Batatais em placas de 40 x 40 cm</t>
  </si>
  <si>
    <t>Pintura de meios-fios com tinta acrílica</t>
  </si>
  <si>
    <t>Meios-fios em concreto pré-moldado</t>
  </si>
  <si>
    <t>Tubo PEAD corrugado para drenagem – Diâmetro 100 mm</t>
  </si>
  <si>
    <t>SF-00993</t>
  </si>
  <si>
    <t>Carpete aveludado azul royal</t>
  </si>
  <si>
    <t>Fixadores metálicos para rochas ornamentais (Modelo Edifício Principal, peça inferior)</t>
  </si>
  <si>
    <t>SF-00995</t>
  </si>
  <si>
    <t>Montagem e desmontagem de andaime suspenso tipo leve (balancim)</t>
  </si>
  <si>
    <t>SF-00996</t>
  </si>
  <si>
    <t>Deslocamento de andaime suspenso tipo leve (balancim)</t>
  </si>
  <si>
    <t>SF-00997</t>
  </si>
  <si>
    <t>Plataforma elevatória vertical para acessibilidade - Bloco 15 (Espaço do Servidor)</t>
  </si>
  <si>
    <t>SF-00998</t>
  </si>
  <si>
    <t>Linha de vida horizontal em trilho</t>
  </si>
  <si>
    <t xml:space="preserve">pavimento </t>
  </si>
  <si>
    <t>SF-00999</t>
  </si>
  <si>
    <t>Trava quedas retrátil</t>
  </si>
  <si>
    <t>SF-01000</t>
  </si>
  <si>
    <t>Locação de Container - Escritório</t>
  </si>
  <si>
    <t xml:space="preserve">mês </t>
  </si>
  <si>
    <t>SF-01002</t>
  </si>
  <si>
    <t>Dobradiça Piano</t>
  </si>
  <si>
    <t>SF-01003</t>
  </si>
  <si>
    <t>SF-01004</t>
  </si>
  <si>
    <t>Compensado Laminado de Imbuia em duas faces - 10 mm</t>
  </si>
  <si>
    <t>SF-01005</t>
  </si>
  <si>
    <t>SF-01006</t>
  </si>
  <si>
    <t>Compensado Laminado de Freijó em duas faces - 10 mm</t>
  </si>
  <si>
    <t>SF-01007</t>
  </si>
  <si>
    <t>SF-01008</t>
  </si>
  <si>
    <t>SF-01009</t>
  </si>
  <si>
    <t>Estrutura metálica em aço – Bloco 19 (Centro de Treinamento)</t>
  </si>
  <si>
    <t>SF-01010</t>
  </si>
  <si>
    <t>Mão francesa metálica</t>
  </si>
  <si>
    <t>Abertura/fechamento de rasgo em concreto</t>
  </si>
  <si>
    <t>Recomposição de rejuntamento sobre revestimentos</t>
  </si>
  <si>
    <t>Impermeabilização de revestimentos em pedra</t>
  </si>
  <si>
    <t>Piso vinílico semiflexível</t>
  </si>
  <si>
    <t>SF-01015</t>
  </si>
  <si>
    <t>SF-01016</t>
  </si>
  <si>
    <t>Porta metálica de giro com dimensões 0,92 x 2,35 m</t>
  </si>
  <si>
    <t>SF-01017</t>
  </si>
  <si>
    <t>SF-01018</t>
  </si>
  <si>
    <t>SF-01019</t>
  </si>
  <si>
    <t>SF-01020</t>
  </si>
  <si>
    <t>SF-01021</t>
  </si>
  <si>
    <t>SF-01022</t>
  </si>
  <si>
    <t>SF-01023</t>
  </si>
  <si>
    <t>SF-01024</t>
  </si>
  <si>
    <t>SF-01025</t>
  </si>
  <si>
    <t>Perfil Marco Reto - 150 x 32 mm</t>
  </si>
  <si>
    <t>SF-01026</t>
  </si>
  <si>
    <t>Perfil Cadeirinha Fechada – 60 x 30 mm</t>
  </si>
  <si>
    <t>SF-01027</t>
  </si>
  <si>
    <t>Perfil Cadeirinha Fechada – 50 x 35 mm</t>
  </si>
  <si>
    <t>SF-01028</t>
  </si>
  <si>
    <t>Perfil Cadeirinha Fechada – 30 x 25 mm</t>
  </si>
  <si>
    <t>Locação de Container - Sanitário</t>
  </si>
  <si>
    <t>Locação de Container - Almoxarifado</t>
  </si>
  <si>
    <t>Placa de Obra</t>
  </si>
  <si>
    <t>SF-01032</t>
  </si>
  <si>
    <t>Supervisor(a) de Obras e Manutenção – Apoio a Projetos de Obras – Arquitetura, civil e hidrossanitária</t>
  </si>
  <si>
    <t>SF-01033</t>
  </si>
  <si>
    <t>Supervisor de Obras e Manutenção - Apoio a Projetos e Obras - Eletromecânico</t>
  </si>
  <si>
    <t>SF-01034</t>
  </si>
  <si>
    <t>Supervisor de Obras e Manutenção – Apoio a projetos e obras - Orçamentos</t>
  </si>
  <si>
    <t>SF-01035</t>
  </si>
  <si>
    <t>Supervisor de Obras e Manutenção – Apoio de campo – Sistemas de climatização</t>
  </si>
  <si>
    <t>SF-01036</t>
  </si>
  <si>
    <t>Supervisor de Obras e Manutenção – Apoio de campo - Elevadores</t>
  </si>
  <si>
    <t>SF-01037</t>
  </si>
  <si>
    <t>Supervisor de Obras e Manutenção – Apoio de campo - Eletrotécnico</t>
  </si>
  <si>
    <t>SF-01038</t>
  </si>
  <si>
    <t>Supervisor de Obras e Manutenção – Apoio de Campo - Obras Civis</t>
  </si>
  <si>
    <t>SF-01039</t>
  </si>
  <si>
    <t>Supervisor de Obras e Manutenção – Apoio de Campo - Hidrossanitário</t>
  </si>
  <si>
    <t>SF-01040</t>
  </si>
  <si>
    <t>Supervisor de Obras e Manutenção – Apoio de campo – Planejamento</t>
  </si>
  <si>
    <t>Supervisor de Obras e Manutenção – Apoio de campo – Segurança do Trabalho</t>
  </si>
  <si>
    <t>SF-01042</t>
  </si>
  <si>
    <t>Máquina fotográfica digital</t>
  </si>
  <si>
    <t>SF-01043</t>
  </si>
  <si>
    <t>SF-01044</t>
  </si>
  <si>
    <t>Paquímetro digital</t>
  </si>
  <si>
    <t>SF-01045</t>
  </si>
  <si>
    <t>Nível laser</t>
  </si>
  <si>
    <t>SF-01046</t>
  </si>
  <si>
    <t>Trena Laser (curto alcance)</t>
  </si>
  <si>
    <t>SF-01047</t>
  </si>
  <si>
    <t>Trena Laser (longo alcance)</t>
  </si>
  <si>
    <t>SF-01048</t>
  </si>
  <si>
    <t>Tripé para trena laser</t>
  </si>
  <si>
    <t>SF-01049</t>
  </si>
  <si>
    <t>Suporte universal para trena laser</t>
  </si>
  <si>
    <t>SF-01050</t>
  </si>
  <si>
    <t>SF-01051</t>
  </si>
  <si>
    <t>Prancheta portátil A3</t>
  </si>
  <si>
    <t>SF-01052</t>
  </si>
  <si>
    <t>Luva isolante</t>
  </si>
  <si>
    <t xml:space="preserve">Reparo de placas de mármore com adesivo estrutural epóxi branco/transparente </t>
  </si>
  <si>
    <t>Perfil de chapa de aço galvanizado para esquadria (Anexo 1)</t>
  </si>
  <si>
    <t>SF-01055</t>
  </si>
  <si>
    <t>SF-01056</t>
  </si>
  <si>
    <t>Projeto de adaptação/modificação/reforço da estrutura e suas fundações para os novos usos - Bloco 15 (Espaço do Servidor)</t>
  </si>
  <si>
    <t>SF-01057</t>
  </si>
  <si>
    <t>Estrutura metálica em aço para o Bloco 15 (Espaço do Servidor)</t>
  </si>
  <si>
    <t>SF-01058</t>
  </si>
  <si>
    <t>Projeto de distribuição de gás GLP</t>
  </si>
  <si>
    <t>Granito Vermelho Brasília 20 mm para bancadas</t>
  </si>
  <si>
    <t>Porta em alumínio tipo veneziana</t>
  </si>
  <si>
    <t>Porta metálica de enrolar</t>
  </si>
  <si>
    <t>Medidor de Gás</t>
  </si>
  <si>
    <t>Registro Esfera para Gás 3/4”</t>
  </si>
  <si>
    <t>Eletroduto PEAD 3”</t>
  </si>
  <si>
    <t>SF-01067</t>
  </si>
  <si>
    <t>Caixa de Proteção para Alimentação de Gás</t>
  </si>
  <si>
    <t>Eletroduto de aço galvanizado de 3”</t>
  </si>
  <si>
    <t>Grelha reta para ralo</t>
  </si>
  <si>
    <t>Granito Vermelho Brasília para soleira e peitoril</t>
  </si>
  <si>
    <t>Luminária LED redonda de embutir</t>
  </si>
  <si>
    <t>Piso tátil de borracha</t>
  </si>
  <si>
    <t>Granito Vermelho Brasília 20 mm para divisória</t>
  </si>
  <si>
    <t>Tampa em ferro fundido 20x20 cm</t>
  </si>
  <si>
    <t>SF-01075</t>
  </si>
  <si>
    <t>Sondagem</t>
  </si>
  <si>
    <t>Cerâmica para revestimento de superfícies internas ou externas – Linha GAIL</t>
  </si>
  <si>
    <t>Aterro de vala com areia média e compactação mecanizada</t>
  </si>
  <si>
    <t>Guarda-corpo panorâmico</t>
  </si>
  <si>
    <t>SF-01079</t>
  </si>
  <si>
    <t>Divisória Naval com painel liso cego e bandeira</t>
  </si>
  <si>
    <t>SF-01081</t>
  </si>
  <si>
    <t>Alimentação para mão-de-obra indireta</t>
  </si>
  <si>
    <t>Transporte para mão-de-obra indireta</t>
  </si>
  <si>
    <t>SF-01084</t>
  </si>
  <si>
    <t>Transporte de andaime</t>
  </si>
  <si>
    <t>SF-01085</t>
  </si>
  <si>
    <t>Transporte de Container</t>
  </si>
  <si>
    <t>SF-01086</t>
  </si>
  <si>
    <t>Coifa Convencional Tipo Caixa para Cozinha Industrial - Bloco 15 (Espaço do Servidor)</t>
  </si>
  <si>
    <t>SF-01087</t>
  </si>
  <si>
    <t>Puxador com fecho embutido (punho) para janela metálica</t>
  </si>
  <si>
    <t>SF-01091</t>
  </si>
  <si>
    <t>Painel metálico para retorno</t>
  </si>
  <si>
    <t>SF-01095</t>
  </si>
  <si>
    <t>SF-01096</t>
  </si>
  <si>
    <t>SF-01099</t>
  </si>
  <si>
    <t>SF-01100</t>
  </si>
  <si>
    <t>Eletroduto flexível metálico com capa de PVC 1 1/2"</t>
  </si>
  <si>
    <t>Técnico(a) em Edificações - Planejamento de Manutenção</t>
  </si>
  <si>
    <t>SF-01103</t>
  </si>
  <si>
    <t>Locação de Retroescavadeira com Pá Carregadeira sobre Rodas</t>
  </si>
  <si>
    <t>Projeto de Impermeabilização</t>
  </si>
  <si>
    <t>Laminado decorativo de alta pressão (LDAP)</t>
  </si>
  <si>
    <t>Granitina para revestimento de pisos</t>
  </si>
  <si>
    <t>Piso vinílico flexível em manta</t>
  </si>
  <si>
    <t>Tratamento de juntas de dilatação ou movimentação</t>
  </si>
  <si>
    <t>Recuperação superficial de preparação para pintura epóxi de alto desempenho</t>
  </si>
  <si>
    <t>Piso de borracha antiderrapante tipo moeda</t>
  </si>
  <si>
    <t>Forro monolítico de gesso em placas</t>
  </si>
  <si>
    <t>Pintura Eletrostática</t>
  </si>
  <si>
    <t>Pintura com tinta acrílica (pisos)</t>
  </si>
  <si>
    <t>Pintura com tinta epóxi de alto desempenho (pisos)</t>
  </si>
  <si>
    <t>Verniz de poliuretano sobre pintura epóxi de alto desempenho</t>
  </si>
  <si>
    <t>Tratamento antiderrapante em verniz de poliuretano sobre pintura epóxi</t>
  </si>
  <si>
    <t>Pintura para superfícies galvanizadas</t>
  </si>
  <si>
    <t>Selagem ou resselagem de juntas em pavimentação de concreto armado</t>
  </si>
  <si>
    <t>Pavimentação em elementos intertravados de concreto</t>
  </si>
  <si>
    <t>Pavimentação com Asfalto Pré-Misturado a Frio (PMF)</t>
  </si>
  <si>
    <t>Pavimentação asfáltica com CBUQ para aplicação a frio (remendo)</t>
  </si>
  <si>
    <t>Pintura para sinalização e demarcação viária horizontal</t>
  </si>
  <si>
    <t>Telha metálica trapezoidal galvanizada - GR-40</t>
  </si>
  <si>
    <t>Cumeeira para telha metálica trapezoidal galvanizada - GR-40</t>
  </si>
  <si>
    <t>Telha metálica trapezoidal galvanizada - GR-25</t>
  </si>
  <si>
    <t>Cumeeira para telha metálica trapezoidal galvanizada - GR-25</t>
  </si>
  <si>
    <t>Cumeeira articulada ABA SUPERIOR de fibrocimento para telha modulada - espessura 6 mm</t>
  </si>
  <si>
    <t>Cumeeira articulada ABA INFERIOR de fibrocimento para telha modulada - espessura 6 mm</t>
  </si>
  <si>
    <t>Cumeeira UNIVERSAL para telha de fibrocimento ondulada - espessura 6 mm</t>
  </si>
  <si>
    <t>Cumeeira TIPO SHED para telha de fibrocimento ondulada - espessura 6 mm</t>
  </si>
  <si>
    <t>Telha de fibrocimento - Canalete 49 Eternit</t>
  </si>
  <si>
    <t>SF-01144</t>
  </si>
  <si>
    <t>Passarela móvel para telhado (sem degraus)</t>
  </si>
  <si>
    <t>SF-01145</t>
  </si>
  <si>
    <t>Passarela móvel para telhado (com degraus)</t>
  </si>
  <si>
    <t>SF-01146</t>
  </si>
  <si>
    <t>Locação de guincho elétrico de coluna</t>
  </si>
  <si>
    <t>Escada tipo marinheiro COM proteção</t>
  </si>
  <si>
    <t>Escada tipo marinheiro SEM proteção</t>
  </si>
  <si>
    <t>Limpeza e Preparação do Substrato para Impermeabilização</t>
  </si>
  <si>
    <t>Substituição de Coletores de Águas Pluviais</t>
  </si>
  <si>
    <t>Tratamento de Tubulação Passante para Impermeabilização</t>
  </si>
  <si>
    <t>Camada Separadora para Impermeabilização</t>
  </si>
  <si>
    <t>Camada de Proteção Térmica para Impermeabilização</t>
  </si>
  <si>
    <t>Camada de Amortecimento para Impermeabilização</t>
  </si>
  <si>
    <t>Camada de Proteção Mecânica em Placas de Impermeabilização</t>
  </si>
  <si>
    <t>Pintura Inibidora de Raízes em Estrutura Impermeabilizada</t>
  </si>
  <si>
    <t>Camada Drenante para Impermeabilização</t>
  </si>
  <si>
    <t>Calha em Chapa de Aço Galvanizado nº 24</t>
  </si>
  <si>
    <t>Rufo em Chapa de Aço Galvanizado nº 24</t>
  </si>
  <si>
    <t>SF-01162</t>
  </si>
  <si>
    <t>Resina de Poliuretano para Estrutura de Concreto</t>
  </si>
  <si>
    <t>Chapim Pré-Moldado de Concreto Aparente</t>
  </si>
  <si>
    <t>Armação em tela de aço soldado nervurada</t>
  </si>
  <si>
    <t>Trama de aço composta por terças para telhados de até 2 águas</t>
  </si>
  <si>
    <t>Revestimento impermeabilizante bloqueador de umidade</t>
  </si>
  <si>
    <t>Pintura com tinta refletiva aluminizada para impermeabilização</t>
  </si>
  <si>
    <t>Concreto leve com poliestireno expandido</t>
  </si>
  <si>
    <t>Colagem da camada de proteção térmica de impermeabilização</t>
  </si>
  <si>
    <t>Impermeabilização com Membrana de Poliuretano</t>
  </si>
  <si>
    <t>Impermeabilização com Manta Asfáltica</t>
  </si>
  <si>
    <t>Impermeabilização com manta asfáltica aluminizada</t>
  </si>
  <si>
    <t>Impermeabilização com manta elastomérica de etileno-propileno-dieno-monômero (EPDM)</t>
  </si>
  <si>
    <t>Impermeabilização com membrana acrílica</t>
  </si>
  <si>
    <t>Asfalto elastomérico para colagem de manta asfáltica</t>
  </si>
  <si>
    <t>Impermeabilização com manta dupla (com maçarico)</t>
  </si>
  <si>
    <t>Impermeabilização com manta dupla (com asfalto elastomérico)</t>
  </si>
  <si>
    <t>SF-01178</t>
  </si>
  <si>
    <t>Fibra de Polipropileno</t>
  </si>
  <si>
    <t>Aditivo Incorporador de Ar</t>
  </si>
  <si>
    <t>Brita Nº 2</t>
  </si>
  <si>
    <t>SF-01181</t>
  </si>
  <si>
    <t>Parafusos para fixação de telhas ou chapas</t>
  </si>
  <si>
    <t>SF-01182</t>
  </si>
  <si>
    <t>Pino para fixação e acessórios de telha de fibrocimento modulada</t>
  </si>
  <si>
    <t>SF-01183</t>
  </si>
  <si>
    <t>Rebite de Repuxo de 3.2 x 8 mm</t>
  </si>
  <si>
    <t>SF-01184</t>
  </si>
  <si>
    <t>Calha em chapa de zinco # 24 - Modelo 1</t>
  </si>
  <si>
    <t>SF-01185</t>
  </si>
  <si>
    <t>Calha em chapa de zinco # 24 - Modelo 2</t>
  </si>
  <si>
    <t>SF-01186</t>
  </si>
  <si>
    <t>Chave de fenda de 3/8" x 10"</t>
  </si>
  <si>
    <t>SF-01187</t>
  </si>
  <si>
    <t>Chave de fenda de 5/16" x 8"</t>
  </si>
  <si>
    <t>SF-01188</t>
  </si>
  <si>
    <t>Chave de fenda de 1/8" x 3"</t>
  </si>
  <si>
    <t>SF-01189</t>
  </si>
  <si>
    <t>Chave Philips PH2 3/16" x 4"</t>
  </si>
  <si>
    <t>SF-01190</t>
  </si>
  <si>
    <t>Chave Philips PH2 3/16" x 5"</t>
  </si>
  <si>
    <t>SF-01191</t>
  </si>
  <si>
    <t>Conjunto de cavadeiras (grande e pequena)</t>
  </si>
  <si>
    <t>SF-01192</t>
  </si>
  <si>
    <t>SF-01193</t>
  </si>
  <si>
    <t>SF-01194</t>
  </si>
  <si>
    <t>SF-01195</t>
  </si>
  <si>
    <t>SF-01196</t>
  </si>
  <si>
    <t>Conjunto de escovas de aço (pequena, média e grande)</t>
  </si>
  <si>
    <t>SF-01197</t>
  </si>
  <si>
    <t>Marreta de 2 kg</t>
  </si>
  <si>
    <t>SF-01198</t>
  </si>
  <si>
    <t>Marreta de 5 kg</t>
  </si>
  <si>
    <t>SF-01199</t>
  </si>
  <si>
    <t>Marreta de 10 kg</t>
  </si>
  <si>
    <t>SF-01200</t>
  </si>
  <si>
    <t>SF-01201</t>
  </si>
  <si>
    <t>SF-01202</t>
  </si>
  <si>
    <t>Serra copo diamantada (conjunto de 1/2" a 1 1/2")</t>
  </si>
  <si>
    <t>SF-01203</t>
  </si>
  <si>
    <t>Cortadora de Piso a Gasolina</t>
  </si>
  <si>
    <t>SF-01204</t>
  </si>
  <si>
    <t>Cortadora de Parede</t>
  </si>
  <si>
    <t>SF-01205</t>
  </si>
  <si>
    <t>Enxada com cabo (2,5 libras)</t>
  </si>
  <si>
    <t>SF-01206</t>
  </si>
  <si>
    <t>Escada extensível de alumínio dupla 2x8</t>
  </si>
  <si>
    <t>SF-01207</t>
  </si>
  <si>
    <t>Escada extensível de alumínio dupla 2x12</t>
  </si>
  <si>
    <t>SF-01208</t>
  </si>
  <si>
    <t>Escada tipo tesoura duplo acesso de fibra com 12 degraus</t>
  </si>
  <si>
    <t>SF-01209</t>
  </si>
  <si>
    <t>SF-01210</t>
  </si>
  <si>
    <t>Furadeira/Parafusadeira elétrica</t>
  </si>
  <si>
    <t>SF-01211</t>
  </si>
  <si>
    <t>Furadeira de impacto/parafusadeira à bateria</t>
  </si>
  <si>
    <t>SF-01212</t>
  </si>
  <si>
    <t>Jogo de Bits pontas e soquetes para Furadeira/ Parafusadeira</t>
  </si>
  <si>
    <t>SF-01213</t>
  </si>
  <si>
    <t>SF-01214</t>
  </si>
  <si>
    <t>SF-01215</t>
  </si>
  <si>
    <t>SF-01216</t>
  </si>
  <si>
    <t>Pistola aplicadora de silicone e PU</t>
  </si>
  <si>
    <t>SF-01217</t>
  </si>
  <si>
    <t>Serra mármore</t>
  </si>
  <si>
    <t>SF-01218</t>
  </si>
  <si>
    <t>Serrote para gesso</t>
  </si>
  <si>
    <t>SF-01219</t>
  </si>
  <si>
    <t>Talha Manual para Elevação de Cargas (2 ton)</t>
  </si>
  <si>
    <t>SF-01220</t>
  </si>
  <si>
    <t>SF-01221</t>
  </si>
  <si>
    <t>Plataforma de trabalho aéreo - em ambiente interno</t>
  </si>
  <si>
    <t>SF-01222</t>
  </si>
  <si>
    <t>Dispositivo Individual Móvel de Proteção Contra Queda</t>
  </si>
  <si>
    <t>SF-01223</t>
  </si>
  <si>
    <t>Sondagem - Perfuração adicional de furo</t>
  </si>
  <si>
    <t>SF-01224</t>
  </si>
  <si>
    <t>Lavadora de alta pressão</t>
  </si>
  <si>
    <t>SF-01225</t>
  </si>
  <si>
    <t>Manta autocolante aluminizada</t>
  </si>
  <si>
    <t>SF-01226</t>
  </si>
  <si>
    <t>Primer para aplicação de manta autocolante aluminizada</t>
  </si>
  <si>
    <t>SF-01227</t>
  </si>
  <si>
    <t>SF-01228</t>
  </si>
  <si>
    <t>SF-01229</t>
  </si>
  <si>
    <t>SF-01230</t>
  </si>
  <si>
    <t>Modernização dos elevadores dos Blocos C, D e G da SQS 309</t>
  </si>
  <si>
    <t>SF-01231</t>
  </si>
  <si>
    <t>Carpete aveludado azul royal - fornecimento e instalação</t>
  </si>
  <si>
    <t>Demolição de revestimento de piso têxtil (carpete)</t>
  </si>
  <si>
    <t>SF-01234</t>
  </si>
  <si>
    <t>BENEFÍCIOS E DESPESAS INDIRETAS - BDI</t>
  </si>
  <si>
    <t>BDI Edificações</t>
  </si>
  <si>
    <t>BDI mero fornecimento</t>
  </si>
  <si>
    <t>Componentes do BDI</t>
  </si>
  <si>
    <t>Cálculo sem CPRB</t>
  </si>
  <si>
    <t>não-desonerado</t>
  </si>
  <si>
    <t>% considerado</t>
  </si>
  <si>
    <t>AC</t>
  </si>
  <si>
    <t>S+G</t>
  </si>
  <si>
    <t>R</t>
  </si>
  <si>
    <t>DF</t>
  </si>
  <si>
    <t>PIS</t>
  </si>
  <si>
    <t>COFINS</t>
  </si>
  <si>
    <t>CPRB</t>
  </si>
  <si>
    <t>ISS</t>
  </si>
  <si>
    <r>
      <t xml:space="preserve">Fontes: </t>
    </r>
    <r>
      <rPr>
        <sz val="12"/>
        <rFont val="Arial"/>
        <family val="2"/>
      </rPr>
      <t>Acórdãos 2.369/2011-TCU-Plenário e 2.622/2013-TCU-Plenário.</t>
    </r>
  </si>
  <si>
    <t>CUSTO DIRETO TOTAL</t>
  </si>
  <si>
    <t>ESCAVADEIRA HIDRÁULICA SOBRE ESTEIRAS, CAÇAMBA 0,80 M3, PESO OPERACIONAL 17 T, POTENCIA BRUTA 111 HP - CHP DIURNO. AF_06/2014</t>
  </si>
  <si>
    <t>RETROESCAVADEIRA SOBRE RODAS COM CARREGADEIRA, TRAÇÃO 4X4, POTÊNCIA LÍQ. 88 HP, CAÇAMBA CARREG. CAP. MÍN. 1 M3, CAÇAMBA RETRO CAP. 0,26 M3, PESO OPERACIONAL MÍN. 6.674 KG, PROFUNDIDADE ESCAVAÇÃO MÁX. 4,37 M - CHP DIURNO. AF_06/2014</t>
  </si>
  <si>
    <t>GUINDAUTO HIDRÁULICO, CAPACIDADE MÁXIMA DE CARGA 6200 KG, MOMENTO MÁXIMO DE CARGA 11,7 TM, ALCANCE MÁXIMO HORIZONTAL 9,70 M, INCLUSIVE CAMINHÃO TOCO PBT 16.000 KG, POTÊNCIA DE 189 CV - CHP DIURNO. AF_06/2014</t>
  </si>
  <si>
    <t>PÁ CARREGADEIRA SOBRE RODAS, POTÊNCIA LÍQUIDA 128 HP, CAPACIDADE DA CAÇAMBA 1,7 A 2,8 M3, PESO OPERACIONAL 11632 KG - CHP DIURNO. AF_06/2014</t>
  </si>
  <si>
    <t>MISTURADOR DE ARGAMASSA, EIXO HORIZONTAL, CAPACIDADE DE MISTURA 300 KG, MOTOR ELÉTRICO POTÊNCIA 5 CV - CHP DIURNO. AF_06/2014</t>
  </si>
  <si>
    <t>PERFURATRIZ HIDRÁULICA SOBRE CAMINHÃO COM TRADO CURTO ACOPLADO, PROFUNDIDADE MÁXIMA DE 20 M, DIÂMETRO MÁXIMO DE 1500 MM, POTÊNCIA INSTALADA DE 137 HP, MESA ROTATIVA COM TORQUE MÁXIMO DE 30 KNM - CHP DIURNO. AF_06/2015</t>
  </si>
  <si>
    <t>GUINDASTE HIDRÁULICO AUTOPROPELIDO, COM LANÇA TELESCÓPICA 40 M, CAPACIDADE MÁXIMA 60 T, POTÊNCIA 260 KW - CHP DIURNO. AF_03/2016</t>
  </si>
  <si>
    <t>ESCAVADEIRA HIDRÁULICA SOBRE ESTEIRAS, CAÇAMBA 0,80 M3, PESO OPERACIONAL 17 T, POTENCIA BRUTA 111 HP - CHI DIURNO. AF_06/2014</t>
  </si>
  <si>
    <t>RETROESCAVADEIRA SOBRE RODAS COM CARREGADEIRA, TRAÇÃO 4X4, POTÊNCIA LÍQ. 88 HP, CAÇAMBA CARREG. CAP. MÍN. 1 M3, CAÇAMBA RETRO CAP. 0,26 M3, PESO OPERACIONAL MÍN. 6.674 KG, PROFUNDIDADE ESCAVAÇÃO MÁX. 4,37 M - CHI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</si>
  <si>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</si>
  <si>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CHI DIURNO. AF_06/2014</t>
  </si>
  <si>
    <t>MISTURADOR DE ARGAMASSA, EIXO HORIZONTAL, CAPACIDADE DE MISTURA 300 KG, MOTOR ELÉTRICO POTÊNCIA 5 CV - CHI DIURNO. AF_06/2014</t>
  </si>
  <si>
    <t>PERFURATRIZ HIDRÁULICA SOBRE CAMINHÃO COM TRADO CURTO ACOPLADO, PROFUNDIDADE MÁXIMA DE 20 M, DIÂMETRO MÁXIMO DE 1500 MM, POTÊNCIA INSTALADA DE 137 HP, MESA ROTATIVA COM TORQUE MÁXIMO DE 30 KNM - CHI DIURNO. AF_06/2015</t>
  </si>
  <si>
    <t>GUINDASTE HIDRÁULICO AUTOPROPELIDO, COM LANÇA TELESCÓPICA 40 M, CAPACIDADE MÁXIMA 60 T, POTÊNCIA 260 KW - CHI DIURNO. AF_03/2016</t>
  </si>
  <si>
    <t>MÁQUINA DEMARCADORA DE FAIXA DE TRÁFEGO À FRIO, AUTOPROPELIDA, POTÊNCIA 38 HP - CHI DIURNO. AF_07/2016</t>
  </si>
  <si>
    <t>FABRICAÇÃO DE FÔRMA PARA PILARES E ESTRUTURAS SIMILARES, EM MADEIRA SERRADA, E=25 MM. AF_12/2015</t>
  </si>
  <si>
    <t>ARMAÇÃO VERTICAL DE ALVENARIA ESTRUTURAL; DIÂMETRO DE 10,0 MM. AF_01/2015</t>
  </si>
  <si>
    <t>ARMAÇÃO DE CINTA DE ALVENARIA ESTRUTURAL; DIÂMETRO DE 10,0 MM. AF_01/2015</t>
  </si>
  <si>
    <t>ARMAÇÃO DE LAJE DE UMA ESTRUTURA CONVENCIONAL DE CONCRETO ARMADO EM UMA EDIFICAÇÃO TÉRREA OU SOBRADO UTILIZANDO AÇO CA-60 DE 5,0 MM - MONTAGEM. AF_12/2015</t>
  </si>
  <si>
    <t>CORTE E DOBRA DE AÇO CA-50, DIÂMETRO DE 16,0 MM, UTILIZADO EM ESTRUTURAS DIVERSAS, EXCETO LAJES. AF_12/2015</t>
  </si>
  <si>
    <t>CORTE E DOBRA DE AÇO CA-60, DIÂMETRO DE 5,0 MM, UTILIZADO EM LAJE. AF_12/2015</t>
  </si>
  <si>
    <t>CORTE E DOBRA DE AÇO CA-25, DIÂMETRO DE 16,0 MM. AF_12/2015</t>
  </si>
  <si>
    <t>CONCRETO FCK = 20MPA, TRAÇO 1:2,7:3 (CIMENTO/ AREIA MÉDIA/ BRITA 1)  - PREPARO MECÂNICO COM BETONEIRA 400 L. AF_07/2016</t>
  </si>
  <si>
    <t>CONCRETO FCK = 25MPA, TRAÇO 1:2,3:2,7 (CIMENTO/ AREIA MÉDIA/ BRITA 1)  - PREPARO MECÂNICO COM BETONEIRA 600 L. AF_07/2016</t>
  </si>
  <si>
    <t>CONCRETO FCK = 30MPA, TRAÇO 1:2,1:2,5 (CIMENTO/ AREIA MÉDIA/ BRITA 1)  - PREPARO MECÂNICO COM BETONEIRA 600 L. AF_07/2016</t>
  </si>
  <si>
    <t>PEÇA RETANGULAR PRÉ-MOLDADA, VOLUME DE CONCRETO DE 10 A 30 LITROS, TAXA DE AÇO APROXIMADA DE 30KG/M³. AF_01/2018</t>
  </si>
  <si>
    <t>PEÇA RETANGULAR PRÉ-MOLDADA, VOLUME DE CONCRETO DE 30 A 100 LITROS, TAXA DE AÇO APROXIMADA DE 30KG/M³. AF_01/2018</t>
  </si>
  <si>
    <t>FIXAÇÃO DE TUBOS HORIZONTAIS DE PVC, CPVC OU COBRE DIÂMETROS MENORES OU IGUAIS A 40 MM OU ELETROCALHAS ATÉ 150MM DE LARGURA, COM ABRAÇADEIRA METÁLICA RÍGIDA TIPO D 1/2,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</si>
  <si>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</si>
  <si>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</si>
  <si>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UTILIZANDO PARAFUSO E BUCHA DE NYLON, SOMENTE MÃO DE OBRA. AF_10/2016</t>
  </si>
  <si>
    <t>EMBOÇO, PARA RECEBIMENTO DE CERÂMICA, EM ARGAMASSA TRAÇO 1:2:8, PREPARO MECÂNICO COM BETONEIRA 400L, APLICADO MANUALMENTE EM FACES INTERNAS DE PAREDES, PARA AMBIENTE COM ÁREA MENOR QUE 5M2, ESPESSURA DE 10MM, COM EXECUÇÃO DE TALISCAS. AF_06/2014</t>
  </si>
  <si>
    <t>ARGAMASSA TRAÇO 1:1:6 (EM VOLUME DE CIMENTO, CAL E AREIA MÉDIA ÚMIDA) PARA EMBOÇO/MASSA ÚNICA/ASSENTAMENTO DE ALVENARIA DE VEDAÇÃO, PREPARO MECÂNICO COM BETONEIRA 400 L. AF_08/2019</t>
  </si>
  <si>
    <t>ARGAMASSA TRAÇO 1:3 (EM VOLUME DE CIMENTO E AREIA MÉDIA ÚMIDA) PARA CONTRAPISO, PREPARO MECÂNICO COM BETONEIRA 400 L. AF_08/2019</t>
  </si>
  <si>
    <t>ARGAMASSA TRAÇO 1:3 (EM VOLUME DE CIMENTO E AREIA GROSSA ÚMIDA) PARA CHAPISCO CONVENCIONAL, PREPARO MECÂNICO COM BETONEIRA 400 L. AF_08/2019</t>
  </si>
  <si>
    <t>ARGAMASSA TRAÇO 1:1:6 (EM VOLUME DE CIMENTO, CAL E AREIA MÉDIA ÚMIDA) PARA EMBOÇO/MASSA ÚNICA/ASSENTAMENTO DE ALVENARIA DE VEDAÇÃO, PREPARO MANUAL. AF_08/2019</t>
  </si>
  <si>
    <t>ARGAMASSA TRAÇO 1:3 (EM VOLUME DE CIMENTO E AREIA MÉDIA ÚMIDA), PREPARO MECÂNICO COM BETONEIRA 400 L. AF_08/2019</t>
  </si>
  <si>
    <t>ARGAMASSA TRAÇO 1:2:9 (EM VOLUME DE CIMENTO, CAL E AREIA MÉDIA ÚMIDA) PARA EMBOÇO/MASSA ÚNICA/ASSENTAMENTO DE ALVENARIA DE VEDAÇÃO, PREPARO MECÂNICO COM BETONEIRA 400 L. AF_08/2019</t>
  </si>
  <si>
    <t>MARCAÇÃO DE PONTOS EM GABARITO OU CAVALETE. AF_10/2018</t>
  </si>
  <si>
    <t>AJUDANTE DE OPERAÇÃO EM GERAL COM ENCARGOS COMPLEMENTARES</t>
  </si>
  <si>
    <t>ASSENTADOR DE TUBOS COM ENCARGOS COMPLEMENTARES</t>
  </si>
  <si>
    <t>AUXILIAR DE TOPÓGRAFO COM ENCARGOS COMPLEMENTARES</t>
  </si>
  <si>
    <t>ELETROTÉCNICO COM ENCARGOS COMPLEMENTARES</t>
  </si>
  <si>
    <t>MARCENEIRO COM ENCARGOS COMPLEMENTARES</t>
  </si>
  <si>
    <t>MARMORISTA/GRANITEIRO COM ENCARGOS COMPLEMENTARES</t>
  </si>
  <si>
    <t>MECÃNICO DE EQUIPAMENTOS PESADOS COM ENCARGOS COMPLEMENTARES</t>
  </si>
  <si>
    <t>SOLDADOR COM ENCARGOS COMPLEMENTARES</t>
  </si>
  <si>
    <t>VIDRACEIRO COM ENCARGOS COMPLEMENTARES</t>
  </si>
  <si>
    <t>ARQUITETO DE OBRA PLENO COM ENCARGOS COMPLEMENTARES</t>
  </si>
  <si>
    <t>AUXILIAR DE ESCRITORIO COM ENCARGOS COMPLEMENTARES</t>
  </si>
  <si>
    <t>DESENHISTA PROJETISTA COM ENCARGOS COMPLEMENTARES</t>
  </si>
  <si>
    <t>ENCARREGADO GERAL COM ENCARGOS COMPLEMENTARES</t>
  </si>
  <si>
    <t>ENGENHEIRO CIVIL DE OBRA JUNIOR COM ENCARGOS COMPLEMENTARES</t>
  </si>
  <si>
    <t>MESTRE DE OBRAS COM ENCARGOS COMPLEMENTARES</t>
  </si>
  <si>
    <t>TOPOGRAFO COM ENCARGOS COMPLEMENTARES</t>
  </si>
  <si>
    <t>ENGENHEIRO ELETRICISTA COM ENCARGOS COMPLEMENTARES</t>
  </si>
  <si>
    <t>AUXILIAR DE ALMOXARIFE COM ENCARGOS COMPLEMENTARES</t>
  </si>
  <si>
    <t>AJUDANTE DE PINTOR COM ENCARGOS COMPLEMENTARES</t>
  </si>
  <si>
    <t>MECÂNICO DE REFRIGERAÇÃO COM ENCARGOS COMPLEMENTARES</t>
  </si>
  <si>
    <t>ADESIVO ESTRUTURAL A BASE DE RESINA EPOXI, BICOMPONENTE, FLUIDO</t>
  </si>
  <si>
    <t>ADESIVO PARA TUBOS CPVC, *75* G</t>
  </si>
  <si>
    <t>ARAME GALVANIZADO 16 BWG, D = 1,65MM (0,0166 KG/M)</t>
  </si>
  <si>
    <t>CANTONEIRA ALUMINIO ABAS IGUAIS 1 ", E = 3 /16 "</t>
  </si>
  <si>
    <t>CHAPA DE ACO GALVANIZADA BITOLA GSG 16, E = 1,55 MM (12,40 KG/M2)</t>
  </si>
  <si>
    <t>CHAPA DE LAMINADO MELAMINICO, TEXTURIZADO, DE *1,25 X 3,08* M, E = 0,8 MM</t>
  </si>
  <si>
    <t>CHAPA DE MDF BRANCO LISO 1 FACE, E = 6 MM, DE *2,75 X 1,85* M</t>
  </si>
  <si>
    <t>CHAPA DE MDF BRANCO LISO 2 FACES, E = 15 MM, DE *2,75 X 1,85* M</t>
  </si>
  <si>
    <t>CHAPA DE MDF BRANCO LISO 2 FACES, E = 18 MM, DE *2,75 X 1,85* M</t>
  </si>
  <si>
    <t>CONCRETO USINADO BOMBEAVEL, CLASSE DE RESISTENCIA C20, COM BRITA 0 E 1, SLUMP = 100 +/- 20 MM, EXCLUI SERVICO DE BOMBEAMENTO (NBR 8953)</t>
  </si>
  <si>
    <t>ENDURECEDOR MINERAL DE BASE CIMENTICIA PARA PISO DE CONCRETO</t>
  </si>
  <si>
    <t>LAMPADA FLUORESCENTE COMPACTA 2U BRANCA 15 W, BASE E27 (127/220 V)</t>
  </si>
  <si>
    <t>LUMINARIA PLAFON REDONDO COM VIDRO FOSCO DIAMETRO *30* CM, PARA 2 LAMPADAS, BASE E27, POTENCIA MAXIMA 40/60 W (NAO INCLUI LAMPADAS)</t>
  </si>
  <si>
    <t>MASSA PLASTICA PARA MARMORE/GRANITO</t>
  </si>
  <si>
    <t>PISO DE BORRACHA PASTILHADO EM PLACAS 50 X 50 CM, E = *3,5* MM, PARA COLA, PRETO</t>
  </si>
  <si>
    <t>PREGO DE ACO POLIDO COM CABECA DUPLA 17 X 27 (2 1/2 X 11)</t>
  </si>
  <si>
    <t>PREGO DE ACO POLIDO SEM CABECA 15 X 15 (1 1/4 X 13)</t>
  </si>
  <si>
    <t>PULSADOR CAMPAINHA 10A, 250V (APENAS MODULO)</t>
  </si>
  <si>
    <t>QUADRO DE DISTRIBUICAO COM BARRAMENTO TRIFASICO, DE SOBREPOR, EM CHAPA DE ACO GALVANIZADO, PARA 18 DISJUNTORES DIN, 100 A</t>
  </si>
  <si>
    <t>RODAPE DE MADEIRA MACICA CUMARU/IPE CHAMPANHE OU EQUIVALENTE DA REGIAO, *1,5 X 7 CM</t>
  </si>
  <si>
    <t>SUPORTE MAO-FRANCESA EM ACO, ABAS IGUAIS 40 CM, CAPACIDADE MINIMA 70 KG, BRANCO</t>
  </si>
  <si>
    <t>TE MISTURADOR DE TRANSICAO, CPVC, COM ROSCA, 22 MM X 3/4", PARA AGUA QUENTE</t>
  </si>
  <si>
    <t>TELA DE ARAME GALVANIZADA QUADRANGULAR / LOSANGULAR, FIO 2,77 MM (12 BWG), MALHA 5 X 5 CM, H = 2 M</t>
  </si>
  <si>
    <t>TELA EM METAL PARA ESTUQUE (DEPLOYE)</t>
  </si>
  <si>
    <t>TELA PLASTICA LARANJA, TIPO TAPUME PARA SINALIZACAO, MALHA RETANGULAR, ROLO 1.20 X 50 M (L X C)</t>
  </si>
  <si>
    <t>TELHA TRAPEZOIDAL EM ACO ZINCADO, SEM PINTURA, ALTURA DE APROXIMADAMENTE 40 MM, ESPESSURA DE 0,50 MM E LARGURA UTIL DE 980 MM</t>
  </si>
  <si>
    <t>TUBO ACO CARBONO SEM COSTURA 8", E= *8,18 MM, SCHEDULE 40, *42,55 KG/M</t>
  </si>
  <si>
    <t>TUBO CPVC, SOLDAVEL, 22 MM, AGUA QUENTE PREDIAL (NBR 15884)</t>
  </si>
  <si>
    <t>TUBO CPVC, SOLDAVEL, 28 MM, AGUA QUENTE PREDIAL (NBR 15884)</t>
  </si>
  <si>
    <t>TUBO MULTICAMADA PEX, DN *26* MM, PARA INSTALACOES A GAS (AMARELO)</t>
  </si>
  <si>
    <t>TUBO MULTICAMADA PEX, DN 20 MM, PARA INSTALACOES A GAS (AMARELO)</t>
  </si>
  <si>
    <t>VEU POLIESTER</t>
  </si>
  <si>
    <t>Obs: considerando rendimento informado na especificação técnica de um dos produtos indicados como referência comercial (Lata de 3,6L rende até 75 m²/demão).</t>
  </si>
  <si>
    <t>Obs: considerando rendimento informado na especificação técnica de produto equivalente da Suvinil (Lata de 3,6L rende até 100 m²/demão).</t>
  </si>
  <si>
    <t>Alicate torquês de 8"</t>
  </si>
  <si>
    <t>SF-01235</t>
  </si>
  <si>
    <t>SF-01236</t>
  </si>
  <si>
    <t>SF-01237</t>
  </si>
  <si>
    <t>SF-01238</t>
  </si>
  <si>
    <t>SF-01239</t>
  </si>
  <si>
    <t>SF-01240</t>
  </si>
  <si>
    <t>SF-01241</t>
  </si>
  <si>
    <t>SF-01242</t>
  </si>
  <si>
    <t>SF-01243</t>
  </si>
  <si>
    <t>SF-01244</t>
  </si>
  <si>
    <t>SF-01245</t>
  </si>
  <si>
    <t>SF-01246</t>
  </si>
  <si>
    <t>SF-01247</t>
  </si>
  <si>
    <t>SF-01248</t>
  </si>
  <si>
    <t>SF-01249</t>
  </si>
  <si>
    <t>SF-01250</t>
  </si>
  <si>
    <t>SF-01251</t>
  </si>
  <si>
    <t>SF-01252</t>
  </si>
  <si>
    <t>SF-01253</t>
  </si>
  <si>
    <t>SF-01254</t>
  </si>
  <si>
    <t>SF-01255</t>
  </si>
  <si>
    <t>SF-01256</t>
  </si>
  <si>
    <t>SF-01257</t>
  </si>
  <si>
    <t>SF-01258</t>
  </si>
  <si>
    <t>SF-01259</t>
  </si>
  <si>
    <t>SF-01260</t>
  </si>
  <si>
    <t>SF-01261</t>
  </si>
  <si>
    <t>SF-01262</t>
  </si>
  <si>
    <t>SF-01263</t>
  </si>
  <si>
    <t>SF-01264</t>
  </si>
  <si>
    <t>SF-01265</t>
  </si>
  <si>
    <t>SF-01266</t>
  </si>
  <si>
    <t>SF-01267</t>
  </si>
  <si>
    <t>SF-01268</t>
  </si>
  <si>
    <t>SF-01269</t>
  </si>
  <si>
    <t>SF-01270</t>
  </si>
  <si>
    <t>SF-01271</t>
  </si>
  <si>
    <t>SF-01272</t>
  </si>
  <si>
    <t>SF-01273</t>
  </si>
  <si>
    <t>SF-01274</t>
  </si>
  <si>
    <t>SF-01275</t>
  </si>
  <si>
    <t>SF-01276</t>
  </si>
  <si>
    <t>SF-01277</t>
  </si>
  <si>
    <t>SF-01278</t>
  </si>
  <si>
    <t>SF-01279</t>
  </si>
  <si>
    <t>SF-01280</t>
  </si>
  <si>
    <t>SF-01281</t>
  </si>
  <si>
    <t>SF-01282</t>
  </si>
  <si>
    <t>SF-01283</t>
  </si>
  <si>
    <t>SF-01284</t>
  </si>
  <si>
    <t>SF-01285</t>
  </si>
  <si>
    <t>SF-01286</t>
  </si>
  <si>
    <t>SF-01287</t>
  </si>
  <si>
    <t>SF-01288</t>
  </si>
  <si>
    <t>SF-01289</t>
  </si>
  <si>
    <t>SF-01290</t>
  </si>
  <si>
    <t>SF-01291</t>
  </si>
  <si>
    <t>Bancada em granito cinza andorinha polido - 2,40 m x 0,60 m</t>
  </si>
  <si>
    <t>Bancada em granito cinza andorinha polido - 2,50 m x 0,60 m</t>
  </si>
  <si>
    <t>Pedido de autorização ambiental para desativação do posto de combustíveis</t>
  </si>
  <si>
    <t>Relatório de Investigação de Passivo Ambiental - RIPA</t>
  </si>
  <si>
    <t>Remoção do Sistema de Abastecimento Subterrâneo de Combustíveis - SASC</t>
  </si>
  <si>
    <t>Batedor/limitador inferior para box de correr</t>
  </si>
  <si>
    <t>Batedor/amortecedor lateral para box de correr</t>
  </si>
  <si>
    <t>Batedor/limitador superior para box de correr</t>
  </si>
  <si>
    <t>Bacia convencional – Linha Residencial</t>
  </si>
  <si>
    <t>Bidê 3 furos - Linha Residencial</t>
  </si>
  <si>
    <t>Divisória de Vidro temperado para box de CORRER e ferragens – Linha Residencial</t>
  </si>
  <si>
    <t>Divisória de Vidro temperado para box com porta de GIRO e ferragens – Linha Residencial</t>
  </si>
  <si>
    <t>Chuveiro de metal com tubo de parede – Linha Residencial</t>
  </si>
  <si>
    <t>Misturador para bidê – Linha Residencial</t>
  </si>
  <si>
    <t>Misturador de mesa para cozinha bica móvel – Linha Residencial</t>
  </si>
  <si>
    <t>Misturador de mesa para lavatório bica alta – Linha Residencial</t>
  </si>
  <si>
    <t>Misturador de parede para cozinha bica móvel – Linha Residencial</t>
  </si>
  <si>
    <t>Dobradiça automática vidro/vidro para box de vidro temperado</t>
  </si>
  <si>
    <t>Luminária tipo arandela – Linha Residencial</t>
  </si>
  <si>
    <t>Tê misturador de transição 1/2” ou 3/4” – Linha Residencial</t>
  </si>
  <si>
    <t>Base para válvula de descarga 1 1/2”</t>
  </si>
  <si>
    <t>Base para válvula de descarga 1 1/4”</t>
  </si>
  <si>
    <t>Anel de Vedação para bacia sanitária</t>
  </si>
  <si>
    <t>Remoção de boiler</t>
  </si>
  <si>
    <t>Remoção de tacos de madeira</t>
  </si>
  <si>
    <t>Instalação de tacos de madeira reaproveitados</t>
  </si>
  <si>
    <t>Cortina de linho sintético / BLECAUTE COM VARÃO – Linha Residencial</t>
  </si>
  <si>
    <t>Cortina de linho sintético / BLECAUTE SEM VARÃO – Linha Residencial</t>
  </si>
  <si>
    <t>Cortina de linho sintético / FORRO COM VARÃO – Linha Residencial</t>
  </si>
  <si>
    <t>Cortina de linho sintético / FORRO SEM VARÃO – Linha Residencial</t>
  </si>
  <si>
    <t>Instalação de cortinas reaproveitadas</t>
  </si>
  <si>
    <t>Instalação de bidê reaproveitado</t>
  </si>
  <si>
    <t>Aquecedor elétrico para pia – Linha Residencial</t>
  </si>
  <si>
    <t>Chuveiro elétrico – Linha Residencial</t>
  </si>
  <si>
    <t>Instalação de boiler reaproveitado</t>
  </si>
  <si>
    <t>Prateleira – Linha Residencial</t>
  </si>
  <si>
    <t>Saboneteira – Linha Residencial</t>
  </si>
  <si>
    <t>Módulo campainha eletrônica – Linha Residencial</t>
  </si>
  <si>
    <t>Módulo pulsador – Linha Residencial</t>
  </si>
  <si>
    <t>Luminária redonda de sobrepor (plafond) – Linha Residencial</t>
  </si>
  <si>
    <t>Acabamento Passa-fio 59mm</t>
  </si>
  <si>
    <t>Difusor em acrílico e aro metálico para luminárias (modelo Edifício Principal - INTERIOR)</t>
  </si>
  <si>
    <t>Difusor em acrílico e aro metálico para luminárias (modelo Edifício Principal - EXTERIOR)</t>
  </si>
  <si>
    <t>Difusor em acrílico e presilhas metálicas para luminárias (modelo Comissões)</t>
  </si>
  <si>
    <t>SF-01292</t>
  </si>
  <si>
    <t>SF-01293</t>
  </si>
  <si>
    <t>SF-01294</t>
  </si>
  <si>
    <t>ARAME RECOZIDO 16 BWG, D = 1,65 MM (0,016 KG/M) OU 18 BWG, D = 1,25 MM (0,01 KG/M)</t>
  </si>
  <si>
    <t>REJUNTE EPOXI, QUALQUER COR</t>
  </si>
  <si>
    <t>TIJOLO CERAMICO MACICO COMUM *5 X 10 X 20* CM (L X A X C)</t>
  </si>
  <si>
    <t>TUBO ACO CARBONO SEM COSTURA 1 1/4", E= *3,56 MM, SCHEDULE 40, *3,38* KG/M</t>
  </si>
  <si>
    <t>TUBO ACO CARBONO SEM COSTURA 1", E= *3,38 MM, SCHEDULE 40, *2,50* KG/M</t>
  </si>
  <si>
    <t>TUBO ACO CARBONO SEM COSTURA 5", E= *6,55 MM, SCHEDULE 40, *21,75* KG/M</t>
  </si>
  <si>
    <t>TRANSPORTE COM CAMINHÃO BASCULANTE DE 6 M³, EM VIA URBANA PAVIMENTADA, DMT ATÉ 30 KM (UNIDADE: TXKM).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</si>
  <si>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</si>
  <si>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</si>
  <si>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</si>
  <si>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</si>
  <si>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</si>
  <si>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6 M³ - CARGA COM PÁ CARREGADEIRA (CAÇAMBA DE 1,7 A 2,8 M³ / 128 HP) E DESCARGA LIVRE (UNIDADE: T).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</si>
  <si>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</si>
  <si>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</si>
  <si>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Telha estrutural de fibrocimento esp. 8 mm largura útil 49 cm</t>
  </si>
  <si>
    <t>Massa rápida para recuperação</t>
  </si>
  <si>
    <t>Argamassa para recuperação</t>
  </si>
  <si>
    <t>Primer à base de resina acrílica</t>
  </si>
  <si>
    <t>Cumeeira metálica galvanizada GR 25 com espessura de 0,43 mm.</t>
  </si>
  <si>
    <t>Cumeeira metálica galvanizada GR 40 com espessura de 0,43 mm.</t>
  </si>
  <si>
    <t>Revestimento impermabilizante bloqueador de umidade</t>
  </si>
  <si>
    <t>Obs 1: Considerando consumo do adesivo estrutural 1,8 kg / m² / mm.</t>
  </si>
  <si>
    <t>Obs 2: Considerando consumo do selante 100 ml / cm de espessura.</t>
  </si>
  <si>
    <t>Zero</t>
  </si>
  <si>
    <t>Diferenciado</t>
  </si>
  <si>
    <t>Batentes e guarnições em madeira, com verniz ou esmalte</t>
  </si>
  <si>
    <t>Batedor/limitador inferior para box de correr, em material polimérico sintético</t>
  </si>
  <si>
    <t>Batedor/amortecedor lateral de borracha para box de correr.</t>
  </si>
  <si>
    <t>Batedor/limitador superior para roldana de box de correr, em material polimérico sintético</t>
  </si>
  <si>
    <t>Fonte: http://www.alpuxadores.com.br/baixar/catalogo.pdf</t>
  </si>
  <si>
    <t>Ref.: AL Indústria Ref.: AL-63</t>
  </si>
  <si>
    <t>Ref.: AL Indústria Ref.: AL-BX-02</t>
  </si>
  <si>
    <t>Ref.: AL Indústria Ref.: AL-BX-07</t>
  </si>
  <si>
    <t>Ref.: AL Indústria Ref.: AL-BX-08</t>
  </si>
  <si>
    <t>Ref.: AL Indústria Ref.: AL-BX-03</t>
  </si>
  <si>
    <t>Ref.: AL Indústria Ref.: AL-BX-01</t>
  </si>
  <si>
    <t>Ref.: AL Indústria Ref.: AL-BX-05</t>
  </si>
  <si>
    <t>Ref.: AL Indústria Ref.: AL-BX-06</t>
  </si>
  <si>
    <t>Misturador de mesa para cozinha, bica móvel, cromado. Ref.: Deca Aspen 1256.C35 ou equivalente</t>
  </si>
  <si>
    <t>Misturador para bidê, ref: Deca Aspen 1895.C35 ou equivalente</t>
  </si>
  <si>
    <t>Bidê 3 furos branco ref: Deca Vogue Plus B.5.17 ou equivalente</t>
  </si>
  <si>
    <t>Chuveiro de metal cromado com tubo de parede, crivo regulável e restritor de vazão. Ref.: Deca Aspen 1967.C.CT ou equivalente</t>
  </si>
  <si>
    <t>Bacia Sanitária convencional branca ref: Deca Vogue Plus P.5.17 ou equivalente</t>
  </si>
  <si>
    <t>Misturador para lavatório de mesa bica alta, cromado. Ref.: Deca Aspen 1877.C35 ou equivalente</t>
  </si>
  <si>
    <t>Misturador de parede para cozinha, cromada. Ref.: Deca Aspen 1258.C35 ou equivalente</t>
  </si>
  <si>
    <t>Dobradiça metálica automática para vidro/vidro, utilizada em Box de vidro temperado, com porta de abrir. Ref.: Santa Marina, 1129.</t>
  </si>
  <si>
    <t>Lâmpada fluorescente compacta, 23W, ref: OSRAM Duluxstar DST STICK 23 W/865 220V E27</t>
  </si>
  <si>
    <t>Luminária tipo arandela, de sobrepor, dimensões (em mm) 250 x 250 x 73, base E27. Ref.: Taschibra-Arandela Embaú; Bronzearte - Bambu</t>
  </si>
  <si>
    <t>Base de válvula de descarga 1 1/2”</t>
  </si>
  <si>
    <t>Base de válvula de descarga 1 1/4”</t>
  </si>
  <si>
    <t>Cerâmica 30x60xm Glacier White (26109E) – Linha White Home – Portobello, ou similar</t>
  </si>
  <si>
    <t>Aquecedor elétrico individual automático, 5000W, 220V</t>
  </si>
  <si>
    <t>Prateleira com base em resina, com acabamento cromado. Ref: Deca Flex 2031.C.FLX ou equivalente</t>
  </si>
  <si>
    <t>Saboneteira com base em resina de alta resistência com espessura com acabamento cromado. Ref: Deca Flex 2010.C.FLX ou equivalente</t>
  </si>
  <si>
    <t>Campainha eletrônica de dois tons, 70 dB,  220V</t>
  </si>
  <si>
    <t>SF-01295</t>
  </si>
  <si>
    <t>Bandeira de porta, em madeira e MDF</t>
  </si>
  <si>
    <t>SF-01296</t>
  </si>
  <si>
    <t>Bandeira de porta, em madeira pintada</t>
  </si>
  <si>
    <t>SF-01297</t>
  </si>
  <si>
    <t>Levantamentos como construído (“As Built”) e Relatório de Avaliação Técnica – Bloco 01 (PRODASEN)</t>
  </si>
  <si>
    <t>SF-01298</t>
  </si>
  <si>
    <t>Levantamentos como construído (“As Built”) e Relatório de Avaliação Técnica – Áreas Técnicas 10 (CM-3), 13 (CM-2) e Espaços Externos</t>
  </si>
  <si>
    <t>SF-01299</t>
  </si>
  <si>
    <t>Levantamentos como construído (“As Built”) e Relatório de Avaliação Técnica - Anexo II e Túnel do Tempo</t>
  </si>
  <si>
    <t>SF-01300</t>
  </si>
  <si>
    <t>Estudos Preliminares de Prevenção e Combate a Incêndio e Pânico (incluindo Acessibilidade e Segurança de Pessoa com Deficiência) - Bloco 01 (PRODASEN)</t>
  </si>
  <si>
    <t>SF-01301</t>
  </si>
  <si>
    <t>Estudos Preliminares de Prevenção e Combate a Incêndio e Pânico (incluindo Acessibilidade e Segurança de Pessoa com Deficiência) - Áreas Técnicas 10 (CM-3), 13 (CM-2) e Espaços Externos</t>
  </si>
  <si>
    <t>SF-01302</t>
  </si>
  <si>
    <t>Estudos Preliminares de Prevenção e Combate a Incêndio e Pânico (incluindo Acessibilidade e Segurança de Pessoa com Deficiência) - Anexo II e Túnel do Tempo</t>
  </si>
  <si>
    <t>SF-01303</t>
  </si>
  <si>
    <t>Anteprojetos e Orçamentos Preliminares para Prevenção e Combate a Incêndio e Pânico (incluindo Acessibilidade e Segurança de Pessoa com Deficiência) - Bloco 01 (PRODASEN)</t>
  </si>
  <si>
    <t>SF-01304</t>
  </si>
  <si>
    <t>Anteprojetos e Orçamentos Preliminares para Prevenção e Combate a Incêndio e Pânico (incluindo Acessibilidade e Segurança de Pessoa com Deficiência) - Áreas Técnicas 10 (CM-3), 13 (CM-2) e Espaços Externos</t>
  </si>
  <si>
    <t>SF-01305</t>
  </si>
  <si>
    <t>Anteprojetos e Orçamentos Preliminares para Prevenção e Combate a Incêndio e Pânico (incluindo Acessibilidade e Segurança de Pessoa com Deficiência) - Anexo II e Túnel do Tempo</t>
  </si>
  <si>
    <t>SF-01306</t>
  </si>
  <si>
    <t>Projetos Executivos de Prevenção e Combate a Incêndio e Pânico (incluindo Acessibilidade e Segurança de Pessoa com Deficiência) - Bloco 01 (PRODASEN)</t>
  </si>
  <si>
    <t>SF-01307</t>
  </si>
  <si>
    <t>Projetos Executivos de Prevenção e Combate a Incêndio e Pânico (incluindo Acessibilidade e Segurança de Pessoa com Deficiência) - Áreas Técnicas 10 (CM-3), 13 (CM-2) e Espaços Externos</t>
  </si>
  <si>
    <t>SF-01308</t>
  </si>
  <si>
    <t>Projetos Executivos de Prevenção e Combate a Incêndio e Pânico (incluindo Acessibilidade e Segurança de Pessoa com Deficiência) - Anexo II e Túnel do Tempo</t>
  </si>
  <si>
    <t>SF-01309</t>
  </si>
  <si>
    <t>Orçamentos Finais e Cronograma Físico-Financeiro para intervenções de Prevenção e Combate a Incêndio e Pânico (incluindo Acessibilidade e Segurança de Pessoa com Deficiência)</t>
  </si>
  <si>
    <t>SF-01310</t>
  </si>
  <si>
    <t>Cambota elastomérica de 8”</t>
  </si>
  <si>
    <t>SF-01311</t>
  </si>
  <si>
    <t>Curva raio curto 45° em aço carbono para solda de topo DN 125 (5" NPS)</t>
  </si>
  <si>
    <t>SF-01312</t>
  </si>
  <si>
    <t>Curva raio curto 90° em aço carbono para solda de topo DN 125 (5" NPS)</t>
  </si>
  <si>
    <t>SF-01313</t>
  </si>
  <si>
    <t>Curva raio longo 90° em aço carbono para solda de topo DN 125 (5" NPS)</t>
  </si>
  <si>
    <t>SF-01314</t>
  </si>
  <si>
    <t>Curva raio longo 90° em aço carbono para solda de topo DN 200 (8" NPS)</t>
  </si>
  <si>
    <t>SF-01315</t>
  </si>
  <si>
    <t>Eliminador de ar para líquidos DN 20 (3/4" NPS)</t>
  </si>
  <si>
    <t>SF-01316</t>
  </si>
  <si>
    <t>Flange de pescoço, aço carbono, classe 150, DN 125 (5" NPS)</t>
  </si>
  <si>
    <t>SF-01317</t>
  </si>
  <si>
    <t>Isolamento elastomérico para tubulações de ferro de 5”</t>
  </si>
  <si>
    <t>SF-01318</t>
  </si>
  <si>
    <t>Meia luva em aço carbono DN 15 (1/2" NPS)</t>
  </si>
  <si>
    <t>SF-01319</t>
  </si>
  <si>
    <t>Redução concêntrica em aço carbono para solda de topo DN 200 (8" NPS) × DN 125 (5" NPS)</t>
  </si>
  <si>
    <t>SF-01320</t>
  </si>
  <si>
    <t>Suporte metálico tipo T com alça</t>
  </si>
  <si>
    <t>SF-01321</t>
  </si>
  <si>
    <t>Suporte metálico tipo T</t>
  </si>
  <si>
    <t>SF-01322</t>
  </si>
  <si>
    <t>Suporte metálico tipo trave alta</t>
  </si>
  <si>
    <t>SF-01323</t>
  </si>
  <si>
    <t>Suporte metálico tipo trave baixa</t>
  </si>
  <si>
    <t>SF-01324</t>
  </si>
  <si>
    <t>Suporte metálico tipo trave com suportes desiguais</t>
  </si>
  <si>
    <t>SF-01325</t>
  </si>
  <si>
    <t>Tê em aço carbono para solda de topo DN 200 (8" NPS)</t>
  </si>
  <si>
    <t>SF-01326</t>
  </si>
  <si>
    <t>Tubo de aço-carbono preto DN 125 (5" NPS)</t>
  </si>
  <si>
    <t>SF-01327</t>
  </si>
  <si>
    <t>Tubo de aço-carbono preto DN 200 (8" NPS)</t>
  </si>
  <si>
    <t>SF-01328</t>
  </si>
  <si>
    <t>Válvula de esfera em bronze 1/2”</t>
  </si>
  <si>
    <t>SF-01329</t>
  </si>
  <si>
    <t>Válvula gaveta com flange DN 125 (5" NPS)</t>
  </si>
  <si>
    <t>SF-01330</t>
  </si>
  <si>
    <t>Ar-condicionado split hi-wall inverter 18.000 BTU/h</t>
  </si>
  <si>
    <t>SF-01331</t>
  </si>
  <si>
    <t>Cabo de fibra óptica monomodo 12 fibras</t>
  </si>
  <si>
    <t>SF-01332</t>
  </si>
  <si>
    <t>Cabo de fibra óptica monomodo 144 fibras</t>
  </si>
  <si>
    <t>SF-01333</t>
  </si>
  <si>
    <t>SF-01334</t>
  </si>
  <si>
    <t>SF-01335</t>
  </si>
  <si>
    <t>Projeto Executivo de Rede de Telecomunicações Backbone</t>
  </si>
  <si>
    <t>SF-01336</t>
  </si>
  <si>
    <t>Eletroduto PEAD 2”</t>
  </si>
  <si>
    <t>SF-01337</t>
  </si>
  <si>
    <t>Furo direcional por método não-destrutivo com fornecimento de duto</t>
  </si>
  <si>
    <t>SF-01338</t>
  </si>
  <si>
    <t>Sondagem por Radar de Penetração de Solo - GPR</t>
  </si>
  <si>
    <t>SF-01339</t>
  </si>
  <si>
    <t>Tampa em Ferro Fundido - Circular DN-600 mm Classe 400</t>
  </si>
  <si>
    <t>Cambota elastomérica de 8" para suporte de tubulação industrial</t>
  </si>
  <si>
    <t>Curva raio curto 45° em aço carbono para solda de topo, SCH 40, DN 125 (5" NPS)</t>
  </si>
  <si>
    <t>Curva raio curto 90° em aço carbono para solda de topo, SCH 40, DN 125 (5" NPS)</t>
  </si>
  <si>
    <t>Curva raio longo 90° em aço carbono para solda de topo, SCH 40, DN 125 (5" NPS)</t>
  </si>
  <si>
    <t>Curva raio longo 90° em aço carbono para solda de topo, SCH 40, DN 200 (8" NPS)</t>
  </si>
  <si>
    <t>Eliminador de ar para líquidos com pressão máxima de operação de 10,5 kgf/cm2 (150 psi), DN 20 (3/4" NPS), conexão roscada</t>
  </si>
  <si>
    <t>Flange de pescoço em aço carbono, classe 150, DN 125 (5" NPS)</t>
  </si>
  <si>
    <t>isolamento elastomérico em formato de tubo ou coquilha de espessura M, próprio para tubulações de ferro de diâmetro nominal 5”. Ref.: AF/Armaflex M-48, K-Flex ST</t>
  </si>
  <si>
    <t>Meia luva em aço carbono, classe 3000 lbs, rosca BSP ou NPT, DN 15 (1/2" NPS)</t>
  </si>
  <si>
    <t>Redução concêntrica em aço carbono para solda de topo, SCH 40, diâmetro DN 200 (8" NPS) × DN 125 (5" NPS)</t>
  </si>
  <si>
    <t>Tê em aço carbono para solda de topo, SCH 40, diâmetro DN 200 (8" NPS)</t>
  </si>
  <si>
    <t>Cabo constituído por 12 fibras ópticas do tipo monomodo (9/125μm)</t>
  </si>
  <si>
    <t>Cabo constituído por 144 fibras ópticas do tipo monomodo (9/125μm)</t>
  </si>
  <si>
    <t>Chuveiro elétrico 7800W, 220V. Ref: Lorenzetti Acqua Storm Ultra</t>
  </si>
  <si>
    <t>FABRICAÇÃO DE FÔRMA PARA VIGAS, EM CHAPA DE MADEIRA COMPENSADA RESINADA, E = 17 MM. AF_09/2020</t>
  </si>
  <si>
    <t>FABRICAÇÃO DE FÔRMA PARA PILARES E ESTRUTURAS SIMILARES, EM MADEIRA SERRADA, E=25 MM. AF_09/2020</t>
  </si>
  <si>
    <t>FABRICAÇÃO DE ESCORAS DE VIGA DO TIPO GARFO, EM MADEIRA. AF_09/2020</t>
  </si>
  <si>
    <t>MONTAGEM E DESMONTAGEM DE FÔRMA DE PILARES RETANGULARES E ESTRUTURAS SIMILARES, PÉ-DIREITO SIMPLES, EM MADEIRA SERRADA, 2 UTILIZAÇÕES. AF_09/2020</t>
  </si>
  <si>
    <t>PREPARO DE FUNDO DE VALA COM LARGURA MAIOR OU IGUAL A 1,5 M E MENOR QUE 2,5 M (ACERTO DO SOLO NATURAL). AF_08/2020</t>
  </si>
  <si>
    <t>PREPARO DE FUNDO DE VALA COM LARGURA MENOR QUE 1,5 M, COM CAMADA DE BRITA, LANÇAMENTO MANUAL. AF_08/2020</t>
  </si>
  <si>
    <t>PREPARO DE FUNDO DE VALA COM LARGURA MENOR QUE 1,5 M, COM CAMADA DE BRITA, LANÇAMENTO MECANIZADO. AF_08/2020</t>
  </si>
  <si>
    <t>Obs.2: Inclusão de composições (abertas) Sinapi 100973 e 97914.</t>
  </si>
  <si>
    <t>Armário em MDF laminado com porta e módulo de gaveta – Linha Residencial</t>
  </si>
  <si>
    <t>GESSO EM PO PARA REVESTIMENTOS/MOLDURAS/SANCAS E USO GERAL</t>
  </si>
  <si>
    <t>LONA PLASTICA EXTRA FORTE PRETA, E = 200 MICRA</t>
  </si>
  <si>
    <t>MASSA DE REJUNTE EM PO PARA DRYWALL, A BASE DE GESSO, SECAGEM RAPIDA, PARA TRATAMENTO DE JUNTAS DE CHAPA DE GESSO (NECESSITA ADICAO DE AGUA)</t>
  </si>
  <si>
    <t>MEIO-FIO OU GUIA DE CONCRETO, PRE-MOLDADO, COMP 1 M, *30 X 12/15* CM (H X L1/L2)</t>
  </si>
  <si>
    <t>PLACA / CHAPA DE GESSO ACARTONADO, STANDARD (ST), COR BRANCA, E = 12,5 MM, 1200 X 2400 MM (L X C)</t>
  </si>
  <si>
    <t>PLACA DE GESSO PARA FORRO, *60 X 60* CM, ESPESSURA DE 12 MM (SEM COLOCACAO)</t>
  </si>
  <si>
    <t>PONTALETE *7,5 X 7,5* CM EM PINUS, MISTA OU EQUIVALENTE DA REGIAO - BRUTA</t>
  </si>
  <si>
    <t>SARRAFO *2,5 X 10* CM EM PINUS, MISTA OU EQUIVALENTE DA REGIAO - BRUTA</t>
  </si>
  <si>
    <t>SARRAFO *2,5 X 7,5* CM EM PINUS, MISTA OU EQUIVALENTE DA REGIAO - BRUTA</t>
  </si>
  <si>
    <t>TABUA *2,5 X 30 CM EM PINUS, MISTA OU EQUIVALENTE DA REGIAO - BRUTA</t>
  </si>
  <si>
    <t>SF-01340</t>
  </si>
  <si>
    <t>Válvula solenóide para gás</t>
  </si>
  <si>
    <t>SF-01341</t>
  </si>
  <si>
    <t>Coletor de gás</t>
  </si>
  <si>
    <t>SF-01342</t>
  </si>
  <si>
    <t>SF-01343</t>
  </si>
  <si>
    <t>SF-01344</t>
  </si>
  <si>
    <t>SF-01345</t>
  </si>
  <si>
    <t>SF-01346</t>
  </si>
  <si>
    <t>Elaboração de Projeto Executivo de Subestação Elétrica em Poste</t>
  </si>
  <si>
    <t>PREÇO TOTAL</t>
  </si>
  <si>
    <t>SF-01380</t>
  </si>
  <si>
    <t>Relatório técnico de qualidade do ar</t>
  </si>
  <si>
    <t>SF-01379</t>
  </si>
  <si>
    <t>Detector de fumaça</t>
  </si>
  <si>
    <t>FECHADURA DE SOBREPOR PARA PORTAO, EM ACO INOX COM ACABAMENTO CROMADO, CAIXA DE 100 MM, INCLUINDO CHAVE TIPO CILINDRO</t>
  </si>
  <si>
    <t>SF-01381</t>
  </si>
  <si>
    <t>SF-01382</t>
  </si>
  <si>
    <t>SF-01383</t>
  </si>
  <si>
    <t>Laminado fenólico melamínico texturizado - Preto</t>
  </si>
  <si>
    <t>Compensado Laminado de Imbuia em duas faces - 15 mm</t>
  </si>
  <si>
    <t>Compensado Laminado de Freijó em duas faces - 15 mm</t>
  </si>
  <si>
    <t>Compensado Laminado de cerejeira em uma face - 04 mm</t>
  </si>
  <si>
    <t>Compensado Laminado de Imbuia em uma face - 04 mm</t>
  </si>
  <si>
    <t>Compensado Laminado de Freijó em uma face - 04 mm</t>
  </si>
  <si>
    <t>Lâmina de Madeira - Freijó</t>
  </si>
  <si>
    <t>MARTELO DEMOLIDOR ELÉTRICO, COM POTÊNCIA DE 2.000 W, 1.000 IMPACTOS POR MINUTO, PESO DE 30 KG - CHP DIURNO. AF_01/2021</t>
  </si>
  <si>
    <t>MARTELO DEMOLIDOR ELÉTRICO, COM POTÊNCIA DE 2.000 W, 1.000 IMPACTOS POR MINUTO, PESO DE 30 KG -  CHI DIURNO. AF_01/2021</t>
  </si>
  <si>
    <t>SF-01347</t>
  </si>
  <si>
    <t>SF-01348</t>
  </si>
  <si>
    <t>SF-01349</t>
  </si>
  <si>
    <t>SF-01350</t>
  </si>
  <si>
    <t>SF-01351</t>
  </si>
  <si>
    <t>SF-01352</t>
  </si>
  <si>
    <t>SF-01353</t>
  </si>
  <si>
    <t>SF-01354</t>
  </si>
  <si>
    <t>SF-01355</t>
  </si>
  <si>
    <t>SF-01356</t>
  </si>
  <si>
    <t>SF-01357</t>
  </si>
  <si>
    <t>SF-01358</t>
  </si>
  <si>
    <t>SF-01359</t>
  </si>
  <si>
    <t>SF-01360</t>
  </si>
  <si>
    <t>SF-01361</t>
  </si>
  <si>
    <t>SF-01362</t>
  </si>
  <si>
    <t>SF-01363</t>
  </si>
  <si>
    <t>SF-01364</t>
  </si>
  <si>
    <t>SF-01365</t>
  </si>
  <si>
    <t>SF-01366</t>
  </si>
  <si>
    <t>SF-01367</t>
  </si>
  <si>
    <t>SF-01368</t>
  </si>
  <si>
    <t>SF-01369</t>
  </si>
  <si>
    <t>SF-01370</t>
  </si>
  <si>
    <t>SF-01371</t>
  </si>
  <si>
    <t>SF-01372</t>
  </si>
  <si>
    <t>SF-01373</t>
  </si>
  <si>
    <t>SF-01374</t>
  </si>
  <si>
    <t>SF-01375</t>
  </si>
  <si>
    <t>SF-01376</t>
  </si>
  <si>
    <t>SF-01377</t>
  </si>
  <si>
    <t>SF-01378</t>
  </si>
  <si>
    <t>Bloco autônomo de emergência 1000 lumens – fornecimento e instalação</t>
  </si>
  <si>
    <t>Cabo Ethernet blindado</t>
  </si>
  <si>
    <t>Cabo de fibra óptica multimodo 12 fibras</t>
  </si>
  <si>
    <t>Cabos de cobre para comunicação CANbus</t>
  </si>
  <si>
    <t>Cabos de cobre para comunicação padrão RS-485</t>
  </si>
  <si>
    <t>Condulete de alumínio de 2”</t>
  </si>
  <si>
    <t>Distribuidor Interno Óptico Industrial – fornecimento e instalação</t>
  </si>
  <si>
    <t>Eletroduto PEAD 5”</t>
  </si>
  <si>
    <t>Grupo motor-gerador 500 kVA</t>
  </si>
  <si>
    <t>Interruptor duplo para condulete</t>
  </si>
  <si>
    <t>Luminária 2x28 W hermética de sobrepor</t>
  </si>
  <si>
    <t>Luminária LED para poste 60 W</t>
  </si>
  <si>
    <t>Luminária LED para poste 120 W</t>
  </si>
  <si>
    <t>Painel para serviços auxiliares – PAUX</t>
  </si>
  <si>
    <t>Painel para sistema de automação e comunicação – QAUT-GER</t>
  </si>
  <si>
    <t>Painel de distribuição em média tensão – PMT-GER</t>
  </si>
  <si>
    <t>Painel de paralelismo dos geradores – PBT-GER</t>
  </si>
  <si>
    <t>Painel para a galeria técnica – QGAL</t>
  </si>
  <si>
    <t>Poste curvo simples 8 metros</t>
  </si>
  <si>
    <t>Quadro de transferência automática - QTA</t>
  </si>
  <si>
    <t>Quadro de transferência automática para sistemas auxiliares – QTA-GER</t>
  </si>
  <si>
    <t>Sistema de energia ininterrupta</t>
  </si>
  <si>
    <t>Tomada para condulete (20 A)</t>
  </si>
  <si>
    <t>Transformador a seco 2000 kVA</t>
  </si>
  <si>
    <t>Cabo de cobre nu 50 mm²</t>
  </si>
  <si>
    <t>Eletrocentro</t>
  </si>
  <si>
    <t>Haste de aterramento 3/4” x 3 m</t>
  </si>
  <si>
    <t>Engenheiro(a) eletricista pleno</t>
  </si>
  <si>
    <t>Manutenção on site – Grupo motor-gerador e instalações associadas</t>
  </si>
  <si>
    <t>Mão francesa metálica dupla</t>
  </si>
  <si>
    <t>Óleo diesel</t>
  </si>
  <si>
    <t>Painel de baixa tensão para áreas externas – QEXT</t>
  </si>
  <si>
    <t>Projeto executivo de engenharia elétrica</t>
  </si>
  <si>
    <t>Projeto executivo do eletrocentro</t>
  </si>
  <si>
    <t>Remoção de sistema de automação de QTAs</t>
  </si>
  <si>
    <t>Remoção dos GMGs antigos e sistemas auxiliares</t>
  </si>
  <si>
    <t>Retrofit do sistema de comando/controle do painel de média tensão de distribuição</t>
  </si>
  <si>
    <t>Retrofit do controlador da chave de transferência automática da SE-UA</t>
  </si>
  <si>
    <t>Substituição dos Quadros de Transferência Automática</t>
  </si>
  <si>
    <t>Grupo motor-gerador 115 kVA</t>
  </si>
  <si>
    <t>Projeto Executivo de Instalação de Gerador de Emergência</t>
  </si>
  <si>
    <t>Manutenção on site – Grupo motor-gerador - Residência Oficial da Presidência do Senado  Federal</t>
  </si>
  <si>
    <t>Supervisor Técnico – Sistema Elétrico</t>
  </si>
  <si>
    <t>Supervisor Técnico – Sistema Elétrico e Segurança do Trabalho</t>
  </si>
  <si>
    <t>Técnico de Segurança do Trabalho</t>
  </si>
  <si>
    <t>Auxiliar de Almoxarifado</t>
  </si>
  <si>
    <t>Auxiliar Administrativo</t>
  </si>
  <si>
    <t>Desenhista Técnico</t>
  </si>
  <si>
    <t>Técnico em Eletrotécnica Encarregado</t>
  </si>
  <si>
    <t>Técnico em Eletrotécnica Planejador de Manutenção</t>
  </si>
  <si>
    <t>Técnico em Eletrotécnica Termografista</t>
  </si>
  <si>
    <t>Técnico em Eletrotécnica</t>
  </si>
  <si>
    <t>Eletricista</t>
  </si>
  <si>
    <t>Auxiliar de Eletricista</t>
  </si>
  <si>
    <t>Técnico em Eletromecânica</t>
  </si>
  <si>
    <t>Técnico em Automação</t>
  </si>
  <si>
    <t>Técnico em Eletrotécnica Plantonista (diurno)</t>
  </si>
  <si>
    <t>Técnico em Eletrotécnica Plantonista (noturno)</t>
  </si>
  <si>
    <t>Eletricista Plantonista (diurno)</t>
  </si>
  <si>
    <t>Eletricista Plantonista (noturno)</t>
  </si>
  <si>
    <t>Eletricista Plantonista – Áreas Restritas (diurno)</t>
  </si>
  <si>
    <t>Eletricista Plantonista – Áreas Restritas (noturno)</t>
  </si>
  <si>
    <t>Conjunto parafuso, porca e arruelas M5</t>
  </si>
  <si>
    <t>Conjunto parafuso, porca e arruelas M6</t>
  </si>
  <si>
    <t>Conjunto parafuso, porca e arruelas M8</t>
  </si>
  <si>
    <t>Conjunto parafuso, porca e arruelas M10</t>
  </si>
  <si>
    <t>Conjunto parafuso, porca e arruelas M12</t>
  </si>
  <si>
    <t>Identificador para botão de emergência</t>
  </si>
  <si>
    <t>Prensa cabos</t>
  </si>
  <si>
    <t>Bloco de distribuição 2 x 7</t>
  </si>
  <si>
    <t>Bloco de distribuição 2 x 15</t>
  </si>
  <si>
    <t>Bloco de distribuição 4 x 7</t>
  </si>
  <si>
    <t>Bloco de distribuição 4 x 15</t>
  </si>
  <si>
    <t>Isolador de baixa tensão para barramentos</t>
  </si>
  <si>
    <t>Suporte para trilho DIN</t>
  </si>
  <si>
    <t>Barramento de cobre</t>
  </si>
  <si>
    <t>Desumidificador para painel</t>
  </si>
  <si>
    <t>Conjunto ventilador para painel elétrico 150 mm</t>
  </si>
  <si>
    <t>Conjunto ventilador para painel elétrico 200 mm</t>
  </si>
  <si>
    <t>Conjunto ventilador para painel elétrico 250 mm</t>
  </si>
  <si>
    <t>Conjunto ventilador para painel elétrico 325 mm</t>
  </si>
  <si>
    <t>Porta documentos</t>
  </si>
  <si>
    <t>Tomada auxiliar</t>
  </si>
  <si>
    <t>Fixador/clip autoadesivo para abraçadeiras de nylon</t>
  </si>
  <si>
    <t>Canaleta de quadro 30 mm x 30 mm</t>
  </si>
  <si>
    <t>Canaleta de quadro 30 mm x 50 mm</t>
  </si>
  <si>
    <t>Canaleta de quadro 50 mm x 50 mm</t>
  </si>
  <si>
    <t>Canaleta de quadro 50 mm x 80 mm</t>
  </si>
  <si>
    <t>Canaleta de quadro 80 mm x 50 mm</t>
  </si>
  <si>
    <t>Canaleta de quadro 80 mm x 80 mm</t>
  </si>
  <si>
    <t>Canaleta de quadro 110 mm x 80 mm</t>
  </si>
  <si>
    <t>Borne até 4 mm²</t>
  </si>
  <si>
    <t>Borne terra até 4 mm²</t>
  </si>
  <si>
    <t>Borne 6 mm²</t>
  </si>
  <si>
    <t>Borne terra 6 mm²</t>
  </si>
  <si>
    <t>Borne 10 mm²</t>
  </si>
  <si>
    <t>Borne terra 10 mm²</t>
  </si>
  <si>
    <t>Borne 16 mm²</t>
  </si>
  <si>
    <t>Borne terra 16 mm²</t>
  </si>
  <si>
    <t>Borne 35 mm²</t>
  </si>
  <si>
    <t>Borne terra 35 mm²</t>
  </si>
  <si>
    <t>Borne duplo</t>
  </si>
  <si>
    <t>Tampa final para borne</t>
  </si>
  <si>
    <t>Separador para borne</t>
  </si>
  <si>
    <t>Ponte para borne</t>
  </si>
  <si>
    <t>Poste para borne</t>
  </si>
  <si>
    <t>Borne porta-fusível com LED</t>
  </si>
  <si>
    <t>Borne porta-fusível sem LED</t>
  </si>
  <si>
    <t>Porta identificador para borne</t>
  </si>
  <si>
    <t>Identificador para borne</t>
  </si>
  <si>
    <t>Bloco de aferição para TC</t>
  </si>
  <si>
    <t>Bloco de aferição para TP e TC</t>
  </si>
  <si>
    <t>Barramento monofásico isolado</t>
  </si>
  <si>
    <t>Barramento bifásico isolado</t>
  </si>
  <si>
    <t>Barramento trifásico isolado</t>
  </si>
  <si>
    <t>Protetor para barramento isolado</t>
  </si>
  <si>
    <t>Conector para barramento isolado</t>
  </si>
  <si>
    <t>Obturador para quadro elétrico</t>
  </si>
  <si>
    <t>Barramento de neutro ou terra</t>
  </si>
  <si>
    <t>Fecho para quadro</t>
  </si>
  <si>
    <t>Placa de montagem 1,5 mm</t>
  </si>
  <si>
    <t>Placa de montagem 2 mm</t>
  </si>
  <si>
    <t>Chapa de aço galvanizado</t>
  </si>
  <si>
    <t>Policarbonato</t>
  </si>
  <si>
    <t>Placa de identificação</t>
  </si>
  <si>
    <t>Cadeado para disjuntores</t>
  </si>
  <si>
    <t>Bloqueio para disjuntores</t>
  </si>
  <si>
    <t>Perfil de aço</t>
  </si>
  <si>
    <t>Espuma expansiva corta-fogo</t>
  </si>
  <si>
    <t>Cantoneira</t>
  </si>
  <si>
    <t>Janela de inspeção termográfica 2 polegadas</t>
  </si>
  <si>
    <t>Janela de inspeção termográfica 3 polegadas</t>
  </si>
  <si>
    <t>Janela de inspeção termográfica 4 polegadas</t>
  </si>
  <si>
    <t>Pino-bola para ponto de aterramento temporário</t>
  </si>
  <si>
    <t>Luminária para quadros elétricos</t>
  </si>
  <si>
    <t>Porta equipamentos para canaleta de alumínio</t>
  </si>
  <si>
    <t>Chave seletora de 2 posições</t>
  </si>
  <si>
    <t>Chave seletora de 3 posições</t>
  </si>
  <si>
    <t>Botão de emergência tipo cogumelo</t>
  </si>
  <si>
    <t>Botão tipo pulsador</t>
  </si>
  <si>
    <t>Botão tipo pulsador iluminado</t>
  </si>
  <si>
    <t>Bloco de contato para chaves e botões</t>
  </si>
  <si>
    <t>Chave seletora de 2 posições iluminada</t>
  </si>
  <si>
    <t>Chave seletora de 3 posições iluminada</t>
  </si>
  <si>
    <t>Botão duplo</t>
  </si>
  <si>
    <t>Sinaleiro LED</t>
  </si>
  <si>
    <t>Sinalizador sonoro luminoso</t>
  </si>
  <si>
    <t>Sinalizador sonoro</t>
  </si>
  <si>
    <t>Sirene</t>
  </si>
  <si>
    <t>Chave de partida direta</t>
  </si>
  <si>
    <t>Distribuidor Interno Ótico Industrial</t>
  </si>
  <si>
    <t>Patch Panel Ethernet Industrial</t>
  </si>
  <si>
    <t>Conector RJ45 Fêmea Blindado</t>
  </si>
  <si>
    <t>Conector RJ45 Macho Blindado</t>
  </si>
  <si>
    <t>Switch ethernet industrial</t>
  </si>
  <si>
    <t>Condulete de alumínio de 3/4”</t>
  </si>
  <si>
    <t>Condulete de alumínio de 1”</t>
  </si>
  <si>
    <t>Condulete de alumínio de 1 1/4”</t>
  </si>
  <si>
    <t>Condulete de alumínio de 1 1/2”</t>
  </si>
  <si>
    <t>Condulete de alumínio de 2 1/2”</t>
  </si>
  <si>
    <t>Condulete de alumínio de 3”</t>
  </si>
  <si>
    <t>Condulete de alumínio de 4”</t>
  </si>
  <si>
    <t>Tampa para condulete de alumínio de 3/4”</t>
  </si>
  <si>
    <t>Tampa para condulete de alumínio de 1”</t>
  </si>
  <si>
    <t>Tomada para condulete de 10 A</t>
  </si>
  <si>
    <t>Tomada para condulete de 20 A</t>
  </si>
  <si>
    <t>Tomada dupla para condulete</t>
  </si>
  <si>
    <t>Tomada e interruptor para condulete</t>
  </si>
  <si>
    <t>Kit de vedaçao para condulete de alumínio de 3/4”</t>
  </si>
  <si>
    <t>Kit de vedaçao para condulete de alumínio de 1”</t>
  </si>
  <si>
    <t>Kit de vedaçao para condulete de alumínio de 1 1/4”</t>
  </si>
  <si>
    <t>Kit de vedaçao para condulete de alumínio de 1 1/2”</t>
  </si>
  <si>
    <t>Kit de vedaçao para condulete de alumínio de 2”</t>
  </si>
  <si>
    <t>Tampa para condulete de PVC</t>
  </si>
  <si>
    <t>Conector para condulete de PVC</t>
  </si>
  <si>
    <t>Terminal de compressão 25 mm²</t>
  </si>
  <si>
    <t>Terminal de compressão 35 mm²</t>
  </si>
  <si>
    <t>Terminal de compressão 50 mm²</t>
  </si>
  <si>
    <t>Terminal de compressão 70 mm²</t>
  </si>
  <si>
    <t>Terminal de compressão 95 mm²</t>
  </si>
  <si>
    <t>Terminal de compressão 120 mm²</t>
  </si>
  <si>
    <t>Terminal de compressão 150 mm²</t>
  </si>
  <si>
    <t>Terminal de compressão 185 mm²</t>
  </si>
  <si>
    <t>Terminal de compressão 240 mm²</t>
  </si>
  <si>
    <t>Terminal de compressão 300 mm²</t>
  </si>
  <si>
    <t>Luva de compressão 25 mm²</t>
  </si>
  <si>
    <t>Luva de compressão 35 mm²</t>
  </si>
  <si>
    <t>Luva de compressão 50 mm²</t>
  </si>
  <si>
    <t>Luva de compressão 70 mm²</t>
  </si>
  <si>
    <t>Luva de compressão 95 mm²</t>
  </si>
  <si>
    <t>Luva de compressão 120 mm²</t>
  </si>
  <si>
    <t>Luva de compressão 150 mm²</t>
  </si>
  <si>
    <t>Luva de compressão 185 mm²</t>
  </si>
  <si>
    <t>Luva de compressão 240 mm²</t>
  </si>
  <si>
    <t>Luva de compressão 300 mm²</t>
  </si>
  <si>
    <t>Condutor 1,0 mm²</t>
  </si>
  <si>
    <t>Condutor 1,5 mm²</t>
  </si>
  <si>
    <t>Condutor 10 mm²</t>
  </si>
  <si>
    <t>Condutor 16 mm²</t>
  </si>
  <si>
    <t>Condutor 25 mm²</t>
  </si>
  <si>
    <t>Condutor 35 mm²</t>
  </si>
  <si>
    <t>Condutor 50 mm²</t>
  </si>
  <si>
    <t>Condutor 70 mm²</t>
  </si>
  <si>
    <t>Condutor 95 mm²</t>
  </si>
  <si>
    <t>Condutor 120 mm²</t>
  </si>
  <si>
    <t>Condutor 150 mm²</t>
  </si>
  <si>
    <t>Condutor 185 mm²</t>
  </si>
  <si>
    <t>Condutor 240 mm²</t>
  </si>
  <si>
    <t>Cobre nu 16 mm²</t>
  </si>
  <si>
    <t>Cobre nu 25 mm²</t>
  </si>
  <si>
    <t>Cobre nu 35 mm²</t>
  </si>
  <si>
    <t>Cobre nu 50 mm²</t>
  </si>
  <si>
    <t>Cobre nu 70 mm²</t>
  </si>
  <si>
    <t>Cabo 3x6 mm²</t>
  </si>
  <si>
    <t>Mufla de média tensão</t>
  </si>
  <si>
    <t>Contator auxiliar AC</t>
  </si>
  <si>
    <t>Contator auxiliar DC</t>
  </si>
  <si>
    <t>Bloco de contato auxiliar simples</t>
  </si>
  <si>
    <t>Bloco de contato auxiliar duplo</t>
  </si>
  <si>
    <t>Bloco de contato auxiliar quádruplo</t>
  </si>
  <si>
    <t>Capacitor 2,5 kVAr</t>
  </si>
  <si>
    <t>Capacitor 5 kVAr</t>
  </si>
  <si>
    <t>Capacitor 10 kVAr</t>
  </si>
  <si>
    <t>Capacitor 15 kVAr</t>
  </si>
  <si>
    <t>Capacitor 20 kVAr</t>
  </si>
  <si>
    <t>Capacitor 25 kVAr</t>
  </si>
  <si>
    <t>Capacitor 30 kVAr</t>
  </si>
  <si>
    <t>Controlador de fator de potência</t>
  </si>
  <si>
    <t>Disjuntor diferencial residual bipolar</t>
  </si>
  <si>
    <t>Disjuntor diferencial residual tetrapolar</t>
  </si>
  <si>
    <t>Dispositivo de Proteção Contra Surtos Classe I</t>
  </si>
  <si>
    <t>Dispositivo de Proteção Contra Surtos Classe II 20 kA</t>
  </si>
  <si>
    <t>Dispositivo de Proteção Contra Surtos Classe II 40 kA</t>
  </si>
  <si>
    <t>Dispositivo de Proteção Contra Surtos Classe III</t>
  </si>
  <si>
    <t>Tampa de eletrocalha 50 mm</t>
  </si>
  <si>
    <t>Tampa de eletrocalha 100 mm</t>
  </si>
  <si>
    <t>Tampa de eletrocalha 150 mm</t>
  </si>
  <si>
    <t>Tampa de eletrocalha 200 mm</t>
  </si>
  <si>
    <t>Tampa de eletrocalha 300 mm</t>
  </si>
  <si>
    <t>Tampa de eletrocalha 400 mm</t>
  </si>
  <si>
    <t>Tampa de eletrocalha 500 mm</t>
  </si>
  <si>
    <t>Suporte vertical para eletrocalha de 50 mm</t>
  </si>
  <si>
    <t>Suporte vertical para eletrocalha de 100 mm</t>
  </si>
  <si>
    <t>Suporte vertical para eletrocalha de 150 mm</t>
  </si>
  <si>
    <t>Suporte vertical para eletrocalha de 200 mm</t>
  </si>
  <si>
    <t>Suporte vertical para eletrocalha de 300 mm</t>
  </si>
  <si>
    <t>Saída de eletroduto para eletrocalha</t>
  </si>
  <si>
    <t>Eletroduto de aço galvanizado de 1/2”</t>
  </si>
  <si>
    <t>Eletroduto de aço galvanizado de 3/4”</t>
  </si>
  <si>
    <t>Eletroduto de aço galvanizado de 1”</t>
  </si>
  <si>
    <t>Eletroduto de aço galvanizado de 1 1/4”</t>
  </si>
  <si>
    <t>Eletroduto de aço galvanizado de 1 1/2”</t>
  </si>
  <si>
    <t>Eletroduto de aço galvanizado de 2”</t>
  </si>
  <si>
    <t>Eletroduto de aço galvanizado de 2 1/2”</t>
  </si>
  <si>
    <t>Eletroduto de aço galvanizado de 4”</t>
  </si>
  <si>
    <t>Eletroduto de aço galvanizado a fogo de 3/4”</t>
  </si>
  <si>
    <t>Eletroduto de aço galvanizado a fogo de 1”</t>
  </si>
  <si>
    <t>Eletroduto de aço galvanizado a fogo de 1 1/4”</t>
  </si>
  <si>
    <t>Eletroduto de aço galvanizado a fogo de 1 1/2”</t>
  </si>
  <si>
    <t>Eletroduto de aço galvanizado a fogo de 2”</t>
  </si>
  <si>
    <t>Eletroduto de aço galvanizado a fogo de 2 1/2”</t>
  </si>
  <si>
    <t>Eletroduto de aço galvanizado a fogo de 3”</t>
  </si>
  <si>
    <t>Eletroduto de aço galvanizado a fogo de 4”</t>
  </si>
  <si>
    <t>Conector reto para eletroduto 1/2”</t>
  </si>
  <si>
    <t>Luva para eletroduto 1/2”</t>
  </si>
  <si>
    <t>Luva de emenda para eletroduto 1/2”</t>
  </si>
  <si>
    <t>Curva para eletroduto 1/2”</t>
  </si>
  <si>
    <t>Conector reto para eletroduto 3/4”</t>
  </si>
  <si>
    <t>Conector curvo para eletroduto 3/4”</t>
  </si>
  <si>
    <t>Luva para eletroduto 3/4”</t>
  </si>
  <si>
    <t>Luva de emenda para eletroduto 3/4”</t>
  </si>
  <si>
    <t>Curva para eletroduto 3/4”</t>
  </si>
  <si>
    <t>Conector reto para eletroduto 1”</t>
  </si>
  <si>
    <t>Conector curvo para eletroduto 1”</t>
  </si>
  <si>
    <t>Luva para eletroduto 1”</t>
  </si>
  <si>
    <t>Luva de emenda para eletroduto 1”</t>
  </si>
  <si>
    <t>Curva para eletroduto 1”</t>
  </si>
  <si>
    <t>Conector reto para eletroduto 1 1/4”</t>
  </si>
  <si>
    <t>Conector curvo para eletroduto 1 1/4”</t>
  </si>
  <si>
    <t>Luva para eletroduto 1 1/4”</t>
  </si>
  <si>
    <t>Luva de emenda para eletroduto 1 1/4”</t>
  </si>
  <si>
    <t>Curva para eletroduto 1 1/4”</t>
  </si>
  <si>
    <t>Conector reto para eletroduto 1 1/2”</t>
  </si>
  <si>
    <t>Conector curvo para eletroduto 1 1/2”</t>
  </si>
  <si>
    <t>Luva para eletroduto 1 1/2”</t>
  </si>
  <si>
    <t>Luva de emenda para eletroduto 1 1/2”</t>
  </si>
  <si>
    <t>Curva para eletroduto 1 1/2”</t>
  </si>
  <si>
    <t>Conector reto para eletroduto 2”</t>
  </si>
  <si>
    <t>Conector curvo para eletroduto 2”</t>
  </si>
  <si>
    <t>Luva para eletroduto 2”</t>
  </si>
  <si>
    <t>Luva de emenda para eletroduto 2”</t>
  </si>
  <si>
    <t>Curva para eletroduto 2”</t>
  </si>
  <si>
    <t>Conector reto para eletroduto 2 1/2”</t>
  </si>
  <si>
    <t>Conector curvo para eletroduto 2 1/2”</t>
  </si>
  <si>
    <t>Luva para eletroduto 2 1/2”</t>
  </si>
  <si>
    <t>Luva de emenda para eletroduto 2 1/2”</t>
  </si>
  <si>
    <t>Curva para eletroduto 2 1/2”</t>
  </si>
  <si>
    <t>Conector reto para eletroduto 3”</t>
  </si>
  <si>
    <t>Conector curvo para eletroduto 3”</t>
  </si>
  <si>
    <t>Luva para eletroduto 3”</t>
  </si>
  <si>
    <t>Luva de emenda para eletroduto 3”</t>
  </si>
  <si>
    <t>Curva para eletroduto 3”</t>
  </si>
  <si>
    <t>Conector reto para eletroduto 4”</t>
  </si>
  <si>
    <t>Conector curvo para eletroduto 4”</t>
  </si>
  <si>
    <t>Luva para eletroduto 4”</t>
  </si>
  <si>
    <t>Luva de emenda para eletroduto 4”</t>
  </si>
  <si>
    <t>Curva para eletroduto 4”</t>
  </si>
  <si>
    <t>Eletroduto de PVC Corrugado Reforçado 3/4” (DE 25mm)</t>
  </si>
  <si>
    <t>Eletroduto de PVC Corrugado Reforçado 1” (DE 32mm)</t>
  </si>
  <si>
    <t>Eletroduto flexível metálico com capa de PVC 3/4”</t>
  </si>
  <si>
    <t>Conector para eletroduto flexível metálico 3/4”</t>
  </si>
  <si>
    <t>Eletroduto flexível metálico com capa de PVC 1”</t>
  </si>
  <si>
    <t>Conector para eletroduto flexível metálico 1”</t>
  </si>
  <si>
    <t>Eletroduto flexível metálico com capa de PVC 1 1/4”</t>
  </si>
  <si>
    <t>Conector para eletroduto flexível metálico 1 1/4”</t>
  </si>
  <si>
    <t>Eletroduto flexível metálico com capa de PVC 1 1/2”</t>
  </si>
  <si>
    <t>Conector para eletroduto flexível metálico 1 1/2”</t>
  </si>
  <si>
    <t>Eletroduto flexível metálico com capa de PVC 2”</t>
  </si>
  <si>
    <t>Conector para eletroduto flexível metálico 2”</t>
  </si>
  <si>
    <t>Eletroduto de PEAD de 1 1/4”</t>
  </si>
  <si>
    <t>Terminal para eletroduto de PEAD de 1 1/4”</t>
  </si>
  <si>
    <t>Eletroduto de PEAD de 2”</t>
  </si>
  <si>
    <t>Terminal para eletroduto de PEAD de 2”</t>
  </si>
  <si>
    <t>Eletroduto de PEAD de 3”</t>
  </si>
  <si>
    <t>Terminal para eletroduto de PEAD de 3”</t>
  </si>
  <si>
    <t>Eletroduto de PVC de 3/4”</t>
  </si>
  <si>
    <t>Luva para eletroduto de PVC de 3/4”</t>
  </si>
  <si>
    <t>Curva para eletroduto de PVC de 3/4”</t>
  </si>
  <si>
    <t>Eletroduto de PVC de 1”</t>
  </si>
  <si>
    <t>Luva para eletroduto de PVC de 1”</t>
  </si>
  <si>
    <t>Curva para eletroduto de PVC de 1”</t>
  </si>
  <si>
    <t>Eletroduto de PVC de 1 1/4”</t>
  </si>
  <si>
    <t>Luva para eletroduto de PVC de 1 1/4”</t>
  </si>
  <si>
    <t>Curva para eletroduto de PVC de 1 1/4”</t>
  </si>
  <si>
    <t>Eletroduto de PVC de 1 1/2”</t>
  </si>
  <si>
    <t>Luva para eletroduto de PVC de 1 1/2”</t>
  </si>
  <si>
    <t>Curva para eletroduto de PVC de 1 1/2”</t>
  </si>
  <si>
    <t>Eletroduto de PVC de 2”</t>
  </si>
  <si>
    <t>Luva para eletroduto de PVC de 2”</t>
  </si>
  <si>
    <t>Curva para eletroduto de PVC de 2”</t>
  </si>
  <si>
    <t>Eletroduto de PVC de 3”</t>
  </si>
  <si>
    <t>Luva para eletroduto de PVC de 3”</t>
  </si>
  <si>
    <t>Curva para eletroduto de PVC de 3”</t>
  </si>
  <si>
    <t>Chave Seccionadora Saca Fusível 100 A</t>
  </si>
  <si>
    <t>Chave Seccionadora Saca Fusível 160 A</t>
  </si>
  <si>
    <t>Chave Seccionadora Saca Fusível 250 A</t>
  </si>
  <si>
    <t>Chave Seccionadora Saca Fusível 400 A</t>
  </si>
  <si>
    <t>Porta fusível cartucho</t>
  </si>
  <si>
    <t>Fusível cartucho</t>
  </si>
  <si>
    <t>Base fusível NH 00 / NH 000</t>
  </si>
  <si>
    <t>Base fusível NH 1</t>
  </si>
  <si>
    <t>Base fusível NH 2</t>
  </si>
  <si>
    <t>Base fusível NH 3</t>
  </si>
  <si>
    <t>Fusível NH 000</t>
  </si>
  <si>
    <t>Fusível NH 00 Ultrarrápido</t>
  </si>
  <si>
    <t>Fusível NH 1</t>
  </si>
  <si>
    <t>Fusível NH 1 Ultrarrápido</t>
  </si>
  <si>
    <t>Fusível NH 2</t>
  </si>
  <si>
    <t>Fusível NH 2 Ultrarrápido</t>
  </si>
  <si>
    <t>Fusível NH 3</t>
  </si>
  <si>
    <t>Fusível NH 3 Ultrarrápido</t>
  </si>
  <si>
    <t>Kit base fusível Diazed</t>
  </si>
  <si>
    <t>Fusível Diazed</t>
  </si>
  <si>
    <t>Poste balizador para jardim 50cm</t>
  </si>
  <si>
    <t>Poste balizador para jardim 80cm</t>
  </si>
  <si>
    <t>Luminária tipo balizador de solo</t>
  </si>
  <si>
    <t>Braço para iluminação</t>
  </si>
  <si>
    <t>Suporte para luminária de poste simples</t>
  </si>
  <si>
    <t>Suporte para luminária de poste duplo</t>
  </si>
  <si>
    <t>Suporte para luminária de poste quadruplo</t>
  </si>
  <si>
    <t>Globo para luminária</t>
  </si>
  <si>
    <t>Luminária retangular para poste</t>
  </si>
  <si>
    <t>Poste globo duplo</t>
  </si>
  <si>
    <t>Bloco autônomo de emergência 500 lumens</t>
  </si>
  <si>
    <t>Bloco autônomo de emergência 1000 lumens</t>
  </si>
  <si>
    <t>Bloco autônomo de emergência 1500 lumens</t>
  </si>
  <si>
    <t>Bloco autônomo de emergência 2400 lumens</t>
  </si>
  <si>
    <t>Fita de LED (baixa densidade de potência)</t>
  </si>
  <si>
    <t>Fita de LED (alta densidade de potência)</t>
  </si>
  <si>
    <t>Fita de LED (baixa densidade de potência) IP65</t>
  </si>
  <si>
    <t>Fita de LED (alta densidade de potência) IP65</t>
  </si>
  <si>
    <t>Lâmpada LED Dicróica</t>
  </si>
  <si>
    <t>Lâmpada LED PAR 20</t>
  </si>
  <si>
    <t>Lâmpada LED PAR 30</t>
  </si>
  <si>
    <t>Lâmpada LED PAR 30 Alta Intensidade</t>
  </si>
  <si>
    <t>Lâmpada LED PAR 38</t>
  </si>
  <si>
    <t>Lâmpada LED PAR 20 IP65</t>
  </si>
  <si>
    <t>Lâmpada LED PAR 30 IP65</t>
  </si>
  <si>
    <t>Lâmpada LED PAR 38 IP65</t>
  </si>
  <si>
    <t>Lâmpada LED Tipo Vela</t>
  </si>
  <si>
    <t>Lâmpada LED Tipo Bolinha</t>
  </si>
  <si>
    <t>Lâmpada LED Tipo R 63</t>
  </si>
  <si>
    <t>Lâmpada Vapor Metálico 70 W</t>
  </si>
  <si>
    <t>Lâmpada Vapor Metálico 150 W</t>
  </si>
  <si>
    <t>Lâmpada Vapor Metálico 250 W</t>
  </si>
  <si>
    <t>Lâmpada Vapor Metálico 400 W</t>
  </si>
  <si>
    <t>Lâmpada Vapor Metálico 2000 W</t>
  </si>
  <si>
    <t>Luminária Plafon LED Slim 15 W</t>
  </si>
  <si>
    <t>Luminária Plafon LED Slim 24 W</t>
  </si>
  <si>
    <t>Luminária spot de sobrepor</t>
  </si>
  <si>
    <t>Luminária spot de embutir</t>
  </si>
  <si>
    <t>Luminária arandela</t>
  </si>
  <si>
    <t>Luminária plafon 30 cm</t>
  </si>
  <si>
    <t>Luminária plafon 40 cm</t>
  </si>
  <si>
    <t>Luminária plafon LED redondo 10 W</t>
  </si>
  <si>
    <t>Luminária plafon LED redondo 16 W</t>
  </si>
  <si>
    <t>Luminária plafon LED redondo 20 W</t>
  </si>
  <si>
    <t>Luminária T5 2x14 W de embutir</t>
  </si>
  <si>
    <t>Luminária T5 2x14 W de sobrepor</t>
  </si>
  <si>
    <t>Luminária T5 2x28 W de embutir</t>
  </si>
  <si>
    <t>Luminária T5 2x28 W de sobrepor</t>
  </si>
  <si>
    <t>Luminária tartaruga</t>
  </si>
  <si>
    <t>Projetor LED para o Plenário Senado Federal</t>
  </si>
  <si>
    <t>Receptáculo E27</t>
  </si>
  <si>
    <t>Driver para LED corrente constante 350 mA</t>
  </si>
  <si>
    <t>Driver para LED corrente constante 700 mA</t>
  </si>
  <si>
    <t>Reator para 1 lâmpada fluorescente T5</t>
  </si>
  <si>
    <t>Reator para 2 lâmpadas fluorescentes T5</t>
  </si>
  <si>
    <t>Reator para lâmpadas de descarga 70 W</t>
  </si>
  <si>
    <t>Reator para lâmpadas de descarga 150 W</t>
  </si>
  <si>
    <t>Reator para lâmpadas de descarga 250 W</t>
  </si>
  <si>
    <t>Reator para lâmpadas de descarga 400 W</t>
  </si>
  <si>
    <t>Reator para lâmpadas de descarga 2000 W</t>
  </si>
  <si>
    <t>Refletor LED 10 W IP65</t>
  </si>
  <si>
    <t>Refletor LED 30 W IP65</t>
  </si>
  <si>
    <t>Refletor LED 50 W IP65</t>
  </si>
  <si>
    <t>Refletor LED 100 W IP65</t>
  </si>
  <si>
    <t>Refletor LED 150 W IP65</t>
  </si>
  <si>
    <t>Refletor LED 200 W IP65</t>
  </si>
  <si>
    <t>Refletor LED 20 W IP65 com sensor</t>
  </si>
  <si>
    <t>Trilho eletrificado para iluminação</t>
  </si>
  <si>
    <t>Ponteira para trilho eletrificado para iluminação</t>
  </si>
  <si>
    <t>Fixador de teto para trilho eletrificado para iluminação</t>
  </si>
  <si>
    <t>Conexão reta para trilho eletrificado para iluminação</t>
  </si>
  <si>
    <t>Conexão 90 graus para trilho eletrificado para iluminação</t>
  </si>
  <si>
    <t>Conexão T para trilho eletrificado para iluminação</t>
  </si>
  <si>
    <t>Conexão cruz para trilho eletrificado para iluminação</t>
  </si>
  <si>
    <t>Plug para trilho eletrificado para iluminação</t>
  </si>
  <si>
    <t>Spot para trilho eletrificado para iluminação</t>
  </si>
  <si>
    <t>Mão francesa simples</t>
  </si>
  <si>
    <t>Mão francesa dupla</t>
  </si>
  <si>
    <t>Mão francesa reforçada</t>
  </si>
  <si>
    <t>Chumbador 1/4”</t>
  </si>
  <si>
    <t>Chumbador 5/16”</t>
  </si>
  <si>
    <t>Chumbador 3/8”</t>
  </si>
  <si>
    <t>Barra roscada 1/4”</t>
  </si>
  <si>
    <t>Barra roscada 5/16”</t>
  </si>
  <si>
    <t>Barra roscada 3/8”</t>
  </si>
  <si>
    <t>Abraçadeira tipo D para eletroduto</t>
  </si>
  <si>
    <t>Abraçadeira tipo copo para eletroduto</t>
  </si>
  <si>
    <t>Passa cabo para piso elevado</t>
  </si>
  <si>
    <t>Abraçadeira de nylon 13 mm</t>
  </si>
  <si>
    <t>Abraçadeira de nylon 9 mm</t>
  </si>
  <si>
    <t>Abraçadeira de nylon 7,5 mm</t>
  </si>
  <si>
    <t>Abraçadeira de nylon 5 mm</t>
  </si>
  <si>
    <t>Caixa ARStop</t>
  </si>
  <si>
    <t>Conector de emenda rápida 2 vias</t>
  </si>
  <si>
    <t>Conector de emenda rápida 3 vias</t>
  </si>
  <si>
    <t>Conector de emenda rápida 5 vias</t>
  </si>
  <si>
    <t>Módulo interruptor intermediário</t>
  </si>
  <si>
    <t>Módulo carregador USB</t>
  </si>
  <si>
    <t>Módulo para conector RJ45</t>
  </si>
  <si>
    <t>Módulo pulsador</t>
  </si>
  <si>
    <t>Módulo cabo coaxial</t>
  </si>
  <si>
    <t>Módulo tomada 10 A para piso</t>
  </si>
  <si>
    <t>Módulo tomada 20 A para piso</t>
  </si>
  <si>
    <t>Módulo tomada de telefone para piso</t>
  </si>
  <si>
    <t>Módulo campainha</t>
  </si>
  <si>
    <t>Módulo dimmer</t>
  </si>
  <si>
    <t>Nobreak de 1 kVA</t>
  </si>
  <si>
    <t>Nobreak de 2 kVA</t>
  </si>
  <si>
    <t>Nobreak de 3 kVA</t>
  </si>
  <si>
    <t>Bateria 7 Ah</t>
  </si>
  <si>
    <t>Bateria 9 Ah</t>
  </si>
  <si>
    <t>Bateria 12 Ah</t>
  </si>
  <si>
    <t>Bateria 28 Ah</t>
  </si>
  <si>
    <t>Bateria 40 Ah</t>
  </si>
  <si>
    <t>Bateria 120 Ah</t>
  </si>
  <si>
    <t>Perfilado 38x38 mm</t>
  </si>
  <si>
    <t>Gancho curto para perfilado</t>
  </si>
  <si>
    <t>Gancho longo para perfilado</t>
  </si>
  <si>
    <t>Cantoneira ZZ para perfilado</t>
  </si>
  <si>
    <t>Gancho curto de luminária para perfilado</t>
  </si>
  <si>
    <t>Gancho longo de luminária para perfilado</t>
  </si>
  <si>
    <t>Junta interna tipo I para perfilado</t>
  </si>
  <si>
    <t>Junta interna tipo L para perfilado</t>
  </si>
  <si>
    <t>Junta interna tipo T para perfilado</t>
  </si>
  <si>
    <t>Junta interna tipo X para perfilado</t>
  </si>
  <si>
    <t>Curva para perfilado</t>
  </si>
  <si>
    <t>Sapata para perfilado</t>
  </si>
  <si>
    <t>Saída de eletroduto para perfilado</t>
  </si>
  <si>
    <t>Módulo acionador para fechaduras</t>
  </si>
  <si>
    <t>Conjunto motor de portão pivotante</t>
  </si>
  <si>
    <t>Fotocélula para portão</t>
  </si>
  <si>
    <t>Central de controle para portão</t>
  </si>
  <si>
    <t>Controle remoto para portão</t>
  </si>
  <si>
    <t>Módulo botoeira para portão</t>
  </si>
  <si>
    <t>Módulo relé para portão</t>
  </si>
  <si>
    <t>Sinaleira para portão</t>
  </si>
  <si>
    <t>Cremalheira para portão</t>
  </si>
  <si>
    <t>Engrenagem para portão</t>
  </si>
  <si>
    <t>Sensor de fim de curso para portão</t>
  </si>
  <si>
    <t>Encoder para portão</t>
  </si>
  <si>
    <t>Estator para motor de portão</t>
  </si>
  <si>
    <t>Induzido para motor de portão</t>
  </si>
  <si>
    <t>Campainha eletrônica</t>
  </si>
  <si>
    <t>Relé acionado por controle remoto sem fio</t>
  </si>
  <si>
    <t>Campainha sem fio</t>
  </si>
  <si>
    <t>Botoeira para portões</t>
  </si>
  <si>
    <t>Quadro termoplástico para 12 disjuntores</t>
  </si>
  <si>
    <t>Quadro termoplástico para 24 disjuntores</t>
  </si>
  <si>
    <t>Quadro termoplástico para 36 disjuntores</t>
  </si>
  <si>
    <t>Relé de interface</t>
  </si>
  <si>
    <t>Relé programador horário</t>
  </si>
  <si>
    <t>Relé de impulso</t>
  </si>
  <si>
    <t>Relé monitor de tensão trifásico</t>
  </si>
  <si>
    <t>Relé monitor de tensão monofásico</t>
  </si>
  <si>
    <t>Relé monitor de corrente monofásico</t>
  </si>
  <si>
    <t>Relé temporizador</t>
  </si>
  <si>
    <t>Relé de nível</t>
  </si>
  <si>
    <t>CLP Siemens LOGO</t>
  </si>
  <si>
    <t>Módulo de expansão de 8 portas digitais para Siemens LOGO</t>
  </si>
  <si>
    <t>Módulo de expansão de 16 portas digitais para Siemens LOGO</t>
  </si>
  <si>
    <t>Módulo de expansão de entrada analógica para Siemens LOGO</t>
  </si>
  <si>
    <t>Módulo de expansão de entrada de temperatura para Siemens LOGO</t>
  </si>
  <si>
    <t>Módulo de expansão de saída analógica para Siemens LOGO</t>
  </si>
  <si>
    <t>IHM para Siemens LOGO</t>
  </si>
  <si>
    <t>Controlador de temperatura</t>
  </si>
  <si>
    <t>Conversor de sinal analógico</t>
  </si>
  <si>
    <t>Transmissor de temperatura</t>
  </si>
  <si>
    <t>Termostato para painel</t>
  </si>
  <si>
    <t>Multimedidor de grandezas elétricas</t>
  </si>
  <si>
    <t>Multimedidor avançado de grandezas elétricas</t>
  </si>
  <si>
    <t>Medidor de energia monofásico</t>
  </si>
  <si>
    <t>Medidor de energia trifásico</t>
  </si>
  <si>
    <t>Tapete isolante classe 0</t>
  </si>
  <si>
    <t>Tapete isolante classe 2</t>
  </si>
  <si>
    <t>Estrado isolante classe 2</t>
  </si>
  <si>
    <t>Bastão de resgate</t>
  </si>
  <si>
    <t>Transformador de potencial para medição de baixa tensão</t>
  </si>
  <si>
    <t>Chave de fim de curso</t>
  </si>
  <si>
    <t>Pressostato diferencial para ar</t>
  </si>
  <si>
    <t>Sonda de temperatura PT100</t>
  </si>
  <si>
    <t>Sensor de presença externo</t>
  </si>
  <si>
    <t>Relé fotoelétrico</t>
  </si>
  <si>
    <t>Base para relé fotoelétrico</t>
  </si>
  <si>
    <t>Eletrodo para relé de nível</t>
  </si>
  <si>
    <t>Transformador de corrente termoplástico até 400 A</t>
  </si>
  <si>
    <t>Transformador de corrente epóxi até 400 A</t>
  </si>
  <si>
    <t>Transformador de corrente epóxi até 800 A</t>
  </si>
  <si>
    <t>Transformador de corrente epóxi até 2000 A</t>
  </si>
  <si>
    <t>Transmissor de nível hidrostático</t>
  </si>
  <si>
    <t>Transmissor de pressão</t>
  </si>
  <si>
    <t>Transmissor de nível ultrassônico</t>
  </si>
  <si>
    <t>Soft-starter 10 A</t>
  </si>
  <si>
    <t>Soft-starter 17 A</t>
  </si>
  <si>
    <t>Soft-starter 24 A</t>
  </si>
  <si>
    <t>Soft-starter 30 A</t>
  </si>
  <si>
    <t>Soft-starter 44 A</t>
  </si>
  <si>
    <t>Soft-starter 60 A</t>
  </si>
  <si>
    <t>Soft-starter 85 A</t>
  </si>
  <si>
    <t>Soft-starter 142 A</t>
  </si>
  <si>
    <t>Interface homem-máquina para soft-starter</t>
  </si>
  <si>
    <t>Inversor 10 A</t>
  </si>
  <si>
    <t>Inversor 16 A</t>
  </si>
  <si>
    <t>Inversor 24 A</t>
  </si>
  <si>
    <t>Inversor 31 A</t>
  </si>
  <si>
    <t>Inversor 39 A</t>
  </si>
  <si>
    <t>Inversor 49 A</t>
  </si>
  <si>
    <t>Inversor ABB ACS350</t>
  </si>
  <si>
    <t>Inversor ABB ACS550</t>
  </si>
  <si>
    <t>Inversor ABB ACS800</t>
  </si>
  <si>
    <t>Barra chata de alumínio</t>
  </si>
  <si>
    <t>Conector cabo/haste de aterramento</t>
  </si>
  <si>
    <t>Caixa de inspeção de aterramento 300 mm</t>
  </si>
  <si>
    <t>Caixa de inspeção de aterramento 600 mm</t>
  </si>
  <si>
    <t>Tampa simples para caixa de inspeção de aterramento</t>
  </si>
  <si>
    <t>Tampa reforçada para caixa de inspeção de aterramento</t>
  </si>
  <si>
    <t>Fita de sinalização para instalações subterrâneas</t>
  </si>
  <si>
    <t>Captor tipo Franklin</t>
  </si>
  <si>
    <t>Minicaptor 300 mm</t>
  </si>
  <si>
    <t>Minicaptor 600 mm</t>
  </si>
  <si>
    <t>Base para mastro</t>
  </si>
  <si>
    <t>Abraçadeira para aterramento de mastro</t>
  </si>
  <si>
    <t>Sinalizador de topo com fotocélula</t>
  </si>
  <si>
    <t>Mastro para sinalizador de topo</t>
  </si>
  <si>
    <t>Suporte para sinalizador de topo em mastro</t>
  </si>
  <si>
    <t>Grampo tipo X para alumínio</t>
  </si>
  <si>
    <t>Grampo tipo X para cobre</t>
  </si>
  <si>
    <t>Fixador para SPDA</t>
  </si>
  <si>
    <t>Fixador universal para SPDA</t>
  </si>
  <si>
    <t>Fixador colado para SPDA</t>
  </si>
  <si>
    <t>Adesivo estrutural</t>
  </si>
  <si>
    <t>Conector de emenda e medição para SPDA</t>
  </si>
  <si>
    <t>Conector para SPDA</t>
  </si>
  <si>
    <t>Isolador curto para SPDA</t>
  </si>
  <si>
    <t>Isolador simples para SPDA</t>
  </si>
  <si>
    <t>Isolador duplo para mastro para SPDA</t>
  </si>
  <si>
    <t>Isolador reforçado para SPDA</t>
  </si>
  <si>
    <t>Isolador duplo curva 90 graus para SPDA</t>
  </si>
  <si>
    <t>Isolador para telha para SPDA</t>
  </si>
  <si>
    <t>Isolador duplo para mastro reforçado para SPDA</t>
  </si>
  <si>
    <t>Cabo de aço galvanizado a fogo</t>
  </si>
  <si>
    <t>Esticador de cabo de aço galvanizado a fogo</t>
  </si>
  <si>
    <t>Clip para cabo de aço galvanizado a fogo</t>
  </si>
  <si>
    <t>Sapatilha para cabo de aço galvanizado a fogo</t>
  </si>
  <si>
    <t>Tampão R1 Articulado B-125</t>
  </si>
  <si>
    <t>Tampão R2 Articulado B-125</t>
  </si>
  <si>
    <t>Tampão DN 400 Articulado B-125</t>
  </si>
  <si>
    <t>Tampão DN 400 Articulado D-400</t>
  </si>
  <si>
    <t>Tampão DN 600 Articulado D-400</t>
  </si>
  <si>
    <t>Tampão T-33 Articulado B-125</t>
  </si>
  <si>
    <t>Tampão T-33 Simples Pesado</t>
  </si>
  <si>
    <t>Filtro de linha 3 tomadas</t>
  </si>
  <si>
    <t>Filtro de linha 4 tomadas</t>
  </si>
  <si>
    <t>Filtro de linha 5 tomadas</t>
  </si>
  <si>
    <t>Filtro de linha para rack 19 polegadas</t>
  </si>
  <si>
    <t>Tomada industrial monofásica 16 A</t>
  </si>
  <si>
    <t>Plugue industrial monofásico 16 A</t>
  </si>
  <si>
    <t>Acoplamento industrial monofásico 16 A</t>
  </si>
  <si>
    <t>Tomada industrial trifásica 16 A</t>
  </si>
  <si>
    <t>Plugue industrial trifásico 16 A</t>
  </si>
  <si>
    <t>Acoplamento industrial trifásico 16 A</t>
  </si>
  <si>
    <t>Tomada industrial monofásica 32 A</t>
  </si>
  <si>
    <t>Plugue industrial monofásico 32 A</t>
  </si>
  <si>
    <t>Acoplamento industrial monofásico 32 A</t>
  </si>
  <si>
    <t>Tomada industrial trifásica 32 A</t>
  </si>
  <si>
    <t>Plugue industrial trifásico 32 A</t>
  </si>
  <si>
    <t>Acoplamento industrial trifásico 32 A</t>
  </si>
  <si>
    <t>Tomada industrial monofásica 63 A</t>
  </si>
  <si>
    <t>Plugue industrial monofásico 63 A</t>
  </si>
  <si>
    <t>Acoplamento industrial monofásico 63 A</t>
  </si>
  <si>
    <t>Tomada industrial trifásica 63 A</t>
  </si>
  <si>
    <t>Plugue industrial trifásico 63 A</t>
  </si>
  <si>
    <t>Acoplamento industrial trifásico 63 A</t>
  </si>
  <si>
    <t>Tomada para embutir em painel elétrico</t>
  </si>
  <si>
    <t>Plugue macho 10 A</t>
  </si>
  <si>
    <t>Plugue macho 20 A</t>
  </si>
  <si>
    <t>Plugue macho 10 A 90 graus</t>
  </si>
  <si>
    <t>Plugue macho 20 A 90 graus</t>
  </si>
  <si>
    <t>Prolongador 10 A</t>
  </si>
  <si>
    <t>Prolongador 20 A</t>
  </si>
  <si>
    <t>Adaptador de plugue para tomadas</t>
  </si>
  <si>
    <t>Cordão prolongador 0,8 m</t>
  </si>
  <si>
    <t>Cordão prolongador 1,5 m</t>
  </si>
  <si>
    <t>Claviculário 20 chaves</t>
  </si>
  <si>
    <t>Análise físico-química de óleo isolante</t>
  </si>
  <si>
    <t>Análise de gases dissolvidos em óleo isolante</t>
  </si>
  <si>
    <t>Análise de teor de PCB em óleo isolante</t>
  </si>
  <si>
    <t>Descarte de lâmpadas</t>
  </si>
  <si>
    <t>Descarte de reatores e demais resíduos eletroeletrônicos</t>
  </si>
  <si>
    <t>Aluguel de caminhão munck</t>
  </si>
  <si>
    <t>Aluguel de plataforma aérea</t>
  </si>
  <si>
    <t>Aluguel de empilhadeira</t>
  </si>
  <si>
    <t>Aluguel de banco de cargas 400 kW</t>
  </si>
  <si>
    <t>Aluguel de grupo motor-gerador de 200 kVA</t>
  </si>
  <si>
    <t>Hora de funcionamento grupo motor-gerador de 200 kVA</t>
  </si>
  <si>
    <t>Solda exotérmica</t>
  </si>
  <si>
    <t>Chave de abertura de painéis</t>
  </si>
  <si>
    <t>Caixa de ferramentas 40 cm</t>
  </si>
  <si>
    <t>Caixa de ferramentas 50 cm</t>
  </si>
  <si>
    <t>Carrinho de ferramentas</t>
  </si>
  <si>
    <t>Transpalete manual</t>
  </si>
  <si>
    <t>Carrinho plataforma</t>
  </si>
  <si>
    <t>Mesa hidráulica pantográfica</t>
  </si>
  <si>
    <t>Lanterna</t>
  </si>
  <si>
    <t>Cavalete de sinalização de manutenção</t>
  </si>
  <si>
    <t>Cone de sinalização</t>
  </si>
  <si>
    <t>Detector de tensão sem contato de baixa tensão</t>
  </si>
  <si>
    <t>Detector de tensão sem contato de média tensão</t>
  </si>
  <si>
    <t>Conjunto de aterramento temporário para baixa tensão</t>
  </si>
  <si>
    <t>Conjunto de aterramento temporário para média tensão</t>
  </si>
  <si>
    <t>Grampo de aterramento concha-bola</t>
  </si>
  <si>
    <t>Lençol isolante classe 4</t>
  </si>
  <si>
    <t>Vara de manobra</t>
  </si>
  <si>
    <t>Etiqueta de bloqueio</t>
  </si>
  <si>
    <t>Inflador de luvas</t>
  </si>
  <si>
    <t>Protetor de cabos</t>
  </si>
  <si>
    <t>Escada duplo acesso 4 degraus</t>
  </si>
  <si>
    <t>Escada extensível 19 degraus</t>
  </si>
  <si>
    <t>Andaime tubular 1 m por 1 m e 6 m de altura</t>
  </si>
  <si>
    <t>Andaime tubular 1,5 m por 1 m e 6 m de altura</t>
  </si>
  <si>
    <t>Plataforma de trabalho aéreo</t>
  </si>
  <si>
    <t>Talabarte simples</t>
  </si>
  <si>
    <t>Tripé para trabalho em altura e espaço confinado</t>
  </si>
  <si>
    <t>Trava-quedas retrátil e guincho (3way) para tripé de trabalho em altura e espaço confinado</t>
  </si>
  <si>
    <t>Corda semi-estática 11 mm</t>
  </si>
  <si>
    <t>Mosquetão</t>
  </si>
  <si>
    <t>Cinta de ancoragem com anéis</t>
  </si>
  <si>
    <t>Trapézio para espaço confinado</t>
  </si>
  <si>
    <t>Polia simples para corda</t>
  </si>
  <si>
    <t>Alicate crimpador hidráulico</t>
  </si>
  <si>
    <t>Crimpador/cortador de cabos a bateria</t>
  </si>
  <si>
    <t>Ferramenta multifuncional para barramentos de cobre</t>
  </si>
  <si>
    <t>Estampo furador hidráulico</t>
  </si>
  <si>
    <t>Esmerilhadeira Angular de 5” com controle de velocidade</t>
  </si>
  <si>
    <t>Furadeira de impacto 800 W</t>
  </si>
  <si>
    <t>Furadeira de impacto sem fio</t>
  </si>
  <si>
    <t>Furadeira/parafusadeira sem fio</t>
  </si>
  <si>
    <t>Chave de impacto sem fio</t>
  </si>
  <si>
    <t>Soprador de ar sem fio</t>
  </si>
  <si>
    <t>Soprador/aspirador de pó</t>
  </si>
  <si>
    <t>Soprador térmico</t>
  </si>
  <si>
    <t>Rotulador</t>
  </si>
  <si>
    <t>Hipot 30 kV</t>
  </si>
  <si>
    <t>Serra rápida portátil</t>
  </si>
  <si>
    <t>Policorte</t>
  </si>
  <si>
    <t>Nível laser de linhas</t>
  </si>
  <si>
    <t>Refletor a bateria</t>
  </si>
  <si>
    <t>Microretífica</t>
  </si>
  <si>
    <t>Motoesmeril 6 polegadas</t>
  </si>
  <si>
    <t>Martelo perfurador rompedor 800 W</t>
  </si>
  <si>
    <t>Furadeira de impacto 750 W</t>
  </si>
  <si>
    <t>Serra tico-tico</t>
  </si>
  <si>
    <t>Serra copo diamantada 25 mm</t>
  </si>
  <si>
    <t>Serra copo diamantada 30 mm</t>
  </si>
  <si>
    <t>Serra copo diamantada 35 mm</t>
  </si>
  <si>
    <t>Serra copo diamantada 45 mm</t>
  </si>
  <si>
    <t>Serra copo diamantada 50 mm</t>
  </si>
  <si>
    <t>Serra copo diamantada 65 mm</t>
  </si>
  <si>
    <t>Alicate de corte isolado 160 mm</t>
  </si>
  <si>
    <t>Alicate de corte frontal isolado 160 mm</t>
  </si>
  <si>
    <t>Alicate universal isolado 200 mm</t>
  </si>
  <si>
    <t>Alicate bico reto isolado 160 mm</t>
  </si>
  <si>
    <t>Alicate bico curvo isolado 160 mm</t>
  </si>
  <si>
    <t>Alicate desencapador isolado 160 mm</t>
  </si>
  <si>
    <t>Jogo de soquetes 1/2 isolado</t>
  </si>
  <si>
    <t>Chave estrela 8 mm isolada</t>
  </si>
  <si>
    <t>Chave fixa 9 mm isolada</t>
  </si>
  <si>
    <t>Chave estrela 9 mm isolada</t>
  </si>
  <si>
    <t>Chave fixa 10 mm isolada</t>
  </si>
  <si>
    <t>Chave estrela 10 mm isolada</t>
  </si>
  <si>
    <t>Chave fixa 11 mm isolada</t>
  </si>
  <si>
    <t>Chave estrela 11 mm isolada</t>
  </si>
  <si>
    <t>Chave fixa 12 mm isolada</t>
  </si>
  <si>
    <t>Chave estrela 12 mm isolada</t>
  </si>
  <si>
    <t>Chave fixa 13 mm isolada</t>
  </si>
  <si>
    <t>Chave estrela 13 mm isolada</t>
  </si>
  <si>
    <t>Chave fixa 14 mm isolada</t>
  </si>
  <si>
    <t>Chave estrela 14 mm isolada</t>
  </si>
  <si>
    <t>Chave fixa 15 mm isolada</t>
  </si>
  <si>
    <t>Chave estrela 15 mm isolada</t>
  </si>
  <si>
    <t>Chave fixa 17 mm isolada</t>
  </si>
  <si>
    <t>Chave estrela 17 mm isolada</t>
  </si>
  <si>
    <t>Chave fixa 19 mm isolada</t>
  </si>
  <si>
    <t>Chave estrela 19 mm isolada</t>
  </si>
  <si>
    <t>Chave fixa 22 mm isolada</t>
  </si>
  <si>
    <t>Chave estrela 22 mm isolada</t>
  </si>
  <si>
    <t>Chave Phillips isolada PH0</t>
  </si>
  <si>
    <t>Chave Phillips isolada PH1</t>
  </si>
  <si>
    <t>Chave Phillips isolada PH2</t>
  </si>
  <si>
    <t>Chave Phillips isolada PH3</t>
  </si>
  <si>
    <t>Chave Phillips isolada PH4</t>
  </si>
  <si>
    <t>Chave de fenda isolada 2,5 mm</t>
  </si>
  <si>
    <t>Chave de fenda isolada 3 mm</t>
  </si>
  <si>
    <t>Chave de fenda isolada 4 mm</t>
  </si>
  <si>
    <t>Chave de fenda isolada 5,5 mm</t>
  </si>
  <si>
    <t>Chave de fenda isolada 6,5 mm</t>
  </si>
  <si>
    <t>Chave de fenda isolada 8 mm</t>
  </si>
  <si>
    <t>Faca desencapadora de fios isolada</t>
  </si>
  <si>
    <t>Chave Pozidriv isolada PZ0</t>
  </si>
  <si>
    <t>Chave Pozidriv isolada PZ1</t>
  </si>
  <si>
    <t>Chave Pozidriv isolada PZ2</t>
  </si>
  <si>
    <t>Chave Pozidriv isolada PZ3</t>
  </si>
  <si>
    <t>Saca fusível</t>
  </si>
  <si>
    <t>Alicate crimpador com catraca para terminal RJ45</t>
  </si>
  <si>
    <t>Alicate punch down para terminal RJ45</t>
  </si>
  <si>
    <t>Alicate desencapador automático</t>
  </si>
  <si>
    <t>Alicate corta cabos com catraca</t>
  </si>
  <si>
    <t>Jogo de chave allen em polegadas</t>
  </si>
  <si>
    <t>Jogo de soquete allen 1/2 métrico</t>
  </si>
  <si>
    <t>Jogo de soquete 1/2 torx</t>
  </si>
  <si>
    <t>Jogo de chaves combinadas com catraca métrico</t>
  </si>
  <si>
    <t>Jogo de chaves combinadas com catraca em polegadas</t>
  </si>
  <si>
    <t>Jogo de chaves combinadas métrico</t>
  </si>
  <si>
    <t>Jogo de chaves combinadas em polegadas</t>
  </si>
  <si>
    <t>Jogo de soquetes sextavado longos 1/2 métrico</t>
  </si>
  <si>
    <t>Jogo de soquetes sextavado 1/2 métrico</t>
  </si>
  <si>
    <t>Jogo de soquetes 1/2 em polegadas</t>
  </si>
  <si>
    <t>Jogo de soquetes 3/8</t>
  </si>
  <si>
    <t>Jogo de soquetes 1/4 métrico 25 soquetes</t>
  </si>
  <si>
    <t>Jogo de adaptador de soquetes</t>
  </si>
  <si>
    <t>Jogo de bits</t>
  </si>
  <si>
    <t>Jogo de chaves biela métrico</t>
  </si>
  <si>
    <t>Arco de serra de extra-alta tensão</t>
  </si>
  <si>
    <t>Jogo de soquetes sextavado de impacto 1/2 métrico</t>
  </si>
  <si>
    <t>Chave de borne 3 mm</t>
  </si>
  <si>
    <t>Chave de borne 4 mm</t>
  </si>
  <si>
    <t>Jogo de chaves de precisão</t>
  </si>
  <si>
    <t>Jogo de chaves de precisão longas</t>
  </si>
  <si>
    <t>Passa fio com alma de aço 20 m</t>
  </si>
  <si>
    <t>Passa fio helicoidal 20 m</t>
  </si>
  <si>
    <t>Passa fio 50 m com carretel</t>
  </si>
  <si>
    <t>Jogo de alicates para anéis</t>
  </si>
  <si>
    <t>Jogo de tarraxas manuais</t>
  </si>
  <si>
    <t>Alicate de corte diagonal para microeletrônica</t>
  </si>
  <si>
    <t>Alicate de pressão</t>
  </si>
  <si>
    <t>Punção de centro</t>
  </si>
  <si>
    <t>Rebitadeira de rosca</t>
  </si>
  <si>
    <t>Serrote para gesso 150 mm</t>
  </si>
  <si>
    <t>Martelo de borracha</t>
  </si>
  <si>
    <t>Martelo tipo pena</t>
  </si>
  <si>
    <t>Martelo com borda em plástico</t>
  </si>
  <si>
    <t>Morsa de bancada</t>
  </si>
  <si>
    <t>Riscador de metal duro</t>
  </si>
  <si>
    <t>Jogo de macho e cossinete</t>
  </si>
  <si>
    <t>Alicate amperímetro 400 A</t>
  </si>
  <si>
    <t>Alicate amperímetro 1000 A</t>
  </si>
  <si>
    <t>Termômetro infravermelho</t>
  </si>
  <si>
    <t>Trena a laser 40m</t>
  </si>
  <si>
    <t>Trena 8m</t>
  </si>
  <si>
    <t>Trena 50m</t>
  </si>
  <si>
    <t>Torquímetro de estalo 100 Nm</t>
  </si>
  <si>
    <t>Torquímetro de estalo 50 Nm</t>
  </si>
  <si>
    <t>Torquímetro de estalo 25 Nm</t>
  </si>
  <si>
    <t>Torquímetro axial 6 Nm</t>
  </si>
  <si>
    <t>Analisador de qualidade de energia trifásico</t>
  </si>
  <si>
    <t>Fasímetro</t>
  </si>
  <si>
    <t>Megôhmetro 10 kV</t>
  </si>
  <si>
    <t>Megôhmetro 1 kV</t>
  </si>
  <si>
    <t>Microhmímetro 200 A</t>
  </si>
  <si>
    <t>Terrômetro</t>
  </si>
  <si>
    <t>Termovisor de alta resolução</t>
  </si>
  <si>
    <t>Termovisor</t>
  </si>
  <si>
    <t>Termo-higrômetro</t>
  </si>
  <si>
    <t>Multímetro</t>
  </si>
  <si>
    <t>Medidor LCR</t>
  </si>
  <si>
    <t>Paquímetro digital 150 mm</t>
  </si>
  <si>
    <t>Luxímetro</t>
  </si>
  <si>
    <t>Testador de cabo de rede</t>
  </si>
  <si>
    <t>Escala métrica 300 mm</t>
  </si>
  <si>
    <t>Escala métrica 600 mm</t>
  </si>
  <si>
    <t>Escala métrica 1500 mm</t>
  </si>
  <si>
    <t>Esquadro combinado</t>
  </si>
  <si>
    <t>Programadora de portões</t>
  </si>
  <si>
    <t>Veículo do tipo automóvel de passageiros</t>
  </si>
  <si>
    <t>Camiseta de manga curta com identificação da empresa</t>
  </si>
  <si>
    <t>Luva isolante classe 0</t>
  </si>
  <si>
    <t>Luva isolante classe 2</t>
  </si>
  <si>
    <t>Luva de cobertura para luva isolante</t>
  </si>
  <si>
    <t>Bolsa para luvas isolantes</t>
  </si>
  <si>
    <t>Vestimenta antichama classe 2</t>
  </si>
  <si>
    <t>Vestimenta antichama classe 4</t>
  </si>
  <si>
    <t>Capuz antichama classe 4</t>
  </si>
  <si>
    <t>Balaclava antichama classe 2</t>
  </si>
  <si>
    <t>Protetor auricular tipo abafador dielétrico</t>
  </si>
  <si>
    <t>Respirador PFF-2</t>
  </si>
  <si>
    <t>Luva nitrílica</t>
  </si>
  <si>
    <t>Luva de nylon com banho em PU</t>
  </si>
  <si>
    <t>Luva de vaqueta</t>
  </si>
  <si>
    <t>Capacete de segurança para trabalho em altura</t>
  </si>
  <si>
    <t>Luva para proteção química</t>
  </si>
  <si>
    <t>Luva pigmentada</t>
  </si>
  <si>
    <t>Protetor solar</t>
  </si>
  <si>
    <t>Sabonete desengraxante</t>
  </si>
  <si>
    <t>Carpete em placa para o Bloco 2 (Interlegis) - fornecimento e instalação</t>
  </si>
  <si>
    <t>Carpete em rolo para o Bloco 2 (Interlegis) - fornecimento e instalação</t>
  </si>
  <si>
    <t>Corte em chapas metálicas</t>
  </si>
  <si>
    <t>Remoção de revestimento em chapa de alumínio ACM para aproveitamento</t>
  </si>
  <si>
    <t>Instalação de revestimento em chapa de alumínio ACM reaproveitado</t>
  </si>
  <si>
    <t>Adesivo Estrutural Epóxi Bicomponente – fornecimento e aplicação</t>
  </si>
  <si>
    <t>Quadro 400x300x200 mm – fornecimento e instalação</t>
  </si>
  <si>
    <t>Pavimentação em concreto simples</t>
  </si>
  <si>
    <t>Alvenaria Estrutural</t>
  </si>
  <si>
    <t>Boca de lobo simples em blocos de concreto, h=1,0 m</t>
  </si>
  <si>
    <t>Canaleta de concreto armado 30 cm x 30 cm com tampa</t>
  </si>
  <si>
    <t>Remoção de árvore, inclusive raiz</t>
  </si>
  <si>
    <t>Demolição de telhas</t>
  </si>
  <si>
    <t>Locação de obra</t>
  </si>
  <si>
    <t>Paraciclo metálico para bicicletas</t>
  </si>
  <si>
    <t>Projeto Executivo de Instalação de Central de Geração de Energia – Obras civis - AT 31 e AT 32</t>
  </si>
  <si>
    <t>Poste reto 5 metros – fornecimento e instalação</t>
  </si>
  <si>
    <t>Suporte para luminária de poste simples – fornecimento e instalação</t>
  </si>
  <si>
    <t>mês</t>
  </si>
  <si>
    <t>pct</t>
  </si>
  <si>
    <t>cx</t>
  </si>
  <si>
    <t>SF-01384</t>
  </si>
  <si>
    <t>SF-01385</t>
  </si>
  <si>
    <t>SF-01386</t>
  </si>
  <si>
    <t>SF-01387</t>
  </si>
  <si>
    <t>SF-01388</t>
  </si>
  <si>
    <t>SF-01389</t>
  </si>
  <si>
    <t>SF-01390</t>
  </si>
  <si>
    <t>SF-01391</t>
  </si>
  <si>
    <t>SF-01392</t>
  </si>
  <si>
    <t>SF-01393</t>
  </si>
  <si>
    <t>SF-01394</t>
  </si>
  <si>
    <t>SF-01395</t>
  </si>
  <si>
    <t>SF-01396</t>
  </si>
  <si>
    <t>SF-01397</t>
  </si>
  <si>
    <t>SF-01398</t>
  </si>
  <si>
    <t>SF-01399</t>
  </si>
  <si>
    <t>SF-01400</t>
  </si>
  <si>
    <t>SF-01401</t>
  </si>
  <si>
    <t>SF-01402</t>
  </si>
  <si>
    <t>SF-01403</t>
  </si>
  <si>
    <t>SF-01404</t>
  </si>
  <si>
    <t>SF-01405</t>
  </si>
  <si>
    <t>SF-01406</t>
  </si>
  <si>
    <t>SF-01407</t>
  </si>
  <si>
    <t>SF-01408</t>
  </si>
  <si>
    <t>SF-01409</t>
  </si>
  <si>
    <t>SF-01410</t>
  </si>
  <si>
    <t>SF-01411</t>
  </si>
  <si>
    <t>SF-01412</t>
  </si>
  <si>
    <t>SF-01413</t>
  </si>
  <si>
    <t>SF-01414</t>
  </si>
  <si>
    <t>SF-01415</t>
  </si>
  <si>
    <t>SF-01416</t>
  </si>
  <si>
    <t>SF-01417</t>
  </si>
  <si>
    <t>SF-01418</t>
  </si>
  <si>
    <t>SF-01419</t>
  </si>
  <si>
    <t>SF-01420</t>
  </si>
  <si>
    <t>SF-01421</t>
  </si>
  <si>
    <t>SF-01422</t>
  </si>
  <si>
    <t>SF-01423</t>
  </si>
  <si>
    <t>SF-01424</t>
  </si>
  <si>
    <t>SF-01425</t>
  </si>
  <si>
    <t>SF-01426</t>
  </si>
  <si>
    <t>SF-01427</t>
  </si>
  <si>
    <t>SF-01428</t>
  </si>
  <si>
    <t>SF-01429</t>
  </si>
  <si>
    <t>SF-01430</t>
  </si>
  <si>
    <t>SF-01431</t>
  </si>
  <si>
    <t>SF-01432</t>
  </si>
  <si>
    <t>SF-01433</t>
  </si>
  <si>
    <t>SF-01434</t>
  </si>
  <si>
    <t>SF-01435</t>
  </si>
  <si>
    <t>SF-01436</t>
  </si>
  <si>
    <t>SF-01437</t>
  </si>
  <si>
    <t>SF-01438</t>
  </si>
  <si>
    <t>SF-01439</t>
  </si>
  <si>
    <t>SF-01440</t>
  </si>
  <si>
    <t>SF-01441</t>
  </si>
  <si>
    <t>SF-01442</t>
  </si>
  <si>
    <t>SF-01443</t>
  </si>
  <si>
    <t>SF-01444</t>
  </si>
  <si>
    <t>SF-01445</t>
  </si>
  <si>
    <t>SF-01446</t>
  </si>
  <si>
    <t>SF-01447</t>
  </si>
  <si>
    <t>SF-01448</t>
  </si>
  <si>
    <t>SF-01449</t>
  </si>
  <si>
    <t>SF-01450</t>
  </si>
  <si>
    <t>SF-01451</t>
  </si>
  <si>
    <t>SF-01452</t>
  </si>
  <si>
    <t>SF-01453</t>
  </si>
  <si>
    <t>SF-01454</t>
  </si>
  <si>
    <t>SF-01455</t>
  </si>
  <si>
    <t>SF-01456</t>
  </si>
  <si>
    <t>SF-01457</t>
  </si>
  <si>
    <t>SF-01458</t>
  </si>
  <si>
    <t>SF-01459</t>
  </si>
  <si>
    <t>SF-01460</t>
  </si>
  <si>
    <t>SF-01461</t>
  </si>
  <si>
    <t>SF-01462</t>
  </si>
  <si>
    <t>SF-01463</t>
  </si>
  <si>
    <t>SF-01464</t>
  </si>
  <si>
    <t>SF-01465</t>
  </si>
  <si>
    <t>SF-01466</t>
  </si>
  <si>
    <t>SF-01467</t>
  </si>
  <si>
    <t>SF-01468</t>
  </si>
  <si>
    <t>SF-01469</t>
  </si>
  <si>
    <t>SF-01470</t>
  </si>
  <si>
    <t>SF-01471</t>
  </si>
  <si>
    <t>SF-01472</t>
  </si>
  <si>
    <t>SF-01473</t>
  </si>
  <si>
    <t>SF-01474</t>
  </si>
  <si>
    <t>SF-01475</t>
  </si>
  <si>
    <t>SF-01476</t>
  </si>
  <si>
    <t>SF-01477</t>
  </si>
  <si>
    <t>SF-01478</t>
  </si>
  <si>
    <t>SF-01479</t>
  </si>
  <si>
    <t>SF-01480</t>
  </si>
  <si>
    <t>SF-01481</t>
  </si>
  <si>
    <t>SF-01482</t>
  </si>
  <si>
    <t>SF-01483</t>
  </si>
  <si>
    <t>SF-01484</t>
  </si>
  <si>
    <t>SF-01485</t>
  </si>
  <si>
    <t>SF-01486</t>
  </si>
  <si>
    <t>SF-01487</t>
  </si>
  <si>
    <t>SF-01488</t>
  </si>
  <si>
    <t>SF-01489</t>
  </si>
  <si>
    <t>SF-01490</t>
  </si>
  <si>
    <t>SF-01491</t>
  </si>
  <si>
    <t>SF-01492</t>
  </si>
  <si>
    <t>SF-01493</t>
  </si>
  <si>
    <t>SF-01494</t>
  </si>
  <si>
    <t>SF-01495</t>
  </si>
  <si>
    <t>SF-01496</t>
  </si>
  <si>
    <t>SF-01497</t>
  </si>
  <si>
    <t>SF-01498</t>
  </si>
  <si>
    <t>SF-01499</t>
  </si>
  <si>
    <t>SF-01500</t>
  </si>
  <si>
    <t>SF-01501</t>
  </si>
  <si>
    <t>SF-01502</t>
  </si>
  <si>
    <t>SF-01503</t>
  </si>
  <si>
    <t>SF-01504</t>
  </si>
  <si>
    <t>SF-01505</t>
  </si>
  <si>
    <t>SF-01506</t>
  </si>
  <si>
    <t>SF-01507</t>
  </si>
  <si>
    <t>SF-01508</t>
  </si>
  <si>
    <t>SF-01509</t>
  </si>
  <si>
    <t>SF-01510</t>
  </si>
  <si>
    <t>SF-01511</t>
  </si>
  <si>
    <t>SF-01512</t>
  </si>
  <si>
    <t>SF-01513</t>
  </si>
  <si>
    <t>SF-01514</t>
  </si>
  <si>
    <t>SF-01515</t>
  </si>
  <si>
    <t>SF-01516</t>
  </si>
  <si>
    <t>SF-01517</t>
  </si>
  <si>
    <t>SF-01518</t>
  </si>
  <si>
    <t>SF-01519</t>
  </si>
  <si>
    <t>SF-01520</t>
  </si>
  <si>
    <t>SF-01521</t>
  </si>
  <si>
    <t>SF-01522</t>
  </si>
  <si>
    <t>SF-01523</t>
  </si>
  <si>
    <t>SF-01524</t>
  </si>
  <si>
    <t>SF-01525</t>
  </si>
  <si>
    <t>SF-01526</t>
  </si>
  <si>
    <t>SF-01527</t>
  </si>
  <si>
    <t>SF-01528</t>
  </si>
  <si>
    <t>SF-01529</t>
  </si>
  <si>
    <t>SF-01530</t>
  </si>
  <si>
    <t>SF-01531</t>
  </si>
  <si>
    <t>SF-01532</t>
  </si>
  <si>
    <t>SF-01533</t>
  </si>
  <si>
    <t>SF-01534</t>
  </si>
  <si>
    <t>SF-01535</t>
  </si>
  <si>
    <t>SF-01536</t>
  </si>
  <si>
    <t>SF-01537</t>
  </si>
  <si>
    <t>SF-01538</t>
  </si>
  <si>
    <t>SF-01539</t>
  </si>
  <si>
    <t>SF-01540</t>
  </si>
  <si>
    <t>SF-01541</t>
  </si>
  <si>
    <t>SF-01542</t>
  </si>
  <si>
    <t>SF-01543</t>
  </si>
  <si>
    <t>SF-01544</t>
  </si>
  <si>
    <t>SF-01545</t>
  </si>
  <si>
    <t>SF-01546</t>
  </si>
  <si>
    <t>SF-01547</t>
  </si>
  <si>
    <t>SF-01548</t>
  </si>
  <si>
    <t>SF-01549</t>
  </si>
  <si>
    <t>SF-01550</t>
  </si>
  <si>
    <t>SF-01551</t>
  </si>
  <si>
    <t>SF-01552</t>
  </si>
  <si>
    <t>SF-01553</t>
  </si>
  <si>
    <t>SF-01554</t>
  </si>
  <si>
    <t>SF-01555</t>
  </si>
  <si>
    <t>SF-01556</t>
  </si>
  <si>
    <t>SF-01557</t>
  </si>
  <si>
    <t>SF-01558</t>
  </si>
  <si>
    <t>SF-01559</t>
  </si>
  <si>
    <t>SF-01560</t>
  </si>
  <si>
    <t>SF-01561</t>
  </si>
  <si>
    <t>SF-01562</t>
  </si>
  <si>
    <t>SF-01563</t>
  </si>
  <si>
    <t>SF-01564</t>
  </si>
  <si>
    <t>SF-01565</t>
  </si>
  <si>
    <t>SF-01566</t>
  </si>
  <si>
    <t>SF-01567</t>
  </si>
  <si>
    <t>SF-01568</t>
  </si>
  <si>
    <t>SF-01569</t>
  </si>
  <si>
    <t>SF-01570</t>
  </si>
  <si>
    <t>SF-01571</t>
  </si>
  <si>
    <t>SF-01572</t>
  </si>
  <si>
    <t>SF-01573</t>
  </si>
  <si>
    <t>SF-01574</t>
  </si>
  <si>
    <t>SF-01575</t>
  </si>
  <si>
    <t>SF-01576</t>
  </si>
  <si>
    <t>SF-01577</t>
  </si>
  <si>
    <t>SF-01578</t>
  </si>
  <si>
    <t>SF-01579</t>
  </si>
  <si>
    <t>SF-01580</t>
  </si>
  <si>
    <t>SF-01581</t>
  </si>
  <si>
    <t>SF-01582</t>
  </si>
  <si>
    <t>SF-01583</t>
  </si>
  <si>
    <t>SF-01584</t>
  </si>
  <si>
    <t>SF-01585</t>
  </si>
  <si>
    <t>SF-01586</t>
  </si>
  <si>
    <t>SF-01587</t>
  </si>
  <si>
    <t>SF-01588</t>
  </si>
  <si>
    <t>SF-01589</t>
  </si>
  <si>
    <t>SF-01590</t>
  </si>
  <si>
    <t>SF-01591</t>
  </si>
  <si>
    <t>SF-01592</t>
  </si>
  <si>
    <t>SF-01593</t>
  </si>
  <si>
    <t>SF-01594</t>
  </si>
  <si>
    <t>SF-01595</t>
  </si>
  <si>
    <t>SF-01596</t>
  </si>
  <si>
    <t>SF-01597</t>
  </si>
  <si>
    <t>SF-01598</t>
  </si>
  <si>
    <t>SF-01599</t>
  </si>
  <si>
    <t>SF-01600</t>
  </si>
  <si>
    <t>SF-01601</t>
  </si>
  <si>
    <t>SF-01602</t>
  </si>
  <si>
    <t>SF-01603</t>
  </si>
  <si>
    <t>SF-01604</t>
  </si>
  <si>
    <t>SF-01605</t>
  </si>
  <si>
    <t>SF-01606</t>
  </si>
  <si>
    <t>SF-01607</t>
  </si>
  <si>
    <t>SF-01608</t>
  </si>
  <si>
    <t>SF-01609</t>
  </si>
  <si>
    <t>SF-01610</t>
  </si>
  <si>
    <t>SF-01611</t>
  </si>
  <si>
    <t>SF-01612</t>
  </si>
  <si>
    <t>SF-01613</t>
  </si>
  <si>
    <t>SF-01614</t>
  </si>
  <si>
    <t>SF-01615</t>
  </si>
  <si>
    <t>SF-01616</t>
  </si>
  <si>
    <t>SF-01617</t>
  </si>
  <si>
    <t>SF-01618</t>
  </si>
  <si>
    <t>SF-01619</t>
  </si>
  <si>
    <t>SF-01620</t>
  </si>
  <si>
    <t>SF-01621</t>
  </si>
  <si>
    <t>SF-01622</t>
  </si>
  <si>
    <t>SF-01623</t>
  </si>
  <si>
    <t>SF-01624</t>
  </si>
  <si>
    <t>SF-01625</t>
  </si>
  <si>
    <t>SF-01626</t>
  </si>
  <si>
    <t>SF-01627</t>
  </si>
  <si>
    <t>SF-01628</t>
  </si>
  <si>
    <t>SF-01629</t>
  </si>
  <si>
    <t>SF-01630</t>
  </si>
  <si>
    <t>SF-01631</t>
  </si>
  <si>
    <t>SF-01632</t>
  </si>
  <si>
    <t>SF-01633</t>
  </si>
  <si>
    <t>SF-01634</t>
  </si>
  <si>
    <t>SF-01635</t>
  </si>
  <si>
    <t>SF-01636</t>
  </si>
  <si>
    <t>SF-01637</t>
  </si>
  <si>
    <t>SF-01638</t>
  </si>
  <si>
    <t>SF-01639</t>
  </si>
  <si>
    <t>SF-01640</t>
  </si>
  <si>
    <t>SF-01641</t>
  </si>
  <si>
    <t>SF-01642</t>
  </si>
  <si>
    <t>SF-01643</t>
  </si>
  <si>
    <t>SF-01644</t>
  </si>
  <si>
    <t>SF-01645</t>
  </si>
  <si>
    <t>SF-01646</t>
  </si>
  <si>
    <t>SF-01647</t>
  </si>
  <si>
    <t>SF-01648</t>
  </si>
  <si>
    <t>SF-01649</t>
  </si>
  <si>
    <t>SF-01650</t>
  </si>
  <si>
    <t>SF-01651</t>
  </si>
  <si>
    <t>SF-01652</t>
  </si>
  <si>
    <t>SF-01653</t>
  </si>
  <si>
    <t>SF-01654</t>
  </si>
  <si>
    <t>SF-01655</t>
  </si>
  <si>
    <t>SF-01656</t>
  </si>
  <si>
    <t>SF-01657</t>
  </si>
  <si>
    <t>SF-01658</t>
  </si>
  <si>
    <t>SF-01659</t>
  </si>
  <si>
    <t>SF-01660</t>
  </si>
  <si>
    <t>SF-01661</t>
  </si>
  <si>
    <t>SF-01662</t>
  </si>
  <si>
    <t>SF-01663</t>
  </si>
  <si>
    <t>SF-01664</t>
  </si>
  <si>
    <t>SF-01665</t>
  </si>
  <si>
    <t>SF-01666</t>
  </si>
  <si>
    <t>SF-01667</t>
  </si>
  <si>
    <t>SF-01668</t>
  </si>
  <si>
    <t>SF-01669</t>
  </si>
  <si>
    <t>SF-01670</t>
  </si>
  <si>
    <t>SF-01671</t>
  </si>
  <si>
    <t>SF-01672</t>
  </si>
  <si>
    <t>SF-01673</t>
  </si>
  <si>
    <t>SF-01674</t>
  </si>
  <si>
    <t>SF-01675</t>
  </si>
  <si>
    <t>SF-01676</t>
  </si>
  <si>
    <t>SF-01677</t>
  </si>
  <si>
    <t>SF-01678</t>
  </si>
  <si>
    <t>SF-01679</t>
  </si>
  <si>
    <t>SF-01680</t>
  </si>
  <si>
    <t>SF-01681</t>
  </si>
  <si>
    <t>SF-01682</t>
  </si>
  <si>
    <t>SF-01683</t>
  </si>
  <si>
    <t>SF-01684</t>
  </si>
  <si>
    <t>SF-01685</t>
  </si>
  <si>
    <t>SF-01686</t>
  </si>
  <si>
    <t>SF-01687</t>
  </si>
  <si>
    <t>SF-01688</t>
  </si>
  <si>
    <t>SF-01689</t>
  </si>
  <si>
    <t>SF-01690</t>
  </si>
  <si>
    <t>SF-01691</t>
  </si>
  <si>
    <t>SF-01692</t>
  </si>
  <si>
    <t>SF-01693</t>
  </si>
  <si>
    <t>SF-01694</t>
  </si>
  <si>
    <t>SF-01695</t>
  </si>
  <si>
    <t>SF-01696</t>
  </si>
  <si>
    <t>SF-01697</t>
  </si>
  <si>
    <t>SF-01698</t>
  </si>
  <si>
    <t>SF-01699</t>
  </si>
  <si>
    <t>SF-01700</t>
  </si>
  <si>
    <t>SF-01701</t>
  </si>
  <si>
    <t>SF-01702</t>
  </si>
  <si>
    <t>SF-01703</t>
  </si>
  <si>
    <t>SF-01704</t>
  </si>
  <si>
    <t>SF-01705</t>
  </si>
  <si>
    <t>SF-01706</t>
  </si>
  <si>
    <t>SF-01707</t>
  </si>
  <si>
    <t>SF-01708</t>
  </si>
  <si>
    <t>SF-01709</t>
  </si>
  <si>
    <t>SF-01710</t>
  </si>
  <si>
    <t>SF-01711</t>
  </si>
  <si>
    <t>SF-01712</t>
  </si>
  <si>
    <t>SF-01713</t>
  </si>
  <si>
    <t>SF-01714</t>
  </si>
  <si>
    <t>SF-01715</t>
  </si>
  <si>
    <t>SF-01716</t>
  </si>
  <si>
    <t>SF-01717</t>
  </si>
  <si>
    <t>SF-01718</t>
  </si>
  <si>
    <t>SF-01719</t>
  </si>
  <si>
    <t>SF-01720</t>
  </si>
  <si>
    <t>SF-01721</t>
  </si>
  <si>
    <t>SF-01722</t>
  </si>
  <si>
    <t>SF-01723</t>
  </si>
  <si>
    <t>SF-01724</t>
  </si>
  <si>
    <t>SF-01725</t>
  </si>
  <si>
    <t>SF-01726</t>
  </si>
  <si>
    <t>SF-01727</t>
  </si>
  <si>
    <t>SF-01728</t>
  </si>
  <si>
    <t>SF-01729</t>
  </si>
  <si>
    <t>SF-01730</t>
  </si>
  <si>
    <t>SF-01731</t>
  </si>
  <si>
    <t>SF-01732</t>
  </si>
  <si>
    <t>SF-01733</t>
  </si>
  <si>
    <t>SF-01734</t>
  </si>
  <si>
    <t>SF-01735</t>
  </si>
  <si>
    <t>SF-01736</t>
  </si>
  <si>
    <t>SF-01737</t>
  </si>
  <si>
    <t>SF-01738</t>
  </si>
  <si>
    <t>SF-01739</t>
  </si>
  <si>
    <t>SF-01740</t>
  </si>
  <si>
    <t>SF-01741</t>
  </si>
  <si>
    <t>SF-01742</t>
  </si>
  <si>
    <t>SF-01743</t>
  </si>
  <si>
    <t>SF-01744</t>
  </si>
  <si>
    <t>SF-01745</t>
  </si>
  <si>
    <t>SF-01746</t>
  </si>
  <si>
    <t>SF-01747</t>
  </si>
  <si>
    <t>SF-01748</t>
  </si>
  <si>
    <t>SF-01749</t>
  </si>
  <si>
    <t>SF-01750</t>
  </si>
  <si>
    <t>SF-01751</t>
  </si>
  <si>
    <t>SF-01752</t>
  </si>
  <si>
    <t>SF-01753</t>
  </si>
  <si>
    <t>SF-01754</t>
  </si>
  <si>
    <t>SF-01755</t>
  </si>
  <si>
    <t>SF-01756</t>
  </si>
  <si>
    <t>SF-01757</t>
  </si>
  <si>
    <t>SF-01758</t>
  </si>
  <si>
    <t>SF-01759</t>
  </si>
  <si>
    <t>SF-01760</t>
  </si>
  <si>
    <t>SF-01761</t>
  </si>
  <si>
    <t>SF-01762</t>
  </si>
  <si>
    <t>SF-01763</t>
  </si>
  <si>
    <t>SF-01764</t>
  </si>
  <si>
    <t>SF-01765</t>
  </si>
  <si>
    <t>SF-01766</t>
  </si>
  <si>
    <t>SF-01767</t>
  </si>
  <si>
    <t>SF-01768</t>
  </si>
  <si>
    <t>SF-01769</t>
  </si>
  <si>
    <t>SF-01770</t>
  </si>
  <si>
    <t>SF-01771</t>
  </si>
  <si>
    <t>SF-01772</t>
  </si>
  <si>
    <t>SF-01773</t>
  </si>
  <si>
    <t>SF-01774</t>
  </si>
  <si>
    <t>SF-01775</t>
  </si>
  <si>
    <t>SF-01776</t>
  </si>
  <si>
    <t>SF-01777</t>
  </si>
  <si>
    <t>SF-01778</t>
  </si>
  <si>
    <t>SF-01779</t>
  </si>
  <si>
    <t>SF-01780</t>
  </si>
  <si>
    <t>SF-01781</t>
  </si>
  <si>
    <t>SF-01782</t>
  </si>
  <si>
    <t>SF-01783</t>
  </si>
  <si>
    <t>SF-01784</t>
  </si>
  <si>
    <t>SF-01785</t>
  </si>
  <si>
    <t>SF-01786</t>
  </si>
  <si>
    <t>SF-01787</t>
  </si>
  <si>
    <t>SF-01788</t>
  </si>
  <si>
    <t>SF-01789</t>
  </si>
  <si>
    <t>SF-01790</t>
  </si>
  <si>
    <t>SF-01791</t>
  </si>
  <si>
    <t>SF-01792</t>
  </si>
  <si>
    <t>SF-01793</t>
  </si>
  <si>
    <t>SF-01794</t>
  </si>
  <si>
    <t>SF-01795</t>
  </si>
  <si>
    <t>SF-01796</t>
  </si>
  <si>
    <t>SF-01797</t>
  </si>
  <si>
    <t>SF-01798</t>
  </si>
  <si>
    <t>SF-01799</t>
  </si>
  <si>
    <t>SF-01800</t>
  </si>
  <si>
    <t>SF-01801</t>
  </si>
  <si>
    <t>SF-01802</t>
  </si>
  <si>
    <t>SF-01803</t>
  </si>
  <si>
    <t>SF-01804</t>
  </si>
  <si>
    <t>SF-01805</t>
  </si>
  <si>
    <t>SF-01806</t>
  </si>
  <si>
    <t>SF-01807</t>
  </si>
  <si>
    <t>SF-01808</t>
  </si>
  <si>
    <t>SF-01809</t>
  </si>
  <si>
    <t>SF-01810</t>
  </si>
  <si>
    <t>SF-01811</t>
  </si>
  <si>
    <t>SF-01812</t>
  </si>
  <si>
    <t>SF-01813</t>
  </si>
  <si>
    <t>SF-01814</t>
  </si>
  <si>
    <t>SF-01815</t>
  </si>
  <si>
    <t>SF-01816</t>
  </si>
  <si>
    <t>SF-01817</t>
  </si>
  <si>
    <t>SF-01818</t>
  </si>
  <si>
    <t>SF-01819</t>
  </si>
  <si>
    <t>SF-01820</t>
  </si>
  <si>
    <t>SF-01821</t>
  </si>
  <si>
    <t>SF-01822</t>
  </si>
  <si>
    <t>SF-01823</t>
  </si>
  <si>
    <t>SF-01824</t>
  </si>
  <si>
    <t>SF-01825</t>
  </si>
  <si>
    <t>SF-01826</t>
  </si>
  <si>
    <t>SF-01827</t>
  </si>
  <si>
    <t>SF-01828</t>
  </si>
  <si>
    <t>SF-01829</t>
  </si>
  <si>
    <t>SF-01830</t>
  </si>
  <si>
    <t>SF-01831</t>
  </si>
  <si>
    <t>SF-01832</t>
  </si>
  <si>
    <t>SF-01833</t>
  </si>
  <si>
    <t>SF-01834</t>
  </si>
  <si>
    <t>SF-01835</t>
  </si>
  <si>
    <t>SF-01836</t>
  </si>
  <si>
    <t>SF-01837</t>
  </si>
  <si>
    <t>SF-01838</t>
  </si>
  <si>
    <t>SF-01839</t>
  </si>
  <si>
    <t>SF-01840</t>
  </si>
  <si>
    <t>SF-01841</t>
  </si>
  <si>
    <t>SF-01842</t>
  </si>
  <si>
    <t>SF-01843</t>
  </si>
  <si>
    <t>SF-01844</t>
  </si>
  <si>
    <t>SF-01845</t>
  </si>
  <si>
    <t>SF-01846</t>
  </si>
  <si>
    <t>SF-01847</t>
  </si>
  <si>
    <t>SF-01848</t>
  </si>
  <si>
    <t>SF-01849</t>
  </si>
  <si>
    <t>SF-01850</t>
  </si>
  <si>
    <t>SF-01851</t>
  </si>
  <si>
    <t>SF-01852</t>
  </si>
  <si>
    <t>SF-01853</t>
  </si>
  <si>
    <t>SF-01854</t>
  </si>
  <si>
    <t>SF-01855</t>
  </si>
  <si>
    <t>SF-01856</t>
  </si>
  <si>
    <t>SF-01857</t>
  </si>
  <si>
    <t>SF-01858</t>
  </si>
  <si>
    <t>SF-01859</t>
  </si>
  <si>
    <t>SF-01860</t>
  </si>
  <si>
    <t>SF-01861</t>
  </si>
  <si>
    <t>SF-01862</t>
  </si>
  <si>
    <t>SF-01863</t>
  </si>
  <si>
    <t>SF-01864</t>
  </si>
  <si>
    <t>SF-01865</t>
  </si>
  <si>
    <t>SF-01866</t>
  </si>
  <si>
    <t>SF-01867</t>
  </si>
  <si>
    <t>SF-01868</t>
  </si>
  <si>
    <t>SF-01869</t>
  </si>
  <si>
    <t>SF-01870</t>
  </si>
  <si>
    <t>SF-01871</t>
  </si>
  <si>
    <t>SF-01872</t>
  </si>
  <si>
    <t>SF-01873</t>
  </si>
  <si>
    <t>SF-01874</t>
  </si>
  <si>
    <t>SF-01875</t>
  </si>
  <si>
    <t>SF-01876</t>
  </si>
  <si>
    <t>SF-01877</t>
  </si>
  <si>
    <t>SF-01878</t>
  </si>
  <si>
    <t>SF-01879</t>
  </si>
  <si>
    <t>SF-01880</t>
  </si>
  <si>
    <t>SF-01881</t>
  </si>
  <si>
    <t>SF-01882</t>
  </si>
  <si>
    <t>SF-01883</t>
  </si>
  <si>
    <t>SF-01884</t>
  </si>
  <si>
    <t>SF-01885</t>
  </si>
  <si>
    <t>SF-01886</t>
  </si>
  <si>
    <t>SF-01887</t>
  </si>
  <si>
    <t>SF-01888</t>
  </si>
  <si>
    <t>SF-01889</t>
  </si>
  <si>
    <t>SF-01890</t>
  </si>
  <si>
    <t>SF-01891</t>
  </si>
  <si>
    <t>SF-01892</t>
  </si>
  <si>
    <t>SF-01893</t>
  </si>
  <si>
    <t>SF-01894</t>
  </si>
  <si>
    <t>SF-01895</t>
  </si>
  <si>
    <t>SF-01896</t>
  </si>
  <si>
    <t>SF-01897</t>
  </si>
  <si>
    <t>SF-01898</t>
  </si>
  <si>
    <t>SF-01899</t>
  </si>
  <si>
    <t>SF-01900</t>
  </si>
  <si>
    <t>SF-01901</t>
  </si>
  <si>
    <t>SF-01902</t>
  </si>
  <si>
    <t>SF-01903</t>
  </si>
  <si>
    <t>SF-01904</t>
  </si>
  <si>
    <t>SF-01905</t>
  </si>
  <si>
    <t>SF-01906</t>
  </si>
  <si>
    <t>SF-01907</t>
  </si>
  <si>
    <t>SF-01908</t>
  </si>
  <si>
    <t>SF-01909</t>
  </si>
  <si>
    <t>SF-01910</t>
  </si>
  <si>
    <t>SF-01911</t>
  </si>
  <si>
    <t>SF-01912</t>
  </si>
  <si>
    <t>SF-01913</t>
  </si>
  <si>
    <t>SF-01914</t>
  </si>
  <si>
    <t>SF-01915</t>
  </si>
  <si>
    <t>SF-01916</t>
  </si>
  <si>
    <t>SF-01917</t>
  </si>
  <si>
    <t>SF-01918</t>
  </si>
  <si>
    <t>SF-01919</t>
  </si>
  <si>
    <t>SF-01920</t>
  </si>
  <si>
    <t>SF-01921</t>
  </si>
  <si>
    <t>SF-01922</t>
  </si>
  <si>
    <t>SF-01923</t>
  </si>
  <si>
    <t>SF-01924</t>
  </si>
  <si>
    <t>SF-01925</t>
  </si>
  <si>
    <t>SF-01926</t>
  </si>
  <si>
    <t>SF-01927</t>
  </si>
  <si>
    <t>SF-01928</t>
  </si>
  <si>
    <t>SF-01929</t>
  </si>
  <si>
    <t>SF-01930</t>
  </si>
  <si>
    <t>SF-01931</t>
  </si>
  <si>
    <t>SF-01932</t>
  </si>
  <si>
    <t>SF-01933</t>
  </si>
  <si>
    <t>SF-01934</t>
  </si>
  <si>
    <t>SF-01935</t>
  </si>
  <si>
    <t>SF-01936</t>
  </si>
  <si>
    <t>SF-01937</t>
  </si>
  <si>
    <t>SF-01938</t>
  </si>
  <si>
    <t>SF-01939</t>
  </si>
  <si>
    <t>SF-01940</t>
  </si>
  <si>
    <t>SF-01941</t>
  </si>
  <si>
    <t>SF-01942</t>
  </si>
  <si>
    <t>SF-01943</t>
  </si>
  <si>
    <t>SF-01944</t>
  </si>
  <si>
    <t>SF-01945</t>
  </si>
  <si>
    <t>SF-01946</t>
  </si>
  <si>
    <t>SF-01947</t>
  </si>
  <si>
    <t>SF-01948</t>
  </si>
  <si>
    <t>SF-01949</t>
  </si>
  <si>
    <t>SF-01950</t>
  </si>
  <si>
    <t>SF-01951</t>
  </si>
  <si>
    <t>SF-01952</t>
  </si>
  <si>
    <t>SF-01953</t>
  </si>
  <si>
    <t>SF-01954</t>
  </si>
  <si>
    <t>SF-01955</t>
  </si>
  <si>
    <t>SF-01956</t>
  </si>
  <si>
    <t>SF-01957</t>
  </si>
  <si>
    <t>SF-01958</t>
  </si>
  <si>
    <t>SF-01959</t>
  </si>
  <si>
    <t>SF-01960</t>
  </si>
  <si>
    <t>SF-01961</t>
  </si>
  <si>
    <t>SF-01962</t>
  </si>
  <si>
    <t>SF-01963</t>
  </si>
  <si>
    <t>SF-01964</t>
  </si>
  <si>
    <t>SF-01965</t>
  </si>
  <si>
    <t>SF-01966</t>
  </si>
  <si>
    <t>SF-01967</t>
  </si>
  <si>
    <t>SF-01968</t>
  </si>
  <si>
    <t>SF-01969</t>
  </si>
  <si>
    <t>SF-01970</t>
  </si>
  <si>
    <t>SF-01971</t>
  </si>
  <si>
    <t>SF-01972</t>
  </si>
  <si>
    <t>SF-01973</t>
  </si>
  <si>
    <t>SF-01974</t>
  </si>
  <si>
    <t>SF-01975</t>
  </si>
  <si>
    <t>SF-01976</t>
  </si>
  <si>
    <t>SF-01977</t>
  </si>
  <si>
    <t>SF-01978</t>
  </si>
  <si>
    <t>SF-01979</t>
  </si>
  <si>
    <t>SF-01980</t>
  </si>
  <si>
    <t>SF-01981</t>
  </si>
  <si>
    <t>SF-01982</t>
  </si>
  <si>
    <t>SF-01983</t>
  </si>
  <si>
    <t>SF-01984</t>
  </si>
  <si>
    <t>SF-01985</t>
  </si>
  <si>
    <t>SF-01986</t>
  </si>
  <si>
    <t>SF-01987</t>
  </si>
  <si>
    <t>SF-01988</t>
  </si>
  <si>
    <t>SF-01989</t>
  </si>
  <si>
    <t>SF-01990</t>
  </si>
  <si>
    <t>SF-01991</t>
  </si>
  <si>
    <t>SF-01992</t>
  </si>
  <si>
    <t>SF-01993</t>
  </si>
  <si>
    <t>SF-01994</t>
  </si>
  <si>
    <t>SF-01995</t>
  </si>
  <si>
    <t>SF-01996</t>
  </si>
  <si>
    <t>SF-01997</t>
  </si>
  <si>
    <t>SF-01998</t>
  </si>
  <si>
    <t>SF-01999</t>
  </si>
  <si>
    <t>SF-02000</t>
  </si>
  <si>
    <t>SF-02001</t>
  </si>
  <si>
    <t>SF-02002</t>
  </si>
  <si>
    <t>SF-02003</t>
  </si>
  <si>
    <t>SF-02004</t>
  </si>
  <si>
    <t>SF-02005</t>
  </si>
  <si>
    <t>SF-02006</t>
  </si>
  <si>
    <t>SF-02007</t>
  </si>
  <si>
    <t>SF-02008</t>
  </si>
  <si>
    <t>SF-02009</t>
  </si>
  <si>
    <t>SF-02010</t>
  </si>
  <si>
    <t>SF-02011</t>
  </si>
  <si>
    <t>SF-02012</t>
  </si>
  <si>
    <t>SF-02013</t>
  </si>
  <si>
    <t>SF-02014</t>
  </si>
  <si>
    <t>SF-02015</t>
  </si>
  <si>
    <t>SF-02016</t>
  </si>
  <si>
    <t>SF-02017</t>
  </si>
  <si>
    <t>SF-02018</t>
  </si>
  <si>
    <t>SF-02019</t>
  </si>
  <si>
    <t>SF-02020</t>
  </si>
  <si>
    <t>SF-02021</t>
  </si>
  <si>
    <t>SF-02022</t>
  </si>
  <si>
    <t>SF-02023</t>
  </si>
  <si>
    <t>SF-02024</t>
  </si>
  <si>
    <t>SF-02025</t>
  </si>
  <si>
    <t>SF-02026</t>
  </si>
  <si>
    <t>SF-02027</t>
  </si>
  <si>
    <t>SF-02028</t>
  </si>
  <si>
    <t>SF-02029</t>
  </si>
  <si>
    <t>SF-02030</t>
  </si>
  <si>
    <t>SF-02031</t>
  </si>
  <si>
    <t>SF-02032</t>
  </si>
  <si>
    <t>SF-02033</t>
  </si>
  <si>
    <t>SF-02034</t>
  </si>
  <si>
    <t>SF-02035</t>
  </si>
  <si>
    <t>SF-02036</t>
  </si>
  <si>
    <t>SF-02037</t>
  </si>
  <si>
    <t>SF-02038</t>
  </si>
  <si>
    <t>SF-02039</t>
  </si>
  <si>
    <t>SF-02040</t>
  </si>
  <si>
    <t>SF-02041</t>
  </si>
  <si>
    <t>SF-02042</t>
  </si>
  <si>
    <t>SF-02043</t>
  </si>
  <si>
    <t>SF-02044</t>
  </si>
  <si>
    <t>SF-02045</t>
  </si>
  <si>
    <t>SF-02046</t>
  </si>
  <si>
    <t>SF-02047</t>
  </si>
  <si>
    <t>SF-02048</t>
  </si>
  <si>
    <t>SF-02049</t>
  </si>
  <si>
    <t>SF-02050</t>
  </si>
  <si>
    <t>SF-02051</t>
  </si>
  <si>
    <t>SF-02052</t>
  </si>
  <si>
    <t>SF-02053</t>
  </si>
  <si>
    <t>SF-02054</t>
  </si>
  <si>
    <t>SF-02055</t>
  </si>
  <si>
    <t>SF-02056</t>
  </si>
  <si>
    <t>SF-02057</t>
  </si>
  <si>
    <t>SF-02058</t>
  </si>
  <si>
    <t>SF-02059</t>
  </si>
  <si>
    <t>SF-02060</t>
  </si>
  <si>
    <t>SF-02061</t>
  </si>
  <si>
    <t>SF-02062</t>
  </si>
  <si>
    <t>SF-02063</t>
  </si>
  <si>
    <t>SF-02064</t>
  </si>
  <si>
    <t>SF-02065</t>
  </si>
  <si>
    <t>SF-02066</t>
  </si>
  <si>
    <t>SF-02067</t>
  </si>
  <si>
    <t>SF-02068</t>
  </si>
  <si>
    <t>SF-02069</t>
  </si>
  <si>
    <t>SF-02070</t>
  </si>
  <si>
    <t>SF-02071</t>
  </si>
  <si>
    <t>SF-02072</t>
  </si>
  <si>
    <t>SF-02073</t>
  </si>
  <si>
    <t>SF-02074</t>
  </si>
  <si>
    <t>SF-02075</t>
  </si>
  <si>
    <t>SF-02076</t>
  </si>
  <si>
    <t>SF-02077</t>
  </si>
  <si>
    <t>SF-02078</t>
  </si>
  <si>
    <t>SF-02079</t>
  </si>
  <si>
    <t>SF-02080</t>
  </si>
  <si>
    <t>SF-02081</t>
  </si>
  <si>
    <t>SF-02082</t>
  </si>
  <si>
    <t>SF-02083</t>
  </si>
  <si>
    <t>SF-02084</t>
  </si>
  <si>
    <t>SF-02085</t>
  </si>
  <si>
    <t>SF-02086</t>
  </si>
  <si>
    <t>SF-02087</t>
  </si>
  <si>
    <t>SF-02088</t>
  </si>
  <si>
    <t>SF-02089</t>
  </si>
  <si>
    <t>SF-02090</t>
  </si>
  <si>
    <t>SF-02091</t>
  </si>
  <si>
    <t>SF-02092</t>
  </si>
  <si>
    <t>SF-02093</t>
  </si>
  <si>
    <t>SF-02094</t>
  </si>
  <si>
    <t>SF-02095</t>
  </si>
  <si>
    <t>SF-02096</t>
  </si>
  <si>
    <t>SF-02097</t>
  </si>
  <si>
    <t>SF-02098</t>
  </si>
  <si>
    <t>SF-02099</t>
  </si>
  <si>
    <t>SF-02100</t>
  </si>
  <si>
    <t>SF-02101</t>
  </si>
  <si>
    <t>SF-02102</t>
  </si>
  <si>
    <t>SF-02103</t>
  </si>
  <si>
    <t>SF-02104</t>
  </si>
  <si>
    <t>SF-02105</t>
  </si>
  <si>
    <t>SF-02106</t>
  </si>
  <si>
    <t>SF-02107</t>
  </si>
  <si>
    <t>SF-02108</t>
  </si>
  <si>
    <t>SF-02109</t>
  </si>
  <si>
    <t>SF-02110</t>
  </si>
  <si>
    <t>SF-02111</t>
  </si>
  <si>
    <t>SF-02112</t>
  </si>
  <si>
    <t>SF-02113</t>
  </si>
  <si>
    <t>SF-02114</t>
  </si>
  <si>
    <t>SF-02115</t>
  </si>
  <si>
    <t>SF-02116</t>
  </si>
  <si>
    <t>SF-02117</t>
  </si>
  <si>
    <t>SF-02118</t>
  </si>
  <si>
    <t>SF-02119</t>
  </si>
  <si>
    <t>SF-02120</t>
  </si>
  <si>
    <t>SF-02121</t>
  </si>
  <si>
    <t>SF-02122</t>
  </si>
  <si>
    <t>SF-02123</t>
  </si>
  <si>
    <t>SF-02124</t>
  </si>
  <si>
    <t>SF-02125</t>
  </si>
  <si>
    <t>SF-02126</t>
  </si>
  <si>
    <t>SF-02127</t>
  </si>
  <si>
    <t>SF-02128</t>
  </si>
  <si>
    <t>SF-02129</t>
  </si>
  <si>
    <t>SF-02130</t>
  </si>
  <si>
    <t>SF-02131</t>
  </si>
  <si>
    <t>SF-02132</t>
  </si>
  <si>
    <t>SF-02133</t>
  </si>
  <si>
    <t>SF-02134</t>
  </si>
  <si>
    <t>SF-02135</t>
  </si>
  <si>
    <t>SF-02136</t>
  </si>
  <si>
    <t>SF-02137</t>
  </si>
  <si>
    <t>SF-02138</t>
  </si>
  <si>
    <t>SF-02139</t>
  </si>
  <si>
    <t>SF-02140</t>
  </si>
  <si>
    <t>SF-02141</t>
  </si>
  <si>
    <t>SF-02142</t>
  </si>
  <si>
    <t>SF-02143</t>
  </si>
  <si>
    <t>SF-02144</t>
  </si>
  <si>
    <t>SF-02145</t>
  </si>
  <si>
    <t>SF-02146</t>
  </si>
  <si>
    <t>SF-02147</t>
  </si>
  <si>
    <t>SF-02148</t>
  </si>
  <si>
    <t>SF-02149</t>
  </si>
  <si>
    <t>SF-02150</t>
  </si>
  <si>
    <t>SF-02151</t>
  </si>
  <si>
    <t>SF-02152</t>
  </si>
  <si>
    <t>SF-02153</t>
  </si>
  <si>
    <t>SF-02154</t>
  </si>
  <si>
    <t>SF-02155</t>
  </si>
  <si>
    <t>SF-02156</t>
  </si>
  <si>
    <t>SF-02157</t>
  </si>
  <si>
    <t>SF-02158</t>
  </si>
  <si>
    <t>SF-02159</t>
  </si>
  <si>
    <t>SF-02160</t>
  </si>
  <si>
    <t>SF-02161</t>
  </si>
  <si>
    <t>SF-02162</t>
  </si>
  <si>
    <t>SF-02163</t>
  </si>
  <si>
    <t>SF-02164</t>
  </si>
  <si>
    <t>SF-02165</t>
  </si>
  <si>
    <t>SF-02166</t>
  </si>
  <si>
    <t>SF-02167</t>
  </si>
  <si>
    <t>SF-02168</t>
  </si>
  <si>
    <t>SF-02169</t>
  </si>
  <si>
    <t>SF-02170</t>
  </si>
  <si>
    <t>SF-02171</t>
  </si>
  <si>
    <t>SF-02172</t>
  </si>
  <si>
    <t>SF-02173</t>
  </si>
  <si>
    <t>SF-02174</t>
  </si>
  <si>
    <t>SF-02175</t>
  </si>
  <si>
    <t>SF-02176</t>
  </si>
  <si>
    <t>SF-02177</t>
  </si>
  <si>
    <t>SF-02178</t>
  </si>
  <si>
    <t>SF-02179</t>
  </si>
  <si>
    <t>SF-02180</t>
  </si>
  <si>
    <t>SF-02181</t>
  </si>
  <si>
    <t>SF-02182</t>
  </si>
  <si>
    <t>SF-02183</t>
  </si>
  <si>
    <t>SF-02184</t>
  </si>
  <si>
    <t>SF-02185</t>
  </si>
  <si>
    <t>SF-02186</t>
  </si>
  <si>
    <t>SF-02187</t>
  </si>
  <si>
    <t>SF-02188</t>
  </si>
  <si>
    <t>SF-02189</t>
  </si>
  <si>
    <t>SF-02190</t>
  </si>
  <si>
    <t>SF-02191</t>
  </si>
  <si>
    <t>SF-02192</t>
  </si>
  <si>
    <t>SF-02193</t>
  </si>
  <si>
    <t>SF-02194</t>
  </si>
  <si>
    <t>SF-02195</t>
  </si>
  <si>
    <t>SF-02196</t>
  </si>
  <si>
    <t>SF-02197</t>
  </si>
  <si>
    <t>SF-02198</t>
  </si>
  <si>
    <t>SF-02199</t>
  </si>
  <si>
    <t>SF-02200</t>
  </si>
  <si>
    <t>SF-02201</t>
  </si>
  <si>
    <t>SF-02202</t>
  </si>
  <si>
    <t>SF-02203</t>
  </si>
  <si>
    <t>SF-02204</t>
  </si>
  <si>
    <t>SF-02205</t>
  </si>
  <si>
    <t>SF-02206</t>
  </si>
  <si>
    <t>SF-02207</t>
  </si>
  <si>
    <t>SF-02208</t>
  </si>
  <si>
    <t>SF-02209</t>
  </si>
  <si>
    <t>SF-02210</t>
  </si>
  <si>
    <t>SF-02211</t>
  </si>
  <si>
    <t>SF-02212</t>
  </si>
  <si>
    <t>SF-02213</t>
  </si>
  <si>
    <t>SF-02214</t>
  </si>
  <si>
    <t>SF-02215</t>
  </si>
  <si>
    <t>SF-02216</t>
  </si>
  <si>
    <t>SF-02217</t>
  </si>
  <si>
    <t>SF-02218</t>
  </si>
  <si>
    <t>SF-02219</t>
  </si>
  <si>
    <t>SF-02220</t>
  </si>
  <si>
    <t>SF-02221</t>
  </si>
  <si>
    <t>SF-02222</t>
  </si>
  <si>
    <t>SF-02223</t>
  </si>
  <si>
    <t>SF-02224</t>
  </si>
  <si>
    <t>SF-02225</t>
  </si>
  <si>
    <t>SF-02226</t>
  </si>
  <si>
    <t>SF-02227</t>
  </si>
  <si>
    <t>SF-02228</t>
  </si>
  <si>
    <t>SF-02229</t>
  </si>
  <si>
    <t>SF-02230</t>
  </si>
  <si>
    <t>SF-02231</t>
  </si>
  <si>
    <t>SF-02232</t>
  </si>
  <si>
    <t>SF-02233</t>
  </si>
  <si>
    <t>SF-02234</t>
  </si>
  <si>
    <t>SF-02235</t>
  </si>
  <si>
    <t>SF-02236</t>
  </si>
  <si>
    <t>SF-02237</t>
  </si>
  <si>
    <t>SF-02238</t>
  </si>
  <si>
    <t>SF-02239</t>
  </si>
  <si>
    <t>SF-02240</t>
  </si>
  <si>
    <t>SF-02241</t>
  </si>
  <si>
    <t>SF-02242</t>
  </si>
  <si>
    <t>SF-02243</t>
  </si>
  <si>
    <t>SF-02244</t>
  </si>
  <si>
    <t>SF-02245</t>
  </si>
  <si>
    <t>SF-02246</t>
  </si>
  <si>
    <t>SF-02247</t>
  </si>
  <si>
    <t>SF-02248</t>
  </si>
  <si>
    <t>SF-02249</t>
  </si>
  <si>
    <t>SF-02250</t>
  </si>
  <si>
    <t>SF-02251</t>
  </si>
  <si>
    <t>SF-02252</t>
  </si>
  <si>
    <t>SF-02253</t>
  </si>
  <si>
    <t>SF-02254</t>
  </si>
  <si>
    <t>SF-02255</t>
  </si>
  <si>
    <t>SF-02256</t>
  </si>
  <si>
    <t>SF-02257</t>
  </si>
  <si>
    <t>SF-02258</t>
  </si>
  <si>
    <t>SF-02259</t>
  </si>
  <si>
    <t>SF-02260</t>
  </si>
  <si>
    <t>SF-02261</t>
  </si>
  <si>
    <t>SF-02262</t>
  </si>
  <si>
    <t>SF-02263</t>
  </si>
  <si>
    <t>SF-02264</t>
  </si>
  <si>
    <t>SF-02265</t>
  </si>
  <si>
    <t>SF-02266</t>
  </si>
  <si>
    <t>SF-02267</t>
  </si>
  <si>
    <t>SF-02268</t>
  </si>
  <si>
    <t>SF-02269</t>
  </si>
  <si>
    <t>SF-02270</t>
  </si>
  <si>
    <t>SF-02271</t>
  </si>
  <si>
    <t>SF-02272</t>
  </si>
  <si>
    <t>SF-02273</t>
  </si>
  <si>
    <t>SF-02274</t>
  </si>
  <si>
    <t>SF-02275</t>
  </si>
  <si>
    <t>SF-02276</t>
  </si>
  <si>
    <t>SF-02277</t>
  </si>
  <si>
    <t>SF-02278</t>
  </si>
  <si>
    <t>SF-02279</t>
  </si>
  <si>
    <t>SF-02280</t>
  </si>
  <si>
    <t>SF-02281</t>
  </si>
  <si>
    <t>SF-02282</t>
  </si>
  <si>
    <t>SF-02283</t>
  </si>
  <si>
    <t>SF-02284</t>
  </si>
  <si>
    <t>SF-02285</t>
  </si>
  <si>
    <t>SF-02286</t>
  </si>
  <si>
    <t>SF-02287</t>
  </si>
  <si>
    <t>SF-02288</t>
  </si>
  <si>
    <t>SF-02289</t>
  </si>
  <si>
    <t>SF-02290</t>
  </si>
  <si>
    <t>SF-02291</t>
  </si>
  <si>
    <t>SF-02292</t>
  </si>
  <si>
    <t>SF-02293</t>
  </si>
  <si>
    <t>SF-02294</t>
  </si>
  <si>
    <t>SF-02295</t>
  </si>
  <si>
    <t>SF-02296</t>
  </si>
  <si>
    <t>SF-02297</t>
  </si>
  <si>
    <t>SF-02298</t>
  </si>
  <si>
    <t>SF-02299</t>
  </si>
  <si>
    <t>SF-02300</t>
  </si>
  <si>
    <t>SF-02301</t>
  </si>
  <si>
    <t>SF-02302</t>
  </si>
  <si>
    <t>SF-02303</t>
  </si>
  <si>
    <t>SF-02304</t>
  </si>
  <si>
    <t>SF-02305</t>
  </si>
  <si>
    <t>SF-02306</t>
  </si>
  <si>
    <t>SF-02307</t>
  </si>
  <si>
    <t>SF-02308</t>
  </si>
  <si>
    <t>SF-02309</t>
  </si>
  <si>
    <t>SF-02310</t>
  </si>
  <si>
    <t>SF-02311</t>
  </si>
  <si>
    <t>SF-02312</t>
  </si>
  <si>
    <t>SF-02313</t>
  </si>
  <si>
    <t>SF-02314</t>
  </si>
  <si>
    <t>SF-02315</t>
  </si>
  <si>
    <t>SF-02316</t>
  </si>
  <si>
    <t>SF-02317</t>
  </si>
  <si>
    <t>SF-02318</t>
  </si>
  <si>
    <t>SF-02319</t>
  </si>
  <si>
    <t>SF-02320</t>
  </si>
  <si>
    <t>SF-02321</t>
  </si>
  <si>
    <t>SF-02322</t>
  </si>
  <si>
    <t>SF-02323</t>
  </si>
  <si>
    <t>SF-02324</t>
  </si>
  <si>
    <t>SF-02325</t>
  </si>
  <si>
    <t>SF-02326</t>
  </si>
  <si>
    <t>SF-02327</t>
  </si>
  <si>
    <t>SF-02328</t>
  </si>
  <si>
    <t>SF-02329</t>
  </si>
  <si>
    <t>SF-02330</t>
  </si>
  <si>
    <t>SF-02331</t>
  </si>
  <si>
    <t>SF-02332</t>
  </si>
  <si>
    <t>SF-02333</t>
  </si>
  <si>
    <t>SF-02334</t>
  </si>
  <si>
    <t>SF-02335</t>
  </si>
  <si>
    <t>SF-02336</t>
  </si>
  <si>
    <t>SF-02337</t>
  </si>
  <si>
    <t>SF-02338</t>
  </si>
  <si>
    <t>SF-02339</t>
  </si>
  <si>
    <t>SF-02340</t>
  </si>
  <si>
    <t>SF-02341</t>
  </si>
  <si>
    <t>SF-02342</t>
  </si>
  <si>
    <t>SF-02343</t>
  </si>
  <si>
    <t>SF-02344</t>
  </si>
  <si>
    <t>SF-02345</t>
  </si>
  <si>
    <t>SF-02346</t>
  </si>
  <si>
    <t>SF-02347</t>
  </si>
  <si>
    <t>SF-02348</t>
  </si>
  <si>
    <t>SF-02349</t>
  </si>
  <si>
    <t>SF-02350</t>
  </si>
  <si>
    <t>SF-02351</t>
  </si>
  <si>
    <t>SF-02352</t>
  </si>
  <si>
    <t>SF-02353</t>
  </si>
  <si>
    <t>SF-02354</t>
  </si>
  <si>
    <t>SF-02355</t>
  </si>
  <si>
    <t>SF-02356</t>
  </si>
  <si>
    <t>SF-02357</t>
  </si>
  <si>
    <t>SF-02358</t>
  </si>
  <si>
    <t>SF-02359</t>
  </si>
  <si>
    <t>SF-02360</t>
  </si>
  <si>
    <t>SF-02361</t>
  </si>
  <si>
    <t>SF-02362</t>
  </si>
  <si>
    <t>SF-02363</t>
  </si>
  <si>
    <t>SF-02364</t>
  </si>
  <si>
    <t>SF-02365</t>
  </si>
  <si>
    <t>SF-02366</t>
  </si>
  <si>
    <t>SF-02367</t>
  </si>
  <si>
    <t>SF-02368</t>
  </si>
  <si>
    <t>SF-02369</t>
  </si>
  <si>
    <t>SF-02370</t>
  </si>
  <si>
    <t>SF-02371</t>
  </si>
  <si>
    <t>SF-02372</t>
  </si>
  <si>
    <t>SF-02373</t>
  </si>
  <si>
    <t>SF-02374</t>
  </si>
  <si>
    <t>SF-02375</t>
  </si>
  <si>
    <t>SF-02376</t>
  </si>
  <si>
    <t>SF-02377</t>
  </si>
  <si>
    <t>SF-02378</t>
  </si>
  <si>
    <t>SF-02379</t>
  </si>
  <si>
    <t>SF-02380</t>
  </si>
  <si>
    <t>SF-02381</t>
  </si>
  <si>
    <t>SF-02382</t>
  </si>
  <si>
    <t>SF-02383</t>
  </si>
  <si>
    <t>SF-02384</t>
  </si>
  <si>
    <t>SF-02385</t>
  </si>
  <si>
    <t>SF-02386</t>
  </si>
  <si>
    <t>SF-02387</t>
  </si>
  <si>
    <t>SF-02388</t>
  </si>
  <si>
    <t>SF-02389</t>
  </si>
  <si>
    <t>SF-02390</t>
  </si>
  <si>
    <t>SF-02391</t>
  </si>
  <si>
    <t>SF-02392</t>
  </si>
  <si>
    <t>SF-02393</t>
  </si>
  <si>
    <t>SF-02394</t>
  </si>
  <si>
    <t>SF-02395</t>
  </si>
  <si>
    <t>SF-02396</t>
  </si>
  <si>
    <t>SF-02397</t>
  </si>
  <si>
    <t>SF-02398</t>
  </si>
  <si>
    <t>SF-02399</t>
  </si>
  <si>
    <t>SF-02400</t>
  </si>
  <si>
    <t>SF-02401</t>
  </si>
  <si>
    <t>SF-02402</t>
  </si>
  <si>
    <t>SF-02403</t>
  </si>
  <si>
    <t>SF-02404</t>
  </si>
  <si>
    <t>SF-02405</t>
  </si>
  <si>
    <t>SF-02406</t>
  </si>
  <si>
    <t>SF-02407</t>
  </si>
  <si>
    <t>SF-02408</t>
  </si>
  <si>
    <t>SF-02409</t>
  </si>
  <si>
    <t>SF-02410</t>
  </si>
  <si>
    <t>SF-02411</t>
  </si>
  <si>
    <t>SF-02412</t>
  </si>
  <si>
    <t>SF-02413</t>
  </si>
  <si>
    <t>SF-02414</t>
  </si>
  <si>
    <t>SF-02415</t>
  </si>
  <si>
    <t>SF-02416</t>
  </si>
  <si>
    <t>SF-02417</t>
  </si>
  <si>
    <t>SF-02418</t>
  </si>
  <si>
    <t>SF-02419</t>
  </si>
  <si>
    <t>SF-02420</t>
  </si>
  <si>
    <t>SF-02421</t>
  </si>
  <si>
    <t>SF-02422</t>
  </si>
  <si>
    <t>SF-02423</t>
  </si>
  <si>
    <t>SF-02424</t>
  </si>
  <si>
    <t>SF-02425</t>
  </si>
  <si>
    <t>SF-02426</t>
  </si>
  <si>
    <t>SF-02427</t>
  </si>
  <si>
    <t>SF-02428</t>
  </si>
  <si>
    <t>SF-02429</t>
  </si>
  <si>
    <t>SF-02430</t>
  </si>
  <si>
    <t>SF-02431</t>
  </si>
  <si>
    <t>SF-02432</t>
  </si>
  <si>
    <t>SF-02433</t>
  </si>
  <si>
    <t>SF-02434</t>
  </si>
  <si>
    <t>SF-02435</t>
  </si>
  <si>
    <t>SF-02436</t>
  </si>
  <si>
    <t>SF-02437</t>
  </si>
  <si>
    <t>SF-02438</t>
  </si>
  <si>
    <t>SF-02439</t>
  </si>
  <si>
    <t>SF-02440</t>
  </si>
  <si>
    <t>SF-02441</t>
  </si>
  <si>
    <t>SF-02442</t>
  </si>
  <si>
    <t>SF-02443</t>
  </si>
  <si>
    <t>SF-02444</t>
  </si>
  <si>
    <t>SF-02445</t>
  </si>
  <si>
    <t>SF-02446</t>
  </si>
  <si>
    <t>SF-02447</t>
  </si>
  <si>
    <t>SF-02448</t>
  </si>
  <si>
    <t>SF-02449</t>
  </si>
  <si>
    <t>SF-02450</t>
  </si>
  <si>
    <t>SF-02451</t>
  </si>
  <si>
    <t>SF-02452</t>
  </si>
  <si>
    <t>SF-02453</t>
  </si>
  <si>
    <t>SF-02454</t>
  </si>
  <si>
    <t>SF-02455</t>
  </si>
  <si>
    <t>SF-02456</t>
  </si>
  <si>
    <t>SF-02457</t>
  </si>
  <si>
    <t>SF-02458</t>
  </si>
  <si>
    <t>SF-02459</t>
  </si>
  <si>
    <t>SF-02460</t>
  </si>
  <si>
    <t>SF-02461</t>
  </si>
  <si>
    <t>SF-02462</t>
  </si>
  <si>
    <t>SF-02463</t>
  </si>
  <si>
    <t>SF-02464</t>
  </si>
  <si>
    <t>SF-02465</t>
  </si>
  <si>
    <t>SF-02466</t>
  </si>
  <si>
    <t>SF-02467</t>
  </si>
  <si>
    <t>SF-02468</t>
  </si>
  <si>
    <t>SF-02469</t>
  </si>
  <si>
    <t>SF-02470</t>
  </si>
  <si>
    <t>SF-02471</t>
  </si>
  <si>
    <t>SF-02472</t>
  </si>
  <si>
    <t>SF-02473</t>
  </si>
  <si>
    <t>SF-02474</t>
  </si>
  <si>
    <t>SF-02475</t>
  </si>
  <si>
    <t>SF-02476</t>
  </si>
  <si>
    <t>SF-02477</t>
  </si>
  <si>
    <t>SF-02478</t>
  </si>
  <si>
    <t>SF-02479</t>
  </si>
  <si>
    <t>SF-02480</t>
  </si>
  <si>
    <t>SF-02481</t>
  </si>
  <si>
    <t>SF-02482</t>
  </si>
  <si>
    <t>SF-02483</t>
  </si>
  <si>
    <t>SF-02484</t>
  </si>
  <si>
    <t>SF-02485</t>
  </si>
  <si>
    <t>SF-02486</t>
  </si>
  <si>
    <t>SF-02487</t>
  </si>
  <si>
    <t>SF-02488</t>
  </si>
  <si>
    <t>SF-02489</t>
  </si>
  <si>
    <t>SF-02490</t>
  </si>
  <si>
    <t>SF-02491</t>
  </si>
  <si>
    <t>SF-02492</t>
  </si>
  <si>
    <t>SF-02493</t>
  </si>
  <si>
    <t>SF-02494</t>
  </si>
  <si>
    <t>SF-02495</t>
  </si>
  <si>
    <t>SF-02496</t>
  </si>
  <si>
    <t>SF-02497</t>
  </si>
  <si>
    <t>SF-02498</t>
  </si>
  <si>
    <t>SF-02499</t>
  </si>
  <si>
    <t>SF-02500</t>
  </si>
  <si>
    <t>SF-02501</t>
  </si>
  <si>
    <t>SF-02502</t>
  </si>
  <si>
    <t>SF-02503</t>
  </si>
  <si>
    <t>SF-02504</t>
  </si>
  <si>
    <t>SF-02505</t>
  </si>
  <si>
    <t>SF-02506</t>
  </si>
  <si>
    <t>SF-02507</t>
  </si>
  <si>
    <t>SF-02508</t>
  </si>
  <si>
    <t>SF-02509</t>
  </si>
  <si>
    <t>SF-02510</t>
  </si>
  <si>
    <t>SF-02511</t>
  </si>
  <si>
    <t>SF-02512</t>
  </si>
  <si>
    <t>SF-02513</t>
  </si>
  <si>
    <t>SF-02514</t>
  </si>
  <si>
    <t>SF-02515</t>
  </si>
  <si>
    <t>SF-02516</t>
  </si>
  <si>
    <t>SF-02517</t>
  </si>
  <si>
    <t>SF-02518</t>
  </si>
  <si>
    <t>SF-02519</t>
  </si>
  <si>
    <t>SF-02520</t>
  </si>
  <si>
    <t>SF-02521</t>
  </si>
  <si>
    <t>SF-02522</t>
  </si>
  <si>
    <t>SF-02523</t>
  </si>
  <si>
    <t>SF-02524</t>
  </si>
  <si>
    <t>SF-02525</t>
  </si>
  <si>
    <t>SF-02526</t>
  </si>
  <si>
    <t>SF-02527</t>
  </si>
  <si>
    <t>SF-02528</t>
  </si>
  <si>
    <t>SF-02529</t>
  </si>
  <si>
    <t>SF-02530</t>
  </si>
  <si>
    <t>SF-02531</t>
  </si>
  <si>
    <t>SF-02532</t>
  </si>
  <si>
    <t>SF-02533</t>
  </si>
  <si>
    <t>SF-02534</t>
  </si>
  <si>
    <t>SF-02535</t>
  </si>
  <si>
    <t>SF-02536</t>
  </si>
  <si>
    <t>SF-02537</t>
  </si>
  <si>
    <t>SF-02538</t>
  </si>
  <si>
    <t>SF-02539</t>
  </si>
  <si>
    <t>SF-02540</t>
  </si>
  <si>
    <t>SF-02541</t>
  </si>
  <si>
    <t>SF-02542</t>
  </si>
  <si>
    <t>SF-02543</t>
  </si>
  <si>
    <t>SF-02544</t>
  </si>
  <si>
    <t>SF-02545</t>
  </si>
  <si>
    <t>SF-02546</t>
  </si>
  <si>
    <t>SF-02547</t>
  </si>
  <si>
    <t>SF-02548</t>
  </si>
  <si>
    <t>SF-02549</t>
  </si>
  <si>
    <t>SF-02550</t>
  </si>
  <si>
    <t>SF-02551</t>
  </si>
  <si>
    <t>SF-02552</t>
  </si>
  <si>
    <t>SF-02553</t>
  </si>
  <si>
    <t>SF-02554</t>
  </si>
  <si>
    <t>SF-02555</t>
  </si>
  <si>
    <t>SF-02556</t>
  </si>
  <si>
    <t>SF-02557</t>
  </si>
  <si>
    <t>SF-02558</t>
  </si>
  <si>
    <t>SF-02559</t>
  </si>
  <si>
    <t>SF-02560</t>
  </si>
  <si>
    <t>SF-02561</t>
  </si>
  <si>
    <t>SF-02562</t>
  </si>
  <si>
    <t>SF-02563</t>
  </si>
  <si>
    <t>SF-02564</t>
  </si>
  <si>
    <t>SF-02565</t>
  </si>
  <si>
    <t>SF-02566</t>
  </si>
  <si>
    <t>SF-02567</t>
  </si>
  <si>
    <t>SF-02568</t>
  </si>
  <si>
    <t>SF-02569</t>
  </si>
  <si>
    <t>SF-02570</t>
  </si>
  <si>
    <t>SF-02571</t>
  </si>
  <si>
    <t>SF-02572</t>
  </si>
  <si>
    <t>SF-02573</t>
  </si>
  <si>
    <t>SF-02574</t>
  </si>
  <si>
    <t>SF-02575</t>
  </si>
  <si>
    <t>SF-02576</t>
  </si>
  <si>
    <t>SF-02577</t>
  </si>
  <si>
    <t>SF-02578</t>
  </si>
  <si>
    <t>SF-02579</t>
  </si>
  <si>
    <t>SF-02580</t>
  </si>
  <si>
    <t>SF-02581</t>
  </si>
  <si>
    <t>SF-02582</t>
  </si>
  <si>
    <t>SF-02583</t>
  </si>
  <si>
    <t>SF-02584</t>
  </si>
  <si>
    <t>SF-02585</t>
  </si>
  <si>
    <t>SF-02586</t>
  </si>
  <si>
    <t>SF-02587</t>
  </si>
  <si>
    <t>SF-02588</t>
  </si>
  <si>
    <t>SF-02589</t>
  </si>
  <si>
    <t>SF-02590</t>
  </si>
  <si>
    <t>SF-02591</t>
  </si>
  <si>
    <t>SF-02592</t>
  </si>
  <si>
    <t>SF-02593</t>
  </si>
  <si>
    <t>SF-02594</t>
  </si>
  <si>
    <t>SF-02595</t>
  </si>
  <si>
    <t>SF-02596</t>
  </si>
  <si>
    <t>SF-02597</t>
  </si>
  <si>
    <t>SF-02598</t>
  </si>
  <si>
    <t>SF-02599</t>
  </si>
  <si>
    <t>SF-02600</t>
  </si>
  <si>
    <t>SF-02601</t>
  </si>
  <si>
    <t>SF-02602</t>
  </si>
  <si>
    <t>SF-02603</t>
  </si>
  <si>
    <t>SF-02604</t>
  </si>
  <si>
    <t>SF-02605</t>
  </si>
  <si>
    <t>SF-02606</t>
  </si>
  <si>
    <t>SF-02607</t>
  </si>
  <si>
    <t>SF-02608</t>
  </si>
  <si>
    <t>SF-02609</t>
  </si>
  <si>
    <t>SF-02610</t>
  </si>
  <si>
    <t>SF-02611</t>
  </si>
  <si>
    <t>SF-02612</t>
  </si>
  <si>
    <t>SF-02613</t>
  </si>
  <si>
    <t>SF-02614</t>
  </si>
  <si>
    <t>SF-02615</t>
  </si>
  <si>
    <t>SF-02616</t>
  </si>
  <si>
    <t>SF-02617</t>
  </si>
  <si>
    <t>SF-02618</t>
  </si>
  <si>
    <t>Bastão de resgate (depreciação)</t>
  </si>
  <si>
    <t>Cadeado para disjuntores (depreciação)</t>
  </si>
  <si>
    <t>Bloqueio para disjuntores (depreciação)</t>
  </si>
  <si>
    <t>Painel de TV em MDF</t>
  </si>
  <si>
    <t>200 ml</t>
  </si>
  <si>
    <t>25 g</t>
  </si>
  <si>
    <t>mês x equip</t>
  </si>
  <si>
    <t>cm2</t>
  </si>
  <si>
    <t>cm3</t>
  </si>
  <si>
    <t>cj x mês</t>
  </si>
  <si>
    <t>Demolição de forro</t>
  </si>
  <si>
    <t>Remoção de folha de porta e dobradiças / pivôs</t>
  </si>
  <si>
    <t>Suporte intermediário reto para linha de vida</t>
  </si>
  <si>
    <t>Fundo anticorrosivo e de aderência</t>
  </si>
  <si>
    <t>Instalação de rodapé/rodabanca reaproveitado(a), de mármore ou granito</t>
  </si>
  <si>
    <t>Assento para bacia convencional</t>
  </si>
  <si>
    <t>Cuba retangular em aço inox</t>
  </si>
  <si>
    <t>Tanque 38 litros</t>
  </si>
  <si>
    <t>Acabamento para registro GD</t>
  </si>
  <si>
    <t>Acabamento para registro PQ</t>
  </si>
  <si>
    <t>Ducha higiênica</t>
  </si>
  <si>
    <t>Ligação flexível 1/2” x 40 cm</t>
  </si>
  <si>
    <t>Sifão articulado para cozinha</t>
  </si>
  <si>
    <t>Sifão para tanque</t>
  </si>
  <si>
    <t>Torneira de mesa para cozinha bica móvel</t>
  </si>
  <si>
    <t>Torneira de mesa para lavatório bica alta</t>
  </si>
  <si>
    <t>Torneira de mesa para lavatório bica baixa</t>
  </si>
  <si>
    <t>Torneira de parede para cozinha</t>
  </si>
  <si>
    <t>Torneira de parede para tanque</t>
  </si>
  <si>
    <t>Válvula de escoamento para tanque</t>
  </si>
  <si>
    <t>Cabide</t>
  </si>
  <si>
    <t>Papeleira</t>
  </si>
  <si>
    <t>Porta toalha argola</t>
  </si>
  <si>
    <t>Porta toalha barra</t>
  </si>
  <si>
    <t>Armários em MDF laminado com módulo de gaveta (sem porta)</t>
  </si>
  <si>
    <t>Balde metálico</t>
  </si>
  <si>
    <t>Chave de fenda de 1/4"</t>
  </si>
  <si>
    <t>Escada duplo acesso 6 degraus</t>
  </si>
  <si>
    <t>Esquadro 300 mm</t>
  </si>
  <si>
    <t>Martelo tipo unha</t>
  </si>
  <si>
    <t>Rebitadeira manual</t>
  </si>
  <si>
    <t>Tesoura</t>
  </si>
  <si>
    <t>Relógio de ponto biométrico</t>
  </si>
  <si>
    <t>Calça</t>
  </si>
  <si>
    <t>Calçado isolante elétrico</t>
  </si>
  <si>
    <t>Bota de PVC</t>
  </si>
  <si>
    <t>Óculos de segurança</t>
  </si>
  <si>
    <t>Dobradiça automática vidro/alvenaria para box de vidro temperado</t>
  </si>
  <si>
    <t>Graute industrializado, 50 MPa ≤ fck ≤ 60 MPa</t>
  </si>
  <si>
    <t>Tela de proteção para andaime</t>
  </si>
  <si>
    <t>Lastro em concreto magro</t>
  </si>
  <si>
    <t>Detector de 4 gases</t>
  </si>
  <si>
    <t>Laudo de estabilidade estrutural - Bloco 15 (Espaço do Servidor)</t>
  </si>
  <si>
    <t>Janela em alumínio</t>
  </si>
  <si>
    <t>Cotovelo de cobre de 1 3/8”</t>
  </si>
  <si>
    <t>Cotovelo de cobre de 1 5/8”</t>
  </si>
  <si>
    <t>Cotovelo de cobre de 7/8”</t>
  </si>
  <si>
    <t>Luva de cobre de 1 3/8”</t>
  </si>
  <si>
    <t>Luva de cobre de 1 5/8”</t>
  </si>
  <si>
    <t>Luva de cobre de 7/8”</t>
  </si>
  <si>
    <t>Ar-condicionado “splitão” 49 kW</t>
  </si>
  <si>
    <t>Ar-condicionado “splitão” 64 kW.</t>
  </si>
  <si>
    <t>Tubo de cobre de 1 3/8”</t>
  </si>
  <si>
    <t>Tubo de cobre de 1 5/8”</t>
  </si>
  <si>
    <t>Granito Preto Absoluto para revestimento de superfícies internas e externas – Linha Administrativa</t>
  </si>
  <si>
    <t>Granito Arabesco para revestimento de superfícies internas e externas – Linha Administrativa</t>
  </si>
  <si>
    <t>Porcelanato para revestimento de superfícies internas e externas – Linha Residencial</t>
  </si>
  <si>
    <t>Lixamento, calafetação e aplicação de sinteco em piso de madeira – Linha Residencial</t>
  </si>
  <si>
    <t>Piso em taco de madeira – Linha Residencial</t>
  </si>
  <si>
    <t>Piso sintético flutuante – Linha Residencial</t>
  </si>
  <si>
    <t>Revestimento acústico perfilado – Linha Administrativa</t>
  </si>
  <si>
    <t>Revestimento acústico plano – Linha Administrativa</t>
  </si>
  <si>
    <t>Textura acrílica – Linha Administrativa</t>
  </si>
  <si>
    <t>Pintura com tinta látex acrílica Premium – cores especiais (sistema tintométrico)</t>
  </si>
  <si>
    <t>Jogo de chave allen curto métrico</t>
  </si>
  <si>
    <t>Jogo de chave allen longo métrico</t>
  </si>
  <si>
    <t>Conjunto de chaves de boca de 6 a 32 mm</t>
  </si>
  <si>
    <t>Conjunto de chaves de boca de 1/4" a 1 1/4"</t>
  </si>
  <si>
    <t>Talhadeira</t>
  </si>
  <si>
    <t>Exaustor para espaço confinado</t>
  </si>
  <si>
    <t>Jogo de chave torx</t>
  </si>
  <si>
    <t>Veículo do tipo utilitário</t>
  </si>
  <si>
    <t>Cortina de proteção para solda com suporte</t>
  </si>
  <si>
    <t>Tubo multicamadas flexível 20 mm para gás</t>
  </si>
  <si>
    <t>Tubo multicamadas flexível 26 mm para gás</t>
  </si>
  <si>
    <t>Regulador de pressão para gás</t>
  </si>
  <si>
    <t>Subestação Elétrica 13,8-0,38kV, 300 kVA, em poste</t>
  </si>
  <si>
    <t>Limpeza final</t>
  </si>
  <si>
    <t>Acabamento para válvula de descarga 1 1/2" – Linha Acessibilidade</t>
  </si>
  <si>
    <t>Acabamento para válvula de descarga 1 1/2"</t>
  </si>
  <si>
    <t>Acabamento para válvula de descarga 1 1/4" – Linha Acessibilidade</t>
  </si>
  <si>
    <t>Acabamento para válvula de descarga 1 1/4"</t>
  </si>
  <si>
    <t>Válvula de escoamento para lavatório</t>
  </si>
  <si>
    <t>Condulete de alumínio de 1"</t>
  </si>
  <si>
    <t>Ar-condicionado do tipo split piso-teto inverter 54.000 BTU/h</t>
  </si>
  <si>
    <t>Isolamento elastomérico para tubulações de cobre 1 5/8" / tubulações de ferro de 1 1/4"</t>
  </si>
  <si>
    <t>Isolamento elastomérico para tubulações de cobre 1 3/8" / tubulações de ferro de 1"</t>
  </si>
  <si>
    <t>Botijões de gás inclusive P-13 com recargas</t>
  </si>
  <si>
    <t>Compressor de Ar</t>
  </si>
  <si>
    <t>Serrote 20"</t>
  </si>
  <si>
    <t>Trena de 5 m</t>
  </si>
  <si>
    <t>Protetor auditivo de inserção</t>
  </si>
  <si>
    <t>Talabarte de Posicionamento</t>
  </si>
  <si>
    <t>Trava-quedas Deslizante Para Corda</t>
  </si>
  <si>
    <t>Trava-quedas Deslizante Para Cabo de Aço</t>
  </si>
  <si>
    <t>Tubo de cobre classe "E" 22 mm</t>
  </si>
  <si>
    <t>Tubo de cobre classe "E" 42 mm</t>
  </si>
  <si>
    <t>Armação de aço CA-50 bitolas de 10,0 mm a 12,5 mm</t>
  </si>
  <si>
    <t>Armação de aço CA-50 bitolas de 16,0 mm a 25,0 mm</t>
  </si>
  <si>
    <t>Bacia conforto (h=44 cm) – Linha Acessibilidade</t>
  </si>
  <si>
    <t>Mármore Branco Especial 20 mm argamassado (Ed. Principal e Anexo 1)</t>
  </si>
  <si>
    <t>Mármore Branco Especial 20 mm com inserts e argamassa (Ed. Principal e Anexo 1)</t>
  </si>
  <si>
    <t>Mármore Branco Especial 30 mm argamassado (Ed. Principal e Anexo 1)</t>
  </si>
  <si>
    <t>Mármore Branco Especial 30 mm com inserts e argamassa (Ed. Principal e Anexo 1)</t>
  </si>
  <si>
    <t>Instalação de placas de mármore 30 mm reaproveitadas em fixadores metálicos existentes (modelo Edifício Principal)</t>
  </si>
  <si>
    <t>Porta metálica dupla de giro com dimensões 2,00 m x 2,12 m</t>
  </si>
  <si>
    <t>ELETRODUTO DE AÇO GALVANIZADO ELETROLÍTICO TIPO LEVE - ROSCA NBR 8133 - ESP. 1,06MM - 3/4"</t>
  </si>
  <si>
    <t>ELETRODUTO DE AÇO GALVANIZADO ELETROLÍTICO TIPO LEVE - ROSCA NBR 8133 - ESP. 1,06MM - 1"</t>
  </si>
  <si>
    <t>ELETRODUTO DE AÇO GALVANIZADO ELETROLÍTICO TIPO LEVE - ROSCA NBR 8133 - ESP. 1,06MM - 1 1/4"</t>
  </si>
  <si>
    <t>ELETRODUTO DE AÇO GALVANIZADO ELETROLÍTICO TIPO LEVE - ROSCA NBR 8133 - ESP. 1,06MM - 1 1/2"</t>
  </si>
  <si>
    <t>ELETRODUTO DE AÇO GALVANIZADO ELETROLÍTICO TIPO LEVE - ROSCA NBR 8133 - ESP. 1,50MM - 2"</t>
  </si>
  <si>
    <t>ELETRODUTO DE AÇO GALVANIZADO ELETROLÍTICO TIPO LEVE - ROSCA NBR 8133 - ESP. 1,50MM - 2 1/2"</t>
  </si>
  <si>
    <t>ELETRODUTO DE AÇO GALVANIZADO ELETROLÍTICO TIPO LEVE - ROSCA NBR 8133 - ESP. 1,50MM - 3"</t>
  </si>
  <si>
    <t>ELETRODUTO DE AÇO GALVANIZADO ELETROLÍTICO TIPO LEVE - ROSCA NBR 8133 - ESP. 1,50MM - 4"</t>
  </si>
  <si>
    <t>BASE DE FUSÍVEL NH 00 ATÉ 160 A EM QUADRO DE DISTRIBUIÇÃO DE LUZ E FORÇA</t>
  </si>
  <si>
    <t>BASE DE FUSÍVEL NH 1 ATÉ 250 A EM QUADRO DE DISTRIBUIÇÃO DE LUZ E FORÇA</t>
  </si>
  <si>
    <t>BASE DE FUSÍVEL NH 2 ATÉ 400 A EM QUADRO DE DISTRIBUIÇÃO DE LUZ E FORÇA</t>
  </si>
  <si>
    <t>BASE DE FUSÍVEL NH 3 ATÉ 630 A EM QUADRO DE DISTRIBUIÇÃO DE FORÇA</t>
  </si>
  <si>
    <t>FUSÍVEL RETARDADO NH 00 COM INDICADOR DE TOPO 125 A</t>
  </si>
  <si>
    <t>FUSÍVEL RETARDADO NH 01 COM INDICADOR DE TOPO 250 A</t>
  </si>
  <si>
    <t>FUSÍVEL RETARDADO NH 02 COM INDICADOR DE TOPO 400 A</t>
  </si>
  <si>
    <t>FUSÍVEL RETARDADO NH 03 COM INDICADOR DE TOPO 630 A</t>
  </si>
  <si>
    <t>CAIXA DE PASSAGEM EM CHAPA DE AÇO COM TAMPA APARAFUSADA 402 X 402 X 152 MM</t>
  </si>
  <si>
    <t>ABRACADEIRA TIPO COPO, DE 1"</t>
  </si>
  <si>
    <t>CARTUCHO DE SOLDA EXOTÉRMICA N.º 90</t>
  </si>
  <si>
    <t>IGNEX - PALITO IGNITOR PARA SOLDA EXOTÉRMICA</t>
  </si>
  <si>
    <t>MOLDE P/ SOLDA TIPO "T" ATÉ 35mm²</t>
  </si>
  <si>
    <t>DIVISORIA EM GRANITO, COM DUAS FACES POLIDAS, CINZA ANDORINHA, E=  2,0 CM</t>
  </si>
  <si>
    <t>SOLVENTE PARA VERNIZ POLIURETANO</t>
  </si>
  <si>
    <t>VERNIZ POLIURETANO ALIFÁTICO BICOMPONENTE</t>
  </si>
  <si>
    <t>DIVISORIA EM GRANITO, COM DUAS FACES POLIDAS, TIPO ANDORINHA/ QUARTZ/ CASTELO/ CORUMBA OU OUTROS EQUIVALENTES DA REGIAO, E=  2,0 CM</t>
  </si>
  <si>
    <t>Obs.2: Inclusão de composições Sinapi 100973 e 97914.</t>
  </si>
  <si>
    <t>Mola Hidráulica de piso universal para portas de batente e portas vai-e-vem em aço inoxidável. Ref.: DORMA, modelo BTS 75V/R, com eixo intercambiável tipo "B"</t>
  </si>
  <si>
    <t>Impermeabilizante para mola hidráulica. Ref: Dorma SealProtect</t>
  </si>
  <si>
    <t>Reator eletrônico 2x28W. Ref.: Philips EB228A26; Philips EL214-28A26; Intral REH-T5 2x28/127-220/50-60 (cod. 02475); MarGirus PB 2X28 AF2.</t>
  </si>
  <si>
    <t>Reator eletrônico 2x14W. Ref.: Philips EB214A26; Philips EL214-28A26; Lumicenter LEB. 214; MarGirus PB 2X14 AF2.</t>
  </si>
  <si>
    <t xml:space="preserve">Tomada 10A para condulete alumínio para eletrodutos de 1’’, de sobrepor, com conexões e acessórios. </t>
  </si>
  <si>
    <t>Bloco autônomo de emergência com fluxo mínimo de 1000 lumens</t>
  </si>
  <si>
    <t>Cabo ethernet categoria 5e blindado (FTP)</t>
  </si>
  <si>
    <t>Cabo constituído por 12 fibras ópticas do tipo multimodo, LSZH</t>
  </si>
  <si>
    <t>Cabo de cobre para comunicação CANbus</t>
  </si>
  <si>
    <t>Cabo de cobre para comunicação padrão RS-485</t>
  </si>
  <si>
    <t>Cabo de potência, 8,7 kV / 15 kV, 95 mm²</t>
  </si>
  <si>
    <t>Cabo de potência, 8,7 kV / 15 kV, 240 mm²</t>
  </si>
  <si>
    <t>Distribuidor Interno Óptico Industrial para, no mínimo, 12 fibras</t>
  </si>
  <si>
    <t>ELETRODUTO/DUTO PEAD FLEXIVEL PAREDE SIMPLES, CORRUGACAO HELICOIDAL, COR PRETA, SEM ROSCA, DE 5",  PARA CABEAMENTO SUBTERRANEO (NBR 15715)</t>
  </si>
  <si>
    <t>Interruptor duplo para condulete alumínio para eletrodutos de 1’’, de sobrepor, com conexões e acessórios.</t>
  </si>
  <si>
    <t>Leito tipo semi-pesado 400 mm x 100 mm fabricado em aço galvanizado a fogo # 12/14</t>
  </si>
  <si>
    <t>Leito tipo semi-pesado 600 mm x 100 mm fabricado em aço galvanizado a fogo # 12/14</t>
  </si>
  <si>
    <t>Luminária de sobrepor T5 2x28W, ref:Osram LEDVANCE DAMP‐PROOF HOUSING Longa Dupla (7016392), Osram LEDVANCE DAMP‐PROOF SEM TUBO DUPLA (7012956), Philips TCW060 2x36, Ourolux Ourofort IP65 2X28/32/36/40W (01527/01528), Lumicenter FHT03‐S228</t>
  </si>
  <si>
    <t>Terminal para cabo de média tensão. Ref: Prysmian TM-20-120</t>
  </si>
  <si>
    <t>Terminal para cabo de média tensão. Ref: Prysmian TM-20-240</t>
  </si>
  <si>
    <t xml:space="preserve">Tomada 20A para condulete alumínio para eletrodutos de 1’’, de sobrepor, com conexões e acessórios. </t>
  </si>
  <si>
    <t>Haste de aterramento 3/4" x 3 m, tipo camada alta de cobre</t>
  </si>
  <si>
    <t>Leito tipo semi-pesado 800 mm x 100 mm fabricado em aço galvanizado a fogo # 12/14</t>
  </si>
  <si>
    <t>Mão francesa metálica dupla, com dois perfis 38 mm x 38 mm, L = 800 mm</t>
  </si>
  <si>
    <t>Armadura de tela de aço CA-60 4,2mm</t>
  </si>
  <si>
    <t>Concreto preparado na obra C20 S50, controle "B", brita 1</t>
  </si>
  <si>
    <t>Forma para fundação com tábuas e sarrafos, 3 reaproveitamentos</t>
  </si>
  <si>
    <t>Lastro de brita 1 apiloado com soquete manual para regularização</t>
  </si>
  <si>
    <t>Grelha pré-moldada de concreto para canaleta 35 x 60 x 5 cm</t>
  </si>
  <si>
    <t>Furo em concreto com broca de widia, utilizando martele elétrico Ø 3/8" profundidade 10 cm</t>
  </si>
  <si>
    <t>POSTE CONICO CONTINUO EM ACO GALVANIZADO, RETO, BRACO SIMPLES, ENGASTADO,  H = 5 M</t>
  </si>
  <si>
    <t>Eletroduto PEAD 1 1/4" - fornecimento e instalação</t>
  </si>
  <si>
    <t>Adesivo de contato a base d'água</t>
  </si>
  <si>
    <t>Carpete em placa, para uso comercial, adequado para tráfego pesado, conforme especificações técnicas.</t>
  </si>
  <si>
    <t>Carpete em rolo, para uso comercial, adequado para tráfego pesado, conforme especificações técnicas.</t>
  </si>
  <si>
    <t>Graute epóxi fluido de alta resistência mecânica. Ref: Sikadur 42 BR.</t>
  </si>
  <si>
    <t>Obs.: considerando consumo de 2.000 kg/m³, conforme site do fabricante: https://bra.sika.com/pt/construcao/pisos-industriais/reparo-em-pisos/argamassa-epoxi/sikadur-42-br.html</t>
  </si>
  <si>
    <t>Cabo Ethernet Blindado (material)</t>
  </si>
  <si>
    <t xml:space="preserve">Condulete de alumínio de 2” </t>
  </si>
  <si>
    <t xml:space="preserve">Interruptor para condulete </t>
  </si>
  <si>
    <t xml:space="preserve">Interruptor duplo para condulete </t>
  </si>
  <si>
    <t xml:space="preserve">Condutor 2,5 mm² </t>
  </si>
  <si>
    <t xml:space="preserve">Condutor 4 mm² </t>
  </si>
  <si>
    <t xml:space="preserve">Condutor 6 mm² </t>
  </si>
  <si>
    <t xml:space="preserve">Condutor 10 mm² </t>
  </si>
  <si>
    <t xml:space="preserve">Condutor 16 mm² </t>
  </si>
  <si>
    <t xml:space="preserve">Condutor 25 mm² </t>
  </si>
  <si>
    <t xml:space="preserve">Condutor 35 mm² </t>
  </si>
  <si>
    <t xml:space="preserve">Condutor 50 mm² </t>
  </si>
  <si>
    <t xml:space="preserve">Condutor 70 mm² </t>
  </si>
  <si>
    <t xml:space="preserve">Condutor 95 mm² </t>
  </si>
  <si>
    <t xml:space="preserve">Condutor 120 mm² </t>
  </si>
  <si>
    <t xml:space="preserve">Condutor 150 mm² </t>
  </si>
  <si>
    <t xml:space="preserve">Condutor 185 mm² </t>
  </si>
  <si>
    <t xml:space="preserve">Condutor 240 mm² </t>
  </si>
  <si>
    <t xml:space="preserve">Eletroduto de aço galvanizado de 3” </t>
  </si>
  <si>
    <t xml:space="preserve">Caixa para piso elevado </t>
  </si>
  <si>
    <t xml:space="preserve">Tomada para perfilado e eletrocalha </t>
  </si>
  <si>
    <t xml:space="preserve">Espelho cego redondo </t>
  </si>
  <si>
    <t xml:space="preserve">Módulo cego </t>
  </si>
  <si>
    <t xml:space="preserve">Módulo tomada 10 A </t>
  </si>
  <si>
    <t xml:space="preserve">Módulo tomada 20 A </t>
  </si>
  <si>
    <t xml:space="preserve">Módulo interruptor simples </t>
  </si>
  <si>
    <t xml:space="preserve">Módulo interruptor paralelo </t>
  </si>
  <si>
    <t xml:space="preserve">Módulo sensor de presença </t>
  </si>
  <si>
    <t xml:space="preserve">Cortadora de parede </t>
  </si>
  <si>
    <t xml:space="preserve">Serra mármore </t>
  </si>
  <si>
    <t>Manutenção periódica - Subestação dos blocos 11-18 (Eletrocentro)</t>
  </si>
  <si>
    <t>SF-02619</t>
  </si>
  <si>
    <t>Manutenção periódica – Sala de Nobreaks do Anexo 2</t>
  </si>
  <si>
    <t>SF-02620</t>
  </si>
  <si>
    <t>Manutenção periódica – Sala de Nobreaks do Prodasen (Sala Y)</t>
  </si>
  <si>
    <t>SF-02621</t>
  </si>
  <si>
    <t>Manutenção periódica – Sistema Predial do Prodasen</t>
  </si>
  <si>
    <t>SF-02622</t>
  </si>
  <si>
    <t>Manutenção periódica – Sistema Predial do Interlegis</t>
  </si>
  <si>
    <t>SF-02623</t>
  </si>
  <si>
    <t>Manutenção corretiva – Subestação dos Blocos 11-18 (Eletrocentro)</t>
  </si>
  <si>
    <t>SF-02624</t>
  </si>
  <si>
    <t>Manutenção corretiva – Sala de Nobreaks do Anexo 2</t>
  </si>
  <si>
    <t>SF-02625</t>
  </si>
  <si>
    <t>Manutenção corretiva – Sala de Nobreaks do Prodasen (Sala Y)</t>
  </si>
  <si>
    <t>SF-02626</t>
  </si>
  <si>
    <t>Manutenção corretiva – Sistema Predial do Prodasen</t>
  </si>
  <si>
    <t>SF-02627</t>
  </si>
  <si>
    <t>Manutenção corretiva – Sistema Predial do Interlegis</t>
  </si>
  <si>
    <t>SF-02628</t>
  </si>
  <si>
    <t>Recondicionamento e teste hidrostático de cilindro de 49 lbs de HFC-227ea (sala de nobreaks do Anexo 2)</t>
  </si>
  <si>
    <t>SF-02629</t>
  </si>
  <si>
    <t>Recondicionamento e teste hidrostático de cilindro de 218 lbs de HFC-227ea (sala de nobreaks do Prodasen – sala Y)</t>
  </si>
  <si>
    <t>SF-02630</t>
  </si>
  <si>
    <t>Recondicionamento e teste hidrostático de cilindro de 82,5 kg de HFC-227ea (subestação dos blocos 11-18 - Eletrocentro)</t>
  </si>
  <si>
    <t>SF-02631</t>
  </si>
  <si>
    <t>Teste de estanqueidade de sala (door fan test)</t>
  </si>
  <si>
    <t>SF-02632</t>
  </si>
  <si>
    <t>Teste hidrostático em mangueira de acoplamento de cilindro de HFC-227ea</t>
  </si>
  <si>
    <t>SF-02633</t>
  </si>
  <si>
    <t>Agente limpo HFC-227ea (FM-200)</t>
  </si>
  <si>
    <t>SF-02634</t>
  </si>
  <si>
    <t>Mangueira de acoplamento para cilindro de 49 lbs de HFC-227ea (sala de nobreaks do Anexo 2)</t>
  </si>
  <si>
    <t>SF-02635</t>
  </si>
  <si>
    <t>Mangueira de acoplamento para cilindro de 218 lbs de HFC-227ea (sala de nobreaks do Prodasen – sala Y)</t>
  </si>
  <si>
    <t>SF-02636</t>
  </si>
  <si>
    <t>Solenoide de disparo para cilindro de HFC-227ea Siex</t>
  </si>
  <si>
    <t>SF-02637</t>
  </si>
  <si>
    <t>Solenoide de disparo para cilindro de HFC-227ea Kidde</t>
  </si>
  <si>
    <t>SF-02638</t>
  </si>
  <si>
    <t>Pressostato para cilindro de HFC-227ea Kidde</t>
  </si>
  <si>
    <t>SF-02639</t>
  </si>
  <si>
    <t>Comutador a pressão para sistemas de HFC-227ea</t>
  </si>
  <si>
    <t>SF-02640</t>
  </si>
  <si>
    <t>Bateria 12 V / 7 Ah para central de incêndio</t>
  </si>
  <si>
    <t>SF-02641</t>
  </si>
  <si>
    <t>Bateria 12 V / 18 Ah para central de incêndio</t>
  </si>
  <si>
    <t>SF-02642</t>
  </si>
  <si>
    <t>Filtro para detector precoce Vesda by Xtrails VLF-250</t>
  </si>
  <si>
    <t>SF-02643</t>
  </si>
  <si>
    <t>Filtro para detector precoce Kidde AirSense Stratos Micra 10</t>
  </si>
  <si>
    <t>SF-02644</t>
  </si>
  <si>
    <t>Chave de bloqueio/aborto para agente limpo</t>
  </si>
  <si>
    <t>SF-02645</t>
  </si>
  <si>
    <t>Cabo blindado para sistema de alarme de incêndio 2x1,5 mm2</t>
  </si>
  <si>
    <t>SF-02646</t>
  </si>
  <si>
    <t>Detector de fumaça para central Notifier NFS-320</t>
  </si>
  <si>
    <t>SF-02647</t>
  </si>
  <si>
    <t>Base para detector para central Notifier NFS-320</t>
  </si>
  <si>
    <t>SF-02648</t>
  </si>
  <si>
    <t>Avisador sonoro/visual para central Notifier NFS-320</t>
  </si>
  <si>
    <t>SF-02649</t>
  </si>
  <si>
    <t>Avisador sonoro/visual para central Notifier NFS-320 – uso externo</t>
  </si>
  <si>
    <t>SF-02650</t>
  </si>
  <si>
    <t>Chave de disparo manual para central Notifier NFS-320</t>
  </si>
  <si>
    <t>SF-02651</t>
  </si>
  <si>
    <t>Módulo monitor para central Notifier NFS-320</t>
  </si>
  <si>
    <t>SF-02652</t>
  </si>
  <si>
    <t>Módulo de saída a relé para central Notifier NFS-320</t>
  </si>
  <si>
    <t>SF-02653</t>
  </si>
  <si>
    <t>Módulo de controle de extinção para central Notifier NFS-320</t>
  </si>
  <si>
    <t>SF-02654</t>
  </si>
  <si>
    <t>Placa principal para central Notifier NFS-320</t>
  </si>
  <si>
    <t>SF-02655</t>
  </si>
  <si>
    <t>Detector de fumaça para central Kidde Aegis</t>
  </si>
  <si>
    <t>SF-02656</t>
  </si>
  <si>
    <t>Detector termovelocimétrico para central Kidde Aegis</t>
  </si>
  <si>
    <t>SF-02657</t>
  </si>
  <si>
    <t>Base para detector para central Kidde Aegis</t>
  </si>
  <si>
    <t>SF-02658</t>
  </si>
  <si>
    <t>Avisador sonoro/visual para central Kidde Aegis</t>
  </si>
  <si>
    <t>SF-02659</t>
  </si>
  <si>
    <t>Chave de disparo manual para central Kidde Aegis</t>
  </si>
  <si>
    <t>SF-02660</t>
  </si>
  <si>
    <t>Placa principal para central Kidde Aegis</t>
  </si>
  <si>
    <t>SF-02661</t>
  </si>
  <si>
    <t>Detector de fumaça para central EST QuickStart</t>
  </si>
  <si>
    <t>SF-02662</t>
  </si>
  <si>
    <t>Detector termovelocimétrico para central EST QuickStart</t>
  </si>
  <si>
    <t>SF-02663</t>
  </si>
  <si>
    <t>Base para detector para central EST QuickStart</t>
  </si>
  <si>
    <t>SF-02664</t>
  </si>
  <si>
    <t>Avisador sonoro/visual para central EST QuickStart</t>
  </si>
  <si>
    <t>SF-02665</t>
  </si>
  <si>
    <t>Chave de disparo manual para central EST QuickStart</t>
  </si>
  <si>
    <t>SF-02666</t>
  </si>
  <si>
    <t>Módulo isolador para central EST QuickStart</t>
  </si>
  <si>
    <t>SF-02667</t>
  </si>
  <si>
    <t>Central de reposição para EST QuickStart</t>
  </si>
  <si>
    <t>SF-02668</t>
  </si>
  <si>
    <t>Detector de fumaça para central Simplex 4020</t>
  </si>
  <si>
    <t>SF-02669</t>
  </si>
  <si>
    <t>Base para detector para central Simplex 4020</t>
  </si>
  <si>
    <t>SF-02670</t>
  </si>
  <si>
    <t>Avisador sonoro/visual para central Simplex 4020</t>
  </si>
  <si>
    <t>SF-02671</t>
  </si>
  <si>
    <t>Chave de disparo manual para central Simplex 4020</t>
  </si>
  <si>
    <t>SF-02672</t>
  </si>
  <si>
    <t>Módulo isolador para central Simplex 4020</t>
  </si>
  <si>
    <t>SF-02673</t>
  </si>
  <si>
    <t>Placa principal para central Simplex 4020</t>
  </si>
  <si>
    <t>SF-02674</t>
  </si>
  <si>
    <t>Placa escrava para central Simplex 4020</t>
  </si>
  <si>
    <t>SF-02675</t>
  </si>
  <si>
    <t>Placa de interface de energia para central Simplex 4020</t>
  </si>
  <si>
    <t>SF-02676</t>
  </si>
  <si>
    <t>Fonte para central Simplex 4020</t>
  </si>
  <si>
    <t>CONCRETO MAGRO PARA LASTRO, TRAÇO 1:4,5:4,5 (EM MASSA SECA DE CIMENTO/ AREIA MÉDIA/ BRITA 1) - PREPARO MECÂNICO COM BETONEIRA 400 L. AF_05/2021</t>
  </si>
  <si>
    <t>CONCRETO MAGRO PARA LASTRO, TRAÇO 1:4,5:4,5 (EM MASSA SECA DE CIMENTO/ AREIA MÉDIA/ BRITA 1) - PREPARO MECÂNICO COM BETONEIRA 600 L. AF_05/2021</t>
  </si>
  <si>
    <t>CONCRETO FCK = 15MPA, TRAÇO 1:3,4:3,5 (EM MASSA SECA DE CIMENTO/ AREIA MÉDIA/ BRITA 1) - PREPARO MECÂNICO COM BETONEIRA 600 L. AF_05/2021</t>
  </si>
  <si>
    <t>CONCRETO FCK = 20MPA, TRAÇO 1:2,7:3 (EM MASSA SECA DE CIMENTO/ AREIA MÉDIA/ BRITA 1) - PREPARO MECÂNICO COM BETONEIRA 600 L. AF_05/2021</t>
  </si>
  <si>
    <t>CONCRETO FCK = 25MPA, TRAÇO 1:2,3:2,7 (EM MASSA SECA DE CIMENTO/ AREIA MÉDIA/ BRITA 1) - PREPARO MECÂNICO COM BETONEIRA 600 L. AF_05/2021</t>
  </si>
  <si>
    <t>CONCRETO FCK = 30MPA, TRAÇO 1:2,1:2,5 (EM MASSA SECA DE CIMENTO/ AREIA MÉDIA/ BRITA 1) - PREPARO MECÂNICO COM BETONEIRA 600 L. AF_05/2021</t>
  </si>
  <si>
    <t>CONCRETO MAGRO PARA LASTRO, TRAÇO 1:4,5:4,5 (EM MASSA SECA DE CIMENTO/ AREIA MÉDIA/ BRITA 1) - PREPARO MANUAL. AF_05/2021</t>
  </si>
  <si>
    <t>CONTRAPISO EM ARGAMASSA TRAÇO 1:4 (CIMENTO E AREIA), PREPARO MECÂNICO COM BETONEIRA 400 L, APLICADO EM ÁREAS SECAS SOBRE LAJE, ADERIDO, ACABAMENTO NÃO REFORÇADO, ESPESSURA 3CM. AF_07/2021</t>
  </si>
  <si>
    <t>Painel de TV em compensado</t>
  </si>
  <si>
    <t>Acabamento para válvula de descarga 4900.C.PRO - Deca</t>
  </si>
  <si>
    <t>Kit conversor Hydra Max para Hydra Conforto 4916.C.114.CONF – Linha Hydra Eco Conforto – Deca</t>
  </si>
  <si>
    <t xml:space="preserve">Kit conversor Hydra Max para Hydra Conforto 4916.C.112.CONF – linha Hydra Eco Conforto – Deca </t>
  </si>
  <si>
    <t>SF-02677</t>
  </si>
  <si>
    <t>SF-02678</t>
  </si>
  <si>
    <t>SF-02679</t>
  </si>
  <si>
    <t>SF-02680</t>
  </si>
  <si>
    <t>SF-02681</t>
  </si>
  <si>
    <t>SF-02682</t>
  </si>
  <si>
    <t>SF-02683</t>
  </si>
  <si>
    <t>SF-02684</t>
  </si>
  <si>
    <t>SF-02685</t>
  </si>
  <si>
    <t>SF-02686</t>
  </si>
  <si>
    <t>SF-02687</t>
  </si>
  <si>
    <t>SF-02688</t>
  </si>
  <si>
    <t>SF-02689</t>
  </si>
  <si>
    <t>SF-02690</t>
  </si>
  <si>
    <t>Central de reposição para Simplex 4020</t>
  </si>
  <si>
    <t>Tubo de aço-carbono galvanizado 2 1/2”</t>
  </si>
  <si>
    <t>Remoção de Caixa de Hidrante e acessórios para aproveitamento</t>
  </si>
  <si>
    <t>Instalação de Caixa de Hidrante e acessórios reaproveitados</t>
  </si>
  <si>
    <t>Remoção de Mesa de Granito e acessórios para aproveitamento</t>
  </si>
  <si>
    <t>Instalação de Mesa de Granito e acessórios reaproveitados</t>
  </si>
  <si>
    <t>Guarda Corpo metálico com Esquadria para Vidro</t>
  </si>
  <si>
    <t>Guarda Corpo e Corrimão metálicos com Esquadria para Vidro</t>
  </si>
  <si>
    <t>Manutenção on site - Plataforma elevatória vertical para acessibilidade - Bloco 15 (Espaço do Servidor)</t>
  </si>
  <si>
    <t>Estudos Preliminares – Usina Fotovoltaica</t>
  </si>
  <si>
    <t>Anteprojetos – Usina Fotovoltaica</t>
  </si>
  <si>
    <t>Cronograma Físico-Financeiro, Caderno de Encargos e Orçamentos – Usina Fotovoltaica</t>
  </si>
  <si>
    <t>Demolição de revestimento de piso vinílico</t>
  </si>
  <si>
    <t>Remoção de telhas de fibrocimento, metálica ou cerâmica</t>
  </si>
  <si>
    <t>ARMAÇÃO VERTICAL DE ALVENARIA ESTRUTURAL; DIÂMETRO DE 10,0 MM. AF_09/2021</t>
  </si>
  <si>
    <t>ARMAÇÃO DE CINTA DE ALVENARIA ESTRUTURAL; DIÂMETRO DE 10,0 MM. AF_09/2021</t>
  </si>
  <si>
    <t>MONTAGEM DE ARMADURA DE ESTACAS, DIÂMETRO = 16,0 MM. AF_09/2021</t>
  </si>
  <si>
    <t>GRAUTEAMENTO VERTICAL EM ALVENARIA ESTRUTURAL. AF_09/2021</t>
  </si>
  <si>
    <t>GRAUTEAMENTO DE CINTA SUPERIOR OU DE VERGA EM ALVENARIA ESTRUTURAL. AF_09/2021</t>
  </si>
  <si>
    <t>GRAUTE FGK=20 MPA; TRAÇO 1:0,04:1,8:2,1 (EM MASSA SECA DE CIMENTO/ CAL/ AREIA GROSSA/ BRITA 0) - PREPARO MECÂNICO COM BETONEIRA 400 L. AF_09/2021</t>
  </si>
  <si>
    <t>GRAUTE FGK=25 MPA; TRAÇO 1:0,02:1,3:1,6 (EM MASSA SECA DE CIMENTO/ CAL/ AREIA GROSSA/ BRITA 0) - PREPARO MECÂNICO COM BETONEIRA 400 L. AF_09/2021</t>
  </si>
  <si>
    <t>Obs.: Consumo de acordo com o fabricante do produto "Super Graute Quartzolit", referência comercial indicada.</t>
  </si>
  <si>
    <t>https://www.quartzolit.weber/files/br/2017-12/super_graute_quartzolit.pdf</t>
  </si>
  <si>
    <t>280 ml</t>
  </si>
  <si>
    <t>Obs.: Rendimento da resina e do selante de acordo com recomendações do fabricante. Consumo médio. Selante: 2,5 m por bisnaga de 280 ml (abertura de 20mm x 10mm). Resina: 165 m2 por embalagem de 18 L.</t>
  </si>
  <si>
    <t>https://bra.sika.com/dms/getdocument.get/936a7cee-8d90-4be4-9494-f16d0e9334b4/sikacryl_-103.pdf</t>
  </si>
  <si>
    <t>Conector reto 1"</t>
  </si>
  <si>
    <t>Conector fixo NPT 3/4"</t>
  </si>
  <si>
    <t>Conector giratório NPT 3/4"</t>
  </si>
  <si>
    <t>SF-02691</t>
  </si>
  <si>
    <t>SF-02692</t>
  </si>
  <si>
    <t>SF-02693</t>
  </si>
  <si>
    <t>SF-02694</t>
  </si>
  <si>
    <t>SF-02695</t>
  </si>
  <si>
    <t>SF-02696</t>
  </si>
  <si>
    <t>SF-02697</t>
  </si>
  <si>
    <t>SF-02698</t>
  </si>
  <si>
    <t>SF-02699</t>
  </si>
  <si>
    <t>SF-02700</t>
  </si>
  <si>
    <t>SF-02701</t>
  </si>
  <si>
    <t>SF-02702</t>
  </si>
  <si>
    <t>SF-02703</t>
  </si>
  <si>
    <t>Projeto executivo de engenharia elétrica - Sistema de geração de energia elétrica – Bloco 01 (Prodasen)</t>
  </si>
  <si>
    <t>Grupo motor-gerador 230 kVA</t>
  </si>
  <si>
    <t>Unidade de Supervisão, Controle e Automação dos Geradores – Bloco 01 (Prodasen)</t>
  </si>
  <si>
    <t>Manutenção on site – Grupo motor-gerador e instalações associadas do ramal X – Bloco 01 (Prodasen)</t>
  </si>
  <si>
    <t>Projeto executivo – Reforma das fachadas Sudoeste dos Blocos “C G” e Noroeste do Bloco “D” - SQS 309</t>
  </si>
  <si>
    <t>Demolição e descarte de esquadrias em aço e vidros - SQS 309 (Blocos C, D e G)</t>
  </si>
  <si>
    <t>Esquadrias em alumínio - SQS 309 (Blocos C, D e G)</t>
  </si>
  <si>
    <t>Gaiola para revestimento de condensadoras - SQS 309 (Blocos C, D e G)</t>
  </si>
  <si>
    <t>Remoção de pavimento em elementos intertravados de concreto</t>
  </si>
  <si>
    <t>Instalação de pavimentação em elementos intertravados de concreto reaproveitados</t>
  </si>
  <si>
    <t>SF-02704</t>
  </si>
  <si>
    <t>SF-02705</t>
  </si>
  <si>
    <t>SF-02706</t>
  </si>
  <si>
    <t>SF-02707</t>
  </si>
  <si>
    <t>SF-02708</t>
  </si>
  <si>
    <t>SF-02709</t>
  </si>
  <si>
    <t>SF-02710</t>
  </si>
  <si>
    <t>SF-02711</t>
  </si>
  <si>
    <t>SF-02712</t>
  </si>
  <si>
    <t>SF-02713</t>
  </si>
  <si>
    <t>SF-02714</t>
  </si>
  <si>
    <t>SF-02715</t>
  </si>
  <si>
    <t>SF-02716</t>
  </si>
  <si>
    <t>SF-02717</t>
  </si>
  <si>
    <t>SF-02718</t>
  </si>
  <si>
    <t>SF-02719</t>
  </si>
  <si>
    <t>SF-02720</t>
  </si>
  <si>
    <t>SF-02721</t>
  </si>
  <si>
    <t>SF-02722</t>
  </si>
  <si>
    <t>SF-02723</t>
  </si>
  <si>
    <t>SF-02724</t>
  </si>
  <si>
    <t>SF-02725</t>
  </si>
  <si>
    <t>SF-02726</t>
  </si>
  <si>
    <t>SF-02727</t>
  </si>
  <si>
    <t>SF-02728</t>
  </si>
  <si>
    <t>SF-02729</t>
  </si>
  <si>
    <t>SF-02730</t>
  </si>
  <si>
    <t>SF-02731</t>
  </si>
  <si>
    <t>SF-02732</t>
  </si>
  <si>
    <t>SF-02733</t>
  </si>
  <si>
    <t>SF-02734</t>
  </si>
  <si>
    <t>SF-02735</t>
  </si>
  <si>
    <t>SF-02736</t>
  </si>
  <si>
    <t>SF-02737</t>
  </si>
  <si>
    <t>SF-02738</t>
  </si>
  <si>
    <t>SF-02739</t>
  </si>
  <si>
    <t>SF-02740</t>
  </si>
  <si>
    <t>SF-02741</t>
  </si>
  <si>
    <t>SF-02742</t>
  </si>
  <si>
    <t>SF-02743</t>
  </si>
  <si>
    <t>SF-02744</t>
  </si>
  <si>
    <t>SF-02745</t>
  </si>
  <si>
    <t>SF-02746</t>
  </si>
  <si>
    <t>SF-02747</t>
  </si>
  <si>
    <t>SF-02748</t>
  </si>
  <si>
    <t>SF-02749</t>
  </si>
  <si>
    <t>SF-02750</t>
  </si>
  <si>
    <t>Poste reto 4m para câmera de CFTV</t>
  </si>
  <si>
    <t>Caixa hermética para CFTV</t>
  </si>
  <si>
    <t>POSTE CONICO CONTINUO EM ACO GALVANIZADO, RETO, H = 4 M</t>
  </si>
  <si>
    <t>ALVENARIA DE VEDAÇÃO DE BLOCOS CERÂMICOS FURADOS NA VERTICAL DE 9X19X39 CM (ESPESSURA 9 CM) E ARGAMASSA DE ASSENTAMENTO COM PREPARO EM BETONEIRA. AF_12/2021</t>
  </si>
  <si>
    <t>*Considerando distância Brasília-Sâo Paulo = 1.030 km</t>
  </si>
  <si>
    <t>Projeto executivo de engenharia elétrica – Closets de rede de dados</t>
  </si>
  <si>
    <t>Barramento de equipotencialização local</t>
  </si>
  <si>
    <t>Nobreak de 3 kVA – fornecimento e instalação</t>
  </si>
  <si>
    <t>Quadro elétrico TTA - 6 disjuntores terminais</t>
  </si>
  <si>
    <t>Quadro elétrico TTA - 11 disjuntores terminais</t>
  </si>
  <si>
    <t>Abraçadeira metálica reforçada para mangote até 4”</t>
  </si>
  <si>
    <t>Acabamento para válvula de descarga de 1 1/2” e 1 1/4”</t>
  </si>
  <si>
    <t>Acabamento para válvula de descarga de 1 1/2 ” e 1 1/4” com duplo acionamento</t>
  </si>
  <si>
    <t>Acabamento para válvula de descarga de 1 1/2 ” e 1 1/4” - Linha Acessibilidade</t>
  </si>
  <si>
    <t>Anel de borracha para vedação na interligação de tubos de esgoto</t>
  </si>
  <si>
    <t>Antiespuma para ralo ou caixa sifonada – DN 150mm</t>
  </si>
  <si>
    <t>Rejunte cimentício flexível</t>
  </si>
  <si>
    <t>Rejunte resinado acrílico</t>
  </si>
  <si>
    <t>Arejador de torneira articulado com adaptador completo</t>
  </si>
  <si>
    <t>Bacia convencional para caixa de descarga acoplada</t>
  </si>
  <si>
    <t>Bacia Convencional - Linha Administrativa</t>
  </si>
  <si>
    <t>Barra de apoio 70 cm - Linha Acessibilidade</t>
  </si>
  <si>
    <t>Barra de apoio 80 cm - Linha Acessibilidade</t>
  </si>
  <si>
    <t>Chave de nível tipo boia eletromecânica</t>
  </si>
  <si>
    <t>Chave de nível tipo boia pera</t>
  </si>
  <si>
    <t>Bolsa de ligação Branca para Vaso Sanitário</t>
  </si>
  <si>
    <t>Bolsa de vedação Preta para Vaso Sanitário</t>
  </si>
  <si>
    <t>Botão de Acionamento para Mictório</t>
  </si>
  <si>
    <t>Botão de Acionamento Superior para Caixa Acoplada</t>
  </si>
  <si>
    <t>Braço de metal para Chuveiro</t>
  </si>
  <si>
    <t>Caixa acoplada universal</t>
  </si>
  <si>
    <t>Caixa de descarga alta/elevada</t>
  </si>
  <si>
    <t>Caixa de gordura grande com cesta</t>
  </si>
  <si>
    <t>Caixa de hidrante de parede com vidro - 70x50 cm</t>
  </si>
  <si>
    <t>Caixa de inspeção e interligação em PVC</t>
  </si>
  <si>
    <t>Caixa sifonada de PVC DN 150 mm</t>
  </si>
  <si>
    <t>Caixa sifonada de PVC DN 250 mm</t>
  </si>
  <si>
    <t>Carrapeta (vedador) de borracha para torneira</t>
  </si>
  <si>
    <t>Vedante de borracha nitrílica para Carrapetas</t>
  </si>
  <si>
    <t>SF-02751</t>
  </si>
  <si>
    <t>Válvula de escoamento para pia de cozinha - 4 1/2” com cesta em inox</t>
  </si>
  <si>
    <t>SF-02752</t>
  </si>
  <si>
    <t>Chuveiro Elétrico</t>
  </si>
  <si>
    <t>SF-02753</t>
  </si>
  <si>
    <t>Chuveiro Elétrico - Linha Residencial</t>
  </si>
  <si>
    <t>SF-02754</t>
  </si>
  <si>
    <t>SF-02755</t>
  </si>
  <si>
    <t>Sede para válvula de descarga de baixa pressão - 1 1/2” e 1 1/4”</t>
  </si>
  <si>
    <t>SF-02756</t>
  </si>
  <si>
    <t>Contra sede para válvula de descarga 1 1/2” e 1 1/4”</t>
  </si>
  <si>
    <t>SF-02757</t>
  </si>
  <si>
    <t>Êmbolo para válvula de descarga 1 1/2” e 1 1/4”</t>
  </si>
  <si>
    <t>SF-02758</t>
  </si>
  <si>
    <t>Corrente plástica para calhas</t>
  </si>
  <si>
    <t>SF-02759</t>
  </si>
  <si>
    <t>SF-02760</t>
  </si>
  <si>
    <t>SF-02761</t>
  </si>
  <si>
    <t>SF-02762</t>
  </si>
  <si>
    <t>SF-02763</t>
  </si>
  <si>
    <t>SF-02764</t>
  </si>
  <si>
    <t>SF-02765</t>
  </si>
  <si>
    <t>Espude de Ligação para Bacia Sanitária</t>
  </si>
  <si>
    <t>SF-02766</t>
  </si>
  <si>
    <t>Gatilho para Ducha Higiênica</t>
  </si>
  <si>
    <t>SF-02767</t>
  </si>
  <si>
    <t>Gongo Hidráulico para Sprinklers Automáticos</t>
  </si>
  <si>
    <t>SF-02768</t>
  </si>
  <si>
    <t>Grelha redonda para ralo - 10 cm</t>
  </si>
  <si>
    <t>SF-02769</t>
  </si>
  <si>
    <t>Grelha redonda para ralo - 15 cm</t>
  </si>
  <si>
    <t>SF-02770</t>
  </si>
  <si>
    <t>SF-02771</t>
  </si>
  <si>
    <t>SF-02772</t>
  </si>
  <si>
    <t>Kit de acionamento para torneiras e válvulas de mictório ativadas por pressão manual</t>
  </si>
  <si>
    <t>SF-02773</t>
  </si>
  <si>
    <t>SF-02774</t>
  </si>
  <si>
    <t>Lavatório suspenso - Linha Acessibilidade</t>
  </si>
  <si>
    <t>SF-02775</t>
  </si>
  <si>
    <t>Mangueira Flexível para Ducha Higiênica 120 cm</t>
  </si>
  <si>
    <t>SF-02776</t>
  </si>
  <si>
    <t>SF-02777</t>
  </si>
  <si>
    <t>SF-02778</t>
  </si>
  <si>
    <t>SF-02779</t>
  </si>
  <si>
    <t>Kit completo para caixa acoplada - Acionamento superior ou lateral</t>
  </si>
  <si>
    <t>SF-02780</t>
  </si>
  <si>
    <t>Mecanismo acionador para caixa acoplada superior ou lateral</t>
  </si>
  <si>
    <t>SF-02781</t>
  </si>
  <si>
    <t>Mecanismo torre de entrada universal para caixa acoplada - Acionamento superior ou lateral</t>
  </si>
  <si>
    <t>SF-02782</t>
  </si>
  <si>
    <t>Mecanismo torre de saída universal para caixa acoplada - Acionamento superior ou lateral</t>
  </si>
  <si>
    <t>SF-02783</t>
  </si>
  <si>
    <t>Mictório - Linha Administrativa</t>
  </si>
  <si>
    <t>SF-02784</t>
  </si>
  <si>
    <t>SF-02785</t>
  </si>
  <si>
    <t>SF-02786</t>
  </si>
  <si>
    <t>SF-02787</t>
  </si>
  <si>
    <t>SF-02788</t>
  </si>
  <si>
    <t>SF-02789</t>
  </si>
  <si>
    <t>SF-02790</t>
  </si>
  <si>
    <t>Kit de fixação de bacias e bidês com parafuso cromado</t>
  </si>
  <si>
    <t>SF-02791</t>
  </si>
  <si>
    <t>Placa de comando para torneiras com funcionamento por sensor</t>
  </si>
  <si>
    <t>SF-02792</t>
  </si>
  <si>
    <t>Rolete em plástico para porta papel higiênico</t>
  </si>
  <si>
    <t>SF-02793</t>
  </si>
  <si>
    <t>Porta papel higiênico (papeleira) de embutir</t>
  </si>
  <si>
    <t>SF-02794</t>
  </si>
  <si>
    <t>SF-02795</t>
  </si>
  <si>
    <t>SF-02796</t>
  </si>
  <si>
    <t>SF-02797</t>
  </si>
  <si>
    <t>Pressostato para pressão de 80 até 120 PSI (aprox. 5 a 8 bar)</t>
  </si>
  <si>
    <t>SF-02798</t>
  </si>
  <si>
    <t>Pressostato para pressão até 60 psi (4 bar)</t>
  </si>
  <si>
    <t>SF-02799</t>
  </si>
  <si>
    <t>Prolongador longo de bronze rosca x rosca - 1/2”</t>
  </si>
  <si>
    <t>SF-02800</t>
  </si>
  <si>
    <t>SF-02801</t>
  </si>
  <si>
    <t>Ralo semi esférico, tipo Abacaxi - 4”</t>
  </si>
  <si>
    <t>SF-02802</t>
  </si>
  <si>
    <t>Base Registro de Gaveta 1 1/2”</t>
  </si>
  <si>
    <t>SF-02803</t>
  </si>
  <si>
    <t>Base registro de gaveta 1 1/4”</t>
  </si>
  <si>
    <t>SF-02804</t>
  </si>
  <si>
    <t>Base registro de gaveta 1”</t>
  </si>
  <si>
    <t>SF-02805</t>
  </si>
  <si>
    <t>Base registro de gaveta 1/2”</t>
  </si>
  <si>
    <t>SF-02806</t>
  </si>
  <si>
    <t>Base registro de gaveta 3/4”</t>
  </si>
  <si>
    <t>SF-02807</t>
  </si>
  <si>
    <t>SF-02808</t>
  </si>
  <si>
    <t>Válvula de esfera em bronze 3/4”</t>
  </si>
  <si>
    <t>SF-02809</t>
  </si>
  <si>
    <t>Válvula de esfera em bronze 1 1/2”</t>
  </si>
  <si>
    <t>SF-02810</t>
  </si>
  <si>
    <t>Válvula de esfera em bronze 2”</t>
  </si>
  <si>
    <t>SF-02811</t>
  </si>
  <si>
    <t>Válvula de esfera metálica 1/2” para gás</t>
  </si>
  <si>
    <t>SF-02812</t>
  </si>
  <si>
    <t>Registro de Gaveta Bruto 1 1/2”</t>
  </si>
  <si>
    <t>SF-02813</t>
  </si>
  <si>
    <t>Registro de Gaveta Bruto 1 1/4”</t>
  </si>
  <si>
    <t>SF-02814</t>
  </si>
  <si>
    <t>Registro de Gaveta Bruto 1”</t>
  </si>
  <si>
    <t>SF-02815</t>
  </si>
  <si>
    <t>Registro de Gaveta Bruto 1/2”</t>
  </si>
  <si>
    <t>SF-02816</t>
  </si>
  <si>
    <t>Registro de Gaveta Bruto 2 1/2”</t>
  </si>
  <si>
    <t>SF-02817</t>
  </si>
  <si>
    <t>Registro de Gaveta Bruto 2”</t>
  </si>
  <si>
    <t>SF-02818</t>
  </si>
  <si>
    <t>Registro de Gaveta Bruto 3”</t>
  </si>
  <si>
    <t>SF-02819</t>
  </si>
  <si>
    <t>Registro de Gaveta Bruto 3/4”</t>
  </si>
  <si>
    <t>SF-02820</t>
  </si>
  <si>
    <t>Registro de Gaveta Bruto 4”</t>
  </si>
  <si>
    <t>SF-02821</t>
  </si>
  <si>
    <t>Base Registro de Pressão 1/2”</t>
  </si>
  <si>
    <t>SF-02822</t>
  </si>
  <si>
    <t>Base Registro de Pressão 3/4”</t>
  </si>
  <si>
    <t>SF-02823</t>
  </si>
  <si>
    <t>Registro de Pressão Bruto 1/2”</t>
  </si>
  <si>
    <t>SF-02824</t>
  </si>
  <si>
    <t>Registro de Pressão Bruto 3/4”</t>
  </si>
  <si>
    <t>SF-02825</t>
  </si>
  <si>
    <t>Registro Esfera PVC VS Roscável 1/2”</t>
  </si>
  <si>
    <t>SF-02826</t>
  </si>
  <si>
    <t>Registro Esfera PVC VS Roscável 1 1/2”</t>
  </si>
  <si>
    <t>SF-02827</t>
  </si>
  <si>
    <t>SF-02828</t>
  </si>
  <si>
    <t>Registro para Hidrante 2 1/2”</t>
  </si>
  <si>
    <t>SF-02829</t>
  </si>
  <si>
    <t>Registro Regulador de Vazão Metálico 1/2”</t>
  </si>
  <si>
    <t>SF-02830</t>
  </si>
  <si>
    <t>Registro Regulador de Vazão Para Chuveiro 1/2”</t>
  </si>
  <si>
    <t>SF-02831</t>
  </si>
  <si>
    <t>Reparo completo para válvula descarga – 1 1/2” e 1 1/4”</t>
  </si>
  <si>
    <t>SF-02832</t>
  </si>
  <si>
    <t>Reparo completo para válvula descarga – 1 1/2 ” e 1 1/4” (duplo acionamento)</t>
  </si>
  <si>
    <t>SF-02833</t>
  </si>
  <si>
    <t>Mecanismo de Vedação Substituível (MVS) - Reparo para TORNEIRA ou MISTURADOR</t>
  </si>
  <si>
    <t>SF-02834</t>
  </si>
  <si>
    <t>Mecanismo de Vedação Substituível (MVS) - Reparo para REGISTRO DE PRESSÃO</t>
  </si>
  <si>
    <t>SF-02835</t>
  </si>
  <si>
    <t>Mecanismo de Vedação Cerâmica (MVC) - Reparo 1/4 de volta para TORNEIRA e MISTURADOR</t>
  </si>
  <si>
    <t>SF-02836</t>
  </si>
  <si>
    <t>Mecanismo de Vedação Cerâmica (MVC) - Reparo 1/4 de volta para REGISTRO DE PRESSÃO</t>
  </si>
  <si>
    <t>SF-02837</t>
  </si>
  <si>
    <t>SF-02838</t>
  </si>
  <si>
    <t>SF-02839</t>
  </si>
  <si>
    <t>Sifão para lavatório 1 1/2”</t>
  </si>
  <si>
    <t>SF-02840</t>
  </si>
  <si>
    <t>Sifão para mictório com adaptador para 2”</t>
  </si>
  <si>
    <t>SF-02841</t>
  </si>
  <si>
    <t>Sifão sanfonado universal - PVC cromado</t>
  </si>
  <si>
    <t>SF-02842</t>
  </si>
  <si>
    <t>Arejador Articulado</t>
  </si>
  <si>
    <t>SF-02843</t>
  </si>
  <si>
    <t>Tampa cega para caixa de gordura - 25 cm de diâmetro</t>
  </si>
  <si>
    <t>SF-02844</t>
  </si>
  <si>
    <t>Tanque hidropneumático com bolsa de separação – 75 Litros</t>
  </si>
  <si>
    <t>SF-02845</t>
  </si>
  <si>
    <t>Tanque de Pressão Vertical - 24 litros</t>
  </si>
  <si>
    <t>SF-02846</t>
  </si>
  <si>
    <t>SF-02847</t>
  </si>
  <si>
    <t>Tecla para válvula de descarga</t>
  </si>
  <si>
    <t>SF-02848</t>
  </si>
  <si>
    <t>Terminal de Ventilação PVC - 100 mm</t>
  </si>
  <si>
    <t>SF-02849</t>
  </si>
  <si>
    <t>Terminal de Ventilação PVC - 50 mm</t>
  </si>
  <si>
    <t>SF-02850</t>
  </si>
  <si>
    <t>Terminal de Ventilação PVC - 75 mm</t>
  </si>
  <si>
    <t>SF-02851</t>
  </si>
  <si>
    <t>Termostato de vareta - regulagem de 30 a 80°C</t>
  </si>
  <si>
    <t>SF-02852</t>
  </si>
  <si>
    <t>Torneira de Bóia Com Balão Plástico 1 1/2”</t>
  </si>
  <si>
    <t>SF-02853</t>
  </si>
  <si>
    <t>Torneira de Bóia Com Balão Plástico 1 1/4”</t>
  </si>
  <si>
    <t>SF-02854</t>
  </si>
  <si>
    <t>Torneira de Bóia Com Balão Plástico 1”</t>
  </si>
  <si>
    <t>SF-02855</t>
  </si>
  <si>
    <t>Torneira de Bóia Com Balão Plástico 2”</t>
  </si>
  <si>
    <t>SF-02856</t>
  </si>
  <si>
    <t>Torneira de Bóia Com Balão Plástico 3/4”</t>
  </si>
  <si>
    <t>SF-02857</t>
  </si>
  <si>
    <t>SF-02858</t>
  </si>
  <si>
    <t>SF-02859</t>
  </si>
  <si>
    <t>SF-02860</t>
  </si>
  <si>
    <t>SF-02861</t>
  </si>
  <si>
    <t>SF-02862</t>
  </si>
  <si>
    <t>SF-02863</t>
  </si>
  <si>
    <t>SF-02864</t>
  </si>
  <si>
    <t>Tubo de cobre classe “E” 28 mm</t>
  </si>
  <si>
    <t>SF-02865</t>
  </si>
  <si>
    <t>SF-02866</t>
  </si>
  <si>
    <t>SF-02867</t>
  </si>
  <si>
    <t>SF-02868</t>
  </si>
  <si>
    <t>SF-02869</t>
  </si>
  <si>
    <t>SF-02870</t>
  </si>
  <si>
    <t>SF-02871</t>
  </si>
  <si>
    <t>Tubo CPVC soldável 22 mm – Linha Residencial</t>
  </si>
  <si>
    <t>SF-02872</t>
  </si>
  <si>
    <t>Tubo CPVC soldável 28 mm  – Linha Residencial</t>
  </si>
  <si>
    <t>SF-02873</t>
  </si>
  <si>
    <t>Tubo de aço-carbono galvanizado 1 1/4” – Água Potável e Combate a Incêndio</t>
  </si>
  <si>
    <t>SF-02874</t>
  </si>
  <si>
    <t>Tubo de aço-carbono galvanizado 1/2” – Água Potável e Combate a Incêndio</t>
  </si>
  <si>
    <t>SF-02875</t>
  </si>
  <si>
    <t>Tubo de aço-carbono galvanizado 3/4” – Água Potável e Combate a Incêndio</t>
  </si>
  <si>
    <t>SF-02876</t>
  </si>
  <si>
    <t>Tubo de aço-carbono galvanizado 1” – Água Potável e Combate a Incêndio</t>
  </si>
  <si>
    <t>SF-02877</t>
  </si>
  <si>
    <t>Tubo de aço-carbono galvanizado 2” – Água Potável e Combate a Incêndio</t>
  </si>
  <si>
    <t>SF-02878</t>
  </si>
  <si>
    <t>Tubo de aço-carbono galvanizado 2 1/2” – Água Potável e Combate a Incêndio</t>
  </si>
  <si>
    <t>SF-02879</t>
  </si>
  <si>
    <t>Tubo de aço-carbono galvanizado 3” – Água Potável e Combate a Incêndio</t>
  </si>
  <si>
    <t>SF-02880</t>
  </si>
  <si>
    <t>Niple de aço-carbono galvanizado 2”</t>
  </si>
  <si>
    <t>SF-02881</t>
  </si>
  <si>
    <t>Niple de aço-carbono galvanizado 2 1/2”</t>
  </si>
  <si>
    <t>SF-02882</t>
  </si>
  <si>
    <t>Niple de aço-carbono galvanizado 3”</t>
  </si>
  <si>
    <t>SF-02883</t>
  </si>
  <si>
    <t>Tubo de Ligação para Bacia Sanitária</t>
  </si>
  <si>
    <t>SF-02884</t>
  </si>
  <si>
    <t>Tubo de Ligação para Válvula de Descarga</t>
  </si>
  <si>
    <t>SF-02885</t>
  </si>
  <si>
    <t>Tubo PVC esgoto DN 300 mm - Ocre</t>
  </si>
  <si>
    <t>SF-02886</t>
  </si>
  <si>
    <t>SF-02887</t>
  </si>
  <si>
    <t>SF-02888</t>
  </si>
  <si>
    <t>Tubo PVC esgoto ou águas pluviais predial DN 40 mm</t>
  </si>
  <si>
    <t>SF-02889</t>
  </si>
  <si>
    <t>SF-02890</t>
  </si>
  <si>
    <t>SF-02891</t>
  </si>
  <si>
    <t>Tubo PVC roscável para água fria 1 1/2”</t>
  </si>
  <si>
    <t>SF-02892</t>
  </si>
  <si>
    <t>Tubo PVC roscável para água fria 1”</t>
  </si>
  <si>
    <t>SF-02893</t>
  </si>
  <si>
    <t>Tubo PVC roscável para água fria 2 1/2”</t>
  </si>
  <si>
    <t>SF-02894</t>
  </si>
  <si>
    <t>Tubo PVC roscável para água fria 2”</t>
  </si>
  <si>
    <t>SF-02895</t>
  </si>
  <si>
    <t>Tubo PVC roscável para água fria 3”</t>
  </si>
  <si>
    <t>SF-02896</t>
  </si>
  <si>
    <t>Tubo PVC roscável para água fria 3/4”</t>
  </si>
  <si>
    <t>SF-02897</t>
  </si>
  <si>
    <t>Tubo PVC roscável para água fria 4”</t>
  </si>
  <si>
    <t>SF-02898</t>
  </si>
  <si>
    <t>Tubo PVC roscável para água fria 6”</t>
  </si>
  <si>
    <t>SF-02899</t>
  </si>
  <si>
    <t>SF-02900</t>
  </si>
  <si>
    <t>SF-02901</t>
  </si>
  <si>
    <t>SF-02902</t>
  </si>
  <si>
    <t>SF-02903</t>
  </si>
  <si>
    <t>SF-02904</t>
  </si>
  <si>
    <t>SF-02905</t>
  </si>
  <si>
    <t>Tubo PVC soldável água fria DN 75 mm</t>
  </si>
  <si>
    <t>SF-02906</t>
  </si>
  <si>
    <t>Tubo PVC soldável água fria DN 85 mm</t>
  </si>
  <si>
    <t>SF-02907</t>
  </si>
  <si>
    <t>Tubo PVC soldável água fria DN 110 mm</t>
  </si>
  <si>
    <t>SF-02908</t>
  </si>
  <si>
    <t>Diafragma de borracha cilíndrico para válvula de descarga – Sistema a Vácuo</t>
  </si>
  <si>
    <t>SF-02909</t>
  </si>
  <si>
    <t>Válvula de descarga DN25 – Sistema a Vácuo</t>
  </si>
  <si>
    <t>SF-02910</t>
  </si>
  <si>
    <t>Módulo ativador (mecanismo de controle) – Sistema a vácuo</t>
  </si>
  <si>
    <t>SF-02911</t>
  </si>
  <si>
    <t>Filtro de ar - Sistema a vácuo</t>
  </si>
  <si>
    <t>SF-02912</t>
  </si>
  <si>
    <t>Ensaio de estanqueidade em rede de gás GLP</t>
  </si>
  <si>
    <t>SF-02913</t>
  </si>
  <si>
    <t>SF-02914</t>
  </si>
  <si>
    <t>Sensor de Nível – Sistema a vácuo</t>
  </si>
  <si>
    <t>SF-02915</t>
  </si>
  <si>
    <t>Válvula de água – Sistema a vácuo</t>
  </si>
  <si>
    <t>SF-02916</t>
  </si>
  <si>
    <t>SF-02917</t>
  </si>
  <si>
    <t>SF-02918</t>
  </si>
  <si>
    <t>Válvula de escoamento para lavatório e bidê</t>
  </si>
  <si>
    <t>SF-02919</t>
  </si>
  <si>
    <t>Válvula de escoamento para pia de cozinha 3 1/2”</t>
  </si>
  <si>
    <t>SF-02920</t>
  </si>
  <si>
    <t>SF-02921</t>
  </si>
  <si>
    <t>Válvula de Sucção tipo Pé com Crivos 1”</t>
  </si>
  <si>
    <t>SF-02922</t>
  </si>
  <si>
    <t>Válvula de Sucção tipo Pé com Crivos 2”</t>
  </si>
  <si>
    <t>SF-02923</t>
  </si>
  <si>
    <t>Válvula de Sucção de Pé tipo cebola flangeada 6”</t>
  </si>
  <si>
    <t>SF-02924</t>
  </si>
  <si>
    <t>Válvula de retenção horizontal – PN-25 3/4”</t>
  </si>
  <si>
    <t>SF-02925</t>
  </si>
  <si>
    <t>Válvula de retenção horizontal – PN-25 2”</t>
  </si>
  <si>
    <t>SF-02926</t>
  </si>
  <si>
    <t>Válvula de retenção vertical - 3”</t>
  </si>
  <si>
    <t>SF-02927</t>
  </si>
  <si>
    <t>Válvula de retenção vertical - 4”</t>
  </si>
  <si>
    <t>SF-02928</t>
  </si>
  <si>
    <t>Válvula de retenção vertical - 2”</t>
  </si>
  <si>
    <t>SF-02929</t>
  </si>
  <si>
    <t>Válvula de retenção vertical - 2 1/2”</t>
  </si>
  <si>
    <t>SF-02930</t>
  </si>
  <si>
    <t>Válvula de redutora de pressão vertical/horizontal (governo) - 4”</t>
  </si>
  <si>
    <t>SF-02931</t>
  </si>
  <si>
    <t>SF-02932</t>
  </si>
  <si>
    <t>SF-02933</t>
  </si>
  <si>
    <t>SF-02934</t>
  </si>
  <si>
    <t>SF-02935</t>
  </si>
  <si>
    <t>SF-02936</t>
  </si>
  <si>
    <t>Adaptador em 90° para filtro cromado 1/2 x 1/4 - Bico fino</t>
  </si>
  <si>
    <t>SF-02937</t>
  </si>
  <si>
    <t>Adaptador em 90° para filtro cromado 1/2 x 3/4</t>
  </si>
  <si>
    <t>SF-02938</t>
  </si>
  <si>
    <t>SF-02939</t>
  </si>
  <si>
    <t>Adaptador JR com anel 100mm - Tubo de Ferro Fundido para PVC</t>
  </si>
  <si>
    <t>SF-02940</t>
  </si>
  <si>
    <t>Adaptador PVC água fria- 60 mm x 2”</t>
  </si>
  <si>
    <t>SF-02941</t>
  </si>
  <si>
    <t>SF-02942</t>
  </si>
  <si>
    <t>SF-02943</t>
  </si>
  <si>
    <t>SF-02944</t>
  </si>
  <si>
    <t>Válvula Alívio/Segurança 4 Bar- 1/2” para Aquecedor (Boiler)</t>
  </si>
  <si>
    <t>SF-02945</t>
  </si>
  <si>
    <t>SF-02946</t>
  </si>
  <si>
    <t>SF-02947</t>
  </si>
  <si>
    <t>SF-02948</t>
  </si>
  <si>
    <t>SF-02949</t>
  </si>
  <si>
    <t>SF-02950</t>
  </si>
  <si>
    <t>SF-02951</t>
  </si>
  <si>
    <t>SF-02952</t>
  </si>
  <si>
    <t>SF-02953</t>
  </si>
  <si>
    <t>SF-02954</t>
  </si>
  <si>
    <t>SF-02955</t>
  </si>
  <si>
    <t>SF-02956</t>
  </si>
  <si>
    <t>SF-02957</t>
  </si>
  <si>
    <t>SF-02958</t>
  </si>
  <si>
    <t>SF-02959</t>
  </si>
  <si>
    <t>SF-02960</t>
  </si>
  <si>
    <t>SF-02961</t>
  </si>
  <si>
    <t>SF-02962</t>
  </si>
  <si>
    <t>SF-02963</t>
  </si>
  <si>
    <t>SF-02964</t>
  </si>
  <si>
    <t>Bomba Centrífuga Mancalizada - 01 estágio - Ø recalque=3” (motor não incluído)</t>
  </si>
  <si>
    <t>SF-02965</t>
  </si>
  <si>
    <t>Bomba Centrífuga Mancalizada - 03 estágios - Ø recalque=3” (motor não incluído)</t>
  </si>
  <si>
    <t>SF-02966</t>
  </si>
  <si>
    <t>Motor Elétrico 12,5cv - 02 ou 04 polos - trifásico - para acoplamento em bomba centrífuga</t>
  </si>
  <si>
    <t>SF-02967</t>
  </si>
  <si>
    <t>Motor Elétrico 20cv - 02 ou 04 polos - trifásico - para acoplamento em bomba centrífuga</t>
  </si>
  <si>
    <t>SF-02968</t>
  </si>
  <si>
    <t>Motor Elétrico 25cv - 02 ou 04 polos – trifásico - para acoplamento em bomba centrífuga</t>
  </si>
  <si>
    <t>SF-02969</t>
  </si>
  <si>
    <t>Desentupidora Elétrica 1/2 cv</t>
  </si>
  <si>
    <t>SF-02970</t>
  </si>
  <si>
    <t>SF-02971</t>
  </si>
  <si>
    <t>Bucha T em metal cromado, entrada e saída de 1/2”, regulagem para mangueira fina (1/4” ou 6,5mm)</t>
  </si>
  <si>
    <t>SF-02972</t>
  </si>
  <si>
    <t>Tê 90° rosca fêmea em latão cromado 1/2”</t>
  </si>
  <si>
    <t>SF-02973</t>
  </si>
  <si>
    <t>Plug Galvanizado 4”</t>
  </si>
  <si>
    <t>SF-02974</t>
  </si>
  <si>
    <t>Caixa d’água 1000 Litros</t>
  </si>
  <si>
    <t>SF-02975</t>
  </si>
  <si>
    <t>SF-02976</t>
  </si>
  <si>
    <t>Sprinkler Pendente 1/2” Cromado 68°C, Fator K80 (5,6)</t>
  </si>
  <si>
    <t>SF-02977</t>
  </si>
  <si>
    <t>Cap PVC Soldável 60 mm</t>
  </si>
  <si>
    <t>SF-02978</t>
  </si>
  <si>
    <t>Capa prensável para mangueira 3/4”</t>
  </si>
  <si>
    <t>SF-02979</t>
  </si>
  <si>
    <t>Tê 90° em cobre 22 mm</t>
  </si>
  <si>
    <t>SF-02980</t>
  </si>
  <si>
    <t>SF-02981</t>
  </si>
  <si>
    <t>SF-02982</t>
  </si>
  <si>
    <t>Conector em cobre ou bronze 28 mm x 1” macho</t>
  </si>
  <si>
    <t>SF-02983</t>
  </si>
  <si>
    <t>SF-02984</t>
  </si>
  <si>
    <t>SF-02985</t>
  </si>
  <si>
    <t>Curva Ferro Galvanizado 90° Fêmea 2”</t>
  </si>
  <si>
    <t>SF-02986</t>
  </si>
  <si>
    <t>Curva 45° Longa PVC esgoto ou águas pluviais predial DN 100 mm</t>
  </si>
  <si>
    <t>SF-02987</t>
  </si>
  <si>
    <t>Curva 90° de aço-carbono galvanizado 3”</t>
  </si>
  <si>
    <t>SF-02988</t>
  </si>
  <si>
    <t>Curva 90° PVC esgoto DN 100 mm Série R</t>
  </si>
  <si>
    <t>SF-02989</t>
  </si>
  <si>
    <t>SF-02990</t>
  </si>
  <si>
    <t>SF-02991</t>
  </si>
  <si>
    <t>SF-02992</t>
  </si>
  <si>
    <t>Flange roscável de aço-carbono galvanizado 6”</t>
  </si>
  <si>
    <t>SF-02993</t>
  </si>
  <si>
    <t>Joelho 45° em aço-carbono galvanizado 1 1/2” – Água Potável e Combate a Incêndio</t>
  </si>
  <si>
    <t>SF-02994</t>
  </si>
  <si>
    <t>Joelho 45° em aço-carbono galvanizado 2” – Água Potável e Combate a Incêndio</t>
  </si>
  <si>
    <t>SF-02995</t>
  </si>
  <si>
    <t>Joelho 45° em aço-carbono galvanizado 3” – Água Potável e Combate a Incêndio</t>
  </si>
  <si>
    <t>SF-02996</t>
  </si>
  <si>
    <t>SF-02997</t>
  </si>
  <si>
    <t>SF-02998</t>
  </si>
  <si>
    <t>SF-02999</t>
  </si>
  <si>
    <t>Joelho 45° PVC esgoto ou águas pluviais predial DN 50 mm</t>
  </si>
  <si>
    <t>SF-03000</t>
  </si>
  <si>
    <t>Joelho 90° em aço-carbono galvanizado 1 1/2” – Água Potável e Combate a Incêndio</t>
  </si>
  <si>
    <t>SF-03001</t>
  </si>
  <si>
    <t>Joelho 90° em aço-carbono galvanizado 1/2” – Água Potável e Combate a Incêndio</t>
  </si>
  <si>
    <t>SF-03002</t>
  </si>
  <si>
    <t>Joelho 90° em aço-carbono galvanizado 2” – Água Potável e Combate a Incêndio</t>
  </si>
  <si>
    <t>SF-03003</t>
  </si>
  <si>
    <t>Joelho 90° em aço-carbono galvanizado 2 1/2” - Água Potável e Combate a Incêndio</t>
  </si>
  <si>
    <t>SF-03004</t>
  </si>
  <si>
    <t>SF-03005</t>
  </si>
  <si>
    <t>SF-03006</t>
  </si>
  <si>
    <t>SF-03007</t>
  </si>
  <si>
    <t>SF-03008</t>
  </si>
  <si>
    <t>SF-03009</t>
  </si>
  <si>
    <t>SF-03010</t>
  </si>
  <si>
    <t>SF-03011</t>
  </si>
  <si>
    <t>SF-03012</t>
  </si>
  <si>
    <t>Junta Papelão Hidráulico 6” x 1/16”</t>
  </si>
  <si>
    <t>SF-03013</t>
  </si>
  <si>
    <t>SF-03014</t>
  </si>
  <si>
    <t>SF-03015</t>
  </si>
  <si>
    <t>SF-03016</t>
  </si>
  <si>
    <t>SF-03017</t>
  </si>
  <si>
    <t>SF-03018</t>
  </si>
  <si>
    <t>SF-03019</t>
  </si>
  <si>
    <t>Luva em aço-carbono galvanizado 2 1/2” - Água Potável e Combate a Incêndio</t>
  </si>
  <si>
    <t>SF-03020</t>
  </si>
  <si>
    <t>Luva em aço-carbono galvanizado 2” - Água Potável e Combate a Incêndio</t>
  </si>
  <si>
    <t>SF-03021</t>
  </si>
  <si>
    <t>Luva em aço-carbono galvanizado 3” - Água Potável e Combate a Incêndio</t>
  </si>
  <si>
    <t>SF-03022</t>
  </si>
  <si>
    <t>Tê 45° (Junção) em aço-carbono galvanizado 2 1/2” – Água Potável e Combate a Incêndio</t>
  </si>
  <si>
    <t>SF-03023</t>
  </si>
  <si>
    <t>Tê 45° (Junção) em aço-carbono galvanizado 2” – Água Potável e Combate a Incêndio</t>
  </si>
  <si>
    <t>SF-03024</t>
  </si>
  <si>
    <t>Tê 45° (Junção) em aço-carbono galvanizado 3” – Água Potável e Combate a Incêndio</t>
  </si>
  <si>
    <t>SF-03025</t>
  </si>
  <si>
    <t>SF-03026</t>
  </si>
  <si>
    <t>SF-03027</t>
  </si>
  <si>
    <t>SF-03028</t>
  </si>
  <si>
    <t>União com assento cônico aço-carbono galvanizado 1 1/2” – Água Potável e Combate a Incêndio</t>
  </si>
  <si>
    <t>SF-03029</t>
  </si>
  <si>
    <t>União com assento cônico aço-carbono galvanizado 1 1/4” – Água Potável e Combate a Incêndio</t>
  </si>
  <si>
    <t>SF-03030</t>
  </si>
  <si>
    <t>União com assento cônico aço-carbono galvanizado 2” – Água Potável e Combate a Incêndio</t>
  </si>
  <si>
    <t>SF-03031</t>
  </si>
  <si>
    <t>União com assento cônico aço-carbono galvanizado 3” – Água Potável e Combate a Incêndio</t>
  </si>
  <si>
    <t>SF-03032</t>
  </si>
  <si>
    <t>União com assento cônico aço-carbono galvanizado 4” – Água Potável e Combate a Incêndio</t>
  </si>
  <si>
    <t>SF-03033</t>
  </si>
  <si>
    <t>União com assento cônico aço-carbono galvanizado 1” – Água Potável e Combate a Incêndio</t>
  </si>
  <si>
    <t>SF-03034</t>
  </si>
  <si>
    <t>União com assento cônico aço-carbono galvanizado 2 1/2” – Água Potável e Combate a Incêndio</t>
  </si>
  <si>
    <t>SF-03035</t>
  </si>
  <si>
    <t>Tê 90° em aço-carbono galvanizado 1 1/2” – Água Potável e Combate a Incêndio</t>
  </si>
  <si>
    <t>SF-03036</t>
  </si>
  <si>
    <t>Tê 90° em aço-carbono galvanizado 1/2” – Água Potável e Combate a Incêndio</t>
  </si>
  <si>
    <t>SF-03037</t>
  </si>
  <si>
    <t>Tê 90° em aço-carbono galvanizado 2 1/2” – Água Potável e Combate a Incêndio</t>
  </si>
  <si>
    <t>SF-03038</t>
  </si>
  <si>
    <t>Tê 90° em aço-carbono galvanizado 2” – Água Potável e Combate a Incêndio</t>
  </si>
  <si>
    <t>SF-03039</t>
  </si>
  <si>
    <t>SF-03040</t>
  </si>
  <si>
    <t>SF-03041</t>
  </si>
  <si>
    <t>SF-03042</t>
  </si>
  <si>
    <t>SF-03043</t>
  </si>
  <si>
    <t>SF-03044</t>
  </si>
  <si>
    <t>Luva PVC roscável para água fria 1 1/2”</t>
  </si>
  <si>
    <t>SF-03045</t>
  </si>
  <si>
    <t>Luva PVC roscável para água fria 2”</t>
  </si>
  <si>
    <t>SF-03046</t>
  </si>
  <si>
    <t>SF-03047</t>
  </si>
  <si>
    <t>SF-03048</t>
  </si>
  <si>
    <t>SF-03049</t>
  </si>
  <si>
    <t>Mangueira de sucção (mangote) em PVC - diâmetro interno de 3”</t>
  </si>
  <si>
    <t>SF-03050</t>
  </si>
  <si>
    <t>Mangueira de sucção (mangote) em PVC - diâmetro interno de 4”</t>
  </si>
  <si>
    <t>SF-03051</t>
  </si>
  <si>
    <t>Mangueira em PVC flexível transparente - DN 5/16”</t>
  </si>
  <si>
    <t>SF-03052</t>
  </si>
  <si>
    <t>SF-03053</t>
  </si>
  <si>
    <t>Aspersor de Irrigação 3/4” - giratório tipo canhão</t>
  </si>
  <si>
    <t>SF-03054</t>
  </si>
  <si>
    <t>Aeronave remotamente pilotada - drone - peso inferior a 250g</t>
  </si>
  <si>
    <t>SF-03055</t>
  </si>
  <si>
    <t>Medidor de umidade em superfícies por meio de imagem termográfica infravermelha para detecção de infiltrações</t>
  </si>
  <si>
    <t>SF-03056</t>
  </si>
  <si>
    <t>Compressor de ar – 140 psi</t>
  </si>
  <si>
    <t>SF-03057</t>
  </si>
  <si>
    <t>Alicate bomba d’água 10” - mordentes RETOS e dentados</t>
  </si>
  <si>
    <t>SF-03058</t>
  </si>
  <si>
    <t>Alicate bomba d’água 10” - mordentes CURVOS e dentados</t>
  </si>
  <si>
    <t>SF-03059</t>
  </si>
  <si>
    <t>Chave de grifo 8”</t>
  </si>
  <si>
    <t>SF-03060</t>
  </si>
  <si>
    <t>Chave de grifo 10”</t>
  </si>
  <si>
    <t>SF-03061</t>
  </si>
  <si>
    <t>Chave de grifo 12”</t>
  </si>
  <si>
    <t>SF-03062</t>
  </si>
  <si>
    <t>Chave de grifo 14”</t>
  </si>
  <si>
    <t>SF-03063</t>
  </si>
  <si>
    <t>Chave de grifo 18”</t>
  </si>
  <si>
    <t>SF-03064</t>
  </si>
  <si>
    <t>Chave de grifo 24”</t>
  </si>
  <si>
    <t>SF-03065</t>
  </si>
  <si>
    <t>Chave de grifo 36”</t>
  </si>
  <si>
    <t>SF-03066</t>
  </si>
  <si>
    <t>Chave de grifo 48”</t>
  </si>
  <si>
    <t>SF-03067</t>
  </si>
  <si>
    <t>SF-03068</t>
  </si>
  <si>
    <t>Jogo de chave cachimbo de nº 6 a 32 mm</t>
  </si>
  <si>
    <t>SF-03069</t>
  </si>
  <si>
    <t>SF-03070</t>
  </si>
  <si>
    <t>SF-03071</t>
  </si>
  <si>
    <t>Torno de bancada fixo nº 4</t>
  </si>
  <si>
    <t>SF-03072</t>
  </si>
  <si>
    <t>Bomba manual para graxa 500g</t>
  </si>
  <si>
    <t>SF-03073</t>
  </si>
  <si>
    <t>Bomba manual para graxa 5 a 7kg</t>
  </si>
  <si>
    <t>SF-03074</t>
  </si>
  <si>
    <t>Bomba manual para Teste Hidrostático - Vazão 80 L/h - com Manômetro</t>
  </si>
  <si>
    <t>SF-03075</t>
  </si>
  <si>
    <t>SF-03076</t>
  </si>
  <si>
    <t>Descensor evacuador automático</t>
  </si>
  <si>
    <t>SF-03077</t>
  </si>
  <si>
    <t>Locação de caminhão tanque à vácuo (≥ 10.000 litros) para limpeza de Caixa Coletora de Esgoto</t>
  </si>
  <si>
    <t>SF-03078</t>
  </si>
  <si>
    <t>Locação de caminhão tanque à vácuo (≥ 10.000 litros) para limpeza de Caixa de Gordura</t>
  </si>
  <si>
    <t>SF-03079</t>
  </si>
  <si>
    <t>Locação de Banheiro Químico Standard</t>
  </si>
  <si>
    <t>SF-03080</t>
  </si>
  <si>
    <t>Serviço de vídeo inspeção robotizada para ramais hidrossanitários (&lt;1000m/dia)</t>
  </si>
  <si>
    <t>SF-03081</t>
  </si>
  <si>
    <t>Serviço de desentupimento/desobstrução de tubulação</t>
  </si>
  <si>
    <t>SF-03082</t>
  </si>
  <si>
    <t>Ensaio de Potabilidade</t>
  </si>
  <si>
    <t>SF-03083</t>
  </si>
  <si>
    <t>Ensaio de Caracterização de Efluente</t>
  </si>
  <si>
    <t>SF-03084</t>
  </si>
  <si>
    <t>Supervisor(a) Técnico(a) - Sistema Hidrossanitário</t>
  </si>
  <si>
    <t>SF-03085</t>
  </si>
  <si>
    <t>Supervisor(a) Técnico(a) - Segurança do Trabalho</t>
  </si>
  <si>
    <t>SF-03086</t>
  </si>
  <si>
    <t>Encarregado(a) de Manutenção Hidrossanitária</t>
  </si>
  <si>
    <t>SF-03087</t>
  </si>
  <si>
    <t>Bombeiro(a) Hidráulico(a) Planejador(a) de Manutenção</t>
  </si>
  <si>
    <t>SF-03088</t>
  </si>
  <si>
    <t>Instalador(a) Hidráulico(a)</t>
  </si>
  <si>
    <t>SF-03089</t>
  </si>
  <si>
    <t>Bombeiro(a) Hidráulico(a) Plantonista (diurno)</t>
  </si>
  <si>
    <t>SF-03090</t>
  </si>
  <si>
    <t>Bombeiro(a) Hidráulico(a) Plantonista (noturno)</t>
  </si>
  <si>
    <t>SF-03091</t>
  </si>
  <si>
    <t>Ajudante de Manutenção Hidrossanitária</t>
  </si>
  <si>
    <t>SF-03092</t>
  </si>
  <si>
    <t>Ajudante de Bombeiro(a) Hidráulico(a) Plantonista (diurno)</t>
  </si>
  <si>
    <t>SF-03093</t>
  </si>
  <si>
    <t>Ajudante de Bombeiro(a) Hidráulico(a) Plantonista (noturno)</t>
  </si>
  <si>
    <t>SF-03094</t>
  </si>
  <si>
    <t>Fotômetro para cloro livre e total</t>
  </si>
  <si>
    <t>SF-03095</t>
  </si>
  <si>
    <t>SF-03096</t>
  </si>
  <si>
    <t>Manômetro DN100 (4”) até 150psi - para aferição (NBR 14105-1 classe A1)</t>
  </si>
  <si>
    <t>SF-03097</t>
  </si>
  <si>
    <t>Medidor de Vibração portátil</t>
  </si>
  <si>
    <t>SF-03098</t>
  </si>
  <si>
    <t>Jogo de tarraxas para PVC de 1/2” a 1”</t>
  </si>
  <si>
    <t>SF-03099</t>
  </si>
  <si>
    <t>Tarraxa para PVC de 1 1/2”</t>
  </si>
  <si>
    <t>SF-03100</t>
  </si>
  <si>
    <t>Tarraxa para PVC de 1 1/4”</t>
  </si>
  <si>
    <t>SF-03101</t>
  </si>
  <si>
    <t>Tarraxa para PVC de 2”</t>
  </si>
  <si>
    <t>SF-03102</t>
  </si>
  <si>
    <t>Tarraxa para PVC de 2 1/2”</t>
  </si>
  <si>
    <t>SF-03103</t>
  </si>
  <si>
    <t>Tarraxa para PVC de 3”</t>
  </si>
  <si>
    <t>SF-03104</t>
  </si>
  <si>
    <t>Tarraxa para PVC de 4”</t>
  </si>
  <si>
    <t>SF-03105</t>
  </si>
  <si>
    <t>Jogo de Cossinete BSPT 12 a 34</t>
  </si>
  <si>
    <t>SF-03106</t>
  </si>
  <si>
    <t>Jogo de Cossinete NPT 212 A 4</t>
  </si>
  <si>
    <t>SF-03107</t>
  </si>
  <si>
    <t>Jogo de Cossinete BSPT 1” a 2”</t>
  </si>
  <si>
    <t>SF-03108</t>
  </si>
  <si>
    <t>SF-03109</t>
  </si>
  <si>
    <t>SF-03110</t>
  </si>
  <si>
    <t>SF-03111</t>
  </si>
  <si>
    <t>SF-03112</t>
  </si>
  <si>
    <t>Tubo de aço-carbono galvanizado 1 1/2” – Água Potável e Combate a Incêndio</t>
  </si>
  <si>
    <t>SF-03113</t>
  </si>
  <si>
    <t>Tubo de ligação para mictório</t>
  </si>
  <si>
    <t>SF-03114</t>
  </si>
  <si>
    <t>Reagente líquido para fotômetro</t>
  </si>
  <si>
    <t>SF-03115</t>
  </si>
  <si>
    <t>SF-03116</t>
  </si>
  <si>
    <t>SF-03117</t>
  </si>
  <si>
    <t>SF-03118</t>
  </si>
  <si>
    <t>SF-03119</t>
  </si>
  <si>
    <t>SF-03120</t>
  </si>
  <si>
    <t>SF-03121</t>
  </si>
  <si>
    <t>SF-03122</t>
  </si>
  <si>
    <t>SF-03123</t>
  </si>
  <si>
    <t>SF-03124</t>
  </si>
  <si>
    <t>SF-03125</t>
  </si>
  <si>
    <t>SF-03126</t>
  </si>
  <si>
    <t>SF-03127</t>
  </si>
  <si>
    <t>SF-03128</t>
  </si>
  <si>
    <t>SF-03129</t>
  </si>
  <si>
    <t>SF-03130</t>
  </si>
  <si>
    <t>SF-03131</t>
  </si>
  <si>
    <t>SF-03132</t>
  </si>
  <si>
    <t>SF-03133</t>
  </si>
  <si>
    <t>SF-03134</t>
  </si>
  <si>
    <t>SF-03135</t>
  </si>
  <si>
    <t>SF-03136</t>
  </si>
  <si>
    <t>SF-03137</t>
  </si>
  <si>
    <t>SF-03138</t>
  </si>
  <si>
    <t>SF-03139</t>
  </si>
  <si>
    <t>SF-03140</t>
  </si>
  <si>
    <t>SF-03141</t>
  </si>
  <si>
    <t>SF-03142</t>
  </si>
  <si>
    <t>SF-03143</t>
  </si>
  <si>
    <t>SF-03144</t>
  </si>
  <si>
    <t>SF-03145</t>
  </si>
  <si>
    <t>SF-03146</t>
  </si>
  <si>
    <t>SF-03147</t>
  </si>
  <si>
    <t>SF-03148</t>
  </si>
  <si>
    <t>SF-03149</t>
  </si>
  <si>
    <t>SF-03150</t>
  </si>
  <si>
    <t>SF-03151</t>
  </si>
  <si>
    <t>SF-03152</t>
  </si>
  <si>
    <t>SF-03153</t>
  </si>
  <si>
    <t>SF-03154</t>
  </si>
  <si>
    <t>SF-03155</t>
  </si>
  <si>
    <t>SF-03156</t>
  </si>
  <si>
    <t>SF-03157</t>
  </si>
  <si>
    <t>SF-03158</t>
  </si>
  <si>
    <t>SF-03159</t>
  </si>
  <si>
    <t>SF-03160</t>
  </si>
  <si>
    <t>SF-03161</t>
  </si>
  <si>
    <t>SF-03162</t>
  </si>
  <si>
    <t>SF-03163</t>
  </si>
  <si>
    <t>SF-03164</t>
  </si>
  <si>
    <t>SF-03165</t>
  </si>
  <si>
    <t>SF-03166</t>
  </si>
  <si>
    <t>SF-03167</t>
  </si>
  <si>
    <t>SF-03168</t>
  </si>
  <si>
    <t>SF-03169</t>
  </si>
  <si>
    <t>SF-03170</t>
  </si>
  <si>
    <t>SF-03171</t>
  </si>
  <si>
    <t>SF-03172</t>
  </si>
  <si>
    <t>SF-03173</t>
  </si>
  <si>
    <t>SF-03174</t>
  </si>
  <si>
    <t>SF-03175</t>
  </si>
  <si>
    <t>SF-03176</t>
  </si>
  <si>
    <t>SF-03177</t>
  </si>
  <si>
    <t>SF-03178</t>
  </si>
  <si>
    <t>SF-03179</t>
  </si>
  <si>
    <t>SF-03180</t>
  </si>
  <si>
    <t>SF-03181</t>
  </si>
  <si>
    <t>SF-03182</t>
  </si>
  <si>
    <t>SF-03183</t>
  </si>
  <si>
    <t>SF-03184</t>
  </si>
  <si>
    <t>SF-03185</t>
  </si>
  <si>
    <t>SF-03186</t>
  </si>
  <si>
    <t>SF-03187</t>
  </si>
  <si>
    <t>SF-03188</t>
  </si>
  <si>
    <t>SF-03189</t>
  </si>
  <si>
    <t>SF-03190</t>
  </si>
  <si>
    <t>SF-03191</t>
  </si>
  <si>
    <t>SF-03192</t>
  </si>
  <si>
    <t>SF-03193</t>
  </si>
  <si>
    <t>SF-03194</t>
  </si>
  <si>
    <t>SF-03195</t>
  </si>
  <si>
    <t>SF-03196</t>
  </si>
  <si>
    <t>SF-03197</t>
  </si>
  <si>
    <t>SF-03198</t>
  </si>
  <si>
    <t>SF-03199</t>
  </si>
  <si>
    <t>SF-03200</t>
  </si>
  <si>
    <t>CURVA PVC LONGA 45 GRAUS, 100 MM, PARA ESGOTO PREDIAL</t>
  </si>
  <si>
    <t>TUBO PVC, ROSCAVEL, 3", AGUA FRIA PREDIAL</t>
  </si>
  <si>
    <t>LANÇAMENTO COM USO DE BALDES, ADENSAMENTO E ACABAMENTO DE CONCRETO EM ESTRUTURAS. AF_02/2022</t>
  </si>
  <si>
    <t>TUBO PVC, ROSCAVEL, 4", AGUA FRIA PREDIAL</t>
  </si>
  <si>
    <t>LUVA PVC, ROSCAVEL, 2", AGUA FRIA PREDIAL</t>
  </si>
  <si>
    <t>Bota de segurança com biqueira</t>
  </si>
  <si>
    <t>Bota solado de borracha</t>
  </si>
  <si>
    <t>Avental de raspa de couro para soldador - tipo barbeiro</t>
  </si>
  <si>
    <t>Capacete de segurança - Aba Total</t>
  </si>
  <si>
    <t>Colete Refletivo</t>
  </si>
  <si>
    <t>Crachá com foto</t>
  </si>
  <si>
    <t>Creme protetor para as mãos</t>
  </si>
  <si>
    <t>Fita Zebrada</t>
  </si>
  <si>
    <t>Luva de PVC forrada - 36cm</t>
  </si>
  <si>
    <t>Máscara para solda em polipropileno - visor fixo com lente</t>
  </si>
  <si>
    <t>Sistema modular para proteção de máquinas e equipamentos</t>
  </si>
  <si>
    <t>Manutenção on site – Grupo motor-gerador e instalações associadas - Bloco 2 do Senado Federal (Interlegis)</t>
  </si>
  <si>
    <t>Grupo motor-gerador 140 kVA</t>
  </si>
  <si>
    <t>Projeto executivo de engenharia elétrica - Sistema de geração de energia elétrica – Bloco 02 (Interlegis)</t>
  </si>
  <si>
    <t>Ar-condicionado fancolete hidrônico dutado 0,58 TR (7000 BTU/h)</t>
  </si>
  <si>
    <t>Ar-condicionado fancolete hidrônico dutado 1,5 TR</t>
  </si>
  <si>
    <t>Vestimenta tipo macacão para saneamento com botas e luvas</t>
  </si>
  <si>
    <t>Instalação de quadros elétricos ou de telecomunicações</t>
  </si>
  <si>
    <t>Grelha para retorno de ar com lâminas fixas e registro, 225 mm x 225 mm</t>
  </si>
  <si>
    <t>Instalação de forro metálico reaproveitado</t>
  </si>
  <si>
    <t>Condulete de alumínio de 3"</t>
  </si>
  <si>
    <t>Painel de automação para sistema de revezamento entre equipamentos de climatização split</t>
  </si>
  <si>
    <t>Manutenção periódica – Sistema de geração de energia de emergência do Senado</t>
  </si>
  <si>
    <t>Manutenção periódica – Sistema de geração de energia de emergência do Bloco 01 (Prodasen) – Ramal X</t>
  </si>
  <si>
    <t>Manutenção periódica – Sistema de geração de energia de emergência do Bloco 01 (Prodasen) – Ramal Y</t>
  </si>
  <si>
    <t>Manutenção periódica – Sistema de geração de energia de emergência do Bloco 02 (Interlegis)</t>
  </si>
  <si>
    <t>Tratamento contínuo da água do sistema de arrefecimento externo do Sistema de geração de energia de emergência do Senado</t>
  </si>
  <si>
    <t>Manutenção corretiva – Sistema de geração de energia de emergência do Senado</t>
  </si>
  <si>
    <t>Manutenção corretiva – Sistema de geração de energia de emergência do Bloco 01 (Prodasen) – Ramal X</t>
  </si>
  <si>
    <t>Manutenção corretiva – Sistema de geração de energia de emergência do Bloco 01 (Prodasen) – Ramal Y</t>
  </si>
  <si>
    <t>Manutenção corretiva – Sistema de geração de energia de emergência do Bloco 02 (Interlegis)</t>
  </si>
  <si>
    <t>Análise físico-química e espectrométrica de óleo lubrificante de grupo motor-gerador</t>
  </si>
  <si>
    <t>Revisão em bancada de bicos injetores de motor MTU 16V4000</t>
  </si>
  <si>
    <t>Revisão em bancada de bicos injetores de motor Cummins NTA 855 G</t>
  </si>
  <si>
    <t>Revisão em bancada de bicos injetores de motor Cummins NTA 855 G5</t>
  </si>
  <si>
    <t>Revisão em bancada de bicos injetores de motor Mercedes-Benz OM 447 LA</t>
  </si>
  <si>
    <t>Revisão em bancada de bomba injetora de motor Cummins NTA 855 G</t>
  </si>
  <si>
    <t>Revisão em bancada de bomba injetora de motor Cummins NTA 855 G5</t>
  </si>
  <si>
    <t>Revisão em bancada de bomba injetora de motor Mercedes-Benz OM 447 LA</t>
  </si>
  <si>
    <t>Revisão em bancada de motor de partida de motor Cummins NTA 855 G</t>
  </si>
  <si>
    <t>Revisão em bancada de motor de partida de motor Cummins NTA 855 G5</t>
  </si>
  <si>
    <t>Revisão em bancada de motor de partida de motor Mercedes-Benz OM 447 LA</t>
  </si>
  <si>
    <t>Filtro de óleo para motor MTU 16V4000</t>
  </si>
  <si>
    <t>Filtro de combustível para motor MTU 16V4000</t>
  </si>
  <si>
    <t>Filtro de ar para motor MTU 16V4000</t>
  </si>
  <si>
    <t>Fluido de arrefecimento para motor MTU 16V4000</t>
  </si>
  <si>
    <t>litro</t>
  </si>
  <si>
    <t>Filtro de óleo para motor Cummins NTA 855 G</t>
  </si>
  <si>
    <t>Filtro de óleo para motor Cummins NTA 855 G5</t>
  </si>
  <si>
    <t>Filtro de combustível para motor Cummins NTA 855</t>
  </si>
  <si>
    <t>Filtro de ar para motor Cummins NTA 855 G</t>
  </si>
  <si>
    <t>Filtro de ar para motor Cummins NTA 855 G5</t>
  </si>
  <si>
    <t>Filtro de fluido de arrefecimento para motor Cummins NTA 855 G</t>
  </si>
  <si>
    <t>Filtro de fluido de arrefecimento para motor Cummins NTA 855 G5</t>
  </si>
  <si>
    <t>Fluido de arrefecimento para motor Cummins NTA 855</t>
  </si>
  <si>
    <t>Correia do alternador do motor Cummins NTA 855 G</t>
  </si>
  <si>
    <t>Correia do alternador do motor Cummins NTA 855 G5</t>
  </si>
  <si>
    <t>Correia da bomba d’água do motor Cummins NTA 855 G</t>
  </si>
  <si>
    <t>Correia da bomba d’água do motor Cummins NTA 855 G5</t>
  </si>
  <si>
    <t>Correia do ventilador do motor Cummins NTA 855 G</t>
  </si>
  <si>
    <t>Correia do ventilador do motor Cummins NTA 855 G5</t>
  </si>
  <si>
    <t>Bico injetor para motor Cummins NTA 855</t>
  </si>
  <si>
    <t>Solenoide de corte de combustível para motor Cummins NTA 855</t>
  </si>
  <si>
    <t>Bomba de fluido de arrefecimento para motor Cummins NTA 855</t>
  </si>
  <si>
    <t>Filtro de óleo para motor Mercedes-Benz OM 447 LA</t>
  </si>
  <si>
    <t>Filtro de combustível para motor Mercedes-Benz OM 447 LA</t>
  </si>
  <si>
    <t>Filtro de ar para motor Mercedes-Benz OM 447 LA</t>
  </si>
  <si>
    <t>Fluido de arrefecimento para motor Mercedes-Benz OM 447 LA</t>
  </si>
  <si>
    <t>Correia do alternador/bomba d’água do motor Mercedes-Benz OM 447 LA</t>
  </si>
  <si>
    <t>Correia do ventilador do motor Mercedes-Benz OM 447 LA</t>
  </si>
  <si>
    <t>Bico injetor para motor Mercedes-Benz OM 447 LA</t>
  </si>
  <si>
    <t>Solenoide de corte de combustível para motor Mercedes-Benz OM 447 LA</t>
  </si>
  <si>
    <t>Bomba de fluido de arrefecimento para motor Mercedes-Benz OM 447 LA</t>
  </si>
  <si>
    <t>Elemento filtrante (papelão linter) para filtro prensa de óleo diesel</t>
  </si>
  <si>
    <t>Correia industrial B-174</t>
  </si>
  <si>
    <t>Estabilizador de óleo diesel</t>
  </si>
  <si>
    <t>Bateria 12 V / 150 Ah para grupo motor-gerador</t>
  </si>
  <si>
    <t>Óleo lubrificante 15W-40 API CI-4</t>
  </si>
  <si>
    <t>Sensor de rotação</t>
  </si>
  <si>
    <t>Sensor de temperatura PT-100</t>
  </si>
  <si>
    <t>Sensor de temperatura resistivo</t>
  </si>
  <si>
    <t>Sensor de pressão</t>
  </si>
  <si>
    <t>Interruptor de pressão de óleo</t>
  </si>
  <si>
    <t>Sensor de nível de fluido de arrefecimento</t>
  </si>
  <si>
    <t>Conjunto de pré-aquecimento 1500 W</t>
  </si>
  <si>
    <t>Mangueira SAE 100 R6 3/8”</t>
  </si>
  <si>
    <t>Mangueira SAE 100 R6 1/2”</t>
  </si>
  <si>
    <t>SF-03201</t>
  </si>
  <si>
    <t>Mangueira SAE 100 R6 5/8”</t>
  </si>
  <si>
    <t>SF-03202</t>
  </si>
  <si>
    <t>Mangueira SAE 100 R6 3/4”</t>
  </si>
  <si>
    <t>SF-03203</t>
  </si>
  <si>
    <t>Cotovelo BSP 1 1/2” para filtro de óleo diesel</t>
  </si>
  <si>
    <t>SF-03204</t>
  </si>
  <si>
    <t>Válvula Gaveta Fecho Rápido 1 1/2” para filtro de óleo diesel</t>
  </si>
  <si>
    <t>SF-03205</t>
  </si>
  <si>
    <t>Chave boia para filtro de óleo diesel</t>
  </si>
  <si>
    <t>SF-03206</t>
  </si>
  <si>
    <t>União BSP 1 1/2” para filtro de óleo diesel</t>
  </si>
  <si>
    <t>SF-03207</t>
  </si>
  <si>
    <t>Tubo de aço-carbono 1 1/2” - Filtro de óleo diesel</t>
  </si>
  <si>
    <t>SF-03208</t>
  </si>
  <si>
    <t>SF-03209</t>
  </si>
  <si>
    <t>Projeto executivo de engenharia elétrica – Sistema de bombas do Bloco 1</t>
  </si>
  <si>
    <t>SF-03210</t>
  </si>
  <si>
    <t>Quadro de transferência automática para sistema de bombas do Bloco 1</t>
  </si>
  <si>
    <t>SF-03211</t>
  </si>
  <si>
    <t>Painel para acionamento de bombas do sistema de drenagem de águas pluviais do Bloco 1</t>
  </si>
  <si>
    <t>SF-03212</t>
  </si>
  <si>
    <t>Painel para acionamento de bombas do sistema de esgoto do Bloco 1</t>
  </si>
  <si>
    <t>SF-03213</t>
  </si>
  <si>
    <t>SF-03214</t>
  </si>
  <si>
    <t>Bloco vazado de concreto simples com 02 furos (19x19x39 - Classe A)</t>
  </si>
  <si>
    <t>SF-03215</t>
  </si>
  <si>
    <t>Bloco vazado de concreto simples tipo canaleta (19x19x39 - Classe A)</t>
  </si>
  <si>
    <t>SF-03216</t>
  </si>
  <si>
    <t>Bloco vazado de concreto simples tipo compensador A (19x19x9 - Classe A)</t>
  </si>
  <si>
    <t>SF-03217</t>
  </si>
  <si>
    <t>Bloco vazado de concreto simples tipo compensador A (19x19x9 - Classe C)</t>
  </si>
  <si>
    <t>SF-03218</t>
  </si>
  <si>
    <t>SF-03219</t>
  </si>
  <si>
    <t>SF-03220</t>
  </si>
  <si>
    <t>Graute industrializado, 50 MPa ≤ fck ≤ 60 Mpa</t>
  </si>
  <si>
    <t>SF-03221</t>
  </si>
  <si>
    <t>Tela metálica para reboco</t>
  </si>
  <si>
    <t>SF-03222</t>
  </si>
  <si>
    <t>Vergalhão Ca-60 Diâmetro 4,2 mm</t>
  </si>
  <si>
    <t>SF-03223</t>
  </si>
  <si>
    <t>Vermiculita Expandida</t>
  </si>
  <si>
    <t>25 kg</t>
  </si>
  <si>
    <t>100 L</t>
  </si>
  <si>
    <t>Bloco de concreto tipo canaleta 19 x 19 x 39 cm</t>
  </si>
  <si>
    <t>Vermiculita expandida</t>
  </si>
  <si>
    <t>FIBRA DE POLIPROPILENO P/ CONCRETO DOSADO EM CENTRAL FILAMENTOS - TECNOLOGIA "CRACKSTOP"</t>
  </si>
  <si>
    <t>BLOCO DE VEDACAO TIPO CANALETA DE CONCRETO 19 X 19 X 39 CM (CLASSE C - NBR 6136)</t>
  </si>
  <si>
    <t>SF-03224</t>
  </si>
  <si>
    <t>SF-03225</t>
  </si>
  <si>
    <t>SF-03226</t>
  </si>
  <si>
    <t>SF-03227</t>
  </si>
  <si>
    <t>SF-03228</t>
  </si>
  <si>
    <t>SF-03229</t>
  </si>
  <si>
    <t>SF-03230</t>
  </si>
  <si>
    <t>SF-03231</t>
  </si>
  <si>
    <t>Redução 26 mm x 20mm para tubo PEX para gás – GLP</t>
  </si>
  <si>
    <t>Tubo de sistema PEX multicamada flexível 20 mm para gás</t>
  </si>
  <si>
    <t>Tubo de sistema PEX multicamada flexível 26 mm para gás</t>
  </si>
  <si>
    <t>Kit de ferramentas para tubo PEX - GLP</t>
  </si>
  <si>
    <t>SF-03232</t>
  </si>
  <si>
    <t>SF-03233</t>
  </si>
  <si>
    <t>SF-03234</t>
  </si>
  <si>
    <t>SF-03235</t>
  </si>
  <si>
    <t>SF-03236</t>
  </si>
  <si>
    <t>SF-03237</t>
  </si>
  <si>
    <t>SF-03238</t>
  </si>
  <si>
    <t>SF-03239</t>
  </si>
  <si>
    <t>SF-03240</t>
  </si>
  <si>
    <t>SF-03241</t>
  </si>
  <si>
    <t>SF-03242</t>
  </si>
  <si>
    <t>SF-03243</t>
  </si>
  <si>
    <t>SF-03244</t>
  </si>
  <si>
    <t>SF-03245</t>
  </si>
  <si>
    <t>SF-03246</t>
  </si>
  <si>
    <t>SF-03247</t>
  </si>
  <si>
    <t>SF-03248</t>
  </si>
  <si>
    <t>SF-03249</t>
  </si>
  <si>
    <t>SF-03250</t>
  </si>
  <si>
    <t>SF-03251</t>
  </si>
  <si>
    <t>SF-03252</t>
  </si>
  <si>
    <t>SF-03253</t>
  </si>
  <si>
    <t>SF-03254</t>
  </si>
  <si>
    <t>SF-03255</t>
  </si>
  <si>
    <t>SF-03256</t>
  </si>
  <si>
    <t>SF-03257</t>
  </si>
  <si>
    <t>SF-03258</t>
  </si>
  <si>
    <t>SF-03259</t>
  </si>
  <si>
    <t>SF-03260</t>
  </si>
  <si>
    <t>SF-03261</t>
  </si>
  <si>
    <t>SF-03262</t>
  </si>
  <si>
    <t>SF-03263</t>
  </si>
  <si>
    <t>SF-03264</t>
  </si>
  <si>
    <t>SF-03265</t>
  </si>
  <si>
    <t>SF-03266</t>
  </si>
  <si>
    <t>SF-03267</t>
  </si>
  <si>
    <t>SF-03268</t>
  </si>
  <si>
    <t>SF-03269</t>
  </si>
  <si>
    <t>SF-03270</t>
  </si>
  <si>
    <t>SF-03271</t>
  </si>
  <si>
    <t>SF-03272</t>
  </si>
  <si>
    <t>SF-03273</t>
  </si>
  <si>
    <t>SF-03274</t>
  </si>
  <si>
    <t>SF-03275</t>
  </si>
  <si>
    <t>SF-03276</t>
  </si>
  <si>
    <t>SF-03277</t>
  </si>
  <si>
    <t>SF-03278</t>
  </si>
  <si>
    <t>SF-03279</t>
  </si>
  <si>
    <t>SF-03280</t>
  </si>
  <si>
    <t>SF-03281</t>
  </si>
  <si>
    <t>SF-03282</t>
  </si>
  <si>
    <t>SF-03283</t>
  </si>
  <si>
    <t>SF-03284</t>
  </si>
  <si>
    <t>SF-03285</t>
  </si>
  <si>
    <t>SF-03286</t>
  </si>
  <si>
    <t>SF-03287</t>
  </si>
  <si>
    <t>SF-03288</t>
  </si>
  <si>
    <t>SF-03289</t>
  </si>
  <si>
    <t>SF-03290</t>
  </si>
  <si>
    <t>SF-03291</t>
  </si>
  <si>
    <t>SF-03292</t>
  </si>
  <si>
    <t>SF-03293</t>
  </si>
  <si>
    <t>SF-03294</t>
  </si>
  <si>
    <t>SF-03295</t>
  </si>
  <si>
    <t>SF-03296</t>
  </si>
  <si>
    <t>SF-03297</t>
  </si>
  <si>
    <t>SF-03298</t>
  </si>
  <si>
    <t>SF-03299</t>
  </si>
  <si>
    <t>SF-03300</t>
  </si>
  <si>
    <t>SF-03301</t>
  </si>
  <si>
    <t>Adaptador fixo rosca macho PEX gás Ø 26 mm x 3/4</t>
  </si>
  <si>
    <t>Luva redução PEX gás Ø 26 mm x 20 mm</t>
  </si>
  <si>
    <t>Tê rosca fêmea PEX gás Ø 26 mm x 3/4"</t>
  </si>
  <si>
    <t>Mármore Branco Especial</t>
  </si>
  <si>
    <t>Fluido de arrefecimento diluído para motor MTU 16V4000</t>
  </si>
  <si>
    <t>Fluido de arrefecimento diluído para motor Cummins NTA 855</t>
  </si>
  <si>
    <t>Fluido de arrefecimento diluído para motor Mercedes-Benz OM 447 LA</t>
  </si>
  <si>
    <t>Água destilada/desmineralizada/desionizada/ultrafiltrada</t>
  </si>
  <si>
    <t>Lâmina de madeira - freijó</t>
  </si>
  <si>
    <t>ARMAÇÃO DE LAJE DE ESTRUTURA CONVENCIONAL DE CONCRETO ARMADO UTILIZANDO AÇO CA-60 DE 4,2 MM - MONTAGEM. AF_06/2022</t>
  </si>
  <si>
    <t>ARMAÇÃO DE LAJE DE ESTRUTURA CONVENCIONAL DE CONCRETO ARMADO UTILIZANDO AÇO CA-60 DE 5,0 MM - MONTAGEM. AF_06/2022</t>
  </si>
  <si>
    <t>CORTE E DOBRA DE AÇO CA-60, DIÂMETRO DE 4,2 MM. AF_06/2022</t>
  </si>
  <si>
    <t>CORTE E DOBRA DE AÇO CA-60, DIÂMETRO DE 5,0 MM. AF_06/2022</t>
  </si>
  <si>
    <t>CORTE E DOBRA DE AÇO CA-50, DIÂMETRO DE 8,0 MM. AF_06/2022</t>
  </si>
  <si>
    <t>CORTE E DOBRA DE AÇO CA-50, DIÂMETRO DE 12,5 MM. AF_06/2022</t>
  </si>
  <si>
    <t>CORTE E DOBRA DE AÇO CA-50, DIÂMETRO DE 16,0 MM. AF_06/2022</t>
  </si>
  <si>
    <t>CORTE E DOBRA DE AÇO CA-25, DIÂMETRO DE 16,0 MM. AF_06/2022</t>
  </si>
  <si>
    <t>Tela mosquiteiro em aço galvanizado, malha 14, fio 31</t>
  </si>
  <si>
    <t>Pastilha de porcelana (2 x 2 cm) – Fornecimento e instalação</t>
  </si>
  <si>
    <t>Projeto Executivo para Central Fotovoltaica de Minigeração de Energia Elétrica - Bloco 14</t>
  </si>
  <si>
    <t>Fornecimento e Instalação de Central de Minigeração de Energia Elétrica Fotovoltaica Bloco 14</t>
  </si>
  <si>
    <t>Eletroduto de PEAD de 4"</t>
  </si>
  <si>
    <t>Assistência Técnica e Manutenção de Central de Minigeração de Energia Elétrica Fotovoltaica Distribuída - Bloco 14</t>
  </si>
  <si>
    <t>Laudo de estabilidade estrutural - Bloco 14</t>
  </si>
  <si>
    <t>Projeto de adaptação/modificação/reforço da estrutura e suas fundações para os novos usos - Bloco 14</t>
  </si>
  <si>
    <t>SF-03302</t>
  </si>
  <si>
    <t>SF-03303</t>
  </si>
  <si>
    <t>SF-03304</t>
  </si>
  <si>
    <t>SF-03305</t>
  </si>
  <si>
    <t>SF-03306</t>
  </si>
  <si>
    <t>SF-03307</t>
  </si>
  <si>
    <t>SF-03308</t>
  </si>
  <si>
    <t>SF-03309</t>
  </si>
  <si>
    <t>SF-03310</t>
  </si>
  <si>
    <t>SF-03311</t>
  </si>
  <si>
    <t>SF-03312</t>
  </si>
  <si>
    <t>SF-03313</t>
  </si>
  <si>
    <t>SF-03314</t>
  </si>
  <si>
    <t>SF-03315</t>
  </si>
  <si>
    <t>SF-03316</t>
  </si>
  <si>
    <t>SF-03317</t>
  </si>
  <si>
    <t>SF-03318</t>
  </si>
  <si>
    <t>SF-03319</t>
  </si>
  <si>
    <t>SF-03320</t>
  </si>
  <si>
    <t>SF-03321</t>
  </si>
  <si>
    <t>SF-03322</t>
  </si>
  <si>
    <t>SF-03323</t>
  </si>
  <si>
    <t>SF-03324</t>
  </si>
  <si>
    <t>SF-03325</t>
  </si>
  <si>
    <t>SF-03326</t>
  </si>
  <si>
    <t>SF-03327</t>
  </si>
  <si>
    <t>SF-03328</t>
  </si>
  <si>
    <t>SF-03329</t>
  </si>
  <si>
    <t>SF-03330</t>
  </si>
  <si>
    <t>SF-03331</t>
  </si>
  <si>
    <t>SF-03332</t>
  </si>
  <si>
    <t>SF-03333</t>
  </si>
  <si>
    <t>SF-03334</t>
  </si>
  <si>
    <t>SF-03335</t>
  </si>
  <si>
    <t>SF-03336</t>
  </si>
  <si>
    <t>SF-03337</t>
  </si>
  <si>
    <t>SF-03338</t>
  </si>
  <si>
    <t>SF-03339</t>
  </si>
  <si>
    <t>SF-03340</t>
  </si>
  <si>
    <t>SF-03341</t>
  </si>
  <si>
    <t>SF-03342</t>
  </si>
  <si>
    <t>SF-03343</t>
  </si>
  <si>
    <t>SF-03344</t>
  </si>
  <si>
    <t>SF-03345</t>
  </si>
  <si>
    <t>SF-03346</t>
  </si>
  <si>
    <t>SF-03347</t>
  </si>
  <si>
    <t>SF-03348</t>
  </si>
  <si>
    <t>SF-03349</t>
  </si>
  <si>
    <t>SF-03350</t>
  </si>
  <si>
    <t>SF-03351</t>
  </si>
  <si>
    <t>SF-03352</t>
  </si>
  <si>
    <t>SF-03353</t>
  </si>
  <si>
    <t>SF-03354</t>
  </si>
  <si>
    <t>SF-03355</t>
  </si>
  <si>
    <t>SF-03356</t>
  </si>
  <si>
    <t>SF-03357</t>
  </si>
  <si>
    <t>SF-03358</t>
  </si>
  <si>
    <t>SF-03359</t>
  </si>
  <si>
    <t>SF-03360</t>
  </si>
  <si>
    <t>SF-03361</t>
  </si>
  <si>
    <t>SF-03362</t>
  </si>
  <si>
    <t>SF-03363</t>
  </si>
  <si>
    <t>SF-03364</t>
  </si>
  <si>
    <t>SF-03365</t>
  </si>
  <si>
    <t>SF-03366</t>
  </si>
  <si>
    <t>SF-03367</t>
  </si>
  <si>
    <t>SF-03368</t>
  </si>
  <si>
    <t>SF-03369</t>
  </si>
  <si>
    <t>SF-03370</t>
  </si>
  <si>
    <t>SF-03371</t>
  </si>
  <si>
    <t>SF-03372</t>
  </si>
  <si>
    <t>SF-03373</t>
  </si>
  <si>
    <t>SF-03374</t>
  </si>
  <si>
    <t>SF-03375</t>
  </si>
  <si>
    <t>SF-03376</t>
  </si>
  <si>
    <t>SF-03377</t>
  </si>
  <si>
    <t>SF-03378</t>
  </si>
  <si>
    <t>SF-03379</t>
  </si>
  <si>
    <t>SF-03380</t>
  </si>
  <si>
    <t>SF-03381</t>
  </si>
  <si>
    <t>SF-03382</t>
  </si>
  <si>
    <t>SF-03383</t>
  </si>
  <si>
    <t>SF-03384</t>
  </si>
  <si>
    <t>SF-03385</t>
  </si>
  <si>
    <t>SF-03386</t>
  </si>
  <si>
    <t>SF-03387</t>
  </si>
  <si>
    <t>SF-03388</t>
  </si>
  <si>
    <t>SF-03389</t>
  </si>
  <si>
    <t>SF-03390</t>
  </si>
  <si>
    <t>SF-03391</t>
  </si>
  <si>
    <t>SF-03392</t>
  </si>
  <si>
    <t>SF-03393</t>
  </si>
  <si>
    <t>SF-03394</t>
  </si>
  <si>
    <t>SF-03395</t>
  </si>
  <si>
    <t>SF-03396</t>
  </si>
  <si>
    <t>SF-03397</t>
  </si>
  <si>
    <t>SF-03398</t>
  </si>
  <si>
    <t>SF-03399</t>
  </si>
  <si>
    <t>SF-03400</t>
  </si>
  <si>
    <t>Suporte para luminária de poste triplo</t>
  </si>
  <si>
    <t>Remoção de poste de iluminação</t>
  </si>
  <si>
    <t>Remoção de braço de iluminação</t>
  </si>
  <si>
    <t>Projeto Executivo de Iluminação Viária</t>
  </si>
  <si>
    <t>Quadro elétrico tipo PTTA/TTA para uso ao tempo</t>
  </si>
  <si>
    <t>Eletroduto PEAD 1 1/2”(40mm)</t>
  </si>
  <si>
    <t>SUPORTE PARA 3 PÉTALAS PARA LUMINÁRIA DE ILUMINAÇÃO PÚBLICA</t>
  </si>
  <si>
    <t>Cabo de cobre multipolar, classe 5, isolação em EPR, 0,6/1 kV, 3x10,0mm² resistente a chama, livre de halogênios</t>
  </si>
  <si>
    <t>Eletroduto rígido roscável de aço galvanizado a fogo de 1”, tipo pesado</t>
  </si>
  <si>
    <t>Eletroduto rígido roscável de aço galvanizado a fogo de 1 1/2”, tipo pesado</t>
  </si>
  <si>
    <t>Quadro elétrico tipo TTA completo, para uso externo, com 11 disjuntores terminais, contemplando disjuntores, DPS, DR, etc., conforme especificação</t>
  </si>
  <si>
    <t>Quadro elétrico tipo TTA completo com 11 disjuntores terminais, contemplando disjuntores, DPS, DR, etc., conforme especificação</t>
  </si>
  <si>
    <t>Quadro elétrico tipo TTA completo com 06 disjuntores terminais, contemplando disjuntores, DPS, DR, etc., conforme especificação</t>
  </si>
  <si>
    <t>Quadro elétrico tipo TTA completo com 30 disjuntores terminais, contemplando disjuntores, DPS, DR, etc., conforme especificação</t>
  </si>
  <si>
    <t>Eletroduto rígido roscável de aço galvanizado a fogo de 3”, tipo pesado</t>
  </si>
  <si>
    <t>Eletroduto rígido roscável de aço galvanizado a fogo de 2”, tipo pesado</t>
  </si>
  <si>
    <t>Cabo de cobre multipolar, classe 5, isolação em EPR, 0,6/1 kV, 3x6,0mm² resistente a chama, livre de halogênios</t>
  </si>
  <si>
    <t>SUPORTE PARA 1 PÉTALA PARA LUMINÁRIA DE ILUMINAÇÃO PÚBLICA</t>
  </si>
  <si>
    <t>SUPORTE PARA 4 PÉTALAS PARA LUMINÁRIA DE ILUMINAÇÃO PÚBLICA</t>
  </si>
  <si>
    <t>Suporte para luminária de poste quádruplo</t>
  </si>
  <si>
    <t>LUVA DE AÇO GALVANIZADO PARA ELETRODUTO Ø 20 MM - 3/4"</t>
  </si>
  <si>
    <t>LUVA DE AÇO GALVANIZADO PARA ELETRODUTO Ø 25 MM - 1"</t>
  </si>
  <si>
    <t>LUVA DE AÇO GALVANIZADO PARA ELETRODUTO Ø 32 MM - 1 1/4"</t>
  </si>
  <si>
    <t>LUVA DE AÇO GALVANIZADO PARA ELETRODUTO Ø 40 MM - 1 1/2"</t>
  </si>
  <si>
    <t>Quadro elétrico tipo TTA completo, para uso externo, com 18 disjuntores terminais, contemplando disjuntores, DPS, DR, etc., conforme especificação</t>
  </si>
  <si>
    <t>Cerâmica esmaltada (G-Glazed), brilho ou acetinado, retificada ou não retificada, fabricante Eliane, modelo Branco Piscina, 20x20, fabricante Portobello, modelo Idea Bianco ou Antartida, 30x60, fabricante Biancogres, modelo Tradizione, 32x60, ou similares</t>
  </si>
  <si>
    <t>Cerâmica esmaltada (G-Glazed), acetinado, retificada ou não retificada, fabricante Eliane, modelo Cargo Plus White AC 45x45cm, ou similares</t>
  </si>
  <si>
    <t>Cerâmica Gail Industrial linha Gressit 300x300x9mm, 240x116x9mm ou 300x147x9mm cor 1001 – Bege ou similares</t>
  </si>
  <si>
    <t>Quadro elétrico TTA (18 disjuntores terminais)</t>
  </si>
  <si>
    <t>Condulete de alumínio de 3/4’’</t>
  </si>
  <si>
    <t>Condulete de alumínio de 2’’</t>
  </si>
  <si>
    <t>Ar-condicionado split dutado 24.000 BTU/h</t>
  </si>
  <si>
    <t>Cerâmica para revestimento de PAREDES de superfícies internas</t>
  </si>
  <si>
    <t>Cerâmica para revestimento de pisos de superfícies internas</t>
  </si>
  <si>
    <t>Cerâmica de linha industrial para revestimento de PISOS E PAREDES de superfícies internas e externas</t>
  </si>
  <si>
    <t>Cortina de Linho Sintético – Linha Residencial</t>
  </si>
  <si>
    <t>Forro de Cortina em Microfibra  – Linha Residencial</t>
  </si>
  <si>
    <t>Trilho Duplo em Alumínio para Cortinas – Linha Residencial</t>
  </si>
  <si>
    <t>Trilho Triplo em Alumínio para Cortinas – Linha Residencial</t>
  </si>
  <si>
    <t>Trilho Simples em Alumínio para Cortinas – Linha Residencial</t>
  </si>
  <si>
    <t>Varão Duplo Cromado para Cortinas – Linha Residencial</t>
  </si>
  <si>
    <t>Cortina tipo Blecaute – Linha Residencial</t>
  </si>
  <si>
    <t>Argamassa autonivelante para preparação/regularização de contrapiso</t>
  </si>
  <si>
    <t>DESEMPENADEIRA DE CONCRETO, PESO DE 78 KG, 4 PÁS, MOTOR A GASOLINA, POTÊNCIA 5,5 HP - CHP DIURNO. AF_09/2016</t>
  </si>
  <si>
    <t>MONTAGEM DE ARMADURA DE ESTACAS, DIÂMETRO = 16,0 MM. AF_09/2021_PS</t>
  </si>
  <si>
    <t>CHAPISCO APLICADO EM ALVENARIAS E ESTRUTURAS DE CONCRETO INTERNAS, COM COLHER DE PEDREIRO.  ARGAMASSA TRAÇO 1:3 COM PREPARO EM BETONEIRA 400L. AF_10/2022</t>
  </si>
  <si>
    <t>Lixamento, desbaste ou lapidação mecânica de superfície de alta resistência</t>
  </si>
  <si>
    <t>Projeto Executivo para a Climatização da Sala de Leitura e Hall de Entrada da COBIB</t>
  </si>
  <si>
    <t>Grelha de Captação de Ar Externo com Damper e Filtro</t>
  </si>
  <si>
    <t>Ar-condicionado Fan-Coil 5,0 TR com Acessórios</t>
  </si>
  <si>
    <t>Ar-condicionado Fan-Coil 3,5 TR com Acessórios</t>
  </si>
  <si>
    <t>Quadro para acionamento, proteção e controle de sistema de climatização por fan coil – capacidade até 5 TR</t>
  </si>
  <si>
    <t>Sistema de Dutos Helicoidais Ovalizados</t>
  </si>
  <si>
    <t>Botina de segurança</t>
  </si>
  <si>
    <t>Cinto de Segurança Tipo Paraquedista e Talabarte em Y</t>
  </si>
  <si>
    <t>Locação de Sistema de Geração Distribuída Solar Fotovoltaica</t>
  </si>
  <si>
    <t>Especificações Técnicas de Usina Minigeradora Solar Fotovoltaica</t>
  </si>
  <si>
    <t>Projetos Executivos de Usina Minegeradora Fotovoltaica</t>
  </si>
  <si>
    <t>Sondagem e Modelagem Geoelétrica (Medição de Resistividade e Estratificação do solo)</t>
  </si>
  <si>
    <t>SF-03401</t>
  </si>
  <si>
    <t>SF-03402</t>
  </si>
  <si>
    <t>SF-03403</t>
  </si>
  <si>
    <t>SF-03404</t>
  </si>
  <si>
    <t>SF-03405</t>
  </si>
  <si>
    <t>SF-03406</t>
  </si>
  <si>
    <t>SF-03407</t>
  </si>
  <si>
    <t>SF-03408</t>
  </si>
  <si>
    <t>SF-03409</t>
  </si>
  <si>
    <t>SF-03410</t>
  </si>
  <si>
    <t>SF-03411</t>
  </si>
  <si>
    <t>SF-03412</t>
  </si>
  <si>
    <t>SF-03413</t>
  </si>
  <si>
    <t>SF-03414</t>
  </si>
  <si>
    <t>SF-03415</t>
  </si>
  <si>
    <t>SF-03416</t>
  </si>
  <si>
    <t>SF-03417</t>
  </si>
  <si>
    <t>SF-03418</t>
  </si>
  <si>
    <t>SF-03419</t>
  </si>
  <si>
    <t>SF-03420</t>
  </si>
  <si>
    <t>SF-03421</t>
  </si>
  <si>
    <t>SF-03422</t>
  </si>
  <si>
    <t>SF-03423</t>
  </si>
  <si>
    <t>SF-03424</t>
  </si>
  <si>
    <t>SF-03425</t>
  </si>
  <si>
    <t>SF-03426</t>
  </si>
  <si>
    <t>SF-03427</t>
  </si>
  <si>
    <t>SF-03428</t>
  </si>
  <si>
    <t>SF-03429</t>
  </si>
  <si>
    <t>SF-03430</t>
  </si>
  <si>
    <t>SF-03431</t>
  </si>
  <si>
    <t>SF-03432</t>
  </si>
  <si>
    <t>SF-03433</t>
  </si>
  <si>
    <t>SF-03434</t>
  </si>
  <si>
    <t>SF-03435</t>
  </si>
  <si>
    <t>SF-03436</t>
  </si>
  <si>
    <t>SF-03437</t>
  </si>
  <si>
    <t>SF-03438</t>
  </si>
  <si>
    <t>SF-03439</t>
  </si>
  <si>
    <t>SF-03440</t>
  </si>
  <si>
    <t>SF-03441</t>
  </si>
  <si>
    <t>SF-03442</t>
  </si>
  <si>
    <t>SF-03443</t>
  </si>
  <si>
    <t>SF-03444</t>
  </si>
  <si>
    <t>SF-03445</t>
  </si>
  <si>
    <t>SF-03446</t>
  </si>
  <si>
    <t>SF-03447</t>
  </si>
  <si>
    <t>SF-03448</t>
  </si>
  <si>
    <t>SF-03449</t>
  </si>
  <si>
    <t>SF-03450</t>
  </si>
  <si>
    <t>SF-03451</t>
  </si>
  <si>
    <t>SF-03452</t>
  </si>
  <si>
    <t>SF-03453</t>
  </si>
  <si>
    <t>SF-03454</t>
  </si>
  <si>
    <t>SF-03455</t>
  </si>
  <si>
    <t>Torneira metal de jardim com bico 1/2”</t>
  </si>
  <si>
    <t>SF-03456</t>
  </si>
  <si>
    <t>Niple de aço-carbono galvanizado 1/2”</t>
  </si>
  <si>
    <t>SF-03457</t>
  </si>
  <si>
    <t>Niple de aço-carbono galvanizado 3/4”</t>
  </si>
  <si>
    <t>SF-03458</t>
  </si>
  <si>
    <t>SF-03459</t>
  </si>
  <si>
    <t>SF-03460</t>
  </si>
  <si>
    <t>Luva de correr PVC roscável 3/4”</t>
  </si>
  <si>
    <t>SF-03461</t>
  </si>
  <si>
    <t>Luva de correr PVC roscável 1 1/2”</t>
  </si>
  <si>
    <t>SF-03462</t>
  </si>
  <si>
    <t>Luva de correr PVC roscável 2”</t>
  </si>
  <si>
    <t>SF-03463</t>
  </si>
  <si>
    <t>SF-03464</t>
  </si>
  <si>
    <t>SF-03465</t>
  </si>
  <si>
    <t>Plug PVC roscável 3/4”</t>
  </si>
  <si>
    <t>SF-03466</t>
  </si>
  <si>
    <t>Plug PVC roscável 1/2”</t>
  </si>
  <si>
    <t>SF-03467</t>
  </si>
  <si>
    <t>SF-03468</t>
  </si>
  <si>
    <t>SF-03469</t>
  </si>
  <si>
    <t>SF-03470</t>
  </si>
  <si>
    <t>Caixa de Gordura 4 litros</t>
  </si>
  <si>
    <t>SF-03471</t>
  </si>
  <si>
    <t>SF-03472</t>
  </si>
  <si>
    <t>SF-03473</t>
  </si>
  <si>
    <t>SF-03474</t>
  </si>
  <si>
    <t>SF-03475</t>
  </si>
  <si>
    <t>SF-03476</t>
  </si>
  <si>
    <t>SF-03477</t>
  </si>
  <si>
    <t>SF-03478</t>
  </si>
  <si>
    <t>SF-03479</t>
  </si>
  <si>
    <t>SF-03480</t>
  </si>
  <si>
    <t>SF-03481</t>
  </si>
  <si>
    <t>SF-03482</t>
  </si>
  <si>
    <t>SF-03483</t>
  </si>
  <si>
    <t>SF-03484</t>
  </si>
  <si>
    <t>SF-03485</t>
  </si>
  <si>
    <t>SF-03486</t>
  </si>
  <si>
    <t>Emulsão asfáltica RR 2C</t>
  </si>
  <si>
    <t>Grelha em alumínio para captação de ar externo, veneziana, 785 x 660 mm</t>
  </si>
  <si>
    <t>Elemento filtrante classe G4, compatível com grelha de 785 x 660 mm</t>
  </si>
  <si>
    <t>Damper em aço galvanizado compatível com grelha de 785 x 660 mm</t>
  </si>
  <si>
    <t>Atuador para damper, torque compatível</t>
  </si>
  <si>
    <t>Grelha para retorno de ar com lâminas fixas e sem registro, 1225x525 mm</t>
  </si>
  <si>
    <t>Grelha para retorno de ar com lâminas fixas e registro, 30 x 15 cm</t>
  </si>
  <si>
    <t>Fan-coil 5,0 TR, vazão de ar 3730 m3/h, 250 Pa disponível</t>
  </si>
  <si>
    <t>Válvula de balanceamento e controle independente de pressão (PIBCV) 2 vias, para controle proporcional, de diâmetro compatível com o fan-coil. Ref.: IMI Hydronic Engineering TA-MODULATOR, Honeywell VRN2</t>
  </si>
  <si>
    <t>Atuador para controle proporcional compatível com a válvula PIBCV. Ref.: IMI TA-SLIDER</t>
  </si>
  <si>
    <t>Válvula de esfera em bronze ou em latão niquelado, PN20 a 5°C, conexão com rosca, acompanhadas dos elementos de fixação e vedação e dos conectores. Ref.: Mipel Linha 9101</t>
  </si>
  <si>
    <t xml:space="preserve"> Filtro em Y fabricado em bronze, extremidade com roscas, filtro em aço inoxidável, classe de pressão PN25 ou superior. Ref.: Deca Linha F085</t>
  </si>
  <si>
    <t>Pressostato diferencial para ar, ajuste de diferencial de pressão 100–500 Pa, contato SPDT 250V/1,5A, para montagem vertical. Ref.: Honeywell DPS500</t>
  </si>
  <si>
    <t>Fan-coil 3,5 TR, vazão de ar 2560 m3/h, 250 Pa disponível</t>
  </si>
  <si>
    <t>Curva de transposição PVC soldável 25 mm</t>
  </si>
  <si>
    <t>Joelho 90° PVC soldável 25 mm</t>
  </si>
  <si>
    <t>Joelho 45° PVC soldável 25 mm</t>
  </si>
  <si>
    <t>Joelho 90° PVC soldável com rosca 25 mm x 1/2” ou 3/4”</t>
  </si>
  <si>
    <t>Joelho 90° PVC soldável com bucha de latão 25 mm x 1/2”</t>
  </si>
  <si>
    <t>Joelho 90° PVC soldável com bucha de latão 25 mm x 3/4”</t>
  </si>
  <si>
    <t>Tê PVC soldável 25 mm</t>
  </si>
  <si>
    <t>Tê PVC soldável com rosca na bolsa central 25 mm x 3/4”</t>
  </si>
  <si>
    <t>Tê PVC soldável com rosca na bolsa central 25 mm x 1/2”</t>
  </si>
  <si>
    <t>Cap PVC soldável 25 mm</t>
  </si>
  <si>
    <t>Luva PVC soldável com rosca 25 mm x 1/2” ou 3/4”</t>
  </si>
  <si>
    <t>Luva PVC soldável com bucha de latão 25 mm x 1/2”</t>
  </si>
  <si>
    <t>Luva PVC soldável com bucha de latão 25 mm x 3/4”</t>
  </si>
  <si>
    <t>Luva de correr PVC soldável 25 mm</t>
  </si>
  <si>
    <t>Luva simples PVC soldável 25 mm</t>
  </si>
  <si>
    <t>União de PVC soldável 25 mm</t>
  </si>
  <si>
    <t>Adaptador PVC soldável, curto com bolsa e rosca para Registro 25 mm x 3/4”</t>
  </si>
  <si>
    <t>Adaptador flange PVC soldável 25 mm x 3/4”</t>
  </si>
  <si>
    <t>Joelho 90° PVC soldável 32 mm</t>
  </si>
  <si>
    <t>Joelho 45° PVC soldável 32 mm</t>
  </si>
  <si>
    <t>Cap PVC soldável 32 mm</t>
  </si>
  <si>
    <t>Curva 90° PVC soldável 32 mm</t>
  </si>
  <si>
    <t>Tê PVC soldável 32 mm</t>
  </si>
  <si>
    <t>Luva simples PVC soldável 32 mm</t>
  </si>
  <si>
    <t>Luva de correr PVC soldável 32 mm</t>
  </si>
  <si>
    <t>União PVC soldável 32 mm</t>
  </si>
  <si>
    <t>Bucha de redução longa PVC soldável de 32 mm x 20 mm</t>
  </si>
  <si>
    <t>Bucha de redução curta PVC soldável de 32 mm x 25 mm</t>
  </si>
  <si>
    <t>Adaptador PVC soldável, curto com bolsa e rosca para Registro 32 mm x 1”</t>
  </si>
  <si>
    <t>Adaptador flange PVC soldável 32 mm x 1”</t>
  </si>
  <si>
    <t>Joelho 90° PVC soldável 40 mm</t>
  </si>
  <si>
    <t>Cap PVC soldável 40 mm</t>
  </si>
  <si>
    <t>Curva 90° PVC soldável 40 mm</t>
  </si>
  <si>
    <t>Joelho 45° PVC soldável 40 mm</t>
  </si>
  <si>
    <t>Tê PVC soldável 40 mm</t>
  </si>
  <si>
    <t>Luva simples PVC soldável 40 mm</t>
  </si>
  <si>
    <t>Luva de correr PVC soldável 40 mm</t>
  </si>
  <si>
    <t>União PVC soldável 40 mm</t>
  </si>
  <si>
    <t>Bucha de redução curta PVC soldável de 40 mm x 32 mm</t>
  </si>
  <si>
    <t>Adaptador PVC soldável, curto com bolsa e rosca para Registro 40 mm x 1 1/4”</t>
  </si>
  <si>
    <t>Adaptador flange PVC soldável 40 mm x 1 1/4”</t>
  </si>
  <si>
    <t>Joelho 90° PVC soldável 50 mm</t>
  </si>
  <si>
    <t>Cap PVC soldável 50 mm</t>
  </si>
  <si>
    <t>Curva 90° PVC soldável 50 mm</t>
  </si>
  <si>
    <t>Joelho 45° PVC soldável 50 mm</t>
  </si>
  <si>
    <t>Tê PVC soldável 50 mm</t>
  </si>
  <si>
    <t>Luva simples PVC soldável 50 mm</t>
  </si>
  <si>
    <t>Luva de correr PVC soldável 50 mm</t>
  </si>
  <si>
    <t>União PVC soldável 50 mm</t>
  </si>
  <si>
    <t>Bucha de redução curta PVC soldável de 50 mm x 40 mm</t>
  </si>
  <si>
    <t>Adaptador PVC soldável, curto com bolsa e rosca para Registro 50 mm x 1 1/2”</t>
  </si>
  <si>
    <t>Adaptador flange PVC soldável 50 mm x 1 1/2”</t>
  </si>
  <si>
    <t>Curva 90° PVC soldável 60 mm</t>
  </si>
  <si>
    <t>Luva de correr PVC soldável 60 mm</t>
  </si>
  <si>
    <t>Bucha de redução curta PVC soldável de 60 mm x 50 mm</t>
  </si>
  <si>
    <t>Adaptador flange PVC soldável 60 mm x 2”</t>
  </si>
  <si>
    <t>Joelho 90° PVC soldável 75 mm</t>
  </si>
  <si>
    <t>Cap PVC soldável 75 mm</t>
  </si>
  <si>
    <t>Joelho 45° PVC soldável 75 mm</t>
  </si>
  <si>
    <t>Curva 90° PVC soldável 75 mm</t>
  </si>
  <si>
    <t>Tê PVC soldável 75 mm</t>
  </si>
  <si>
    <t>Luva simples PVC soldável 75 mm</t>
  </si>
  <si>
    <t>Luva de correr PVC soldável 75 mm</t>
  </si>
  <si>
    <t>União PVC soldável 75 mm</t>
  </si>
  <si>
    <t>Bucha de redução curta PVC soldável de 75 mm x 60 mm</t>
  </si>
  <si>
    <t>Adaptador PVC soldável, curto com bolsa e rosca para Registro 75 mm x 2 1/2”</t>
  </si>
  <si>
    <t>Adaptador Flange Caixa Dágua Soldável 75 mm x 2 1/2”</t>
  </si>
  <si>
    <t>Joelho 90° PVC soldável 85 mm</t>
  </si>
  <si>
    <t>Cap PVC soldável 85 mm</t>
  </si>
  <si>
    <t>Joelho 45° PVC soldável 85 mm</t>
  </si>
  <si>
    <t>Curva 90° PVC soldável 85 mm</t>
  </si>
  <si>
    <t>Tê PVC soldável 85 mm</t>
  </si>
  <si>
    <t>Luva simples PVC soldável 85 mm</t>
  </si>
  <si>
    <t>Luva de correr PVC soldável 85 mm</t>
  </si>
  <si>
    <t>Bucha de redução curta PVC soldável de 85 mm x 75 mm</t>
  </si>
  <si>
    <t>Adaptador PVC soldável, curto com bolsa e rosca para Registro 85 mm x 3”</t>
  </si>
  <si>
    <t>Joelho 90° PVC soldável 110 mm</t>
  </si>
  <si>
    <t>Joelho 45° PVC soldável 110 mm</t>
  </si>
  <si>
    <t>Cap PVC soldável 110 mm</t>
  </si>
  <si>
    <t>Curva 90° PVC soldável 110 mm</t>
  </si>
  <si>
    <t>Luva simples PVC soldável 110 mm</t>
  </si>
  <si>
    <t>Luva de correr PVC soldável 110 mm</t>
  </si>
  <si>
    <t>União PVC soldável 110 mm</t>
  </si>
  <si>
    <t>Adaptador PVC soldável, curto com bolsa e rosca para Registro 110 mm x 4”</t>
  </si>
  <si>
    <t>Adaptador flange PVC soldável 110 mm x 4”</t>
  </si>
  <si>
    <t>Luva simples PVC esgoto ou águas pluviais 40 mm</t>
  </si>
  <si>
    <t>Luva de correr PVC esgoto ou águas pluviais 40 mm</t>
  </si>
  <si>
    <t>Junção PVC esgoto ou águas pluviais 40 mm</t>
  </si>
  <si>
    <t>Tê PVC esgoto ou águas pluviais 40 mm</t>
  </si>
  <si>
    <t>Cap PVC esgoto ou águas pluviais 40 mm</t>
  </si>
  <si>
    <t>Joelho 90° com anel PVC esgoto ou águas pluviais 40 mm</t>
  </si>
  <si>
    <t>Joelho 90° PVC esgoto ou águas pluviais 40 mm</t>
  </si>
  <si>
    <t>Joelho 45° PVC esgoto ou águas pluviais 40 mm</t>
  </si>
  <si>
    <t>Curva longa 90° PVC esgoto ou águas pluviais 40 mm</t>
  </si>
  <si>
    <t>Luva simples PVC esgoto ou águas pluviais 50 mm</t>
  </si>
  <si>
    <t>Luva de correr PVC esgoto ou águas pluviais 50 mm</t>
  </si>
  <si>
    <t>Junção PVC esgoto ou águas pluviais 50 mm</t>
  </si>
  <si>
    <t>Tê PVC esgoto ou águas pluviais 50 mm</t>
  </si>
  <si>
    <t>Joelho 90° com anel PVC esgoto ou águas pluviais 50 mm</t>
  </si>
  <si>
    <t>Joelho 90° PVC esgoto ou águas pluviais 50 mm</t>
  </si>
  <si>
    <t>Cap PVC esgoto ou águas pluviais 50 mm</t>
  </si>
  <si>
    <t>Bucha de redução PVC esgoto ou águas pluviais 50 x 40 mm</t>
  </si>
  <si>
    <t>Curva longa 90° PVC esgoto ou águas pluviais 50 mm</t>
  </si>
  <si>
    <t>Luva simples PVC esgoto ou águas pluviais 70 mm</t>
  </si>
  <si>
    <t>Joelho 90° PVC esgoto ou águas pluviais 75 mm</t>
  </si>
  <si>
    <t>Curva longa 90° PVC esgoto ou águas pluviais 75 mm</t>
  </si>
  <si>
    <t>Joelho 45° PVC esgoto ou águas pluviais 75 mm</t>
  </si>
  <si>
    <t>Luva de correr PVC esgoto ou águas pluviais 75 mm</t>
  </si>
  <si>
    <t>Tê PVC esgoto ou águas pluviais 75 mm</t>
  </si>
  <si>
    <t>Cap PVC esgoto ou águas pluviais 75 mm</t>
  </si>
  <si>
    <t>Redução Excêntrica PVC esgoto ou águas pluviais 75 x 50 mm</t>
  </si>
  <si>
    <t>Luva simples PVC esgoto ou águas pluviais 100 mm</t>
  </si>
  <si>
    <t>Joelho 90° PVC esgoto ou águas pluviais 100 mm</t>
  </si>
  <si>
    <t>Curva longa 90° PVC esgoto ou águas pluviais 100 mm</t>
  </si>
  <si>
    <t>Joelho 45° PVC esgoto ou águas pluviais 100 mm</t>
  </si>
  <si>
    <t>Junção dupla PVC esgoto ou águas pluviais 100 mm</t>
  </si>
  <si>
    <t>Junção Simples 100 x 100 mm</t>
  </si>
  <si>
    <t>Cap PVC esgoto ou águas pluviais 100 mm</t>
  </si>
  <si>
    <t>Tê PVC esgoto ou águas pluviais 100 mm</t>
  </si>
  <si>
    <t>Tê inspeção PVC esgoto ou águas pluviais 100 mm</t>
  </si>
  <si>
    <t>Joelho com visita PVC esgoto ou águas pluviais 100x75 mm</t>
  </si>
  <si>
    <t>Redução PVC esgoto ou águas pluviais 100x75 mm</t>
  </si>
  <si>
    <t>Luva simples PVC esgoto ou águas pluviais 150 mm</t>
  </si>
  <si>
    <t>Luva de correr PVC esgoto ou águas pluviais 150 mm</t>
  </si>
  <si>
    <t>Junção PVC esgoto ou águas pluviais 150 mm</t>
  </si>
  <si>
    <t>Joelho 90° PVC esgoto ou águas pluviais 150 mm</t>
  </si>
  <si>
    <t>Joelho 45° PVC esgoto ou águas pluviais 150 mm</t>
  </si>
  <si>
    <t>Tê PVC esgoto ou águas pluviais 150 mm</t>
  </si>
  <si>
    <t>Curva longa 90° PVC esgoto ou águas pluviais 150 mm</t>
  </si>
  <si>
    <t>Cap PVC esgoto ou águas pluviais 150 mm</t>
  </si>
  <si>
    <t>Redução PVC esgoto ou águas pluviais 150 mm x 100 mm</t>
  </si>
  <si>
    <t>Joelho 45° cobre 35 mm</t>
  </si>
  <si>
    <t>Joelho 90° cobre 35 mm</t>
  </si>
  <si>
    <t>Luva cobre 35 mm</t>
  </si>
  <si>
    <t>Tê cobre 35 mm</t>
  </si>
  <si>
    <t>União cobre 35 mm</t>
  </si>
  <si>
    <t>Cap cobre 35 mm</t>
  </si>
  <si>
    <t>Joelho 45° cobre 42 mm</t>
  </si>
  <si>
    <t>Joelho 90° cobre 42 mm</t>
  </si>
  <si>
    <t>Luva cobre 42 mm</t>
  </si>
  <si>
    <t>Tê cobre 42 mm</t>
  </si>
  <si>
    <t>União cobre 42 mm</t>
  </si>
  <si>
    <t>Redução cobre 42 mm x 35 mm</t>
  </si>
  <si>
    <t>Cap cobre 42 mm</t>
  </si>
  <si>
    <t>Joelho 90° cobre 54 mm</t>
  </si>
  <si>
    <t>Joelho 45° cobre 54 mm</t>
  </si>
  <si>
    <t>Luva cobre 54 mm</t>
  </si>
  <si>
    <t>Tê cobre 54 mm</t>
  </si>
  <si>
    <t>União cobre 54 mm</t>
  </si>
  <si>
    <t>Redução cobre 54 mm x 42 mm</t>
  </si>
  <si>
    <t>Cap cobre 54 mm</t>
  </si>
  <si>
    <t>Joelho 90° cobre 66 mm</t>
  </si>
  <si>
    <t>Joelho 45° cobre 66 mm</t>
  </si>
  <si>
    <t>Luva cobre 66 mm</t>
  </si>
  <si>
    <t>Tê cobre 66 mm</t>
  </si>
  <si>
    <t>União cobre 66 mm</t>
  </si>
  <si>
    <t>Cap cobre 66 mm</t>
  </si>
  <si>
    <t>Joelho 90° cobre 79 mm</t>
  </si>
  <si>
    <t>Joelho 45º cobre 79 mm</t>
  </si>
  <si>
    <t>Luva cobre 79 mm</t>
  </si>
  <si>
    <t>Tê cobre 79 mm</t>
  </si>
  <si>
    <t>União cobre 79 mm</t>
  </si>
  <si>
    <t>Redução cobre 79 mm x 66 mm</t>
  </si>
  <si>
    <t>Redução cobre 66 mm x 54 mm</t>
  </si>
  <si>
    <t>Redução cobre 35 mm x 22 mm</t>
  </si>
  <si>
    <t>Cap cobre 79 mm</t>
  </si>
  <si>
    <t>Bucha de redução em ferro galvanizado 3/4” x 1/2”</t>
  </si>
  <si>
    <t>Bucha de redução PVC roscável 3/4” x 1/2”</t>
  </si>
  <si>
    <t>Luva de correr CPVC 22 mm – Linha Residencial</t>
  </si>
  <si>
    <t>Luva de correr CPVC 28 mm – Linha Residencial</t>
  </si>
  <si>
    <t>Prolongador para registro de pressão ou gaveta - comprimento 10, 20 ou 40 mm</t>
  </si>
  <si>
    <t>Resistência Elétrica tubular de imersão para boiler, 220 V 3000 W, rosca 1 1/2”</t>
  </si>
  <si>
    <t>Resistência Elétrica tubular de imersão para boiler, 220 V 3000 W, rosca 1 1/4”</t>
  </si>
  <si>
    <t>Luminária LED para poste 150 W</t>
  </si>
  <si>
    <t>Luminária LED para poste 230 W</t>
  </si>
  <si>
    <t>Cabo 3x10 mm²</t>
  </si>
  <si>
    <t>Poste de Concreto Circular L = 9 m</t>
  </si>
  <si>
    <t>Poste de Concreto Circular L = 12 m</t>
  </si>
  <si>
    <t>Cotovelo Macho 20 mm x 1/2” para tubo PEX para gás - GLP</t>
  </si>
  <si>
    <t>Conector Macho 26 mm  x 3/4” para tubo PEX para gás - GLP</t>
  </si>
  <si>
    <t>Tê Fêmea 26 mm x 3/4” para tubo PEX para gás - GLP</t>
  </si>
  <si>
    <t>Tubo quadrado em metalon - 50x50 mm - chapa 16</t>
  </si>
  <si>
    <t>Conector Macho 20 mm  x 1/2" para tubo PEX para gás - GLP</t>
  </si>
  <si>
    <t>Coroa diamantada completa - comprimento &gt; 40 cm, 50 mm ≤ Ø &lt; 75 mm</t>
  </si>
  <si>
    <t>Coroa diamantada completa - comprimento &gt; 40 cm, 75 mm ≤ Ø &lt; 100 mm</t>
  </si>
  <si>
    <t>Carregador de baterias 24 V para grupo motor-gerador</t>
  </si>
  <si>
    <t>Bomba Centrífuga Mancalizada, 02 estágios, Potência 25 CV (motor não incluído)</t>
  </si>
  <si>
    <t>Selo mecânico tipo 21 - Ø 1 1/4” para bombas centrífugas</t>
  </si>
  <si>
    <t>Selo mecânico tipo 21 - Ø 3/4” para bombas centrífugas</t>
  </si>
  <si>
    <t>Selo mecânico tipo 21 - Ø 5/8” para bombas centrífugas</t>
  </si>
  <si>
    <t>Bucha de redução em ferro galvanizado 3” x 2 1/2”</t>
  </si>
  <si>
    <t>Mangueira de incêndio tipo 2 - engate 2 1/2” - lance 15 m</t>
  </si>
  <si>
    <t>Rádio comunicador bidirecional - alcance até 25 km</t>
  </si>
  <si>
    <t>Desentupidora manual 4 m</t>
  </si>
  <si>
    <t>Desentupidora manual 12 m</t>
  </si>
  <si>
    <t>Conjunto de chaves fixas de 2 bocas (16 peças, de 6 a 50 mm)</t>
  </si>
  <si>
    <t>Mangueira Fina Natural 4,35 x 6,35 mm (1/4”)</t>
  </si>
  <si>
    <t>União PVC soldável 85 mm</t>
  </si>
  <si>
    <t>União PVC soldável 60 mm</t>
  </si>
  <si>
    <t>Luva de PVC soldável água fria DN 60 mm</t>
  </si>
  <si>
    <t>Luva CPVC 28 mm– Linha Residencial</t>
  </si>
  <si>
    <t>Luva CPVC 22 mm – Linha Residencial</t>
  </si>
  <si>
    <t>Tê 90° CPVC 28 mm – Linha Residencial</t>
  </si>
  <si>
    <t>Tê 90° CPVC 22 mm – Linha Residencial</t>
  </si>
  <si>
    <t>Tê de redução em aço-carbono galvanizado 2” x 1 1/2” – Água Potável e Combate a Incêndio</t>
  </si>
  <si>
    <t>União CPVC 28 mm– Linha Residencial</t>
  </si>
  <si>
    <t>União CPVC 22 mm – Linha Residencial</t>
  </si>
  <si>
    <t>Tê 45° (Junção) PVC esgoto ou águas pluviais predial DN 75 mm</t>
  </si>
  <si>
    <t>Luva de transição CPVC 3/4” x 22 mm – Linha Residencial</t>
  </si>
  <si>
    <t>Luva de transição CPVC 1/2” x 22 mm  – Linha Residencial</t>
  </si>
  <si>
    <t>Luva de transição CPVC 1” x 28 mm – Linha Residencial</t>
  </si>
  <si>
    <t>Luva de Correr PVC esgoto ou águas pluviais predial DN 100 mm</t>
  </si>
  <si>
    <t>Tubo PVC para Calha 88 mm</t>
  </si>
  <si>
    <t>Tubo PEAD corrugado para drenagem – Diâmetro 110 mm</t>
  </si>
  <si>
    <t>Joelho em cobre 22 mm x 1/2” – rosca fêmea</t>
  </si>
  <si>
    <t>Tê de redução PVC soldável água fria 60 x 50 mm</t>
  </si>
  <si>
    <t>Tê 90° PVC soldável água fria DN 60 mm</t>
  </si>
  <si>
    <t>Joelho 90° PVC soldável água fria DN 60 mm</t>
  </si>
  <si>
    <t>Joelho 90° CPVC 28 mm – Linha Residencial</t>
  </si>
  <si>
    <t>Joelho 90° CPVC 22 mm – Linha Residencial</t>
  </si>
  <si>
    <t>Joelho 90° em Cobre classe “E” 22 mm x 1/2” - rosca fêmea</t>
  </si>
  <si>
    <t>Joelho 90° em Cobre classe “E” 22 mm</t>
  </si>
  <si>
    <t>Joelho 45° CPVC 22 mm – Linha Residencial</t>
  </si>
  <si>
    <t>Joelho 45° PVC soldável água fria DN 60 mm</t>
  </si>
  <si>
    <t>Joelho 45° CPVC 28 mm – Linha Residencial</t>
  </si>
  <si>
    <t>Flange PVC soldável água fria DN 25 mm</t>
  </si>
  <si>
    <t>Flange PVC soldável água fria DN 60 mm</t>
  </si>
  <si>
    <t>Fita perfurada em aço-carbono - 17 x 0,40 mm - rolo 30 m</t>
  </si>
  <si>
    <t>União em Cobre 22 mm</t>
  </si>
  <si>
    <t>União em Cobre 28 mm</t>
  </si>
  <si>
    <t>Conector em cobre ou bronze 22 mm x 3/4” fêmea</t>
  </si>
  <si>
    <t>Conector em cobre ou bronze 22 mm x 3/4” macho</t>
  </si>
  <si>
    <t>Canopla para Sprinkler de 1/2”, em latão cromado, diâmetro externo de 6,5 cm</t>
  </si>
  <si>
    <t>Bucha de Redução em CPVC 28 x 22 mm</t>
  </si>
  <si>
    <t>Motobomba centrífuga de superfície monoestágio 15 cv - trifásica – Combate a Incêndio</t>
  </si>
  <si>
    <t>Motobomba centrífuga de superfície monoestágio 10 cv - trifásica</t>
  </si>
  <si>
    <t>Motobomba centrífuga de superfície monoestágio 7,5 cv - trifásica – Combate a Incêndio</t>
  </si>
  <si>
    <t>Motobomba centrífuga de superfície monoestágio 7,5 cv - trifásica</t>
  </si>
  <si>
    <t>Motobomba centrífuga de superfície monoestágio 5 cv - trifásica – Combate a Incêndio</t>
  </si>
  <si>
    <t>Motobomba centrífuga de superfície monoestágio 5 cv - trifásica</t>
  </si>
  <si>
    <t>Motobomba centrífuga de superfície monoestágio 3 cv - trifásica</t>
  </si>
  <si>
    <t>Motobomba centrífuga de superfície monoestágio 2 cv - trifásica - Combate a Incêndio</t>
  </si>
  <si>
    <t>Motobomba centrífuga de superfície monoestágio 2 cv - monofásica</t>
  </si>
  <si>
    <t>Motobomba centrífuga de superfície monoestágio 1,5 cv - monofásica</t>
  </si>
  <si>
    <t>Motobomba Centrífuga Submersível 15 cv – trifásica - Ø máx. sólidos ≥ 65 mm</t>
  </si>
  <si>
    <t>Motobomba Centrífuga Submersível 10 cv – trifásica - Ø máx. sólidos ≥ 70 mm</t>
  </si>
  <si>
    <t>Motobomba Centrífuga Submersível 7,5 cv - trifásica - Ø máx. sólidos ≥ 70 mm</t>
  </si>
  <si>
    <t>Motobomba Centrífuga Submersível 5 cv – trifásica - Ø máx. sólidos ≥ 60 mm</t>
  </si>
  <si>
    <t>Motobomba Centrífuga Submersível 4 cv - trifásica - Ø máx. sólidos ≥ 20 mm</t>
  </si>
  <si>
    <t>Motobomba Centrífuga Submersível 3 cv - trifásica - Ø máx. sólidos ≥ 20 mm</t>
  </si>
  <si>
    <t>Motobomba Centrífuga Submersível 2 cv - trifásica - Ø máx. sólidos ≥ 20mm</t>
  </si>
  <si>
    <t>Motobomba Centrífuga Submersível 1 cv – trifásica - Ø máx. sólidos ≥ 20 mm</t>
  </si>
  <si>
    <t>Bomba para Hidromassagem Syllent Mb63 1/3 cv Monofásica 220 V</t>
  </si>
  <si>
    <t>Aquecedor elétrico horizontal – 200 L – Linha Residencial</t>
  </si>
  <si>
    <t>Adaptador para filtro 3/8" x 1/2" - Rosca macho</t>
  </si>
  <si>
    <t>Manilha para Poço – 1,10 x 0,50 x 0,05 m</t>
  </si>
  <si>
    <t>Adaptador de saída para vaso sanitário - 100 mm</t>
  </si>
  <si>
    <t>Adaptador com Flange e Anel 85 mm x 3”</t>
  </si>
  <si>
    <t>Acoplamento Circular PVC 88 mm</t>
  </si>
  <si>
    <t>Tubo PVC soldável água fria DN 20 mm</t>
  </si>
  <si>
    <t>Tubo PVC soldável água fria DN 25 mm</t>
  </si>
  <si>
    <t>Tubo PVC soldável água fria DN 32 mm</t>
  </si>
  <si>
    <t>Tubo PVC soldável água fria DN 40 mm</t>
  </si>
  <si>
    <t>Tubo PVC soldável água fria DN 50 mm</t>
  </si>
  <si>
    <t>Tubo PVC soldável água fria DN 60 mm</t>
  </si>
  <si>
    <t>Tubo PVC esgoto ou águas pluviais predial DN 100 mm</t>
  </si>
  <si>
    <t>Tubo PVC esgoto ou águas pluviais predial DN 150 mm</t>
  </si>
  <si>
    <t>Tubo PVC esgoto ou águas pluviais predial DN 50 mm</t>
  </si>
  <si>
    <t>Tubo PVC esgoto ou águas pluviais predial DN 75 mm</t>
  </si>
  <si>
    <t>Tubo de cobre classe “E” 22 mm</t>
  </si>
  <si>
    <t>Tubo de cobre classe “E” 42 mm</t>
  </si>
  <si>
    <t>Tubo de cobre classe “E” 35 mm</t>
  </si>
  <si>
    <t>Tubo de cobre classe “E” 54 mm</t>
  </si>
  <si>
    <t>Tubo de cobre classe “E” 66 mm</t>
  </si>
  <si>
    <t>Tubo de cobre classe “E” 79 mm</t>
  </si>
  <si>
    <t>Tubo de cobre classe “E” 104 mm</t>
  </si>
  <si>
    <t>Registro Esfera PVC VS Soldável 60 mm</t>
  </si>
  <si>
    <t>Ralo Linear com Grelha Inox 70 cm</t>
  </si>
  <si>
    <t>Manômetro DN100 (4”) até 150 psi - COM glicerina</t>
  </si>
  <si>
    <t>Manômetro DN63 (2 1/2”) até 150 psi - COM glicerina</t>
  </si>
  <si>
    <t>Manômetro DN63 (2 1/2”) até 150 psi - Seco</t>
  </si>
  <si>
    <t>Grelha quadrada para ralo 10x10 cm</t>
  </si>
  <si>
    <t>Grelha quadrada para ralo 15x15 cm</t>
  </si>
  <si>
    <t>Ligação flexível em PVC - 40 cm</t>
  </si>
  <si>
    <t>Prolongador de PVC para Caixa de Gordura - DN 300 mm</t>
  </si>
  <si>
    <t>Bacia conforto (h = 44 cm) – Linha Acessibilidade</t>
  </si>
  <si>
    <t>Barra de apoio 40 cm - Linha Acessibilidade</t>
  </si>
  <si>
    <t>Barra de apoio lateral fixa 30 cm - Linha Acessibilidade</t>
  </si>
  <si>
    <t>Disjuntor tripolar trilho DIN até 40 A</t>
  </si>
  <si>
    <t>Armação de aço CA-60 bitolas de 5,0 mm a 8,00 mm</t>
  </si>
  <si>
    <t>Estaca escavada mecanicamente - 40 cm de diâmetro</t>
  </si>
  <si>
    <t>Concreto Usinado, fck = 25 MPa</t>
  </si>
  <si>
    <t>Arrasamento mecânico de estacas de concreto armado com diâmetros de até 40 cm</t>
  </si>
  <si>
    <t>Estaca escavada manualmente de diâmetro 30 cm</t>
  </si>
  <si>
    <t>Furo em concreto de até 40 mm de diâmetro</t>
  </si>
  <si>
    <t>Concreto virado em betoneira, fck = 20 MPa</t>
  </si>
  <si>
    <t>Armação de aço CA-25 bitola de 16 mm</t>
  </si>
  <si>
    <t>Graute industrializado, fck ≥ 100 MPa</t>
  </si>
  <si>
    <t>Marreta oitavada 1000 g</t>
  </si>
  <si>
    <t>Alicate crimpador com catraca para terminal tubular até 6 mm²</t>
  </si>
  <si>
    <t>Alicate crimpador com catraca para terminal pré-isolado até 6 mm²</t>
  </si>
  <si>
    <t>Alicate crimpador manual para terminal pré-isolado até 16 mm²</t>
  </si>
  <si>
    <t>Grupo motor-gerador 3 kVA</t>
  </si>
  <si>
    <t>Grupo motor-gerador 6 kVA</t>
  </si>
  <si>
    <t>Ferro de solda 25 W</t>
  </si>
  <si>
    <t>Ferro de solda 50 W</t>
  </si>
  <si>
    <t>Autotransformador 300 VA</t>
  </si>
  <si>
    <t>Autotransformador 500 VA</t>
  </si>
  <si>
    <t>Autotransformador 1000 VA</t>
  </si>
  <si>
    <t>Placa de sinalização em PVC 2 mm</t>
  </si>
  <si>
    <t>Mastro 2 m</t>
  </si>
  <si>
    <t>Mastro 3 m</t>
  </si>
  <si>
    <t>Mastro 4 m</t>
  </si>
  <si>
    <t>Mastro 6 m</t>
  </si>
  <si>
    <t>Estaiamento para mastro 1,5 m</t>
  </si>
  <si>
    <t>Estaiamento para mastro 2 m</t>
  </si>
  <si>
    <t>Estaiamento para mastro 3 m</t>
  </si>
  <si>
    <t>Haste de aterramento 5/8" x 2,4 m</t>
  </si>
  <si>
    <t>Haste de aterramento 5/8" x 3 m</t>
  </si>
  <si>
    <t>Haste de aterramento 3/4" x 2,4 m</t>
  </si>
  <si>
    <t>Haste de aterramento 3/4" x 3 m</t>
  </si>
  <si>
    <t>Quadro de comando plástico 300 x 200 x 130 mm tampa opaca</t>
  </si>
  <si>
    <t>Quadro de comando plástico 300 x 200 x 130 mm tampa transparente</t>
  </si>
  <si>
    <t>Quadro de comando plástico 300 x 300 x 150 mm tampa opaca</t>
  </si>
  <si>
    <t>Quadro de comando plástico 300 x 300 x 150 mm tampa transparente</t>
  </si>
  <si>
    <t>Quadro de comando plástico 450 x 300 x 200 mm tampa opaca</t>
  </si>
  <si>
    <t>Quadro de comando plástico 450 x 300 x 200 mm tampa transparente</t>
  </si>
  <si>
    <t>Caixa para montagem 210 x 185 x 160 mm</t>
  </si>
  <si>
    <t>Quadro 200 x 200 x 120 mm</t>
  </si>
  <si>
    <t>Quadro 400 x 300 x 200 mm</t>
  </si>
  <si>
    <t>Quadro 400 x 400 x 250 mm</t>
  </si>
  <si>
    <t>Quadro 600 x 400 x 250 mm</t>
  </si>
  <si>
    <t>Quadro 600 x 600 x 250 mm</t>
  </si>
  <si>
    <t>Quadro 800 x 600 x 250 mm</t>
  </si>
  <si>
    <t>Quadro 1000 x 600 x 300 mm</t>
  </si>
  <si>
    <t>Quadro 1200 x 800 x 300 mm</t>
  </si>
  <si>
    <t>Quadro autoportante 1800 x 600 x 600 mm</t>
  </si>
  <si>
    <t>Quadro autoportante 1800 x 800 x 600 mm</t>
  </si>
  <si>
    <t>Quadro autoportante 2000 x 600 x 600 mm</t>
  </si>
  <si>
    <t>Quadro autoportante 2000 x 800 x 800 mm</t>
  </si>
  <si>
    <t>Caixa de passagem 80 x 80 x 45 mm</t>
  </si>
  <si>
    <t>Caixa de passagem 100 x 100 x 55 mm</t>
  </si>
  <si>
    <t>Caixa de passagem 150 x 110 x 70 mm</t>
  </si>
  <si>
    <t>Caixa de passagem 170 x 145 x 90 mm</t>
  </si>
  <si>
    <t>Conjunto motor de portão industrial 2500 kg</t>
  </si>
  <si>
    <t>Conjunto motor de portão industrial 2200 kg</t>
  </si>
  <si>
    <t>Curva horizontal 90 graus para leito 400 x 100 mm</t>
  </si>
  <si>
    <t>Curva vertical 90 graus para leito 400 x 100 mm</t>
  </si>
  <si>
    <t>Tê horizontal 90 graus para leito 400 x 100 mm</t>
  </si>
  <si>
    <t>Curva horizontal 90 graus para leito 600 x 100 mm</t>
  </si>
  <si>
    <t>Curva vertical 90 graus para leito 600 x 100 mm</t>
  </si>
  <si>
    <t>Tê horizontal 90 graus para leito 600 x 100 mm</t>
  </si>
  <si>
    <t>Curva horizontal 90 graus para leito 800 x 100 mm</t>
  </si>
  <si>
    <t>Curva vertical 90 graus para leito 800 x 100 mm</t>
  </si>
  <si>
    <t>Tê horizontal 90 graus para leito 800 x 100 mm</t>
  </si>
  <si>
    <t xml:space="preserve">Leito 400 x 100 mm </t>
  </si>
  <si>
    <t xml:space="preserve">Leito 600 x 100 mm </t>
  </si>
  <si>
    <t>Leito 800 x 100 mm (material)</t>
  </si>
  <si>
    <t>Tomada 10 A para móveis</t>
  </si>
  <si>
    <t>Tomada 20 A para móveis</t>
  </si>
  <si>
    <t>Módulo tomada 10 A de encaixe</t>
  </si>
  <si>
    <t>Módulo tomada 20 A de encaixe</t>
  </si>
  <si>
    <t>Espelho 4 x 2"</t>
  </si>
  <si>
    <t>Espelho 4 x 4"</t>
  </si>
  <si>
    <t>Suporte para espelho 4 x 2"</t>
  </si>
  <si>
    <t>Suporte para espelho 4 x 4"</t>
  </si>
  <si>
    <t>Caixa de piso 4 x 2"</t>
  </si>
  <si>
    <t>Caixa de piso 4 x 4"</t>
  </si>
  <si>
    <t xml:space="preserve">Tampa cega metálica para caixas de piso 4 x 2" </t>
  </si>
  <si>
    <t>Tampa cega metálica para caixas de piso 4 x 4"</t>
  </si>
  <si>
    <t>Tampa unha simples metálica para caixas de piso 4 x 2"</t>
  </si>
  <si>
    <t>Tampa unha simples metálica para caixas de piso 4 x 4"</t>
  </si>
  <si>
    <t>Tampa unha dupla metálica para caixas de piso 4 x 4"</t>
  </si>
  <si>
    <t xml:space="preserve">Caixa de passagem em alumínio 100 x 100 x 50 mm </t>
  </si>
  <si>
    <t>Caixa de passagem em alumínio 150 x 150 x 100mm</t>
  </si>
  <si>
    <t xml:space="preserve">Caixa de passagem em alumínio 200 x 200 x 100mm </t>
  </si>
  <si>
    <t>Caixa de passagem em alumínio 300 x 300 x 120mm</t>
  </si>
  <si>
    <t>Caixa de passagem em alumínio 400 x 400 x 200mm</t>
  </si>
  <si>
    <t>Caixa de passagem em aço 400 x 400 x 150mm</t>
  </si>
  <si>
    <t xml:space="preserve">Caixa de passagem em PVC 150 x 150 x 75mm </t>
  </si>
  <si>
    <t>Caixa de passagem em PVC 200 x 200 x 85mm</t>
  </si>
  <si>
    <t xml:space="preserve">Caixa 4 x 2" de embutir para alvenaria </t>
  </si>
  <si>
    <t xml:space="preserve">Caixa 4 x 4" de embutir para alvenaria </t>
  </si>
  <si>
    <t xml:space="preserve">Caixa 4 x 2" para drywall </t>
  </si>
  <si>
    <t xml:space="preserve">Caixa 4 x 4" para drywall </t>
  </si>
  <si>
    <t>Reator para lâmpada PL até 42 W</t>
  </si>
  <si>
    <t>Reator para 2 lâmpadas fluorescentes T8 32 W</t>
  </si>
  <si>
    <t>Reator para 1 lâmpada fluorescente T8 16 W</t>
  </si>
  <si>
    <t>Reator para 2 lâmpadas fluorescentes T8 16 W</t>
  </si>
  <si>
    <t>Reator para 1 lâmpada fluorescente T8 32 W</t>
  </si>
  <si>
    <t>Driver para LED 320 W</t>
  </si>
  <si>
    <t>Driver para LED 60 W IP65</t>
  </si>
  <si>
    <t>Driver para LED 30 W IP65</t>
  </si>
  <si>
    <t>Driver para LED 60 W</t>
  </si>
  <si>
    <t>Driver para LED 30 W</t>
  </si>
  <si>
    <t>Lâmpada Halógena 300 W</t>
  </si>
  <si>
    <t>Luminária LED Downlight 14 W</t>
  </si>
  <si>
    <t>Luminária LED Downlight 25 W</t>
  </si>
  <si>
    <t>Luminária LED Downlight 35 W</t>
  </si>
  <si>
    <t>Luminária Hermética 2x14 W</t>
  </si>
  <si>
    <t>Luminária Hermética 1x28 W</t>
  </si>
  <si>
    <t>Luminária Hermética 2x28 W</t>
  </si>
  <si>
    <t>Luminária LED Highbay 60 W</t>
  </si>
  <si>
    <t>Luminária LED Highbay 80 W</t>
  </si>
  <si>
    <t>Luminária LED Highbay 120 W</t>
  </si>
  <si>
    <t>Luminária LED Highbay 150 W</t>
  </si>
  <si>
    <t>Luminária LED Highbay 200 W</t>
  </si>
  <si>
    <t>Luminária LED Linear 8 W</t>
  </si>
  <si>
    <t>Luminária LED Linear 14 W</t>
  </si>
  <si>
    <t>Luminária LED Linear 20 W</t>
  </si>
  <si>
    <t>Luminária LED Linear tipo calha 16 W</t>
  </si>
  <si>
    <t>Luminária LED Linear tipo calha 32 W</t>
  </si>
  <si>
    <t>Lâmpada fluorescente T5 14 W</t>
  </si>
  <si>
    <t>Lâmpada fluorescente T5 28 W</t>
  </si>
  <si>
    <t>Lâmpada fluorescente T8 16 W</t>
  </si>
  <si>
    <t>Lâmpada fluorescente T8 32 W</t>
  </si>
  <si>
    <t>Lâmpada PL 9 W</t>
  </si>
  <si>
    <t>Lâmpada PL 26 W</t>
  </si>
  <si>
    <t>Lâmpada PL 36 W</t>
  </si>
  <si>
    <t>Tubo LED T8 18 W</t>
  </si>
  <si>
    <t>Tubo LED T8 18 W HO</t>
  </si>
  <si>
    <t>Tubo LED T8 9 W</t>
  </si>
  <si>
    <t>Tubo LED T5 26 W HO</t>
  </si>
  <si>
    <t>Tubo LED T5 15 W</t>
  </si>
  <si>
    <t>Tubo LED T5 7,5 W</t>
  </si>
  <si>
    <t>Lâmpada LED Bulbo 6 W</t>
  </si>
  <si>
    <t>Lâmpada LED Bulbo 8 W</t>
  </si>
  <si>
    <t>Lâmpada LED Bulbo 9,5 W</t>
  </si>
  <si>
    <t>Lâmpada LED Bulbo 12 W</t>
  </si>
  <si>
    <t>Lâmpada LED 17 W</t>
  </si>
  <si>
    <t>Lâmpada LED 30 W</t>
  </si>
  <si>
    <t>Lâmpada LED 40 W</t>
  </si>
  <si>
    <t>Lâmpada LED 65 W</t>
  </si>
  <si>
    <t>Lâmpada LED 80 W</t>
  </si>
  <si>
    <t>Lâmpada LED 100 W</t>
  </si>
  <si>
    <t>Lâmpada LED 120 W</t>
  </si>
  <si>
    <t>Poste reto 3 m</t>
  </si>
  <si>
    <t>Poste reto 5 m</t>
  </si>
  <si>
    <t>Poste curvo simples 8 m</t>
  </si>
  <si>
    <t>Poste curvo simples 12 m</t>
  </si>
  <si>
    <t>Poste curvo duplo 8 m</t>
  </si>
  <si>
    <t>Luminária para poste 70 W</t>
  </si>
  <si>
    <t>Luminária para poste 250 W</t>
  </si>
  <si>
    <t>Luminária para poste 400 W</t>
  </si>
  <si>
    <t>Luminária LED para poste 20 W</t>
  </si>
  <si>
    <t>Luminária LED para poste 30 W</t>
  </si>
  <si>
    <t>Luminária LED para poste 90 W</t>
  </si>
  <si>
    <t>Luminária LED para poste 210 W</t>
  </si>
  <si>
    <t>Luminária LED Wall Washer 36 W</t>
  </si>
  <si>
    <t>Luminária LED Wall Washer 72 W</t>
  </si>
  <si>
    <t xml:space="preserve">Luminária LED para poste 60 W </t>
  </si>
  <si>
    <t xml:space="preserve">Luminária LED para poste 120 W </t>
  </si>
  <si>
    <t>Furo em concreto de 40 mm até 75 mm de diâmetro</t>
  </si>
  <si>
    <t>Furo em concreto para diâmetros maiores que 75 mm</t>
  </si>
  <si>
    <t>Concreto virado em betoneira, fck = 25 MPa</t>
  </si>
  <si>
    <t>Reboco com argamassa industrializada e = 2,0 cm</t>
  </si>
  <si>
    <t>Regularização com argamassa industrializada e = 0,5 cm</t>
  </si>
  <si>
    <t>Contrapiso em argamassa (e = 2 cm) ou Regularização de contrapiso existente</t>
  </si>
  <si>
    <t>Granito Cinza Andorinha 20 mm para rodabancada</t>
  </si>
  <si>
    <t>Granito Cinza Andorinha 20 mm para bancadas</t>
  </si>
  <si>
    <t>Granito Cinza Andorinha 20 mm para divisória</t>
  </si>
  <si>
    <t>Granito Preto São Gabriel 20 mm para rodabancada</t>
  </si>
  <si>
    <t>Granito Preto São Gabriel 20 mm para bancadas</t>
  </si>
  <si>
    <t>Mármore Branco Especial 20 mm para rodabancada</t>
  </si>
  <si>
    <t>Forro de PVC em réguas de 100 x 6000 mm</t>
  </si>
  <si>
    <t>Forro de PVC em réguas de 100 x 6000 mm, sem estrutura</t>
  </si>
  <si>
    <t>Vidro liso comum transparente 4 mm</t>
  </si>
  <si>
    <t>Vidro liso comum transparente 6 mm</t>
  </si>
  <si>
    <t>Espelho cristal, e = 5 mm</t>
  </si>
  <si>
    <t>Persiana vertical em tecido Juta Resinado sem blecaute de 90 mm, cor bege</t>
  </si>
  <si>
    <t>Persiana vertical em tecido sintético sem blecaute de 90 mm, cores verde escuro ou branca</t>
  </si>
  <si>
    <t>Tubo PVC esgoto ou aguas pluviais predial DN 100 mm</t>
  </si>
  <si>
    <t>Tubo PVC esgoto ou aguas pluviais predial DN 40 mm</t>
  </si>
  <si>
    <t>Tubo PVC esgoto ou aguas pluviais predial DN 50 mm</t>
  </si>
  <si>
    <t>Tubo PVC esgoto ou aguas pluviais predial DN 75 mm</t>
  </si>
  <si>
    <t>Grelha quadrada para ralo 10 x 10 cm</t>
  </si>
  <si>
    <t>Grelha quadrada para ralo 15 x 15 cm</t>
  </si>
  <si>
    <t>Ralo seco PVC DN 100 x 40 mm</t>
  </si>
  <si>
    <t>Barra de apoio 40 cm – Linha Acessibilidade</t>
  </si>
  <si>
    <t>Barra de apoio 70 cm – Linha Acessibilidade</t>
  </si>
  <si>
    <t>Barra de apoio 80 cm – Linha Acessibilidade</t>
  </si>
  <si>
    <t>Barra de apoio lateral fixa 30 cm – Linha Acessibilidade</t>
  </si>
  <si>
    <t>Caixa 4 x 2" de embutir para alvenaria</t>
  </si>
  <si>
    <t>Caixa 4 x 2" para drywall</t>
  </si>
  <si>
    <t>Caixa 4 x 4" de embutir para alvenaria</t>
  </si>
  <si>
    <t>Caixa 4 x 4" para drywall</t>
  </si>
  <si>
    <t>Caixa de passagem em alumínio 100 x 100 x 50 mm</t>
  </si>
  <si>
    <t>Caixa de passagem em alumínio 200 x 200 x 100mm</t>
  </si>
  <si>
    <t>Caixa de passagem em PVC 150 x 150 x 75 mm</t>
  </si>
  <si>
    <t>Canaleta em alumínio aparente 73 mm x 25 mm</t>
  </si>
  <si>
    <t>Eletrocalha 100 x 50 mm</t>
  </si>
  <si>
    <t>Eletrocalha 200 x 100 mm</t>
  </si>
  <si>
    <t>Eletrocalha 200 x 50 mm</t>
  </si>
  <si>
    <t>Eletrocalha 300 x 100 mm</t>
  </si>
  <si>
    <t>Eletrocalha 300 x 50 mm</t>
  </si>
  <si>
    <t>Eletrocalha 400 x 50 mm</t>
  </si>
  <si>
    <t>Eletrocalha 50 x 50 mm</t>
  </si>
  <si>
    <t>Eletroduto de PVC Corrugado Reforçado 1'' (DE 32 mm)</t>
  </si>
  <si>
    <t>Eletroduto de PVC Corrugado Reforçado 3/4'' (DE 25 mm)</t>
  </si>
  <si>
    <t>Perfilado 38 x 38 mm</t>
  </si>
  <si>
    <t xml:space="preserve">Espelho 4 x 2" </t>
  </si>
  <si>
    <t xml:space="preserve">Espelho 4 x 4" </t>
  </si>
  <si>
    <t>Tampa cega metálica para caixas de piso 4 x 2"</t>
  </si>
  <si>
    <t xml:space="preserve">Tampa cega metálica para caixas de piso 4 x 4" </t>
  </si>
  <si>
    <t>Difusor de ar quadrado com caixa plenum AK6 360 x 360 mm</t>
  </si>
  <si>
    <t>Difusor de ar quadrado para insuflamento em duas direções perpendiculares 376 x 376 mm</t>
  </si>
  <si>
    <t>Difusor de ar retangular para insuflamento em duas direções 371 x 208 mm</t>
  </si>
  <si>
    <t>Difusor de ar retangular para insuflamento em três direções 264 x 432 mm</t>
  </si>
  <si>
    <t>Difusor de ar retangular para insuflamento em três direções 320 x 562 mm</t>
  </si>
  <si>
    <t>Difusor de ar retangular para insuflamento em três direções 371 x 208 mm</t>
  </si>
  <si>
    <t>Difusor de ar retangular para insuflamento em uma direção 371 x 208 mm</t>
  </si>
  <si>
    <t>Grelha para retorno retangular 425 x 225 mm</t>
  </si>
  <si>
    <t>Grelha para retorno retangular 525 x 325 mm</t>
  </si>
  <si>
    <t>Folha de porta em madeira 2,10 x 0,60m, pintada</t>
  </si>
  <si>
    <t>Folha de porta em madeira 2,10 x 0,70m, pintada</t>
  </si>
  <si>
    <t>Folha de porta em madeira 2,10 x 0,80m, pintada</t>
  </si>
  <si>
    <t>Folha de porta em madeira 2,10 x 0,90m, pintada</t>
  </si>
  <si>
    <t>Folha de porta em madeira 2,10 x 1,0m, pintada</t>
  </si>
  <si>
    <t>Grelha para retorno para portas, divisórias e paredes 525 x 325 mm</t>
  </si>
  <si>
    <t>Suporte para prateleira redondo - 10 mm x 15 mm</t>
  </si>
  <si>
    <t>Puxador em Botão côncavo de 25 mm de diâmetro</t>
  </si>
  <si>
    <t>Puxador em botão convexo de 25 mm de diâmetro</t>
  </si>
  <si>
    <t>Puxador alça 102 mm</t>
  </si>
  <si>
    <t>Puxador tipo “C” em arco - 128 mm</t>
  </si>
  <si>
    <t>Puxador tipo “C” em arco - 96 mm</t>
  </si>
  <si>
    <t>Batedor de porta cilíndrico de 25 mm x 25 mm</t>
  </si>
  <si>
    <t>Painel de MDF Laminado – Branco - 06 mm</t>
  </si>
  <si>
    <t>Painel de MDF Laminado – Ovo - 06 mm</t>
  </si>
  <si>
    <t>Painel de MDF Laminado - Branco - 15 mm</t>
  </si>
  <si>
    <t>Painel de MDF Laminado – Ovo - 15 mm</t>
  </si>
  <si>
    <t>Painel de MDF Laminado – Branco - 18 mm</t>
  </si>
  <si>
    <t>Painel de MDF Laminado – Ovo - 18 mm</t>
  </si>
  <si>
    <t>Perfil trilho Stanley 60 mm x 55 mm, # 16</t>
  </si>
  <si>
    <t>Perfil U Enrijecido 100 mm x 50 mm x 17 mm</t>
  </si>
  <si>
    <t>Tubo quadrado em metalon - 16 x 16 mm a 20 x 20 mm - chapa 18</t>
  </si>
  <si>
    <t>Tubo quadrado em metalon - 25 x 25 mm a 40 x 40 mm - chapa 18</t>
  </si>
  <si>
    <t>Tubo quadrado em metalon - 50 x 50 mm - chapa 18</t>
  </si>
  <si>
    <t>Tubo retangular em metalon - 30 x 20 mm - chapa 18</t>
  </si>
  <si>
    <t>Tubo retangular em metalon - 40 x 20 mm a 50 x 30 mm - chapa 18</t>
  </si>
  <si>
    <t>Concertina simples em aço galvanizado, lâminas de 22 x 15 mm, diâmetro 45 cm (rolo com 40 espiras)</t>
  </si>
  <si>
    <t>Arame galvanizado, bitola 16 BWG (1,65 mm)</t>
  </si>
  <si>
    <t>Argamassa Colante tipo AC-III</t>
  </si>
  <si>
    <t>Vergalhão Ca-60 Diâmetro 5,0 mm</t>
  </si>
  <si>
    <t>Vergalhão Ca-50 Diâmetro 6,3 mm</t>
  </si>
  <si>
    <t>Vergalhão Ca-50 Diâmetro 8,0 mm</t>
  </si>
  <si>
    <t>Vergalhão Ca-50 Diâmetro 10,0 mm</t>
  </si>
  <si>
    <t>Vergalhão Ca-50 Diâmetro 12,5 mm</t>
  </si>
  <si>
    <t>Parafuso Philips Cabeça Chata - 3.0 x 16 mm</t>
  </si>
  <si>
    <t>Parafuso Philips Cabeça Chata - 3.0 x 22 mm</t>
  </si>
  <si>
    <t>Parafuso Philips Cabeça Chata - 3.0 x 25 mm</t>
  </si>
  <si>
    <t>Parafuso Philips Cabeça Chata - 3.0 x 30 mm</t>
  </si>
  <si>
    <t>Parafuso Philips Cabeça Chata - 3.5 x 14 mm</t>
  </si>
  <si>
    <t>Parafuso Philips Cabeça Chata - 3.5 x 16 mm</t>
  </si>
  <si>
    <t>Parafuso Philips Cabeça Chata - 3.5 x 20 mm</t>
  </si>
  <si>
    <t>Parafuso Philips Cabeça Chata - 3.5 x 30 mm</t>
  </si>
  <si>
    <t>Parafuso Philips Cabeça Chata - 3.5 x 35 mm</t>
  </si>
  <si>
    <t>Parafuso Philips Cabeça Chata - 3.5 x 40 mm</t>
  </si>
  <si>
    <t>Parafuso Phillips Cabeça Chata - 4.0 x 45 mm</t>
  </si>
  <si>
    <t>Parafuso Phillips Cabeça Chata - 4.0 x 40 mm</t>
  </si>
  <si>
    <t>Parafuso Phillips Cabeça Chata - 4.0 x 50 mm</t>
  </si>
  <si>
    <t>Parafuso Phillips cabeça chata - 4.0 x 60 mm</t>
  </si>
  <si>
    <t>Parafuso Philips Cabeça Chata - 4.0 x 30 mm</t>
  </si>
  <si>
    <t>Parafuso Philips Cabeça Chata - 4.0 x 35 mm</t>
  </si>
  <si>
    <t xml:space="preserve">Parafuso Philips Cabeça Chata - 5.0 x 60 mm </t>
  </si>
  <si>
    <t>Parafuso Philips Cabeça Chata - 6.0 x 60 mm</t>
  </si>
  <si>
    <t>Parafuso Philips Cabeça Chata - 6.0 x 65 mm</t>
  </si>
  <si>
    <t>Parafuso Philips Cabeça Oval - 4.0 x 16 mm</t>
  </si>
  <si>
    <t>Escala métrica de madeira 2 m</t>
  </si>
  <si>
    <t>Linha de pedreiro de 100 m</t>
  </si>
  <si>
    <t>Marreta de borracha de 600 g</t>
  </si>
  <si>
    <t>Martelo de bola 500 g</t>
  </si>
  <si>
    <t>Martelo de pena 300 g</t>
  </si>
  <si>
    <t>Régua de alumínio para pedreiro com 2 m</t>
  </si>
  <si>
    <t>Conjunto de Solda Mig 250 A</t>
  </si>
  <si>
    <t>Máquina de solda inversora AC/DC 180 A 220 V</t>
  </si>
  <si>
    <t>Betoneira monofásica 400 L</t>
  </si>
  <si>
    <t>Martelete demolidor 2 kW (30 kg)</t>
  </si>
  <si>
    <t>Rolo lã de carneiro 23 cm com suporte</t>
  </si>
  <si>
    <t>Trilho superior em alumínio 60 mm x 49,5 mm, para vidro temperado</t>
  </si>
  <si>
    <t>Perfil em alumínio, tipo U - abas iguais - PU 5/8" x 5/8" – espessura 1,58 mm</t>
  </si>
  <si>
    <t>Perfil guia inferior de alumínio 39,3 mm x 24 mm para vidro temperado 10 mm</t>
  </si>
  <si>
    <t>Puxador metálico - diâmetro de 22 mm a 25 mm</t>
  </si>
  <si>
    <t>Vedapress 10 mm</t>
  </si>
  <si>
    <t>Tubo de alumínio quadrado 50 x 50 mm</t>
  </si>
  <si>
    <t>Armação de aço CA-50 bitolas de 5,0 mm a 8,00 mm</t>
  </si>
  <si>
    <t>Vidro fumê / bronze temperado 10 mm</t>
  </si>
  <si>
    <t>Vidro fumê/bronze 5 mm</t>
  </si>
  <si>
    <t>Vidro fantasia 4 mm (canelado, martelado, pontilhado e mini-boreal)</t>
  </si>
  <si>
    <t>Tampa em ferro fundido T-33</t>
  </si>
  <si>
    <t>Mármore branco especial, e = 30 mm, instalação em fixadores metálicos existentes (modelo Edifício Principal)</t>
  </si>
  <si>
    <t>Corda de poliéster 8 mm</t>
  </si>
  <si>
    <t>Painel de MDF Laminado – Ovo - 25 mm</t>
  </si>
  <si>
    <t>Rodízio Giratório sem Freio - 2"</t>
  </si>
  <si>
    <t>Porta metálica de giro com dimensões 0,92 x 2,20 m</t>
  </si>
  <si>
    <t>Esquadria metálica de 4 folhas fixas com dimensões de 5,30 x 1,00 m – Bloco 19 (Centro de Treinamento)</t>
  </si>
  <si>
    <t>Esquadria metálica de 3 folhas, sendo 2 folhas fixas e 1 de correr com dimensões de 4,10 x 1,15 m – Bloco 19 (Centro de Treinamento)</t>
  </si>
  <si>
    <t>Esquadria metálica de 2 folhas basculante com dimensões de 2,31 x 0,45 m – Bloco 19 (Centro de Treinamento)</t>
  </si>
  <si>
    <t>Esquadria metálica de 4 folhas, sendo 2 fixas e 2 de correr dimensões de 5,30 x 1,15 m – Bloco 19 (Centro de Treinamento)</t>
  </si>
  <si>
    <t>Esquadria metálica de 4 folhas, sendo 2 folhas fixas e 2 folhas de correr, com dimensões total de 5,15 x 1,00 m  – Bloco 19 (Centro de Treinamento)</t>
  </si>
  <si>
    <t>Perfil Veneziana Enrijecido 70 x 19 mm</t>
  </si>
  <si>
    <t>Perfil U Enrijecido 150 mm x 40 mm x 15 mm</t>
  </si>
  <si>
    <t>Perfil Trilho Peitoril - 150 mm</t>
  </si>
  <si>
    <t>Trena de 100 m</t>
  </si>
  <si>
    <t>Placa de Concreto Pré-Moldado 15 MPa</t>
  </si>
  <si>
    <t>Perfil “U” em aço 25 x 25 mm</t>
  </si>
  <si>
    <t>Tubo retangular em aço 100 x 50 mm</t>
  </si>
  <si>
    <t>Conjunto de porta metálica de giro com dimensões 0,80 x 2,10 m e painel fixo</t>
  </si>
  <si>
    <t>Telha de fibrocimento modulada - espessura 8 mm</t>
  </si>
  <si>
    <t>Telha de fibrocimento ondulada - espessura 6 mm</t>
  </si>
  <si>
    <t>Regularização de substrato para Impermeabilização - 3 cm</t>
  </si>
  <si>
    <t>Regularização de substrato para Impermeabilização - 6 cm</t>
  </si>
  <si>
    <t>Conjunto Pé de cabra 15" x 16 mm e 24" x 19 mm</t>
  </si>
  <si>
    <t>Martelete demolidor 1 kW (5 Kg)</t>
  </si>
  <si>
    <t>Mangueira de nível de 20 m</t>
  </si>
  <si>
    <t>Substituição de infraestrutura elétrica no Bloco D – Modernização de Elevadores na SQS 309</t>
  </si>
  <si>
    <t>Serviços Preliminares (instalação de canteiro, mobilização de equipamentos e mão de obra e substituição de infraestrutura elétrica nos Blocos C e G) – Modernização de Elevadores na SQS 309</t>
  </si>
  <si>
    <t>Estudo de Viabilidade Técnica, Laudo Técnico, Projeto Executivo, Projeto de Segurança do Trabalho, Planejamento da Obra e Plano de Manutenção – Modernização de Elevadores na SQS 309</t>
  </si>
  <si>
    <t>Serviços de Assistência Técnica – Modernização de Elevadores na SQS 309</t>
  </si>
  <si>
    <t>Perfil cadeirinha em alumínio com encaixe para escova de vedação para vidro temperado 8 mm</t>
  </si>
  <si>
    <t>Perfil em alumínio para acabamento de trilho superior - Vidro temperado 8 mm</t>
  </si>
  <si>
    <t>Capa do Perfil Guia Inferior “Click” - Vidro temperado 8 mm</t>
  </si>
  <si>
    <t>Perfil guia inferior de alumínio para porta de giro em vidro temperado 8 mm</t>
  </si>
  <si>
    <t>Perfil guia inferior de alumínio para porta de correr em vidro temperado 8 mm</t>
  </si>
  <si>
    <t>Trilho superior em alumínio 53,8 mm x 49,6 mm, para vidro temperado</t>
  </si>
  <si>
    <t>Perfil em alumínio, tipo U - 10,5 x 20 mm - para box de vidro temperado 8 mm</t>
  </si>
  <si>
    <t>Perfil em alumínio , tipo U –  14 x 20 mm - para box de vidro temperado 8 mm</t>
  </si>
  <si>
    <t>Folha de porta em madeira e MDF 2,10 x 0,60 m</t>
  </si>
  <si>
    <t>Folha de porta em madeira e MDF 2,10 x 0,70 m</t>
  </si>
  <si>
    <t>Folha de porta em madeira e MDF 2,10 x 0,80 m</t>
  </si>
  <si>
    <t>Folha de porta em madeira e MDF 2,10 x 0,90 m</t>
  </si>
  <si>
    <t>Cerâmica 30 x 60 cm - Glacier White - Portobello – Linha Residencial</t>
  </si>
  <si>
    <t>Tubo CPVC soldável 28 mm – Linha Residencial</t>
  </si>
  <si>
    <t>Caixa de Passagem Subterrânea 1600 x 2000 mm</t>
  </si>
  <si>
    <t>Leito 400 x 100 mm</t>
  </si>
  <si>
    <t>Leito 600 x 100 mm</t>
  </si>
  <si>
    <t>Caixa de Passagem Subterrânea 300 x 300 x 500mm</t>
  </si>
  <si>
    <t>Caixa de Passagem Subterrânea 600 x 600 x 800mm</t>
  </si>
  <si>
    <t>Kit terminal para cabo de potência, 8,7 kV / 15 kV, 95 mm²</t>
  </si>
  <si>
    <t>Kit terminal para cabo de potência, 8,7 kV / 15 kV, 240 mm²</t>
  </si>
  <si>
    <t>Leito 800 x 100 mm</t>
  </si>
  <si>
    <t>Trilho DIN 35 mm</t>
  </si>
  <si>
    <t>Spira-duto 1/8"</t>
  </si>
  <si>
    <t>Spira-duto 1/4"</t>
  </si>
  <si>
    <t>Spira-duto 1/2"</t>
  </si>
  <si>
    <t>Spira-duto 3/4"</t>
  </si>
  <si>
    <t>Ventoinha 120 mm</t>
  </si>
  <si>
    <t>Canaleta em alumínio 73 mm x 25 mm</t>
  </si>
  <si>
    <t>Curva para canaleta em alumínio 73 mm x 25 mm</t>
  </si>
  <si>
    <t>Adaptador de eletroduto para canaleta em alumínio 73 mm x 25 mm</t>
  </si>
  <si>
    <t>Tampa terminal para canaleta em alumínio 73 mm x 25 mm</t>
  </si>
  <si>
    <t>Derivação tipo X para canaleta em alumínio 73 mm x 25 mm</t>
  </si>
  <si>
    <t>Canaleta em alumínio 53 mm x 14 mm</t>
  </si>
  <si>
    <t>Curva para canaleta em alumínio 53 mm x 14 mm</t>
  </si>
  <si>
    <t>Tampa terminal para canaleta em alumínio 53 mm x 14 mm</t>
  </si>
  <si>
    <t>Adaptador de porta equipamentos para canaleta em alumínio 53 mm x 14 mm</t>
  </si>
  <si>
    <t>Canaleta em PVC 20 mm x 12 mm</t>
  </si>
  <si>
    <t>Acessório para canaleta em PVC 20 mm x 12 mm</t>
  </si>
  <si>
    <t>Caixa de sobrepor para canaleta em PVC 20 mm x 12 mm</t>
  </si>
  <si>
    <t>Tomada para canaleta em PVC 20 mm x 12 mm</t>
  </si>
  <si>
    <t>Interruptor para canaleta em PVC 20 mm x 12 mm</t>
  </si>
  <si>
    <t>Pulsador para canaleta em PVC 20 mm x 12 mm</t>
  </si>
  <si>
    <t>Módulo cego para canaleta em PVC 20 mm x 12 mm</t>
  </si>
  <si>
    <t>Gateway Modbus Ethernet / RS485</t>
  </si>
  <si>
    <t>Cabo 3 x 1,5 mm²</t>
  </si>
  <si>
    <t>Cabo 3 x 2,5 mm²</t>
  </si>
  <si>
    <t>Cabo 3 x 4 mm²</t>
  </si>
  <si>
    <t>Cabo 3 x 6 mm²</t>
  </si>
  <si>
    <t>Cabo PP 2 x 1 mm²</t>
  </si>
  <si>
    <t>Cabo PP 2 x 1,5 mm²</t>
  </si>
  <si>
    <t>Cabo PP 2 x 2,5 mm²</t>
  </si>
  <si>
    <t>Cabo PP 3 x 1 mm²</t>
  </si>
  <si>
    <t>Cabo PP 3 x 1,5 mm²</t>
  </si>
  <si>
    <t>Cabo PP 3 x 2,5 mm²</t>
  </si>
  <si>
    <t>Cabo Blindado 2 x 0,75mm²</t>
  </si>
  <si>
    <t>Cabo Blindado 2 x 1mm²</t>
  </si>
  <si>
    <t>Cabo Blindado 2 x 1,5mm²</t>
  </si>
  <si>
    <t>Cabo Blindado 2 x 2,5mm²</t>
  </si>
  <si>
    <t>Cabo Blindado 2 x 4mm²</t>
  </si>
  <si>
    <t>Cabo Blindado 3 x 0,75mm²</t>
  </si>
  <si>
    <t>Cabo Blindado 3 x 1,50mm²</t>
  </si>
  <si>
    <t>Cabo Blindado 3 x 2,50mm²</t>
  </si>
  <si>
    <t>Cabo 4 x 1 mm²</t>
  </si>
  <si>
    <t>Cabo 5 x 1 mm²</t>
  </si>
  <si>
    <t>Cabo 7 x 1 mm²</t>
  </si>
  <si>
    <t>Minicontator 12 A AC</t>
  </si>
  <si>
    <t>Minicontator 12 A DC</t>
  </si>
  <si>
    <t>Minicontator 16 A AC</t>
  </si>
  <si>
    <t>Minicontator 16 A DC</t>
  </si>
  <si>
    <t>Contator 18 A</t>
  </si>
  <si>
    <t>Contator 25 A</t>
  </si>
  <si>
    <t>Contator 32 A</t>
  </si>
  <si>
    <t>Contator 40 A</t>
  </si>
  <si>
    <t>Contator 50 A</t>
  </si>
  <si>
    <t>Contator 65 A</t>
  </si>
  <si>
    <t>Contator 80 A</t>
  </si>
  <si>
    <t>Contator Especial 18 A</t>
  </si>
  <si>
    <t>Contator Especial 25 A</t>
  </si>
  <si>
    <t>Contator Especial 30 A</t>
  </si>
  <si>
    <t>Contator Especial 38 A</t>
  </si>
  <si>
    <t>Contator Especial 50 A</t>
  </si>
  <si>
    <t>Contator Especial 65 A</t>
  </si>
  <si>
    <t>Contator Especial 150 A</t>
  </si>
  <si>
    <t>Contator Especial 250 A</t>
  </si>
  <si>
    <t>Relé de sobrecarga para contator até 25 A</t>
  </si>
  <si>
    <t>Relé de sobrecarga para contator até 40 A</t>
  </si>
  <si>
    <t>Relé de sobrecarga para contator até 80 A</t>
  </si>
  <si>
    <t>Contator para capacitor 22 A</t>
  </si>
  <si>
    <t>Contator para capacitor 30 A</t>
  </si>
  <si>
    <t>Contator para capacitor 40 A</t>
  </si>
  <si>
    <t>Contator para capacitor 60 A</t>
  </si>
  <si>
    <t>Disjuntor monopolar trilho DIN até 4 A</t>
  </si>
  <si>
    <t>Disjuntor monopolar trilho DIN até 6 A</t>
  </si>
  <si>
    <t>Disjuntor monopolar trilho DIN até 32 A</t>
  </si>
  <si>
    <t>Disjuntor monopolar trilho DIN até 63 A</t>
  </si>
  <si>
    <t>Disjuntor bipolar trilho DIN até 4 A</t>
  </si>
  <si>
    <t>Disjuntor bipolar trilho DIN até 6 A</t>
  </si>
  <si>
    <t>Disjuntor bipolar trilho DIN até 32 A</t>
  </si>
  <si>
    <t>Disjuntor tripolar trilho DIN até 4 A</t>
  </si>
  <si>
    <t>Disjuntor tripolar trilho DIN até 6 A</t>
  </si>
  <si>
    <t>Disjuntor tripolar trilho DIN até 50 A</t>
  </si>
  <si>
    <t>Disjuntor tripolar trilho DIN até 63 A</t>
  </si>
  <si>
    <t>Disjuntor tripolar trilho DIN até 70 A</t>
  </si>
  <si>
    <t>Disjuntor tripolar trilho DIN até 100 A</t>
  </si>
  <si>
    <t>Disjuntor monopolar trilho DIN até 6 A, 10 kA</t>
  </si>
  <si>
    <t>Disjuntor monopolar trilho DIN até 32 A, 10 kA</t>
  </si>
  <si>
    <t>Disjuntor monopolar trilho DIN até 63 A, 10 kA</t>
  </si>
  <si>
    <t>Disjuntor bipolar trilho DIN até 6 A, 10 kA</t>
  </si>
  <si>
    <t>Disjuntor bipolar trilho DIN até 32 A, 10 kA</t>
  </si>
  <si>
    <t>Disjuntor tripolar trilho DIN até 6 A, 10kA</t>
  </si>
  <si>
    <t>Disjuntor tripolar trilho DIN até 32 A, 10kA</t>
  </si>
  <si>
    <t>Disjuntor tripolar trilho DIN até 63 A, 10kA</t>
  </si>
  <si>
    <t>Interruptor diferencial residual bipolar de 25 A</t>
  </si>
  <si>
    <t>Interruptor diferencial residual bipolar de 40 A</t>
  </si>
  <si>
    <t>Interruptor diferencial residual tetrapolar de 25 A</t>
  </si>
  <si>
    <t>Interruptor diferencial residual tetrapolar de 40 A</t>
  </si>
  <si>
    <t>Interruptor diferencial residual tetrapolar de 63 A</t>
  </si>
  <si>
    <t>Disjuntor de caixa moldada de 100 A / 18 kA</t>
  </si>
  <si>
    <t>Disjuntor de caixa moldada de 100 A / 36 kA</t>
  </si>
  <si>
    <t>Disjuntor de caixa moldada de 100 A / 50 kA</t>
  </si>
  <si>
    <t>Disjuntor de caixa moldada de 100 A / 70 kA</t>
  </si>
  <si>
    <t>Disjuntor de caixa moldada de 160 A / 18 kA</t>
  </si>
  <si>
    <t>Disjuntor de caixa moldada de 160 A / 36 kA</t>
  </si>
  <si>
    <t>Disjuntor de caixa moldada de 160 A / 50 kA</t>
  </si>
  <si>
    <t>Disjuntor de caixa moldada de 160 A / 70 kA</t>
  </si>
  <si>
    <t>Disjuntor de caixa moldada de 250 A / 25 kA</t>
  </si>
  <si>
    <t>Disjuntor de caixa moldada de 250 A / 36 kA</t>
  </si>
  <si>
    <t>Disjuntor de caixa moldada de 250 A / 50 kA</t>
  </si>
  <si>
    <t>Disjuntor de caixa moldada de 250 A / 70 kA</t>
  </si>
  <si>
    <t>Disjuntor de caixa moldada de 250 A / 100 kA</t>
  </si>
  <si>
    <t>Disjuntor de caixa moldada de 400 A / 36 kA</t>
  </si>
  <si>
    <t>Disjuntor de caixa moldada de 400 A / 50 kA</t>
  </si>
  <si>
    <t>Disjuntor de caixa moldada de 400 A / 70 kA</t>
  </si>
  <si>
    <t>Disjuntor de caixa moldada de 400 A / 100 kA</t>
  </si>
  <si>
    <t>Disjuntor de caixa moldada de 630 A / 36 kA</t>
  </si>
  <si>
    <t>Disjuntor de caixa moldada de 630 A / 50 kA</t>
  </si>
  <si>
    <t>Disjuntor de caixa moldada de 630 A / 70 kA</t>
  </si>
  <si>
    <t>Disjuntor de caixa moldada de 630 A / 100 kA</t>
  </si>
  <si>
    <t>Disjuntor de caixa moldada de 800 A / 36 kA</t>
  </si>
  <si>
    <t>Disjuntor de caixa moldada de 800 A / 50 kA</t>
  </si>
  <si>
    <t>Disjuntor de caixa moldada de 800 A / 70 kA</t>
  </si>
  <si>
    <t>Disjuntor de caixa moldada de 800 A / 100 kA</t>
  </si>
  <si>
    <t>Disjuntor de caixa aberta de 630 A / 50 kA</t>
  </si>
  <si>
    <t>Disjuntor de caixa aberta de 800 A / 65 kA</t>
  </si>
  <si>
    <t>Disjuntor de caixa aberta de 800 A / 100 kA</t>
  </si>
  <si>
    <t>Disjuntor de caixa aberta de 1000 A / 65 kA</t>
  </si>
  <si>
    <t>Disjuntor de caixa aberta de 1000 A / 100 kA</t>
  </si>
  <si>
    <t>Disjuntor de caixa aberta de 1250 A / 65 kA</t>
  </si>
  <si>
    <t>Disjuntor de caixa aberta de 1250 A / 100 kA</t>
  </si>
  <si>
    <t>Disjuntor de caixa aberta de 1600 A / 65 kA</t>
  </si>
  <si>
    <t>Disjuntor de caixa aberta de 1600 A / 100 kA</t>
  </si>
  <si>
    <t>Disjuntor motor até 25 A</t>
  </si>
  <si>
    <t>Disjuntor motor até 40 A</t>
  </si>
  <si>
    <t xml:space="preserve">Eletrocalha 50 x 50 mm </t>
  </si>
  <si>
    <t xml:space="preserve">Eletrocalha 100 x 50 mm </t>
  </si>
  <si>
    <t>Eletrocalha 150 x 50 mm</t>
  </si>
  <si>
    <t xml:space="preserve">Eletrocalha 200 x 50 mm </t>
  </si>
  <si>
    <t xml:space="preserve">Eletrocalha 200 x 100 mm </t>
  </si>
  <si>
    <t xml:space="preserve">Eletrocalha 300 x 50 mm </t>
  </si>
  <si>
    <t xml:space="preserve">Eletrocalha 300 x 100 mm </t>
  </si>
  <si>
    <t xml:space="preserve">Eletrocalha 400 x 50 mm </t>
  </si>
  <si>
    <t>Eletrocalha 400 x 100 mm</t>
  </si>
  <si>
    <t>Eletrocalha 500 x 100 mm</t>
  </si>
  <si>
    <t>Curva horizontal 90 graus para eletrocalha 50 x 50 mm</t>
  </si>
  <si>
    <t>Curva vertical 90 graus para eletrocalha 50 x 50 mm</t>
  </si>
  <si>
    <t>Tê horizontal 90 graus para eletrocalha 50 x 50 mm</t>
  </si>
  <si>
    <t>Suspensão ômega para eletrocalha 50 x 50 mm</t>
  </si>
  <si>
    <t>Junção integral (emenda) para eletrocalha
 50 x 50 mm</t>
  </si>
  <si>
    <t>Curva horizontal 90 graus para eletrocalha 100 x 50 mm</t>
  </si>
  <si>
    <t>Curva vertical 90 graus para eletrocalha 100 x 50 mm</t>
  </si>
  <si>
    <t>Tê horizontal 90 graus para eletrocalha 100 x 50 mm</t>
  </si>
  <si>
    <t>Suspensão ômega para eletrocalha 100 x 50 mm</t>
  </si>
  <si>
    <t>Junção integral (emenda) para eletrocalha 100 x 50 mm</t>
  </si>
  <si>
    <t>Curva horizontal 90 graus para eletrocalha 150 x 50 mm</t>
  </si>
  <si>
    <t>Curva vertical 90 graus para eletrocalha 150 x 50 mm</t>
  </si>
  <si>
    <t>Tê horizontal 90 graus para eletrocalha 150 x 50 mm</t>
  </si>
  <si>
    <t>Suspensão ômega para eletrocalha 150 x 50 mm</t>
  </si>
  <si>
    <t>Junção integral (emenda) para eletrocalha
 150 x 50 mm</t>
  </si>
  <si>
    <t>Curva horizontal 90 graus para eletrocalha 200 x 50 mm</t>
  </si>
  <si>
    <t>Curva vertical 90 graus para eletrocalha 200 x 50 mm</t>
  </si>
  <si>
    <t>Tê horizontal 90 graus para eletrocalha 200 x 50 mm</t>
  </si>
  <si>
    <t>Suspensão ômega para eletrocalha 200 x 50 mm</t>
  </si>
  <si>
    <t>Junção integral (emenda) para eletrocalha 200 x 50 mm</t>
  </si>
  <si>
    <t>Curva horizontal 90 graus para eletrocalha 200 x 100 mm</t>
  </si>
  <si>
    <t>Curva vertical 90 graus para eletrocalha 200 x 100 mm</t>
  </si>
  <si>
    <t>Tê horizontal 90 graus para eletrocalha 200 x 100 mm</t>
  </si>
  <si>
    <t>Suspensão ômega para eletrocalha 200 x 100 mm</t>
  </si>
  <si>
    <t>Junção integral (emenda) para eletrocalha 200 x 100 mm</t>
  </si>
  <si>
    <t>Curva horizontal 90 graus para eletrocalha 300 x 50 mm</t>
  </si>
  <si>
    <t>Curva vertical 90 graus para eletrocalha 300 x 50 mm</t>
  </si>
  <si>
    <t>Tê horizontal 90 graus para eletrocalha 300 x 50 mm</t>
  </si>
  <si>
    <t>Suspensão ômega para eletrocalha 300 x 50 mm</t>
  </si>
  <si>
    <t>Junção integral (emenda) para eletrocalha 300 x 50 mm</t>
  </si>
  <si>
    <t>Curva horizontal 90 graus para eletrocalha 300 x 100 mm</t>
  </si>
  <si>
    <t>Curva vertical 90 graus para eletrocalha 300 x 100 mm</t>
  </si>
  <si>
    <t>Tê horizontal 90 graus para eletrocalha 300 x 100 mm</t>
  </si>
  <si>
    <t>Suspensão ômega para eletrocalha 300 x 100 mm</t>
  </si>
  <si>
    <t>Junção integral (emenda) para eletrocalha 300 x 100 mm</t>
  </si>
  <si>
    <t>Curva horizontal 90 graus para eletrocalha 400 x 50 mm</t>
  </si>
  <si>
    <t>Curva vertical 90 graus para eletrocalha 400 x 50 mm</t>
  </si>
  <si>
    <t>Tê horizontal 90 graus para eletrocalha 400 x 50 mm</t>
  </si>
  <si>
    <t>Suspensão ômega para eletrocalha 400 x 50 mm</t>
  </si>
  <si>
    <t>Junção integral (emenda) para eletrocalha 400 x 50 mm</t>
  </si>
  <si>
    <t>Curva horizontal 90 graus para eletrocalha 400 x 100 mm</t>
  </si>
  <si>
    <t>Curva vertical 90 graus para eletrocalha 400 x 100 mm</t>
  </si>
  <si>
    <t>Tê horizontal 90 graus para eletrocalha 400 x 100 mm</t>
  </si>
  <si>
    <t>Suspensão ômega para eletrocalha 400 x 100 mm</t>
  </si>
  <si>
    <t>Junção integral (emenda) para eletrocalha 400 x 100 mm</t>
  </si>
  <si>
    <t>Curva horizontal 90 graus para eletrocalha 500 x 100 mm</t>
  </si>
  <si>
    <t>Curva vertical 90 graus para eletrocalha 500 x 100 mm</t>
  </si>
  <si>
    <t>Tê horizontal 90 graus para eletrocalha 500 x 100 mm</t>
  </si>
  <si>
    <t>Suspensão ômega para eletrocalha 500 x 100 mm</t>
  </si>
  <si>
    <t>Junção integral (emenda) para eletrocalha 500 x 100 mm</t>
  </si>
  <si>
    <t>Fonte industrial 15 W</t>
  </si>
  <si>
    <t>Fonte industrial 35 W</t>
  </si>
  <si>
    <t>Fonte industrial 60 W</t>
  </si>
  <si>
    <t>Fonte industrial 120 W</t>
  </si>
  <si>
    <t>Transformador de comando 100 VA</t>
  </si>
  <si>
    <t>Transformador de comando 300 VA</t>
  </si>
  <si>
    <t>Grelha para retorno quadrada 225 x 225 mm</t>
  </si>
  <si>
    <t>Grelha de retorno com aletas horizontais 1225 x 525 mm</t>
  </si>
  <si>
    <t>Grelha retangular 325 x 125 mm</t>
  </si>
  <si>
    <t>Difusor de ar quadrado 360 x 360 mm</t>
  </si>
  <si>
    <t>Bucha de redução curta PVC soldável 75 mm x 60 mm</t>
  </si>
  <si>
    <t>Bucha de redução curta PVC soldável 85 mm x 75 mm</t>
  </si>
  <si>
    <t>Joelho 45º PVC soldável 110 mm</t>
  </si>
  <si>
    <t>Joelho 90º com anel PVC esgoto ou águas pluviais 50 mm</t>
  </si>
  <si>
    <t>Perfil em MDF para acabamento de piso sintético laminado flutuante - Instalação/Substituição</t>
  </si>
  <si>
    <t>Supervisor(a) Técnico(a) - Sistemas Construtivos</t>
  </si>
  <si>
    <t>Bobina de Papelão Ondulado</t>
  </si>
  <si>
    <t>Remoção de revestimento sintético fixado por encaixe</t>
  </si>
  <si>
    <t>Tapume em telha metálica</t>
  </si>
  <si>
    <t>Solo para aterro (com transporte)</t>
  </si>
  <si>
    <t>Perfuratriz diamantada com coluna</t>
  </si>
  <si>
    <t>Motobomba de circulação de água 45 W 220V</t>
  </si>
  <si>
    <t>Vidro temperado incolor com 6 mm de espessura</t>
  </si>
  <si>
    <t>Vidro temperado incolor com 6 mm de espessura, tipo JUMBO</t>
  </si>
  <si>
    <t>Bloco vazado de concreto simples com 02 furos (11,5 x 19 x 39 cm - Classe C)</t>
  </si>
  <si>
    <t>ABRACADEIRA EM ACO PARA AMARRACAO DE ELETRODUTOS, TIPO D, COM 1 1/2" E PARAFUSO DE FIXACAO</t>
  </si>
  <si>
    <t>ABRACADEIRA EM ACO PARA AMARRACAO DE ELETRODUTOS, TIPO D, COM 1/2" E PARAFUSO DE FIXACAO</t>
  </si>
  <si>
    <t>ABRACADEIRA EM ACO PARA AMARRACAO DE ELETRODUTOS, TIPO D, COM 3" E PARAFUSO DE FIXACAO</t>
  </si>
  <si>
    <t>ACETILENO (RECARGA DE GAS ACETILENO PARA CILINDRO DE CONJUNTO OXICORTE GRANDE) NAO INCLUI TROCA/MANUTENCAO DO CILINDRO</t>
  </si>
  <si>
    <t>ACO CA-25, 10,0 MM, OU 12,5 MM, OU 16,0 MM, OU 20,0 MM, OU 25,0 MM, VERGALHAO</t>
  </si>
  <si>
    <t>ACO CA-50, 10,0 MM, VERGALHAO</t>
  </si>
  <si>
    <t>ADAPTADOR PVC SOLDAVEL CURTO COM BOLSA E ROSCA, 110 MM X 4", PARA AGUA FRIA</t>
  </si>
  <si>
    <t>ADAPTADOR PVC SOLDAVEL CURTO COM BOLSA E ROSCA, 25 MM X 3/4", PARA AGUA FRIA</t>
  </si>
  <si>
    <t>ADAPTADOR PVC SOLDAVEL CURTO COM BOLSA E ROSCA, 32 MM X 1", PARA AGUA FRIA</t>
  </si>
  <si>
    <t>ADAPTADOR PVC SOLDAVEL CURTO COM BOLSA E ROSCA, 40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</si>
  <si>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</si>
  <si>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</si>
  <si>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</si>
  <si>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</si>
  <si>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</si>
  <si>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</si>
  <si>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</si>
  <si>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</si>
  <si>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</si>
  <si>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</si>
  <si>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85 MM X 3", PARA CAIXA D' AGUA</t>
  </si>
  <si>
    <t>ADESIVO ACRILICO DE BASE AQUOSA / COLA DE CONTATO</t>
  </si>
  <si>
    <t>ADESIVO PLASTICO PARA PVC, FRASCO COM *850* GR</t>
  </si>
  <si>
    <t>ADITIVO ADESIVO LIQUIDO PARA ARGAMASSAS DE REVESTIMENTOS CIMENTICIOS</t>
  </si>
  <si>
    <t>ALICATE DE CORTE DIAGONAL 6 " COM ISOLAMENTO</t>
  </si>
  <si>
    <t>ALICATE DE CRIMPAR RJ11, RJ12 E RJ45</t>
  </si>
  <si>
    <t>ALIMENTACAO - HORISTA (COLETADO CAIXA - ENCARGOS COMPLEMENTARES)</t>
  </si>
  <si>
    <t>ANEL BORRACHA PARA TUBO ESGOTO PREDIAL, DN 100 MM (NBR 5688)</t>
  </si>
  <si>
    <t>ANEL BORRACHA PARA TUBO ESGOTO PREDIAL, DN 75 MM (NBR 5688)</t>
  </si>
  <si>
    <t>ANEL DE VEDACAO, PVC FLEXIVEL, 100 MM, PARA SAIDA DE BACIA / VASO SANITARIO</t>
  </si>
  <si>
    <t>ANEL EM CONCRETO ARMADO, LISO, PARA POCOS DE VISITAS, POCOS DE INSPECAO, FOSSAS SEPTICAS E SUMIDOUROS, COM FUNDO, DIAMETRO INTERNO DE 1,00 M E ALTURA DE 0,50 M</t>
  </si>
  <si>
    <t>AQUECEDOR DE AGUA ELETRICO HORIZONTAL, RESERVATORIO DE 200 L CILINDRICO EM COBRE, REFORCADO COM ACO CARBONO, MONOFASICO, TENSAO NOMINAL 220 V</t>
  </si>
  <si>
    <t>AREIA MEDIA - POSTO JAZIDA/FORNECEDOR (RETIRADO NA JAZIDA, SEM TRANSPORTE)</t>
  </si>
  <si>
    <t>ARGAMASSA COLANTE AC II</t>
  </si>
  <si>
    <t>ARGAMASSA COLANTE TIPO AC III</t>
  </si>
  <si>
    <t>ARGAMASSA COLANTE TIPO AC III E</t>
  </si>
  <si>
    <t>ARGAMASSA INDUSTRIALIZADA MULTIUSO, PARA REVESTIMENTO INTERNO E EXTERNO E ASSENTAMENTO DE BLOCOS DIVERSOS</t>
  </si>
  <si>
    <t>ARGAMASSA INDUSTRIALIZADA PARA CHAPISCO COLANTE</t>
  </si>
  <si>
    <t>ARGAMASSA POLIMERICA IMPERMEABILIZANTE SEMIFLEXIVEL, BICOMPONENTE (MEMBRANA IMPERMEABILIZANTE ACRILICA)</t>
  </si>
  <si>
    <t>ARGILA OU BARRO PARA ATERRO/REATERRO (COM TRANSPORTE ATE 10 KM)</t>
  </si>
  <si>
    <t>ASSENTO SANITARIO DE PLASTICO, TIPO CONVENCIONAL</t>
  </si>
  <si>
    <t>BACIA SANITARIA (VASO) CONVENCIONAL PARA PCD, SEM FURO FRONTAL, DE LOUCA BRANCA (SEM ASSENTO)</t>
  </si>
  <si>
    <t>BACIA SANITARIA (VASO) CONVENCIONAL, DE LOUCA BRANCA, SIFAO APARENTE, SAIDA VERTICAL (SEM ASSENTO)</t>
  </si>
  <si>
    <t>BARRA DE ACO CHATA, RETANGULAR (QUALQUER BITOLA)</t>
  </si>
  <si>
    <t>BARRA DE APOIO RETA, EM ACO INOX POLIDO, COMPRIMENTO 70CM, DIAMETRO MINIMO 3 CM</t>
  </si>
  <si>
    <t>BARRA DE APOIO RETA, EM ACO INOX POLIDO, COMPRIMENTO 80CM, DIAMETRO MINIMO 3 CM</t>
  </si>
  <si>
    <t>BLOCO CERAMICO / TIJOLO VAZADO PARA ALVENARIA DE VEDACAO, FUROS NA VERTICAL,, 9 X 19 X 39 CM (NBR 15270)</t>
  </si>
  <si>
    <t>BLOCO CERAMICO / TIJOLO VAZADO PARA ALVENARIA DE VEDACAO, 8 FUROS NA HORIZONTAL, DE 9 X 19 X 19 CM (L XA X C)</t>
  </si>
  <si>
    <t>BLOCO DE CONCRETO ESTRUTURAL 14 X 19 X 34 CM, FBK 4,5 MPA (NBR 6136)</t>
  </si>
  <si>
    <t>BLOCO DE CONCRETO ESTRUTURAL 14 X 19 X 39 CM, FBK 4,5 MPA (NBR 6136)</t>
  </si>
  <si>
    <t>BLOCO DE CONCRETO ESTRUTURAL 19 X 19 X 39 CM, FBK 4,5 MPA (NBR 6136)</t>
  </si>
  <si>
    <t>BLOCO DE CONCRETO ESTRUTURAL 19 X 19 X 39 CM, FBK 8 MPA (NBR 6136)</t>
  </si>
  <si>
    <t>BLOCO DE VEDACAO DE CONCRETO 19 X 19 X 39 CM (CLASSE C - NBR 6136)</t>
  </si>
  <si>
    <t>BOLSA DE LIGACAO EM PVC FLEXIVEL PARA VASO SANITARIO 1.1/2 " (40 MM)</t>
  </si>
  <si>
    <t>BOTA DE PVC PRETA, CANO MEDIO, SEM FORRO</t>
  </si>
  <si>
    <t>BRACO / CANO PARA CHUVEIRO ELETRICO, EM ALUMINIO, 30 CM X 1/2 "</t>
  </si>
  <si>
    <t>BRACO P/ LUMINARIA PUBLICA 1 X 1,50M ROMAGNOLE OU EQUIV</t>
  </si>
  <si>
    <t>BUCHA DE NYLON SEM ABA S6, COM PARAFUSO DE 4,20 X 40 MM EM ACO ZINCADO COM ROSCA SOBERBA, CABECA CHATA E FENDA PHILLIPS</t>
  </si>
  <si>
    <t>BUCHA DE NYLON, DIAMETRO DO FURO 8 MM, COMPRIMENTO 40 MM, COM PARAFUSO DE ROSCA SOBERBA, CABECA CHATA, FENDA SIMPLES, 4,8 X 50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</si>
  <si>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</si>
  <si>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</si>
  <si>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</si>
  <si>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3/4" X 1/2"</t>
  </si>
  <si>
    <t>BUCHA DE REDUCAO DE FERRO GALVANIZADO, COM ROSCA BSP, DE 3" X 2 1/2"</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</si>
  <si>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</si>
  <si>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</si>
  <si>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</si>
  <si>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</si>
  <si>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LONGA, COM 32 X 20 MM, PARA AGUA FRIA PREDIAL</t>
  </si>
  <si>
    <t>BUCHA DE REDUCAO PVC ROSCAVEL 3/4" X 1/2"</t>
  </si>
  <si>
    <t>BUCHA DE REDUCAO, CPVC, SOLDAVEL, 28 X 22 MM, PARA AGUA QUENTE</t>
  </si>
  <si>
    <t>BUCHA DE REDUCAO, PVC, LONGA, SERIE R, DN 50 X 40 MM, PARA ESGOTO PREDIAL</t>
  </si>
  <si>
    <t>CABO DE COBRE NU 16 MM2 MEIO-DURO</t>
  </si>
  <si>
    <t>CABO DE COBRE NU 25 MM2 MEIO-DURO</t>
  </si>
  <si>
    <t>CABO DE COBRE NU 35 MM2 MEIO-DURO</t>
  </si>
  <si>
    <t>CABO DE COBRE NU 50 MM2 MEIO-DURO</t>
  </si>
  <si>
    <t>CABO DE COBRE NU 70 MM2 MEIO-DURO</t>
  </si>
  <si>
    <t>CAIBRO NAO APARELHADO *6 X 6* CM, EM MACARANDUBA, ANGELIM OU EQUIVALENTE DA REGIAO - BRUTA</t>
  </si>
  <si>
    <t>CAIBRO 5 X 5 CM EM PINUS, MISTA OU EQUIVALENTE DA REGIAO - BRUTA</t>
  </si>
  <si>
    <t>CAIXA D'AGUA EM POLIETILENO 1000 LITROS, COM TAMPA</t>
  </si>
  <si>
    <t>CAIXA DE DESCARGA DE PLASTICO EXTERNA, DE *9* L, PUXADOR FIO DE NYLON, NAO INCLUSO CANO, BOLSA, ENGATE</t>
  </si>
  <si>
    <t>CAIXA DE INCENDIO/ABRIGO PARA MANGUEIRA, DE EMBUTIR/INTERNA, COM 90 X 60 X 17 CM, EM CHAPA DE ACO, PORTA COM VENTILACAO, VISOR COM A INSCRICAO "INCENDIO", SUPORTE/CESTA INTERNA PARA A MANGUEIRA, PINTURA ELETROSTATICA VERMELHA</t>
  </si>
  <si>
    <t>CAIXA DE PASSAGEM, EM PVC, DE 4" X 2", PARA ELETRODUTO FLEXIVEL CORRUGADO</t>
  </si>
  <si>
    <t>CAIXA DE PASSAGEM, EM PVC, DE 4" X 4", PARA ELETRODUTO FLEXIVEL CORRUGADO</t>
  </si>
  <si>
    <t>CAIXA SIFONADA PVC, 250 X 230 X 75 MM, COM TAMPA CEGA QUADRADA, BRANCA</t>
  </si>
  <si>
    <t>CAIXA SIFONADA, PVC, 150 X *185* X 75 MM, COM GRELHA QUADRADA, BRANCA</t>
  </si>
  <si>
    <t>CAIXA SIFONADA, PVC, 150 X 150 X 50 MM, COM GRELHA REDONDA, BRANCA</t>
  </si>
  <si>
    <t>CAL HIDRATADA CH-I PARA ARGAMASSAS</t>
  </si>
  <si>
    <t>CAL HIDRATADA PARA PINTURA</t>
  </si>
  <si>
    <t>CALHA QUADRADA DE CHAPA DE ACO GALVANIZADA NUM 24, CORTE 50 CM</t>
  </si>
  <si>
    <t>CANALETA DE CONCRETO ESTRUTURAL 14 X 19 X 39 CM, FBK 4,5 MPA (NBR 6136)</t>
  </si>
  <si>
    <t>CANALETA DE CONCRETO 19 X 19 X 19 CM (CLASSE C - NBR 6136)</t>
  </si>
  <si>
    <t>CANOPLA ACABAMENTO CROMADO PARA INSTALACAO DE SPRINKLER, SOB FORRO, 15 MM</t>
  </si>
  <si>
    <t>CAP PVC, SERIE R, DN 100 MM, PARA ESGOTO PREDIAL</t>
  </si>
  <si>
    <t>CAP PVC, SERIE R, DN 150 MM, PARA ESGOTO PREDIAL</t>
  </si>
  <si>
    <t>CAP PVC, SERIE R, DN 75 MM, PARA ESGOTO PREDIAL</t>
  </si>
  <si>
    <t>CAP PVC, SOLDAVEL, DN 50 MM, SERIE NORMAL, PARA ESGOTO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</si>
  <si>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</si>
  <si>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</si>
  <si>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</si>
  <si>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</si>
  <si>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</si>
  <si>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</si>
  <si>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CAPA PARA CHUVA EM PVC COM FORRO DE POLIESTER, COM CAPUZ (AMARELA OU AZUL)</t>
  </si>
  <si>
    <t>CARRINHO DE MAO DE ACO CAPACIDADE 50 A 60 L, PNEU COM CAMARA</t>
  </si>
  <si>
    <t>CHAPA DE ACO GALVANIZADA BITOLA GSG 22, E = 0,80 MM (6,40 KG/M2)</t>
  </si>
  <si>
    <t>CHAPA DE MDF BRANCO LISO 1 FACE, E = 18 MM, DE *2,75 X 1,85* M</t>
  </si>
  <si>
    <t>CHAPA DE MDF BRANCO LISO 2 FACES, E = 25 MM, DE *2,75 X 1,85* M</t>
  </si>
  <si>
    <t>CHAPA/PAINEL DE MADEIRA COMPENSADA PLASTIFICADA (MADEIRITE PLASTIFICADO) PARA FORMA DE CONCRETO, DE 2200 x 1100 MM, E = *17* MM</t>
  </si>
  <si>
    <t>CHAPA/PAINEL DE MADEIRA COMPENSADA RESINADA (MADEIRITE RESINADO ROSA) PARA FORMA DE CONCRETO, DE 2200 x 1100 MM, E = 17 MM</t>
  </si>
  <si>
    <t>CHUMBADOR DE ACO, DIAMETRO 5/8", COMPRIMENTO 6", COM PORCA</t>
  </si>
  <si>
    <t>CHUMBADOR, DIAMETRO 1/4" COM PARAFUSO 1/4" X 40 MM</t>
  </si>
  <si>
    <t>CIMENTO PORTLAND COMPOSTO CP II-32</t>
  </si>
  <si>
    <t>COLA A BASE DE RESINA SINTETICA PARA CHAPA DE LAMINADO MELAMINICO</t>
  </si>
  <si>
    <t>COMPENSADO NAVAL - CHAPA/PAINEL EM MADEIRA COMPENSADA PRENSADA, DE 2200 X 1600 MM, E = 20 MM</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</si>
  <si>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</si>
  <si>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</si>
  <si>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CONDULETE DE ALUMINIO TIPO C, PARA ELETRODUTO ROSCAVEL DE 4", COM TAMPA CEGA</t>
  </si>
  <si>
    <t>CONDULETE DE ALUMINIO TIPO E, PARA ELETRODUTO ROSCAVEL DE 1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</si>
  <si>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</si>
  <si>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</si>
  <si>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</si>
  <si>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</si>
  <si>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LR, PARA ELETRODUTO ROSCAVEL DE 1 1/2", COM TAMPA CEGA</t>
  </si>
  <si>
    <t>CONDULETE DE ALUMINIO TIPO T, PARA ELETRODUTO ROSCAVEL DE 2", COM TAMPA CEGA</t>
  </si>
  <si>
    <t>CONDULETE DE ALUMINIO TIPO X, PARA ELETRODUTO ROSCAVEL DE 1", COM TAMPA CEGA</t>
  </si>
  <si>
    <t>CONDULETE DE ALUMINIO TIPO X, PARA ELETRODUTO ROSCAVEL DE 3/4", COM TAMPA CEGA</t>
  </si>
  <si>
    <t>CONDUTOR PLUVIAL, PVC, CIRCULAR, DIAMETRO ENTRE 80 E 100 MM, PARA DRENAGEM PLUVIAL PREDIAL</t>
  </si>
  <si>
    <t>CONE DE SINALIZACAO EM PVC RIGIDO COM FAIXA REFLETIVA, H = 70 / 76 CM</t>
  </si>
  <si>
    <t>CONECTOR BRONZE/LATAO (REF 603) SEM ANEL DE SOLDA, BOLSA X ROSCA F, 22 MM X 3/4"</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</si>
  <si>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</si>
  <si>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</si>
  <si>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</si>
  <si>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</si>
  <si>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</si>
  <si>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</si>
  <si>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</si>
  <si>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</si>
  <si>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</si>
  <si>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</si>
  <si>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</si>
  <si>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</si>
  <si>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</si>
  <si>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</si>
  <si>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</si>
  <si>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COTOVELO DE COBRE 90 GRAUS (REF 607) SEM ANEL DE SOLDA, BOLSA X BOLSA, 54 MM</t>
  </si>
  <si>
    <t>COTOVELO DE COBRE 90 GRAUS (REF 607) SEM ANEL DE SOLDA, BOLSA X BOLSA, 66 MM</t>
  </si>
  <si>
    <t>COTOVELO DE COBRE 90 GRAUS (REF 607) SEM ANEL DE SOLDA, BOLSA X BOLSA, 79 MM</t>
  </si>
  <si>
    <t>COTOVELO 90 GRAUS DE FERRO GALVANIZADO, COM ROSCA BSP MACHO/FEMEA, DE 1 1/2"</t>
  </si>
  <si>
    <t>CUBA ACO INOX (AISI 304) DE EMBUTIR COM VALVULA 3 1/2 ", DE *40 X 34 X 12* CM</t>
  </si>
  <si>
    <t>CURVA DE PVC 90 GRAUS, SOLDAVEL, 32 MM, COR MARROM, PARA AGUA FRIA PREDIAL</t>
  </si>
  <si>
    <t>CURVA DE PVC 90 GRAUS, SOLDAVEL, 40 MM, COR MARROM, PARA AGUA FRIA PREDIAL</t>
  </si>
  <si>
    <t>CURVA DE PVC 90 GRAUS, SOLDAVEL, 50 MM, COR MARROM, PARA AGUA FRIA PREDIAL</t>
  </si>
  <si>
    <t>CURVA DE PVC 90 GRAUS, SOLDAVEL, 60 MM, COR MARROM, PARA AGUA FRIA PREDIAL</t>
  </si>
  <si>
    <t>CURVA DE PVC 90 GRAUS, SOLDAVEL, 75 MM, COR MARROM, PARA AGUA FRIA PREDIAL</t>
  </si>
  <si>
    <t>CURVA DE PVC 90 GRAUS, SOLDAVEL, 85 MM, COR MARROM, PARA AGUA FRIA PREDIAL</t>
  </si>
  <si>
    <t>CURVA DE PVC, 90 GRAUS, SERIE R, DN 100 MM, PARA ESGOTO PREDIAL</t>
  </si>
  <si>
    <t>CURVA DE TRANSPOSICAO, PVC, SOLDAVEL, 25 MM, COR MARROM, PARA AGUA FRIA PREDIAL</t>
  </si>
  <si>
    <t>CURVA LONGA PVC, PB, JE, 90 GRAUS, DN 150 MM, PARA REDE COLETORA ESGOTO</t>
  </si>
  <si>
    <t>CURVA PVC LONGA 90 GRAUS, DN 100 MM, PARA ESGOTO PREDIAL</t>
  </si>
  <si>
    <t>CURVA PVC LONGA 90 GRAUS, DN 40 MM, PARA ESGOTO PREDIAL</t>
  </si>
  <si>
    <t>CURVA PVC LONGA 90 GRAUS, DN 50 MM, PARA ESGOTO PREDIAL</t>
  </si>
  <si>
    <t>CURVA PVC LONGA 90 GRAUS, DN 75 MM, PARA ESGOTO PREDIAL</t>
  </si>
  <si>
    <t>CURVA PVC PBA, JE, PB, 90 GRAUS, DN 100 / DE 110 MM, PARA REDE AGUA (NBR 10351)</t>
  </si>
  <si>
    <t>CURVA 90 GRAUS DE FERRO GALVANIZADO, COM ROSCA BSP FEMEA, DE 2"</t>
  </si>
  <si>
    <t>CURVA 90 GRAUS DE FERRO GALVANIZADO, COM ROSCA BSP FEMEA, DE 3"</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</si>
  <si>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</si>
  <si>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</si>
  <si>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</si>
  <si>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</si>
  <si>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2", PARA ELETRODUTO</t>
  </si>
  <si>
    <t>CURVA 90 GRAUS, LONGA, DE PVC RIGIDO ROSCAVEL, DE 3",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</si>
  <si>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</si>
  <si>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</si>
  <si>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</si>
  <si>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</si>
  <si>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</si>
  <si>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</si>
  <si>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</si>
  <si>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</si>
  <si>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</si>
  <si>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DESEMPENADEIRA DE ACO LISA 12 X *25* CM COM CABO FECHADO DE MADEIRA</t>
  </si>
  <si>
    <t>DESEMPENADEIRA PLASTICA LISA *14 X 27* CM</t>
  </si>
  <si>
    <t>DILUENTE AGUARRAS</t>
  </si>
  <si>
    <t>DILUENTE EPOXI</t>
  </si>
  <si>
    <t>DISJUNTOR TIPO DIN/IEC, TRIPOLAR DE 10 ATE 50A</t>
  </si>
  <si>
    <t>ELETRODUTO DE PVC RIGIDO ROSCAVEL DE 1 ", SEM LUVA</t>
  </si>
  <si>
    <t>ELETRODUTO DE PVC RIGIDO ROSCAVEL DE 1 1/2 ", SEM LUVA</t>
  </si>
  <si>
    <t>ELETRODUTO DE PVC RIGIDO ROSCAVEL DE 1 1/4 ", SEM LUVA</t>
  </si>
  <si>
    <t>ELETRODUTO DE PVC RIGIDO ROSCAVEL DE 2 ", SEM LUVA</t>
  </si>
  <si>
    <t>ELETRODUTO DE PVC RIGIDO ROSCAVEL DE 3 ", SEM LUVA</t>
  </si>
  <si>
    <t>ELETRODUTO DE PVC RIGIDO ROSCAVEL DE 3/4 ", SEM LUVA</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</si>
  <si>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</si>
  <si>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</si>
  <si>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</si>
  <si>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60 MM (2"), TIPO SEALTUBO</t>
  </si>
  <si>
    <t>ELETRODUTO PVC FLEXIVEL CORRUGADO, REFORCADO, COR LARANJA, DE 25 MM, PARA LAJES E PISOS</t>
  </si>
  <si>
    <t>ELETRODUTO PVC FLEXIVEL CORRUGADO, REFORCADO, COR LARANJA, DE 32 MM, PARA LAJES E PISOS</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</si>
  <si>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</si>
  <si>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</si>
  <si>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</si>
  <si>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ENGATE / RABICHO FLEXIVEL INOX 1/2 " X 40 CM</t>
  </si>
  <si>
    <t>ENXADA ESTREITA *25 X 23* CM COM CABO</t>
  </si>
  <si>
    <t>ESCADA DUPLA DE ABRIR EM ALUMINIO, MODELO PINTOR, 8 DEGRAUS</t>
  </si>
  <si>
    <t>ESPATULA DE ACO INOX COM CABO DE MADEIRA, LARGURA 8 CM</t>
  </si>
  <si>
    <t>ESPELHO / PLACA DE 3 POSTOS 4" X 2", PARA INSTALACAO DE TOMADAS E INTERRUPTORES</t>
  </si>
  <si>
    <t>ESPELHO / PLACA DE 6 POSTOS 4" X 4", PARA INSTALACAO DE TOMADAS E INTERRUPTORES</t>
  </si>
  <si>
    <t>ESQUADRO DE ACO 12 " (300 MM), CABO DE ALUMINIO</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</si>
  <si>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</si>
  <si>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</si>
  <si>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ESPELHO PARA PORTA DE BANHEIRO, EM ACO INOX (MAQUINA, TESTA E CONTRA-TESTA) E EM ZAMAC (MACANETA, LINGUETA E TRINCOS) COM ACABAMENTO CROMADO, MAQUINA DE 40 MM, INCLUINDO CHAVE TIPO TRANQUETA</t>
  </si>
  <si>
    <t>FECHADURA ESPELHO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</si>
  <si>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40 MM, INCLUINDO CHAVE TIPO CILINDRO</t>
  </si>
  <si>
    <t>FITA CREPE ROLO DE 25 MM X 50 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</si>
  <si>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</si>
  <si>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</si>
  <si>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5 M</t>
  </si>
  <si>
    <t>FITA METALICA PERFURADA, L = 17 MM, ROLO DE 30 M, CARGA RECOMENDADA = *19* KGF</t>
  </si>
  <si>
    <t>FITA VEDA ROSCA EM ROLOS DE 18 MM X 10 M (L X C)</t>
  </si>
  <si>
    <t>FORRO DE PVC, FRISADO, BRANCO, REGUA DE 10 CM, ESPESSURA DE 8 MM A 10 MM E COMPRIMENTO 6 M (SEM COLOCACAO)</t>
  </si>
  <si>
    <t>FUSIVEL DIAZED 35 A TAMANHO DIII, CAPACIDADE DE INTERRUPCAO DE 50 KA EM VCA E 8 KA EM VCC, TENSAO NOMIMNAL DE 500 V</t>
  </si>
  <si>
    <t>GEOTEXTIL NAO TECIDO AGULHADO DE FILAMENTOS CONTINUOS 100% POLIESTER, RESITENCIA A TRACAO = 31 KN/M</t>
  </si>
  <si>
    <t>GUARNICAO / MOLDURA / ARREMATE DE ACABAMENTO PARA ESQUADRIA, EM ALUMINIO PERFIL 25, ACABAMENTO ANODIZADO BRANCO OU BRILHANTE, PARA 1 FACE</t>
  </si>
  <si>
    <t>INSTALADOR DE TUBULACOES (TUBOS/EQUIPAMENTOS)</t>
  </si>
  <si>
    <t>INTERRUPTOR PARALELO 10A, 250V (APENAS MODULO)</t>
  </si>
  <si>
    <t>INTERRUPTOR SIMPLES 10A, 250V (APENAS MODULO)</t>
  </si>
  <si>
    <t>JOELHO CPVC, SOLDAVEL, 45 GRAUS, 22 MM, PARA AGUA QUENTE</t>
  </si>
  <si>
    <t>JOELHO CPVC, SOLDAVEL, 45 GRAUS, 28 MM, PARA AGUA QUENTE</t>
  </si>
  <si>
    <t>JOELHO CPVC, SOLDAVEL, 90 GRAUS, 22 MM, PARA AGUA QUENTE</t>
  </si>
  <si>
    <t>JOELHO CPVC, SOLDAVEL, 90 GRAUS, 28 MM, PARA AGUA QUENTE</t>
  </si>
  <si>
    <t>JOELHO PVC COM VISITA, 90 GRAUS, DN 100 X 50 MM, SERIE NORMAL, PARA ESGOTO PREDIAL</t>
  </si>
  <si>
    <t>JOELHO PVC, COM BOLSA E ANEL, 90 GRAUS, DN 40 X *38* MM, SERIE NORMAL, PARA ESGOTO PREDIAL</t>
  </si>
  <si>
    <t>JOELHO PVC, SOLDAVEL COM ROSCA, 90 GRAUS, 25 MM X 3/4", COR MARROM, PARA AGUA FRIA PREDIAL</t>
  </si>
  <si>
    <t>JOELHO PVC, SOLDAVEL, COM BUCHA DE LATAO, 90 GRAUS, 25 MM X 1/2", PARA AGUA FRIA PREDIAL</t>
  </si>
  <si>
    <t>JOELHO PVC, SOLDAVEL, COM BUCHA DE LATAO, 90 GRAUS, 25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</si>
  <si>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</si>
  <si>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</si>
  <si>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</si>
  <si>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</si>
  <si>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</si>
  <si>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</si>
  <si>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</si>
  <si>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</si>
  <si>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</si>
  <si>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</si>
  <si>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COR MARROM, PARA AGUA FRIA PREDIAL</t>
  </si>
  <si>
    <t>JOELHO PVC, SOLDAVEL, 90 GRAUS, 25 MM, COR MARROM, PARA AGUA FRIA PREDIAL</t>
  </si>
  <si>
    <t>JOELHO PVC, SOLDAVEL, 90 GRAUS, 32 MM, COR MARROM, PARA AGUA FRIA PREDIAL</t>
  </si>
  <si>
    <t>JOELHO PVC, SOLDAVEL, 90 GRAUS, 40 MM, COR MARROM, PARA AGUA FRIA PREDIAL</t>
  </si>
  <si>
    <t>JOELHO PVC, SOLDAVEL, 90 GRAUS, 50 MM, COR MARROM, PARA AGUA FRIA PREDIAL</t>
  </si>
  <si>
    <t>JOELHO PVC, SOLDAVEL, 90 GRAUS, 60 MM, COR MARROM, PARA AGUA FRIA PREDIAL</t>
  </si>
  <si>
    <t>JOELHO PVC, SOLDAVEL, 90 GRAUS, 85 MM, COR MARROM, PARA AGUA FRIA PREDIAL</t>
  </si>
  <si>
    <t>JOELHO, PVC SOLDAVEL, 45 GRAUS, 25 MM, COR MARROM, PARA AGUA FRIA PREDIAL</t>
  </si>
  <si>
    <t>JOELHO, PVC SOLDAVEL, 45 GRAUS, 32 MM, COR MARROM, PARA AGUA FRIA PREDIAL</t>
  </si>
  <si>
    <t>JOELHO, PVC SOLDAVEL, 45 GRAUS, 40 MM, COR MARROM, PARA AGUA FRIA PREDIAL</t>
  </si>
  <si>
    <t>JOELHO, PVC SOLDAVEL, 45 GRAUS, 50 MM, COR MARROM, PARA AGUA FRIA PREDIAL</t>
  </si>
  <si>
    <t>JOELHO, PVC SOLDAVEL, 45 GRAUS, 60 MM, COR MARROM, PARA AGUA FRIA PREDIAL</t>
  </si>
  <si>
    <t>JOELHO, PVC SOLDAVEL, 45 GRAUS, 75 MM, COR MARROM, PARA AGUA FRIA PREDIAL</t>
  </si>
  <si>
    <t>JOELHO, PVC SOLDAVEL, 45 GRAUS, 85 MM, COR MARROM, PARA AGUA FRIA PREDIAL</t>
  </si>
  <si>
    <t>JOELHO, PVC SOLDAVEL, 90 GRAUS, 75 MM, COR MARROM, PARA AGUA FRIA PREDIAL</t>
  </si>
  <si>
    <t>JUNCAO DUPLA, PVC SOLDAVEL, DN 100 X 100 X 100 MM , SERIE NORMAL PARA ESGOTO PREDIAL</t>
  </si>
  <si>
    <t>JUNCAO SIMPLES, PVC SERIE R, DN 150 X 150 MM, PARA ESGOTO PREDIAL</t>
  </si>
  <si>
    <t>JUNCAO SIMPLES, PVC SERIE R, DN 75 X 75 MM, PARA ESGOTO PREDIAL</t>
  </si>
  <si>
    <t>JUNCAO SIMPLES, PVC, 45 GRAUS, DN 100 X 100 MM, SERIE NORMAL PARA ESGOTO PREDIAL</t>
  </si>
  <si>
    <t>JUNCAO SIMPLES, PVC, 45 GRAUS, DN 40 X 40 MM, SERIE NORMAL PARA ESGOTO PREDIAL</t>
  </si>
  <si>
    <t>JUNCAO SIMPLES, PVC, 45 GRAUS, DN 50 X 50 MM, SERIE NORMAL PARA ESGOTO PREDIAL</t>
  </si>
  <si>
    <t>LAVATORIO DE LOUCA BRANCA, SUSPENSO (SEM COLUNA), DIMENSOES *40 X 30* CM</t>
  </si>
  <si>
    <t>LIXA D'AGUA EM FOLHA, GRAO 100</t>
  </si>
  <si>
    <t>LIXA EM FOLHA PARA PAREDE OU MADEIRA, NUMERO 120, COR VERMELHA</t>
  </si>
  <si>
    <t>LOCACAO DE ANDAIME METALICO TIPO FACHADEIRO, LARGURA DE 1,20 M X ALTURA DE 2,0 M POR PAINEL, INCLUINDO DIAGONAIS EM X, BARRAS DE LIGACAO, SAPATAS E DEMAIS ITENS NECESSARIOS A MONTAGEM (NAO INCLUI INSTALACAO)</t>
  </si>
  <si>
    <t>LOCACAO DE ANDAIME METALICO TUBULAR DE ENCAIXE, TIPO DE TORRE, CADA PAINEL COM LARGURA DE 1 ATE 1,5 M E ALTURA DE *1,00* M, INCLUINDO DIAGONAL, BARRAS DE LIGACAO, SAPATAS OU RODIZIOS E DEMAIS ITENS NECESSARIOS A MONTAGEM (NAO INCLUI INSTALACAO)</t>
  </si>
  <si>
    <t>LOCACAO DE CONTAINER 2,30 X 6,00 M, ALT. 2,50 M, COM 1 SANITARIO, PARA ESCRITORIO, COMPLETO, SEM DIVISORIAS INTERNAS (NAO INCLUI MOBILIZACAO/DESMOBILIZACAO)</t>
  </si>
  <si>
    <t>LOCACAO DE CONTAINER 2,30 X 6,00 M, ALT. 2,50 M, PARA ESCRITORIO, SEM DIVISORIAS INTERNAS E SEM SANITARIO (NAO INCLUI MOBILIZACAO/DESMOBILIZACAO)</t>
  </si>
  <si>
    <t>LOCACAO DE CONTAINER 2,30 X 6,00 M, ALT. 2,50 M, PARA SANITARIO, COM 4 BACIAS, 8 CHUVEIROS,1 LAVATORIO E 1 MICTORIO (NAO INCLUI MOBILIZACAO/DESMOBILIZACAO)</t>
  </si>
  <si>
    <t>LOCACAO DE ESCORA METALICA TELESCOPICA, COM ALTURA REGULAVEL DE *1,80* A *3,20* M, COM CAPACIDADE DE CARGA DE NO MINIMO 1000 KGF (10 KN), INCLUSO TRIPE E FORCADO</t>
  </si>
  <si>
    <t>LUMINARIA DE LED PARA ILUMINACAO PUBLICA, DE 138 W ATE 180 W, INVOLUCRO EM ALUMINIO OU ACO INOX</t>
  </si>
  <si>
    <t>LUMINARIA DE LED PARA ILUMINACAO PUBLICA, DE 181 W ATE 239 W, INVOLUCRO EM ALUMINIO OU ACO INOX</t>
  </si>
  <si>
    <t>LUMINARIA DE LED PARA ILUMINACAO PUBLICA, DE 51 W ATE 67 W, INVOLUCRO EM ALUMINIO OU ACO INOX</t>
  </si>
  <si>
    <t>LUMINARIA DE LED PARA ILUMINACAO PUBLICA, DE 98 W ATE 137 W, INVOLUCRO EM ALUMINIO OU ACO INOX</t>
  </si>
  <si>
    <t>LUVA CPVC, SOLDAVEL, 22 MM, PARA AGUA QUENTE PREDIAL</t>
  </si>
  <si>
    <t>LUVA CPVC, SOLDAVEL, 28 MM, PARA AGUA QUENTE PREDIAL</t>
  </si>
  <si>
    <t>LUVA DE COBRE (REF 600) SEM ANEL DE SOLDA, BOLSA X BOLSA, 54 MM</t>
  </si>
  <si>
    <t>LUVA DE COBRE (REF 600) SEM ANEL DE SOLDA, BOLSA X BOLSA, 66 MM</t>
  </si>
  <si>
    <t>LUVA DE COBRE (REF 600) SEM ANEL DE SOLDA, BOLSA X BOLSA, 79 MM</t>
  </si>
  <si>
    <t>LUVA DE CORRER PARA TUBO ROSCAVEL, PVC, 1 1/2", PARA AGUA FRIA PREDIAL</t>
  </si>
  <si>
    <t>LUVA DE CORRER PARA TUBO ROSCAVEL, PVC, 3/4", PARA AGUA FRIA PREDIAL</t>
  </si>
  <si>
    <t>LUVA DE CORRER PARA TUBO SOLDAVEL, PVC, 25 MM, PARA AGUA FRIA PREDIAL</t>
  </si>
  <si>
    <t>LUVA DE CORRER PARA TUBO SOLDAVEL, PVC, 32 MM, PARA AGUA FRIA PREDIAL</t>
  </si>
  <si>
    <t>LUVA DE CORRER PARA TUBO SOLDAVEL, PVC, 40 MM, PARA AGUA FRIA PREDIAL</t>
  </si>
  <si>
    <t>LUVA DE CORRER PARA TUBO SOLDAVEL, PVC, 50 MM, PARA AGUA FRIA PREDIAL</t>
  </si>
  <si>
    <t>LUVA DE CORRER PARA TUBO SOLDAVEL, PVC, 60 MM, PARA AGUA FRIA PREDIAL</t>
  </si>
  <si>
    <t>LUVA DE CORRER, CPVC, SOLDAVEL, 22 MM, PARA AGUA QUENTE PREDIAL</t>
  </si>
  <si>
    <t>LUVA DE CORRER, CPVC, SOLDAVEL, 28 MM, PARA AGUA QUENTE PREDIAL</t>
  </si>
  <si>
    <t>LUVA DE CORRER, PVC PBA, JE, DN 100 / DE 110 MM, PARA REDE AGUA (NBR 10351)</t>
  </si>
  <si>
    <t>LUVA DE CORRER, PVC PBA, JE, DN 75 / DE 85 MM, PARA REDE AGUA (NBR 10351)</t>
  </si>
  <si>
    <t>LUVA DE CORRER, PVC SERIE R, 100 MM, PARA ESGOTO PREDIAL</t>
  </si>
  <si>
    <t>LUVA DE CORRER, PVC SERIE R, 150 MM, PARA ESGOTO PREDIAL</t>
  </si>
  <si>
    <t>LUVA DE CORRER, PVC, DN 50 MM, PARA ESGOTO PREDIAL</t>
  </si>
  <si>
    <t>LUVA DE CORRER, PVC, DN 75 MM, PARA ESGOTO PREDIAL</t>
  </si>
  <si>
    <t>LUVA DE TRANSICAO, CPVC, 22 MM X 1/2", PARA AGUA QUENTE</t>
  </si>
  <si>
    <t>LUVA EM PVC RIGIDO ROSCAVEL, DE 1 1/2", PARA ELETRODUTO</t>
  </si>
  <si>
    <t>LUVA EM PVC RIGIDO ROSCAVEL, DE 1 1/4", PARA ELETRODUTO</t>
  </si>
  <si>
    <t>LUVA EM PVC RIGIDO ROSCAVEL, DE 1", PARA ELETRODUTO</t>
  </si>
  <si>
    <t>LUVA EM PVC RIGIDO ROSCAVEL, DE 2", PARA ELETRODUTO</t>
  </si>
  <si>
    <t>LUVA EM PVC RIGIDO ROSCAVEL, DE 3/4", PARA ELETRODUTO</t>
  </si>
  <si>
    <t>LUVA EM PVC RIGIDO ROSCAVEL, DE 3",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</si>
  <si>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</si>
  <si>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</si>
  <si>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</si>
  <si>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</si>
  <si>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</si>
  <si>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</si>
  <si>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</si>
  <si>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</si>
  <si>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</si>
  <si>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PVC SOLDAVEL, 110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</si>
  <si>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</si>
  <si>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</si>
  <si>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</si>
  <si>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</si>
  <si>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</si>
  <si>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</si>
  <si>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</si>
  <si>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SIMPLES, PVC, SOLDAVEL, DN 100 MM, SERIE NORMAL, PARA ESGOTO PREDIAL</t>
  </si>
  <si>
    <t>LUVA SIMPLES, PVC, SOLDAVEL, DN 150 MM, SERIE NORMAL, PARA ESGOTO PREDIAL</t>
  </si>
  <si>
    <t>LUVA SIMPLES, PVC, SOLDAVEL, DN 50 MM, SERIE NORMAL, PARA ESGOTO PREDIAL</t>
  </si>
  <si>
    <t>LUVA SIMPLES, PVC, SOLDAVEL, DN 75 MM, SERIE NORMAL, PARA ESGOTO PREDIAL</t>
  </si>
  <si>
    <t>LUVA SOLDAVEL COM BUCHA DE LATAO, PVC, 25 MM X 1/2"</t>
  </si>
  <si>
    <t>LUVA SOLDAVEL COM BUCHA DE LATAO, PVC, 25 MM X 3/4"</t>
  </si>
  <si>
    <t>LUVA SOLDAVEL COM ROSCA, PVC, 25 MM X 1/2", PARA AGUA FRIA PREDIAL</t>
  </si>
  <si>
    <t>MANGUEIRA CRISTAL PARA NIVEL, LISA, PVC TRANSPARENTE, 5/16" X1 MM</t>
  </si>
  <si>
    <t>MANGUEIRA DE INCENDIO, TIPO 2, DE 2 1/2", COMPRIMENTO = 15 M, TECIDO EM FIO DE POLIESTER E TUBO INTERNO EM BORRACHA SINTETICA, COM UNIOES ENGATE RAPIDO</t>
  </si>
  <si>
    <t>MANOMETRO COM CAIXA EM ACO PINTADO, ESCALA *10* KGF/CM2 (*10* BAR), DIAMETRO NOMINAL DE *63* MM, CONEXAO DE 1/4"</t>
  </si>
  <si>
    <t>MANOMETRO COM CAIXA EM ACO PINTADO, ESCALA *10* KGF/CM2 (*10* BAR), DIAMETRO NOMINAL DE 100 MM, CONEXAO DE 1/2"</t>
  </si>
  <si>
    <t>MANTA ASFALTICA ELASTOMERICA EM POLIESTER ALUMINIZADA 3 MM, TIPO III, CLASSE B (NBR 9952)</t>
  </si>
  <si>
    <t>MASSA ACRILICA PARA SUPERFICIES INTERNAS E EXTERNAS</t>
  </si>
  <si>
    <t>MASSA CORRIDA PARA SUPERFICIES DE AMBIENTES INTERNOS</t>
  </si>
  <si>
    <t>MASSA PARA VIDRO</t>
  </si>
  <si>
    <t>MASSA PREMIUM PARA TEXTURA LISA DE BASE ACRILICA, USO INTERNO E EXTERNO</t>
  </si>
  <si>
    <t>MASTRO SIMPLES GALVANIZADO DIAMETRO NOMINAL 2"</t>
  </si>
  <si>
    <t>MEIO BLOCO DE CONCRETO ESTRUTURAL 14 X 19 X 19 CM, FBK 4,5 MPA (NBR 6136)</t>
  </si>
  <si>
    <t>MEIO BLOCO DE VEDACAO DE CONCRETO 9 X 19 X 19 CM (CLASSE C - NBR 6136)</t>
  </si>
  <si>
    <t>MICTORIO INDICUDUAL, SIFONADO, LOUCA BRANCA, SEM COMPLEMENTOS</t>
  </si>
  <si>
    <t>MISTURADOR METALICO, BASE PARA CHUVEIRO/BANHEIRA, 1/2 " OU 3/4 ", SOLDAVEL OU ROSCAVEL (NAO INCLUI ACABAMENTOS)</t>
  </si>
  <si>
    <t>NIPLE DE FERRO GALVANIZADO, COM ROSCA BSP, DE 2 1/2"</t>
  </si>
  <si>
    <t>NIPLE DE FERRO GALVANIZADO, COM ROSCA BSP, DE 2"</t>
  </si>
  <si>
    <t>NIPLE DE FERRO GALVANIZADO, COM ROSCA BSP, DE 3"</t>
  </si>
  <si>
    <t>NIPLE SEXTAVADO EM ACO CARBONO, COM ROSCA BSP, PRESSAO 3.000 LBS, DN 1/2"</t>
  </si>
  <si>
    <t>NIPLE SEXTAVADO EM ACO CARBONO, COM ROSCA BSP, PRESSAO 3.000 LBS, DN 3/4"</t>
  </si>
  <si>
    <t>OLEO DIESEL COMBUSTIVEL COMUM</t>
  </si>
  <si>
    <t>PAPEL KRAFT BETUMADO</t>
  </si>
  <si>
    <t>PARA-RAIOS TIPO FRANKLIN 350 MM, EM LATAO CROMADO, DUAS DESCIDAS, PARA PROTECAO DE EDIFICACOES CONTRA DESCARGAS ATMOSFERICAS</t>
  </si>
  <si>
    <t>PARAFUSO DRY WALL, EM ACO FOSFATIZADO, CABECA TROMBETA E PONTA AGULHA (TA), COMPRIMENTO 25 MM</t>
  </si>
  <si>
    <t>PARAFUSO DRY WALL, EM ACO ZINCADO, CABECA LENTILHA E PONTA BROCA (LB), LARGURA 4,2 MM, COMPRIMENTO 13 MM</t>
  </si>
  <si>
    <t>PARAFUSO FRANCES M16 EM ACO GALVANIZADO, COMPRIMENTO = 45 MM, DIAMETRO = 16 MM, CABECA ABAULADA</t>
  </si>
  <si>
    <t>PARAFUSO NIQUELADO COM ACABAMENTO CROMADO PARA FIXAR PECA SANITARIA, INCLUI PORCA CEGA, ARRUELA E BUCHA DE NYLON TAMANHO S-10</t>
  </si>
  <si>
    <t>PARAFUSO NIQUELADO 3 1/2" COM ACABAMENTO CROMADO PARA FIXAR PECA SANITARIA, INCLUI PORCA CEGA, ARRUELA E BUCHA DE NYLON TAMANHO S-8</t>
  </si>
  <si>
    <t>PASTA LUBRIFICANTE PARA TUBOS E CONEXOES COM JUNTA ELASTICA, EMBALAGEM DE *400* GR (USO EM PVC, ACO, POLIETILENO E OUTROS)</t>
  </si>
  <si>
    <t>PEDRA BRITADA N. 1 (9,5 a 19 MM) POSTO PEDREIRA/FORNECEDOR, SEM FRETE</t>
  </si>
  <si>
    <t>PEDRA BRITADA N. 2 (19 A 38 MM) POSTO PEDREIRA/FORNECEDOR, SEM FRETE</t>
  </si>
  <si>
    <t>PENDURAL OU PRESILHA REGULADORA, EM ACO GALVANIZADO, COM CORPO, MOLA E REBITE, PARA PERFIL TIPO CANALETA DE ESTRUTURA EM FORROS DRYWALL</t>
  </si>
  <si>
    <t>PERFIL CANALETA, FORMATO C, EM ACO ZINCADO, PARA ESTRUTURA FORRO DRYWALL, E = 0,5 MM, *46 X 18* (L X H), COMPRIMENTO 3 M</t>
  </si>
  <si>
    <t>PERFIL GUIA, FORMATO U, EM ACO ZINCADO, PARA ESTRUTURA PAREDE DRYWALL, E = 0,5 MM, 70 X 3000 MM (L X C)</t>
  </si>
  <si>
    <t>PERFIL MONTANTE, FORMATO C, EM ACO ZINCADO, PARA ESTRUTURA PAREDE DRYWALL, E = 0,5 MM, 70 X 3000 MM (L X C)</t>
  </si>
  <si>
    <t>PERFIL TABICA FECHADA, LISA, FORMATO Z, EM ACO GALVANIZADO NATURAL, LARGURA TOTAL NA HORIZONTAL *40* MM, PARA ESTRUTURA FORRO DRYWALL</t>
  </si>
  <si>
    <t>PERFIL TIPO CANTONEIRA EM L, EM ACO GALVANIZADO, BRANCO, PARA FORRO REMOVIVEL, *23* X 3000 MM (L X C)</t>
  </si>
  <si>
    <t>PINO DE ACO COM ARRUELA CONICA, DIAMETRO ARRUELA = *23* MM E COMP HASTE = *27* MM (ACAO INDIRETA)</t>
  </si>
  <si>
    <t>PINO DE ACO COM FURO, HASTE = 27 MM (ACAO DIRETA)</t>
  </si>
  <si>
    <t>PISO TATIL DE ALERTA OU DIRECIONAL, DE BORRACHA, COLORIDO, 25 X 25 CM, E = 12 MM, PARA ARGAMASSA</t>
  </si>
  <si>
    <t>PLACA DE FIBRA MINERAL PARA FORRO, DE 625 X 625 MM, E = 15 MM, BORDA RETA, COM PINTURA ANTIMOFO (NAO INCLUI PERFIS)</t>
  </si>
  <si>
    <t>PLACA DE OBRA (PARA CONSTRUCAO CIVIL) EM CHAPA GALVANIZADA *N. 22*, ADESIVADA, DE *2,4 X 1,2* M (SEM POSTES PARA FIXACAO)</t>
  </si>
  <si>
    <t>PLACA DE SINALIZACAO DE SEGURANCA CONTRA INCENDIO, FOTOLUMINESCENTE, RETANGULAR, *13 X 26* CM, EM PVC *2* MM ANTI-CHAMAS (SIMBOLOS, CORES E PICTOGRAMAS CONFORME NBR 16820)</t>
  </si>
  <si>
    <t>PLACA/TAMPA CEGA EM LATAO ESCOVADO PARA CONDULETE EM LIGA DE ALUMINIO 4 X 4"</t>
  </si>
  <si>
    <t>PLUG OU BUJAO DE FERRO GALVANIZADO, DE 4"</t>
  </si>
  <si>
    <t>POLIESTIRENO EXPANDIDO/EPS (ISOPOR), TIPO 2F, BLOCO</t>
  </si>
  <si>
    <t>PORTA DE ABRIR / GIRO, DE MADEIRA FOLHA MEDIA (NBR 15930) DE 1000 X 2100 MM, DE 35 MM A 40 MM DE ESPESSURA, NUCLEO SEMI-SOLIDO (SARRAFEADO), CAPA LISA EM HDF, ACABAMENTO EM LAMINADO NATURAL PARA VERNIZ</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</si>
  <si>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</si>
  <si>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</si>
  <si>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</si>
  <si>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</si>
  <si>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</si>
  <si>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</si>
  <si>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LAMINADO NATURAL PARA VERNIZ</t>
  </si>
  <si>
    <t>POSTE DE CONCRETO ARMADO DE SECAO CIRCULAR, EXTENSAO DE 11,00 M, RESISTENCIA DE 200 A 300 DAN, TIPO C-14</t>
  </si>
  <si>
    <t>POSTE DE CONCRETO ARMADO DE SECAO CIRCULAR, EXTENSAO DE 9,00 M, RESISTENCIA DE 200 A 300 DAN, TIPO C-14</t>
  </si>
  <si>
    <t>PREGO DE ACO POLIDO COM CABECA 17 X 27 (2 1/2 X 11)</t>
  </si>
  <si>
    <t>PREGO DE ACO POLIDO COM CABECA 18 X 27 (2 1/2 X 10)</t>
  </si>
  <si>
    <t>PRIMER EPOXI / EPOXIDICO</t>
  </si>
  <si>
    <t>PROTETOR SOLAR FPS 30, EMBALAGEM 2 LITROS</t>
  </si>
  <si>
    <t>PRUMO DE CENTRO EM ACO *400* G</t>
  </si>
  <si>
    <t>PRUMO DE PAREDE EM ACO 700 A 750 G</t>
  </si>
  <si>
    <t>PUXADOR TIPO ALCA, EM ZAMAC CROMADO, COM ROSETAS, COMPRIMENTO DE APROX *100* MM, PARA PORTAS E JANELAS DE MADEIRA, INCLUINDO PARAFUSOS</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</si>
  <si>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</si>
  <si>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</si>
  <si>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</si>
  <si>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RALO FOFO SEMIESFERICO, 100 MM, PARA LAJES/ CALHAS</t>
  </si>
  <si>
    <t>REDUCAO EXCENTRICA PVC, DN 100 X 75 MM, PARA ESGOTO PREDIAL</t>
  </si>
  <si>
    <t>REDUCAO EXCENTRICA PVC, DN 75 X 50 MM, PARA ESGOTO PREDIAL</t>
  </si>
  <si>
    <t>REGISTRO DE ESFERA, PVC, COM VOLANTE, VS, ROSCAVEL, DN 1 1/2", COM CORPO DIVIDIDO</t>
  </si>
  <si>
    <t>REGISTRO DE ESFERA, PVC, COM VOLANTE, VS, ROSCAVEL, DN 1/2", COM CORPO DIVIDIDO</t>
  </si>
  <si>
    <t>REGISTRO DE ESFERA, PVC, COM VOLANTE, VS, SOLDAVEL, DN 60 MM, COM CORPO DIVIDIDO</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</si>
  <si>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</si>
  <si>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</si>
  <si>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</si>
  <si>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</si>
  <si>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</si>
  <si>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</si>
  <si>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</si>
  <si>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</si>
  <si>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</si>
  <si>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</si>
  <si>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</si>
  <si>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</si>
  <si>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REGUA DE ALUMINIO PARA PEDREIRO 2 X 1 "</t>
  </si>
  <si>
    <t>REJUNTE CIMENTICIO, QUALQUER COR</t>
  </si>
  <si>
    <t>RESINA ACRILICA PREMIUM BASE AGUA - COR BRANCA</t>
  </si>
  <si>
    <t>SELADOR ACRILICO OPACO PREMIUM INTERIOR/EXTERIOR</t>
  </si>
  <si>
    <t>SENSOR DE PRESENCA BIVOLT COM FOTOCELULA PARA QUALQUER TIPO DE LAMPADA, POTENCIA MAXIMA *1000* W, USO EXTERNO</t>
  </si>
  <si>
    <t>SIFAO EM METAL CROMADO PARA PIA OU LAVATORIO, 1 X 1.1/2 "</t>
  </si>
  <si>
    <t>SIFAO EM METAL CROMADO PARA TANQUE, 1.1/4 X 1.1/2 "</t>
  </si>
  <si>
    <t>SILICONE ACETICO USO GERAL INCOLOR 280 G</t>
  </si>
  <si>
    <t>SISAL EM FIBRA / ESTOPA SISAL PARA GESSO</t>
  </si>
  <si>
    <t>SOLUCAO PREPARADORA / LIMPADORA PARA PVC, FRASCO COM 1000 CM3</t>
  </si>
  <si>
    <t>SPRINKLER TIPO PENDENTE, BULBO VERMELHO DE RESPOSTA RAPIDA, 68 GRAUS CELSIUS, ACABAMENTO CROMADO, D = 15 MM (1/2")</t>
  </si>
  <si>
    <t>SUPORTE DE FIXACAO PARA ESPELHO / PLACA 4" X 2", PARA 3 MODULOS, PARA INSTALACAO DE TOMADAS E INTERRUPTORES (SOMENTE SUPORTE)</t>
  </si>
  <si>
    <t>SUPORTE DE FIXACAO PARA ESPELHO / PLACA 4" X 4", PARA 6 MODULOS, PARA INSTALACAO DE TOMADAS E INTERRUPTORES (SOMENTE SUPORTE)</t>
  </si>
  <si>
    <t>TABUA *2,5 X 23* CM EM PINUS, MISTA OU EQUIVALENTE DA REGIAO - BRUTA</t>
  </si>
  <si>
    <t>TABUA APARELHADA *2,5 X 30* CM, EM MACARANDUBA, ANGELIM OU EQUIVALENTE DA REGIAO</t>
  </si>
  <si>
    <t>TABUA NAO APARELHADA *2,5 X 30* CM, EM MACARANDUBA, ANGELIM OU EQUIVALENTE DA REGIAO - BRUTA</t>
  </si>
  <si>
    <t>TALABARTE DE SEGURANCA, 2 MOSQUETOES TRAVA DUPLA *53* MM DE ABERTURA, COM ABSORVEDOR DE ENERGIA</t>
  </si>
  <si>
    <t>TALHA MANUAL DE CORRENTE, CAPACIDADE DE 2 T COM ELEVACAO DE 3 M</t>
  </si>
  <si>
    <t>TALHADEIRA COM PUNHO DE PROTECAO *20 X 250* MM</t>
  </si>
  <si>
    <t>TAMPA PARA CONDULETE, EM PVC, PARA 1 MODULO RJ</t>
  </si>
  <si>
    <t>TAMPAO / TERMINAL / PLUG, D = 1 1/4" , PARA DUTO CORRUGADO PEAD (CABEAMENTO SUBTERRANEO)</t>
  </si>
  <si>
    <t>TAMPAO / TERMINAL / PLUG, D = 2" , PARA DUTO CORRUGADO PEAD (CABEAMENTO SUBTERRANEO)</t>
  </si>
  <si>
    <t>TAMPAO / TERMINAL / PLUG, D = 3" , PARA DUTO CORRUGADO PEAD (CABEAMENTO SUBTERRANEO)</t>
  </si>
  <si>
    <t>TAMPAO FOFO ARTICULADO, CLASSE B125 CARGA MAX 12,5 T, REDONDO, TAMPA 600 MM (COM INSCRICAO EM RELEVO DO TIPO DE REDE)</t>
  </si>
  <si>
    <t>TAMPAO FOFO ARTICULADO, CLASSE D400 CARGA MAX 40 T, REDONDO, TAMPA 600 MM (COM INSCRICAO EM RELEVO DO TIPO DE REDE)</t>
  </si>
  <si>
    <t>TAMPAO FOFO SIMPLES COM BASE, CLASSE A15 CARGA MAX 1,5 T, 400 X 600 MM (COM INSCRICAO EM RELEVO DO TIPO DE REDE)</t>
  </si>
  <si>
    <t>TARJETA LIVRE / OCUPADO PARA PORTA DE BANHEIRO, CORPO EM ZAMAC E ESPELHO EM LATAO</t>
  </si>
  <si>
    <t>TE CPVC, SOLDAVEL, 90 GRAUS, 22 MM, PARA AGUA QUENTE PREDIAL</t>
  </si>
  <si>
    <t>TE CPVC, SOLDAVEL, 90 GRAUS, 28 MM, PARA AGUA QUENTE PREDIAL</t>
  </si>
  <si>
    <t>TE DE COBRE (REF 611) SEM ANEL DE SOLDA, BOLSA X BOLSA X BOLSA, 22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</si>
  <si>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</si>
  <si>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</si>
  <si>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</si>
  <si>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</si>
  <si>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</si>
  <si>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</si>
  <si>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1/2"</t>
  </si>
  <si>
    <t>TE DE FERRO GALVANIZADO, DE 2 1/2"</t>
  </si>
  <si>
    <t>TE DE FERRO GALVANIZADO, DE 2"</t>
  </si>
  <si>
    <t>TE DE REDUCAO DE FERRO GALVANIZADO, COM ROSCA BSP, DE 2" X 1 1/2"</t>
  </si>
  <si>
    <t>TE PVC SOLDAVEL, BBB, 90 GRAUS, DN 40 MM, PARA ESGOTO SECUNDARIO PREDIAL</t>
  </si>
  <si>
    <t>TE PVC, SOLDAVEL, COM ROSCA NA BOLSA CENTRAL, 90 GRAUS, 25 MM X 1/2", PARA AGUA FRIA PREDIAL</t>
  </si>
  <si>
    <t>TE PVC, SOLDAVEL, COM ROSCA NA BOLSA CENTRAL, 90 GRAUS, 25 MM X 3/4", PARA AGUA FRIA PREDIAL</t>
  </si>
  <si>
    <t>TE SANITARIO, PVC, DN 50 X 50 MM, SERIE NORMAL, PARA ESGOTO PREDIAL</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</si>
  <si>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</si>
  <si>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</si>
  <si>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</si>
  <si>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</si>
  <si>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</si>
  <si>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</si>
  <si>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</si>
  <si>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2 1/2"</t>
  </si>
  <si>
    <t>TE 45 GRAUS DE FERRO GALVANIZADO, COM ROSCA BSP, DE 2"</t>
  </si>
  <si>
    <t>TE 45 GRAUS DE FERRO GALVANIZADO, COM ROSCA BSP, DE 3"</t>
  </si>
  <si>
    <t>TE, PVC, SERIE R, 100 X 100 MM, PARA ESGOTO PREDIAL</t>
  </si>
  <si>
    <t>TE, PVC, SERIE R, 150 X 150 MM, PARA ESGOTO PREDIAL</t>
  </si>
  <si>
    <t>TE, PVC, SERIE R, 75 X 75 MM, PARA ESGOTO PREDIAL</t>
  </si>
  <si>
    <t>TELA DE ACO SOLDADA GALVANIZADA/ZINCADA PARA ALVENARIA, FIO D = *1,20 A 1,70* MM, MALHA 15 X 15 MM, (C X L) *50 X 7,5* CM</t>
  </si>
  <si>
    <t>TELA DE ACO SOLDADA GALVANIZADA/ZINCADA PARA ALVENARIA, FIO D = *1,24 MM, MALHA 25 X 25 MM</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</si>
  <si>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</si>
  <si>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</si>
  <si>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</si>
  <si>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</si>
  <si>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</si>
  <si>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</si>
  <si>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</si>
  <si>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</si>
  <si>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DE VENTILACAO, 100 MM, SERIE NORMAL, ESGOTO PREDIAL</t>
  </si>
  <si>
    <t>TERMINAL DE VENTILACAO, 50 MM, SERIE NORMAL, ESGOTO PREDIAL</t>
  </si>
  <si>
    <t>TERMINAL DE VENTILACAO, 75 MM, SERIE NORMAL, ESGOTO PREDIAL</t>
  </si>
  <si>
    <t>TERMINAL METALICO A PRESSAO PARA 1 CABO DE 150 MM2, COM 1 FURO DE FIXACAO</t>
  </si>
  <si>
    <t>TERMINAL METALICO A PRESSAO PARA 1 CABO DE 185 MM2, COM 1 FURO DE FIXACAO</t>
  </si>
  <si>
    <t>TERMINAL METALICO A PRESSAO PARA 1 CABO DE 240 MM2, COM 1 FURO DE FIXACAO</t>
  </si>
  <si>
    <t>TERMINAL METALICO A PRESSAO PARA 1 CABO DE 300 MM2, COM 1 FURO DE FIXACAO</t>
  </si>
  <si>
    <t>TINTA ACRILICA A BASE DE SOLVENTE, PARA SINALIZACAO HORIZONTAL VIARIA (NBR 11862)</t>
  </si>
  <si>
    <t>TINTA EPOXI BASE AGUA PREMIUM, BRANCA</t>
  </si>
  <si>
    <t>TINTA LATEX ACRILICA PREMIUM, COR BRANCO FOSCO</t>
  </si>
  <si>
    <t>TOMADA RJ45, 8 FIOS, CAT 5E (APENAS MODULO)</t>
  </si>
  <si>
    <t>TORNEIRA DE BOIA CONVENCIONAL PARA CAIXA D'AGUA, AGUA FRIA, 1.1/2", COM HASTE E TORNEIRA METALICOS E BALAO PLASTICO</t>
  </si>
  <si>
    <t>TORNEIRA DE BOIA CONVENCIONAL PARA CAIXA D'AGUA, AGUA FRIA, 1.1/4", COM HASTE E TORNEIRA METALICOS E BALAO PLASTICO</t>
  </si>
  <si>
    <t>TORNEIRA DE BOIA CONVENCIONAL PARA CAIXA D'AGUA, AGUA FRIA, 3/4", COM HASTE E TORNEIRA METALICOS E BALAO PLASTICO</t>
  </si>
  <si>
    <t>TORNEIRA DE BOIA CONVENCIONAL PARA CAIXA D'AGUA, 1", AGUA FRIA, COM HASTE E TORNEIRA METALICOS E BALAO PLASTICO</t>
  </si>
  <si>
    <t>TORNEIRA DE BOIA CONVENCIONAL PARA CAIXA D'AGUA, 2", AGUA FRIA, COM HASTE E TORNEIRA METALICOS E BALAO PLASTICO</t>
  </si>
  <si>
    <t>TORNEIRA METALICA CROMADA DE MESA, PARA LAVATORIO, TEMPORIZADA PRESSAO FECHAMENTO AUTOMATICO, BICA BAIXA</t>
  </si>
  <si>
    <t>TORNEIRA METALICA CROMADA PARA JARDIM / TANQUE, COM BICO PLASTICO, CANO LONGO, DE PAREDE, PADRAO POPULAR / USO GERAL , 1/2 " OU 3/4 " (REF 1153 / 1130)</t>
  </si>
  <si>
    <t>TRANSPORTE - HORISTA (COLETADO CAIXA - ENCARGOS COMPLEMENTARES)</t>
  </si>
  <si>
    <t>TRAVA-QUEDAS EM ACO PARA CORDA DE 12 MM, EXTENSOR DE 25 X 300 MM, COM MOSQUETAO TIPO GANCHO TRAVA DUPLA</t>
  </si>
  <si>
    <t>TUBO ACO CARBONO SEM COSTURA 2 1/2", E = 5,16 MM, SCHEDULE 40 (8,62 KG/M)</t>
  </si>
  <si>
    <t>TUBO ACO CARBONO SEM COSTURA 2", E= *3,91* MM, SCHEDULE 40, *5,43* KG/M</t>
  </si>
  <si>
    <t>TUBO COLETOR DE ESGOTO PVC, JEI, DN 300 MM (NBR 7362)</t>
  </si>
  <si>
    <t>TUBO DE COBRE CLASSE "E", DN = 104 MM, PARA INSTALACAO HIDRAULICA PREDIAL</t>
  </si>
  <si>
    <t>TUBO DE COBRE CLASSE "E", DN = 35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</si>
  <si>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</si>
  <si>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</si>
  <si>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</si>
  <si>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FLEXIVEL, D = 1/2 ", E = 0,79 MM, PARA AR-CONDICIONADO/ INSTALACOES GAS RESIDENCIAIS E COMERCIAIS</t>
  </si>
  <si>
    <t>TUBO DE COBRE FLEXIVEL, D = 1/4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</si>
  <si>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</si>
  <si>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</si>
  <si>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5/8 ", E = 0,79 MM, PARA AR-CONDICIONADO/ INSTALACOES GAS RESIDENCIAIS E COMERCIAIS</t>
  </si>
  <si>
    <t>TUBO PVC SERIE NORMAL, DN 50 MM, PARA ESGOTO PREDIAL (NBR 5688)</t>
  </si>
  <si>
    <t>TUBO PVC SERIE NORMAL, DN 75 MM, PARA ESGOTO PREDIAL (NBR 5688)</t>
  </si>
  <si>
    <t>TUBO PVC, ROSCAVEL, 1", AGUA FRIA PREDIAL</t>
  </si>
  <si>
    <t>TUBO PVC, SERIE R, DN 100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</si>
  <si>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</si>
  <si>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</si>
  <si>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</si>
  <si>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DE 110 MM, AGUA FRIA (NBR-5648)</t>
  </si>
  <si>
    <t>TUBO PVC, SOLDAVEL, DE 20 MM, AGUA FRIA (NBR-5648)</t>
  </si>
  <si>
    <t>TUBO PVC, SOLDAVEL, DE 25 MM, AGUA FRIA (NBR-5648)</t>
  </si>
  <si>
    <t>TUBO PVC, SOLDAVEL, DE 32 MM, AGUA FRIA (NBR-5648)</t>
  </si>
  <si>
    <t>TUBO PVC, SOLDAVEL, DE 40 MM, AGUA FRIA (NBR-5648)</t>
  </si>
  <si>
    <t>TUBO PVC, SOLDAVEL, DE 50 MM, AGUA FRIA (NBR-5648)</t>
  </si>
  <si>
    <t>TUBO PVC, SOLDAVEL, DE 60 MM, AGUA FRIA (NBR-5648)</t>
  </si>
  <si>
    <t>TUBO PVC, SOLDAVEL, DE 75 MM, AGUA FRIA (NBR-5648)</t>
  </si>
  <si>
    <t>TUBO PVC, SOLDAVEL, DE 85 MM, AGUA FRIA (NBR-5648)</t>
  </si>
  <si>
    <t>UNIAO DE FERRO GALVANIZADO, COM ASSENTO CONICO DE BRONZE, DE 1 1/4"</t>
  </si>
  <si>
    <t>UNIAO DE FERRO GALVANIZADO, COM ROSCA BSP, COM ASSENTO PLANO, DE 1 1/2"</t>
  </si>
  <si>
    <t>UNIAO DE FERRO GALVANIZADO, COM ROSCA BSP, COM ASSENTO PLANO, DE 2 1/2"</t>
  </si>
  <si>
    <t>UNIAO DE FERRO GALVANIZADO, COM ROSCA BSP, COM ASSENTO PLANO, DE 2"</t>
  </si>
  <si>
    <t>UNIAO DE FERRO GALVANIZADO, COM ROSCA BSP, COM ASSENTO PLANO, DE 3"</t>
  </si>
  <si>
    <t>UNIAO DE FERRO GALVANIZADO, COM ROSCA BSP, COM ASSENTO PLANO, DE 4"</t>
  </si>
  <si>
    <t>UNIAO, CPVC, SOLDAVEL, 22 MM, PARA AGUA QUENTE PREDIAL</t>
  </si>
  <si>
    <t>UNIAO, CPVC, SOLDAVEL, 28 MM, PARA AGUA QUENTE PREDIAL</t>
  </si>
  <si>
    <t>VALVULA DE DESCARGA EM METAL CROMADO PARA MICTORIO COM ACIONAMENTO POR PRESSAO E FECHAMENTO AUTOMATICO</t>
  </si>
  <si>
    <t>VALVULA DE ESCOAMENTO PARA TANQUE, EM METAL CROMADO, 1.1/2 ", SEM LADRAO, COM TAMPAO PLASTICO</t>
  </si>
  <si>
    <t>VALVULA DE ESFERA BRUTA EM BRONZE, BITOLA 1 " (REF 1552-B)</t>
  </si>
  <si>
    <t>VALVULA DE ESFERA BRUTA EM BRONZE, BITOLA 2 " (REF 1552-B)</t>
  </si>
  <si>
    <t>VALVULA DE ESFERA BRUTA EM BRONZE, BITOLA 3/4 " (REF 1552-B)</t>
  </si>
  <si>
    <t>VALVULA DE RETENCAO DE BRONZE, PE COM CRIVOS, EXTREMIDADE COM ROSCA, DE 1", PARA FUNDO DE POCO</t>
  </si>
  <si>
    <t>VALVULA DE RETENCAO DE BRONZE, PE COM CRIVOS, EXTREMIDADE COM ROSCA, DE 2", PARA FUNDO DE POCO</t>
  </si>
  <si>
    <t>VALVULA DE RETENCAO HORIZONTAL, DE BRONZE (PN-25), 2", 400 PSI, TAMPA DE PORCA DE UNIAO, EXTREMIDADES COM ROSCA</t>
  </si>
  <si>
    <t>VALVULA DE RETENCAO HORIZONTAL, DE BRONZE (PN-25), 3/4", 400 PSI, TAMPA DE PORCA DE UNIAO, EXTREMIDADES COM ROSCA</t>
  </si>
  <si>
    <t>VALVULA DE RETENCAO VERTICAL, DE BRONZE (PN-16), 2 1/2", 200 PSI, EXTREMIDADES COM ROSCA</t>
  </si>
  <si>
    <t>VALVULA DE RETENCAO VERTICAL, DE BRONZE (PN-16), 2",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</si>
  <si>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</si>
  <si>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</si>
  <si>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</si>
  <si>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</si>
  <si>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VIDRO LISO INCOLOR 4MM - SEM COLOCACAO</t>
  </si>
  <si>
    <t>VIDRO TEMPERADO INCOLOR E = 6 MM, SEM COLOCACAO</t>
  </si>
  <si>
    <t>Rejunte resinado acrílico - Aplicação/Substituição</t>
  </si>
  <si>
    <t>Remoção de splitão/fan-coil</t>
  </si>
  <si>
    <t>Forro em réguas de alumínio</t>
  </si>
  <si>
    <t>Projeto executivo de engenharia elétrica – Climatização do Bloco 17 por split</t>
  </si>
  <si>
    <t>Quadro elétrico TTA - Sistema de climatização do Bloco 17 por split</t>
  </si>
  <si>
    <t>Quadro elétrico tipo TTA completo para suprimento do sistema de climatização do Bloco 17 por splits, contemplando disjuntores, DPS, DR, etc., conforme especificação</t>
  </si>
  <si>
    <t>REJUNTE ACRÍLICO, QUALQUER COR</t>
  </si>
  <si>
    <t>Instalação de splits no Bloco 17</t>
  </si>
  <si>
    <t>Data: março de 2023</t>
  </si>
  <si>
    <t>100M</t>
  </si>
  <si>
    <t>SARRAFO NAO APARELHADO *2,5 X 10* CM, EM MACARANDUBA, ANGELIM OU EQUIVALENTE DA REGIAO - BRUTA</t>
  </si>
  <si>
    <t>TABUA NAO APARELHADA *2,5 X 20* CM, EM MACARANDUBA, ANGELIM OU EQUIVALENTE DA REGIAO - BRUTA</t>
  </si>
  <si>
    <t>FURO PARA TORNEIRA OU OUTROS ACESSORIOS EM BANCADA DE MARMORE/ GRANITO OU OUTRO TIPO DE PEDRA NATURAL</t>
  </si>
  <si>
    <t>RALO SECO CONICO, PVC, 100 X 40 MM, COM GRELHA REDONDA BRANCA</t>
  </si>
  <si>
    <t>TOMADA 2P+T 10A, 250V (APENAS MODULO)</t>
  </si>
  <si>
    <t>TOMADA 2P+T 20A, 250V (APENAS MODULO)</t>
  </si>
  <si>
    <t>BATENTE / PORTAL / ADUELA / MARCO EM MADEIRA MACICA COM REBAIXO, E = *3* CM, L = *14* CM, PARA PORTAS DE GIRO DE *60 CM A 120* CM X *210* CM, PINUS / EUCALIPTO / VIROLA OU EQUIVALENTE DA REGIAO (NAO INCLUI ALIZARES)</t>
  </si>
  <si>
    <t>GUARNICAO / ALIZAR / VISTA LISA EM MADEIRA MACICA, PARA PORTA , E = *1* CM, L = *5* CM, CEDRINHO / ANGELIM COMERCIAL / TAURI/ CURUPIXA / PEROBA / CUMARU OU EQUIVALENTE DA REGIAO</t>
  </si>
  <si>
    <t>DOBRADICA EM ACO/FERRO, 3 1/2" X 3", E= 1,9 A 2 MM, COM ANEL, CROMADO OU ZINCADO, TAMPA BOLA, COM PARAFUSOS</t>
  </si>
  <si>
    <t>310ML</t>
  </si>
  <si>
    <t>PAR</t>
  </si>
  <si>
    <t>ELETRODUTO/DUTO PEAD FLEXIVEL PAREDE SIMPLES, CORRUGACAO HELICOIDAL, COR PRETA, SEM ROSCA, DE 3", PARA CABEAMENTO SUBTERRANEO (NBR 15715)</t>
  </si>
  <si>
    <t>PISO EM GRANILITE, MARMORITE OU GRANITINA, AGREGADO COR PRETO, CINZA, PALHA OU BRANCO, E= *8* MM (INCLUSO EXECUCAO)</t>
  </si>
  <si>
    <t>MICROESFERAS DE VIDRO PARA SINALIZACAO HORIZONTAL VIARIA, TIPO II-A (DROP-ON) - NBR 16184</t>
  </si>
  <si>
    <t>TELA DE ACO SOLDADA NERVURADA, CA-60, Q-92, (1,48 KG/M2), DIAMETRO DO FIO = 4,2 MM, LARGURA = 2,45 X 60 M DE COMPRIMENTO, ESPACAMENTO DA MALHA = 15 X 15 CM</t>
  </si>
  <si>
    <t>GRANITO PARA BANCADA, POLIDO, TIPO ANDORINHA/ QUARTZ/ CASTELO/ CORUMBA OU OUTROS EQUIVALENTES DA REGIAO, E= *2,5* CM</t>
  </si>
  <si>
    <t>ELETRODUTO/DUTO PEAD FLEXIVEL PAREDE SIMPLES, CORRUGACAO HELICOIDAL, COR PRETA, SEM ROSCA, DE 2", PARA CABEAMENTO SUBTERRANEO (NBR 15715)</t>
  </si>
  <si>
    <t>POSTE CONICO CONTINUO EM ACO GALVANIZADO, CURVO, BRACO SIMPLES, ENGASTADO, H = 9 M, DIAMETRO INFERIOR = *135* MM</t>
  </si>
  <si>
    <t>CONDULETE DE ALUMINIO TIPO E, PARA ELETRODUTO ROSCAVEL DE 1 1/4", COM TAMPA CEGA</t>
  </si>
  <si>
    <t>POSTE CONICO CONTINUO EM ACO GALVANIZADO, RETO, FLANGEADO, H = 3 M, DIAMETRO INFERIOR = *95* MM</t>
  </si>
  <si>
    <t>POSTE CONICO CONTINUO EM ACO GALVANIZADO, CURVO, BRACO SIMPLES, FLANGEADO, H = 9 M, DIAMETRO INFERIOR = *135* MM</t>
  </si>
  <si>
    <t>POSTE CONICO CONTINUO EM ACO GALVANIZADO, CURVO, BRACO DUPLO, FLANGEADO, H = 9 M, DIAMETRO INFERIOR = *135* MM</t>
  </si>
  <si>
    <t>CAIXA DE INSPECAO PARA ATERRAMENTO E PARA RAIOS, EM POLIPROPILENO, DIAMETRO = 300 MM X ALTURA = 400 MM</t>
  </si>
  <si>
    <t>TELA DE ACO SOLDADA GALVANIZADA/ZINCADA PARA ALVENARIA, FIO D = *1,20 A 1,70* MM, MALHA 15 X 15 MM, (C X L) *50 X 12* CM</t>
  </si>
  <si>
    <t>MEIO-FIO OU GUIA DE CONCRETO PRE-MOLDADO, TIPO CHAPEU PARA BOCA DE LOBO, DIMENSOES *1,20* X 0,15 X 0,30 M</t>
  </si>
  <si>
    <t>SARRAFO NAO APARELHADO *2,5 X 7* CM, EM MACARANDUBA, ANGELIM OU EQUIVALENTE DA REGIAO - BRUTA</t>
  </si>
  <si>
    <t>CAIXA DE GORDURA EM PVC, DIAMETRO MINIMO 300 MM, DIAMETRO DE SAIDA 100 MM, CAPACIDADE APROXIMADA 18 LITROS, COM TAMPA E CESTO</t>
  </si>
  <si>
    <t>TUBO ACO GALVANIZADO COM COSTURA, CLASSE LEVE, DN 32 MM ( 1 1/4"), E = 2,65 MM, *2,71*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</si>
  <si>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</si>
  <si>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</si>
  <si>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</si>
  <si>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</si>
  <si>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</si>
  <si>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</si>
  <si>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PVC SERIE NORMAL, DN 100 MM, PARA ESGOTO PREDIAL (NBR 5688)</t>
  </si>
  <si>
    <t>TUBO PVC SERIE NORMAL, DN 150 MM, PARA ESGOTO PREDIAL (NBR 5688)</t>
  </si>
  <si>
    <t>TUBO PVC SERIE NORMAL, DN 40 MM, PARA ESGOTO PREDIAL (NBR 5688)</t>
  </si>
  <si>
    <t>TUBO PVC, ROSCAVEL, 1 1/2", AGUA FRIA PREDIAL</t>
  </si>
  <si>
    <t>TUBO PVC, ROSCAVEL, 2 1/2", AGUA FRIA PREDIAL</t>
  </si>
  <si>
    <t>TUBO PVC, ROSCAVEL, 2", PARA AGUA FRIA PREDIAL</t>
  </si>
  <si>
    <t>TUBO PVC ROSCAVEL, 3/4", AGUA FRIA PREDIAL</t>
  </si>
  <si>
    <t>LUVA PVC, ROSCAVEL, 1 1/2", AGUA FRIA PREDIAL</t>
  </si>
  <si>
    <t>UNIAO PVC, SOLDAVEL, 60 MM, PARA AGUA FRIA PREDIAL</t>
  </si>
  <si>
    <t>UNIAO PVC, SOLDAVEL, 85 MM, PARA AGUA FRIA PREDIAL</t>
  </si>
  <si>
    <t>TUBO ACO GALVANIZADO COM COSTURA, CLASSE LEVE, DN 40 MM ( 1 1/2"), E = 3,00 MM, *3,48* KG/M (NBR 5580)</t>
  </si>
  <si>
    <t>PASTILHA CERAMICA/PORCELANA, REVEST INT/EXT E PISCINA, CORES BRANCA OU FRIAS, SOLIDAS, SEM MESCLAGEM/MISTURA, ACABAMENTO LISO *2,5 X 2,5* CM</t>
  </si>
  <si>
    <t>UNIAO PVC, SOLDAVEL, 25 MM, PARA AGUA FRIA PREDIAL</t>
  </si>
  <si>
    <t>UNIAO PVC, SOLDAVEL, 32 MM, PARA AGUA FRIA PREDIAL</t>
  </si>
  <si>
    <t>UNIAO PVC, SOLDAVEL, 40 MM, PARA AGUA FRIA PREDIAL</t>
  </si>
  <si>
    <t>UNIAO PVC, SOLDAVEL, 50 MM, PARA AGUA FRIA PREDIAL</t>
  </si>
  <si>
    <t>UNIAO PVC, SOLDAVEL, 75 MM, PARA AGUA FRIA PREDIAL</t>
  </si>
  <si>
    <t>ADAPTADOR PVC SOLDAVEL, COM FLANGES LIVRES, 75 MM X 2 1/2", PARA CAIXA D' AGUA</t>
  </si>
  <si>
    <t>CAP, PVC PBA, JE, DN 75 / DE 85 MM, PARA REDE DE AGUA (NBR 10351)</t>
  </si>
  <si>
    <t>CAP, PVC PBA, JE, DN 100 / DE 110 MM, PARA REDE DE AGUA (NBR 10351)</t>
  </si>
  <si>
    <t>UNIAO PVC, SOLDAVEL, 110 MM, PARA AGUA FRIA PREDIAL</t>
  </si>
  <si>
    <t>TE DE INSPECAO, PVC, 100 X 75 MM, SERIE NORMAL PARA ESGOTO PREDIAL</t>
  </si>
  <si>
    <t>BATENTE / PORTAL / ADUELA / MARCO EM MADEIRA MACICA COM REBAIXO, E = *3* CM, L = *14* CM, PARA PORTAS DE GIRO DE *60 CM A 120* CM X *210* CM, CEDRINHO / ANGELIM COMERCIAL / TAURI / CURUPIXA / PEROBA / CUMARU OU EQUIVALENTE DA REGIAO (NAO INCLUI ALIZARES)</t>
  </si>
  <si>
    <t>JANELA MAXIM AR, EM ALUMINIO PERFIL 25, 60 X 80 CM (A X L), ACABAMENTO BRANCO OU BRILHANTE, BATENTE DE 4 A 5 CM, COM VIDRO 4 MM, SEM GUARNICAO/ALIZAR</t>
  </si>
  <si>
    <t>un x mês</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</si>
</sst>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4" formatCode="_-&quot;R$&quot;\ * #,##0.00_-;\-&quot;R$&quot;\ * #,##0.00_-;_-&quot;R$&quot;\ * &quot;-&quot;??_-;_-@_-"/>
    <numFmt numFmtId="43" formatCode="_-* #,##0.00_-;\-* #,##0.00_-;_-* &quot;-&quot;??_-;_-@_-"/>
    <numFmt numFmtId="167" formatCode="_(* #,##0.00_);_(* \(#,##0.00\);_(* \-??_);_(@_)"/>
    <numFmt numFmtId="168" formatCode="_(&quot;R$&quot;* #,##0.00_);_(&quot;R$&quot;* \(#,##0.00\);_(&quot;R$&quot;* &quot;-&quot;??_);_(@_)"/>
    <numFmt numFmtId="169" formatCode="0.0000"/>
    <numFmt numFmtId="170" formatCode="#,##0.0000"/>
    <numFmt numFmtId="171" formatCode="_(* #,##0.00_);_(* \(#,##0.00\);_(* &quot;-&quot;??_);_(@_)"/>
    <numFmt numFmtId="173" formatCode="#,##0.0000000"/>
    <numFmt numFmtId="174" formatCode="&quot;Data-base SINAPI&quot;\ mm/yyyy"/>
    <numFmt numFmtId="175" formatCode="#,##0.00;;"/>
    <numFmt numFmtId="176" formatCode="#,##0;;"/>
    <numFmt numFmtId="177" formatCode="&quot;R$&quot;\ #,##0.00;[Red]&quot;R$&quot;\ #,##0.00"/>
  </numFmts>
  <fonts count="34" x14ac:knownFonts="1">
    <font>
      <sz val="11"/>
      <color theme="1"/>
      <name val="Calibri"/>
      <family val="2"/>
      <scheme val="minor"/>
    </font>
    <font>
      <sz val="11"/>
      <color theme="1"/>
      <name val="Calibri"/>
      <family val="2"/>
      <scheme val="minor"/>
    </font>
    <font>
      <sz val="10"/>
      <name val="Arial"/>
      <family val="2"/>
    </font>
    <font>
      <b/>
      <sz val="10"/>
      <name val="Arial"/>
      <family val="2"/>
    </font>
    <font>
      <b/>
      <u/>
      <sz val="10"/>
      <name val="Arial"/>
      <family val="2"/>
    </font>
    <font>
      <sz val="8"/>
      <name val="Arial"/>
      <family val="2"/>
    </font>
    <font>
      <b/>
      <sz val="10"/>
      <color rgb="FFFF0000"/>
      <name val="Arial"/>
      <family val="2"/>
    </font>
    <font>
      <b/>
      <sz val="10"/>
      <color theme="0"/>
      <name val="Arial"/>
      <family val="2"/>
    </font>
    <font>
      <b/>
      <sz val="12"/>
      <color theme="1"/>
      <name val="Arial"/>
      <family val="2"/>
    </font>
    <font>
      <u/>
      <sz val="11"/>
      <color theme="10"/>
      <name val="Calibri"/>
      <family val="2"/>
      <scheme val="minor"/>
    </font>
    <font>
      <b/>
      <i/>
      <sz val="16"/>
      <color rgb="FFFF0000"/>
      <name val="Verdana"/>
      <family val="2"/>
    </font>
    <font>
      <b/>
      <sz val="11"/>
      <color theme="1"/>
      <name val="Arial"/>
      <family val="2"/>
    </font>
    <font>
      <b/>
      <sz val="14"/>
      <color theme="1"/>
      <name val="Arial"/>
      <family val="2"/>
    </font>
    <font>
      <b/>
      <sz val="14"/>
      <name val="Verdana"/>
      <family val="2"/>
    </font>
    <font>
      <b/>
      <sz val="14"/>
      <color theme="1"/>
      <name val="Verdana"/>
      <family val="2"/>
    </font>
    <font>
      <sz val="11"/>
      <color theme="1"/>
      <name val="Verdana"/>
      <family val="2"/>
    </font>
    <font>
      <b/>
      <sz val="12"/>
      <name val="Arial"/>
      <family val="2"/>
    </font>
    <font>
      <b/>
      <sz val="11"/>
      <name val="Arial"/>
      <family val="2"/>
    </font>
    <font>
      <b/>
      <sz val="14"/>
      <name val="Arial"/>
      <family val="2"/>
    </font>
    <font>
      <sz val="12"/>
      <name val="Arial"/>
      <family val="2"/>
    </font>
    <font>
      <sz val="11"/>
      <color theme="1"/>
      <name val="Arial"/>
      <family val="2"/>
    </font>
    <font>
      <b/>
      <sz val="11"/>
      <color rgb="FFFF0000"/>
      <name val="Arial"/>
      <family val="2"/>
    </font>
    <font>
      <b/>
      <sz val="10"/>
      <color theme="1"/>
      <name val="Arial"/>
      <family val="2"/>
    </font>
    <font>
      <u/>
      <sz val="9"/>
      <color indexed="12"/>
      <name val="Arial"/>
      <family val="2"/>
    </font>
    <font>
      <b/>
      <u/>
      <sz val="10"/>
      <color rgb="FFFF0000"/>
      <name val="Verdana"/>
      <family val="2"/>
    </font>
    <font>
      <b/>
      <sz val="10"/>
      <color rgb="FFFF0000"/>
      <name val="Verdana"/>
      <family val="2"/>
    </font>
    <font>
      <sz val="11"/>
      <name val="Verdana"/>
      <family val="2"/>
    </font>
    <font>
      <sz val="11"/>
      <name val="Arial"/>
      <family val="2"/>
    </font>
    <font>
      <b/>
      <sz val="11"/>
      <color theme="0"/>
      <name val="Arial"/>
      <family val="2"/>
    </font>
    <font>
      <b/>
      <u/>
      <sz val="11"/>
      <color theme="1"/>
      <name val="Arial"/>
      <family val="2"/>
    </font>
    <font>
      <sz val="10"/>
      <color theme="1"/>
      <name val="Arial"/>
      <family val="2"/>
    </font>
    <font>
      <sz val="11"/>
      <color theme="0"/>
      <name val="Calibri"/>
      <family val="2"/>
      <scheme val="minor"/>
    </font>
    <font>
      <b/>
      <u/>
      <sz val="11"/>
      <color theme="10"/>
      <name val="Calibri"/>
      <family val="2"/>
      <scheme val="minor"/>
    </font>
    <font>
      <sz val="8"/>
      <name val="Calibri"/>
      <family val="2"/>
      <scheme val="minor"/>
    </font>
  </fonts>
  <fills count="7">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F243D"/>
        <bgColor indexed="64"/>
      </patternFill>
    </fill>
    <fill>
      <patternFill patternType="solid">
        <fgColor theme="0"/>
        <bgColor indexed="64"/>
      </patternFill>
    </fill>
  </fills>
  <borders count="2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auto="1"/>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s>
  <cellStyleXfs count="9">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167" fontId="2" fillId="0" borderId="0" applyFont="0" applyFill="0" applyAlignment="0" applyProtection="0"/>
    <xf numFmtId="168" fontId="2" fillId="0" borderId="0" applyFont="0" applyFill="0" applyBorder="0" applyAlignment="0" applyProtection="0"/>
    <xf numFmtId="0" fontId="9" fillId="0" borderId="0" applyNumberFormat="0" applyFill="0" applyBorder="0" applyAlignment="0" applyProtection="0"/>
    <xf numFmtId="43" fontId="1" fillId="0" borderId="0" applyFont="0" applyFill="0" applyBorder="0" applyAlignment="0" applyProtection="0"/>
    <xf numFmtId="44" fontId="2" fillId="0" borderId="0" applyFont="0" applyFill="0" applyBorder="0" applyAlignment="0" applyProtection="0"/>
  </cellStyleXfs>
  <cellXfs count="231">
    <xf numFmtId="0" fontId="0" fillId="0" borderId="0" xfId="0"/>
    <xf numFmtId="0" fontId="2" fillId="0" borderId="0" xfId="0" applyFont="1"/>
    <xf numFmtId="0" fontId="3" fillId="0" borderId="0" xfId="0" applyFont="1" applyAlignment="1">
      <alignment horizontal="left" vertical="center"/>
    </xf>
    <xf numFmtId="0" fontId="2" fillId="0" borderId="0" xfId="0" applyFont="1" applyAlignment="1" applyProtection="1">
      <alignment horizontal="center" vertical="center"/>
      <protection locked="0"/>
    </xf>
    <xf numFmtId="0" fontId="0" fillId="0" borderId="0" xfId="0" applyAlignment="1">
      <alignment wrapText="1"/>
    </xf>
    <xf numFmtId="0" fontId="10" fillId="4" borderId="0" xfId="0" applyFont="1" applyFill="1" applyAlignment="1">
      <alignment horizontal="centerContinuous" vertical="distributed"/>
    </xf>
    <xf numFmtId="169" fontId="10" fillId="4" borderId="0" xfId="0" applyNumberFormat="1" applyFont="1" applyFill="1" applyAlignment="1">
      <alignment horizontal="centerContinuous" vertical="distributed"/>
    </xf>
    <xf numFmtId="0" fontId="10" fillId="0" borderId="0" xfId="0" applyFont="1" applyAlignment="1">
      <alignment horizontal="centerContinuous" vertical="distributed"/>
    </xf>
    <xf numFmtId="2" fontId="12" fillId="0" borderId="0" xfId="0" applyNumberFormat="1" applyFont="1" applyAlignment="1">
      <alignment horizontal="center" vertical="center" wrapText="1"/>
    </xf>
    <xf numFmtId="0" fontId="13" fillId="4" borderId="0" xfId="0" applyFont="1" applyFill="1" applyAlignment="1">
      <alignment horizontal="centerContinuous" vertical="center" wrapText="1"/>
    </xf>
    <xf numFmtId="0" fontId="14" fillId="4" borderId="0" xfId="0" applyFont="1" applyFill="1" applyAlignment="1">
      <alignment horizontal="centerContinuous" vertical="center" wrapText="1"/>
    </xf>
    <xf numFmtId="169" fontId="14" fillId="4" borderId="0" xfId="0" applyNumberFormat="1" applyFont="1" applyFill="1" applyAlignment="1">
      <alignment horizontal="centerContinuous" vertical="center" wrapText="1"/>
    </xf>
    <xf numFmtId="0" fontId="14" fillId="0" borderId="0" xfId="0" applyFont="1" applyAlignment="1">
      <alignment horizontal="centerContinuous" vertical="center" wrapText="1"/>
    </xf>
    <xf numFmtId="0" fontId="15" fillId="0" borderId="0" xfId="0" applyFont="1" applyAlignment="1">
      <alignment horizontal="centerContinuous" vertical="center" wrapText="1"/>
    </xf>
    <xf numFmtId="169" fontId="15" fillId="0" borderId="0" xfId="0" applyNumberFormat="1" applyFont="1" applyAlignment="1">
      <alignment horizontal="centerContinuous" vertical="center" wrapText="1"/>
    </xf>
    <xf numFmtId="0" fontId="20" fillId="0" borderId="0" xfId="0" applyFont="1" applyAlignment="1">
      <alignment vertical="center" wrapText="1"/>
    </xf>
    <xf numFmtId="169" fontId="20" fillId="0" borderId="0" xfId="0" applyNumberFormat="1" applyFont="1" applyAlignment="1">
      <alignment vertical="center" wrapText="1"/>
    </xf>
    <xf numFmtId="0" fontId="21" fillId="0" borderId="0" xfId="0" applyFont="1" applyAlignment="1">
      <alignment horizontal="center" vertical="center" wrapText="1"/>
    </xf>
    <xf numFmtId="2" fontId="20" fillId="0" borderId="0" xfId="0" applyNumberFormat="1" applyFont="1" applyAlignment="1">
      <alignment vertical="center" wrapText="1"/>
    </xf>
    <xf numFmtId="0" fontId="17" fillId="4" borderId="9" xfId="0" applyFont="1" applyFill="1" applyBorder="1" applyAlignment="1">
      <alignment horizontal="center" vertical="center" wrapText="1"/>
    </xf>
    <xf numFmtId="0" fontId="17" fillId="4" borderId="10" xfId="0" applyFont="1" applyFill="1" applyBorder="1" applyAlignment="1">
      <alignment horizontal="center" vertical="center" wrapText="1"/>
    </xf>
    <xf numFmtId="169" fontId="17" fillId="4" borderId="10" xfId="0" applyNumberFormat="1" applyFont="1" applyFill="1" applyBorder="1" applyAlignment="1">
      <alignment horizontal="center" vertical="center" wrapText="1"/>
    </xf>
    <xf numFmtId="0" fontId="17" fillId="4" borderId="11" xfId="0" applyFont="1" applyFill="1" applyBorder="1" applyAlignment="1">
      <alignment horizontal="center" vertical="center" wrapText="1"/>
    </xf>
    <xf numFmtId="0" fontId="17" fillId="0" borderId="12" xfId="0" applyFont="1" applyBorder="1" applyAlignment="1">
      <alignment horizontal="center" vertical="center" wrapText="1"/>
    </xf>
    <xf numFmtId="2" fontId="22" fillId="4" borderId="10" xfId="0" applyNumberFormat="1" applyFont="1" applyFill="1" applyBorder="1" applyAlignment="1">
      <alignment horizontal="center" vertical="center" wrapText="1"/>
    </xf>
    <xf numFmtId="0" fontId="3" fillId="0" borderId="8" xfId="3" applyFont="1" applyBorder="1" applyAlignment="1">
      <alignment horizontal="center" vertical="center" wrapText="1"/>
    </xf>
    <xf numFmtId="169" fontId="3" fillId="0" borderId="8" xfId="3" applyNumberFormat="1" applyFont="1" applyBorder="1" applyAlignment="1">
      <alignment vertical="center" wrapText="1"/>
    </xf>
    <xf numFmtId="0" fontId="3" fillId="0" borderId="8" xfId="3" applyFont="1" applyBorder="1" applyAlignment="1">
      <alignment vertical="center" wrapText="1"/>
    </xf>
    <xf numFmtId="0" fontId="3" fillId="0" borderId="5" xfId="3" applyFont="1" applyBorder="1" applyAlignment="1">
      <alignment vertical="center" wrapText="1"/>
    </xf>
    <xf numFmtId="0" fontId="3" fillId="0" borderId="0" xfId="3" applyFont="1" applyAlignment="1">
      <alignment vertical="center" wrapText="1"/>
    </xf>
    <xf numFmtId="168" fontId="2" fillId="0" borderId="0" xfId="5" applyFont="1" applyFill="1" applyBorder="1" applyAlignment="1" applyProtection="1">
      <alignment horizontal="center" vertical="center" wrapText="1"/>
    </xf>
    <xf numFmtId="0" fontId="2" fillId="0" borderId="0" xfId="3" applyAlignment="1">
      <alignment vertical="center" wrapText="1"/>
    </xf>
    <xf numFmtId="169" fontId="2" fillId="0" borderId="0" xfId="3" applyNumberFormat="1" applyAlignment="1">
      <alignment vertical="center" wrapText="1"/>
    </xf>
    <xf numFmtId="168" fontId="2" fillId="0" borderId="0" xfId="5" applyFont="1" applyBorder="1" applyAlignment="1" applyProtection="1">
      <alignment horizontal="center" vertical="center" wrapText="1"/>
    </xf>
    <xf numFmtId="168" fontId="2" fillId="0" borderId="16" xfId="5" applyFont="1" applyFill="1" applyBorder="1" applyAlignment="1" applyProtection="1">
      <alignment horizontal="center" vertical="center" wrapText="1"/>
    </xf>
    <xf numFmtId="0" fontId="2" fillId="0" borderId="0" xfId="0" applyFont="1" applyAlignment="1">
      <alignment horizontal="center" vertical="center" wrapText="1"/>
    </xf>
    <xf numFmtId="169" fontId="2"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168" fontId="7" fillId="5" borderId="16" xfId="5" applyFont="1" applyFill="1" applyBorder="1" applyAlignment="1" applyProtection="1">
      <alignment horizontal="center" vertical="center" wrapText="1"/>
    </xf>
    <xf numFmtId="168" fontId="7" fillId="0" borderId="0" xfId="5" applyFont="1" applyFill="1" applyBorder="1" applyAlignment="1" applyProtection="1">
      <alignment horizontal="center" vertical="center" wrapText="1"/>
    </xf>
    <xf numFmtId="0" fontId="3" fillId="0" borderId="4" xfId="3" applyFont="1" applyBorder="1" applyAlignment="1">
      <alignment horizontal="center" vertical="center" wrapText="1"/>
    </xf>
    <xf numFmtId="168" fontId="3" fillId="0" borderId="8" xfId="3" applyNumberFormat="1" applyFont="1" applyBorder="1" applyAlignment="1">
      <alignment vertical="center" wrapText="1"/>
    </xf>
    <xf numFmtId="168" fontId="2" fillId="0" borderId="0" xfId="5" applyFont="1" applyFill="1" applyBorder="1" applyAlignment="1" applyProtection="1">
      <alignment vertical="center" wrapText="1"/>
    </xf>
    <xf numFmtId="168" fontId="7" fillId="0" borderId="16" xfId="5" applyFont="1" applyFill="1" applyBorder="1" applyAlignment="1" applyProtection="1">
      <alignment horizontal="center" vertical="center" wrapText="1"/>
    </xf>
    <xf numFmtId="168" fontId="3" fillId="0" borderId="16" xfId="5" applyFont="1" applyFill="1" applyBorder="1" applyAlignment="1" applyProtection="1">
      <alignment horizontal="center" vertical="center" wrapText="1"/>
    </xf>
    <xf numFmtId="168" fontId="3" fillId="0" borderId="0" xfId="5" applyFont="1" applyFill="1" applyBorder="1" applyAlignment="1" applyProtection="1">
      <alignment horizontal="center" vertical="center" wrapText="1"/>
    </xf>
    <xf numFmtId="171" fontId="2" fillId="0" borderId="0" xfId="0" applyNumberFormat="1" applyFont="1" applyAlignment="1">
      <alignment horizontal="center" vertical="center" wrapText="1"/>
    </xf>
    <xf numFmtId="0" fontId="3" fillId="0" borderId="0" xfId="0" applyFont="1" applyAlignment="1">
      <alignment horizontal="center" vertical="center" wrapText="1"/>
    </xf>
    <xf numFmtId="168" fontId="3" fillId="0" borderId="8" xfId="3" applyNumberFormat="1"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wrapText="1"/>
    </xf>
    <xf numFmtId="0" fontId="3" fillId="0" borderId="0" xfId="0" applyFont="1" applyAlignment="1">
      <alignment horizontal="left" vertical="center" wrapText="1"/>
    </xf>
    <xf numFmtId="169" fontId="3" fillId="0" borderId="0" xfId="0" applyNumberFormat="1" applyFont="1" applyAlignment="1">
      <alignment horizontal="left" vertical="center" wrapText="1"/>
    </xf>
    <xf numFmtId="168" fontId="2" fillId="0" borderId="0" xfId="5" applyFont="1" applyBorder="1" applyAlignment="1" applyProtection="1">
      <alignment horizontal="center" vertical="center"/>
    </xf>
    <xf numFmtId="0" fontId="2" fillId="0" borderId="3" xfId="0" applyFont="1" applyBorder="1" applyAlignment="1">
      <alignment horizontal="center" vertical="center" wrapText="1"/>
    </xf>
    <xf numFmtId="168" fontId="5" fillId="0" borderId="16" xfId="5" applyFont="1" applyBorder="1" applyAlignment="1" applyProtection="1">
      <alignment horizontal="center" vertical="center" wrapText="1"/>
    </xf>
    <xf numFmtId="168" fontId="5" fillId="0" borderId="0" xfId="5" applyFont="1" applyFill="1" applyBorder="1" applyAlignment="1" applyProtection="1">
      <alignment horizontal="center" vertical="center" wrapText="1"/>
    </xf>
    <xf numFmtId="0" fontId="3" fillId="0" borderId="0" xfId="0" applyFont="1" applyAlignment="1">
      <alignment vertical="center" wrapText="1"/>
    </xf>
    <xf numFmtId="169" fontId="3" fillId="0" borderId="0" xfId="0" applyNumberFormat="1" applyFont="1" applyAlignment="1">
      <alignment vertical="center" wrapText="1"/>
    </xf>
    <xf numFmtId="168" fontId="3" fillId="0" borderId="0" xfId="0" applyNumberFormat="1" applyFont="1" applyAlignment="1">
      <alignment vertical="center" wrapText="1"/>
    </xf>
    <xf numFmtId="0" fontId="3" fillId="0" borderId="16" xfId="0" applyFont="1" applyBorder="1" applyAlignment="1">
      <alignment vertical="center" wrapText="1"/>
    </xf>
    <xf numFmtId="0" fontId="2" fillId="0" borderId="16" xfId="0" applyFont="1" applyBorder="1"/>
    <xf numFmtId="4" fontId="2" fillId="0" borderId="16" xfId="0" applyNumberFormat="1" applyFont="1" applyBorder="1" applyAlignment="1">
      <alignment horizontal="center" vertical="center" wrapText="1"/>
    </xf>
    <xf numFmtId="4" fontId="2" fillId="0" borderId="0" xfId="0" applyNumberFormat="1" applyFont="1" applyAlignment="1">
      <alignment horizontal="center" vertical="center" wrapText="1"/>
    </xf>
    <xf numFmtId="0" fontId="2" fillId="0" borderId="0" xfId="0" applyFont="1" applyAlignment="1">
      <alignment horizontal="left" vertical="center"/>
    </xf>
    <xf numFmtId="169" fontId="2" fillId="0" borderId="3" xfId="0" applyNumberFormat="1" applyFont="1" applyBorder="1" applyAlignment="1">
      <alignment horizontal="center" vertical="center" wrapText="1"/>
    </xf>
    <xf numFmtId="168" fontId="2" fillId="0" borderId="3" xfId="5" applyFont="1" applyFill="1" applyBorder="1" applyAlignment="1" applyProtection="1">
      <alignment horizontal="center" vertical="center" wrapText="1"/>
    </xf>
    <xf numFmtId="168" fontId="2" fillId="0" borderId="3" xfId="5" applyFont="1" applyBorder="1" applyAlignment="1" applyProtection="1">
      <alignment horizontal="center" vertical="center" wrapText="1"/>
    </xf>
    <xf numFmtId="168" fontId="2" fillId="0" borderId="18" xfId="5" applyFont="1" applyFill="1" applyBorder="1" applyAlignment="1" applyProtection="1">
      <alignment horizontal="center" vertical="center" wrapText="1"/>
    </xf>
    <xf numFmtId="169" fontId="3" fillId="0" borderId="3" xfId="3" applyNumberFormat="1" applyFont="1" applyBorder="1" applyAlignment="1">
      <alignment vertical="center" wrapText="1"/>
    </xf>
    <xf numFmtId="0" fontId="3" fillId="0" borderId="3" xfId="3" applyFont="1" applyBorder="1" applyAlignment="1">
      <alignment vertical="center" wrapText="1"/>
    </xf>
    <xf numFmtId="0" fontId="3" fillId="0" borderId="18" xfId="3" applyFont="1" applyBorder="1" applyAlignment="1">
      <alignment vertical="center" wrapText="1"/>
    </xf>
    <xf numFmtId="168" fontId="2" fillId="0" borderId="16" xfId="5" applyFont="1" applyBorder="1" applyAlignment="1" applyProtection="1">
      <alignment horizontal="center" vertical="center"/>
    </xf>
    <xf numFmtId="168" fontId="2" fillId="0" borderId="0" xfId="5" applyFont="1" applyFill="1" applyBorder="1" applyAlignment="1" applyProtection="1">
      <alignment horizontal="center" vertical="center"/>
    </xf>
    <xf numFmtId="168" fontId="2" fillId="0" borderId="0" xfId="0" applyNumberFormat="1" applyFont="1" applyAlignment="1">
      <alignment horizontal="center" vertical="center" wrapText="1"/>
    </xf>
    <xf numFmtId="168" fontId="2" fillId="0" borderId="3" xfId="5" applyFont="1" applyBorder="1" applyAlignment="1" applyProtection="1">
      <alignment horizontal="center" vertical="center"/>
    </xf>
    <xf numFmtId="168" fontId="2" fillId="0" borderId="18" xfId="5" applyFont="1" applyBorder="1" applyAlignment="1" applyProtection="1">
      <alignment horizontal="center" vertical="center"/>
    </xf>
    <xf numFmtId="0" fontId="3" fillId="0" borderId="8" xfId="3" applyFont="1" applyBorder="1" applyAlignment="1">
      <alignment horizontal="center" vertical="center"/>
    </xf>
    <xf numFmtId="0" fontId="2" fillId="0" borderId="0" xfId="3" applyAlignment="1">
      <alignment vertical="center"/>
    </xf>
    <xf numFmtId="0" fontId="2" fillId="0" borderId="3" xfId="0" applyFont="1" applyBorder="1" applyAlignment="1">
      <alignment horizontal="center" vertical="center"/>
    </xf>
    <xf numFmtId="0" fontId="10" fillId="4" borderId="0" xfId="0" applyFont="1" applyFill="1" applyAlignment="1">
      <alignment horizontal="centerContinuous" vertical="center"/>
    </xf>
    <xf numFmtId="0" fontId="10" fillId="0" borderId="0" xfId="0" applyFont="1" applyAlignment="1">
      <alignment horizontal="centerContinuous" vertical="center"/>
    </xf>
    <xf numFmtId="0" fontId="8" fillId="0" borderId="0" xfId="0" applyFont="1" applyAlignment="1">
      <alignment vertical="center"/>
    </xf>
    <xf numFmtId="170" fontId="8" fillId="0" borderId="0" xfId="0" applyNumberFormat="1" applyFont="1" applyAlignment="1">
      <alignment vertical="center" wrapText="1"/>
    </xf>
    <xf numFmtId="0" fontId="24" fillId="0" borderId="3" xfId="0" applyFont="1" applyBorder="1" applyAlignment="1">
      <alignment vertical="center" wrapText="1"/>
    </xf>
    <xf numFmtId="0" fontId="25" fillId="0" borderId="3" xfId="0" applyFont="1" applyBorder="1" applyAlignment="1">
      <alignment vertical="center" wrapText="1"/>
    </xf>
    <xf numFmtId="0" fontId="25" fillId="0" borderId="0" xfId="0" applyFont="1" applyAlignment="1">
      <alignment vertical="center" wrapText="1"/>
    </xf>
    <xf numFmtId="170" fontId="24" fillId="0" borderId="3" xfId="0" applyNumberFormat="1" applyFont="1" applyBorder="1" applyAlignment="1">
      <alignment vertical="center" wrapText="1"/>
    </xf>
    <xf numFmtId="170" fontId="22" fillId="4" borderId="10" xfId="0" applyNumberFormat="1" applyFont="1" applyFill="1" applyBorder="1" applyAlignment="1">
      <alignment horizontal="center" vertical="center" wrapText="1"/>
    </xf>
    <xf numFmtId="0" fontId="3" fillId="0" borderId="3" xfId="3" applyFont="1" applyBorder="1" applyAlignment="1">
      <alignment horizontal="center" vertical="center" wrapText="1"/>
    </xf>
    <xf numFmtId="173" fontId="3" fillId="0" borderId="3" xfId="3" applyNumberFormat="1" applyFont="1" applyBorder="1" applyAlignment="1">
      <alignment vertical="center" wrapText="1"/>
    </xf>
    <xf numFmtId="173" fontId="2" fillId="0" borderId="0" xfId="3" applyNumberFormat="1" applyAlignment="1">
      <alignment vertical="center" wrapText="1"/>
    </xf>
    <xf numFmtId="173" fontId="2" fillId="0" borderId="0" xfId="0" applyNumberFormat="1" applyFont="1" applyAlignment="1">
      <alignment horizontal="center" vertical="center" wrapText="1"/>
    </xf>
    <xf numFmtId="173" fontId="3" fillId="0" borderId="8" xfId="3" applyNumberFormat="1" applyFont="1" applyBorder="1" applyAlignment="1">
      <alignment vertical="center" wrapText="1"/>
    </xf>
    <xf numFmtId="168" fontId="0" fillId="0" borderId="0" xfId="0" applyNumberFormat="1"/>
    <xf numFmtId="173" fontId="2" fillId="0" borderId="3" xfId="0" applyNumberFormat="1" applyFont="1" applyBorder="1" applyAlignment="1">
      <alignment horizontal="center" vertical="center" wrapText="1"/>
    </xf>
    <xf numFmtId="168" fontId="0" fillId="0" borderId="0" xfId="0" applyNumberFormat="1" applyAlignment="1">
      <alignment horizontal="center" vertical="center"/>
    </xf>
    <xf numFmtId="168" fontId="2" fillId="0" borderId="0" xfId="5" applyFont="1" applyFill="1" applyBorder="1" applyAlignment="1">
      <alignment vertical="center" wrapText="1"/>
    </xf>
    <xf numFmtId="168" fontId="2" fillId="0" borderId="0" xfId="5" applyFont="1" applyFill="1" applyBorder="1" applyAlignment="1">
      <alignment horizontal="center" vertical="center" wrapText="1"/>
    </xf>
    <xf numFmtId="168" fontId="0" fillId="0" borderId="0" xfId="0" applyNumberFormat="1" applyProtection="1">
      <protection locked="0"/>
    </xf>
    <xf numFmtId="168" fontId="2" fillId="0" borderId="16" xfId="5" applyFont="1" applyFill="1" applyBorder="1" applyAlignment="1">
      <alignment horizontal="center" vertical="center" wrapText="1"/>
    </xf>
    <xf numFmtId="0" fontId="17" fillId="4" borderId="1" xfId="0" applyFont="1" applyFill="1" applyBorder="1" applyAlignment="1">
      <alignment horizontal="center" vertical="center" wrapText="1"/>
    </xf>
    <xf numFmtId="0" fontId="17" fillId="4" borderId="2" xfId="0" applyFont="1" applyFill="1" applyBorder="1" applyAlignment="1">
      <alignment horizontal="center" vertical="center" wrapText="1"/>
    </xf>
    <xf numFmtId="0" fontId="3" fillId="0" borderId="3" xfId="0" applyFont="1" applyBorder="1" applyAlignment="1">
      <alignment horizontal="center" vertical="center" wrapText="1"/>
    </xf>
    <xf numFmtId="0" fontId="10" fillId="4" borderId="0" xfId="0" applyFont="1" applyFill="1" applyAlignment="1">
      <alignment horizontal="centerContinuous" vertical="center" wrapText="1"/>
    </xf>
    <xf numFmtId="0" fontId="10" fillId="4" borderId="0" xfId="0" applyFont="1" applyFill="1" applyAlignment="1" applyProtection="1">
      <alignment horizontal="centerContinuous" vertical="center"/>
      <protection locked="0"/>
    </xf>
    <xf numFmtId="0" fontId="13" fillId="4" borderId="0" xfId="0" applyFont="1" applyFill="1" applyAlignment="1" applyProtection="1">
      <alignment horizontal="centerContinuous" vertical="center"/>
      <protection locked="0"/>
    </xf>
    <xf numFmtId="0" fontId="26" fillId="6" borderId="0" xfId="0" applyFont="1" applyFill="1" applyAlignment="1" applyProtection="1">
      <alignment horizontal="centerContinuous" vertical="center" wrapText="1"/>
      <protection locked="0"/>
    </xf>
    <xf numFmtId="0" fontId="27" fillId="6" borderId="3" xfId="0" applyFont="1" applyFill="1" applyBorder="1" applyAlignment="1" applyProtection="1">
      <alignment horizontal="center" vertical="center" wrapText="1"/>
      <protection locked="0"/>
    </xf>
    <xf numFmtId="0" fontId="27" fillId="6" borderId="3" xfId="0" applyFont="1" applyFill="1" applyBorder="1" applyAlignment="1" applyProtection="1">
      <alignment vertical="center" wrapText="1"/>
      <protection locked="0"/>
    </xf>
    <xf numFmtId="174" fontId="27" fillId="6" borderId="3" xfId="0" applyNumberFormat="1" applyFont="1" applyFill="1" applyBorder="1" applyAlignment="1" applyProtection="1">
      <alignment horizontal="centerContinuous" vertical="center" wrapText="1"/>
      <protection locked="0"/>
    </xf>
    <xf numFmtId="0" fontId="27" fillId="6" borderId="3" xfId="0" applyFont="1" applyFill="1" applyBorder="1" applyAlignment="1" applyProtection="1">
      <alignment horizontal="centerContinuous" vertical="center" wrapText="1"/>
      <protection locked="0"/>
    </xf>
    <xf numFmtId="171" fontId="0" fillId="6" borderId="0" xfId="0" applyNumberFormat="1" applyFill="1" applyAlignment="1" applyProtection="1">
      <alignment vertical="center" wrapText="1"/>
      <protection locked="0"/>
    </xf>
    <xf numFmtId="0" fontId="27" fillId="6" borderId="0" xfId="0" applyFont="1" applyFill="1" applyAlignment="1" applyProtection="1">
      <alignment horizontal="center" vertical="center" wrapText="1"/>
      <protection locked="0"/>
    </xf>
    <xf numFmtId="3" fontId="2" fillId="0" borderId="6" xfId="4" applyNumberFormat="1" applyFont="1" applyFill="1" applyBorder="1" applyAlignment="1" applyProtection="1">
      <alignment horizontal="center" vertical="center" wrapText="1"/>
      <protection locked="0"/>
    </xf>
    <xf numFmtId="49" fontId="2" fillId="0" borderId="7" xfId="4" applyNumberFormat="1" applyFont="1" applyFill="1" applyBorder="1" applyAlignment="1" applyProtection="1">
      <alignment horizontal="left" vertical="center" wrapText="1"/>
      <protection locked="0"/>
    </xf>
    <xf numFmtId="4" fontId="2" fillId="0" borderId="7" xfId="4" applyNumberFormat="1" applyFont="1" applyFill="1" applyBorder="1" applyAlignment="1" applyProtection="1">
      <alignment horizontal="center" vertical="center" wrapText="1"/>
      <protection locked="0"/>
    </xf>
    <xf numFmtId="0" fontId="2" fillId="0" borderId="0" xfId="0" applyFont="1" applyAlignment="1" applyProtection="1">
      <alignment vertical="center" wrapText="1"/>
      <protection locked="0"/>
    </xf>
    <xf numFmtId="0" fontId="2" fillId="0" borderId="0" xfId="0" applyFont="1" applyAlignment="1" applyProtection="1">
      <alignment horizontal="center" vertical="center" wrapText="1"/>
      <protection locked="0"/>
    </xf>
    <xf numFmtId="0" fontId="0" fillId="0" borderId="0" xfId="0" applyProtection="1">
      <protection locked="0"/>
    </xf>
    <xf numFmtId="0" fontId="2" fillId="0" borderId="0" xfId="0" applyFont="1" applyAlignment="1" applyProtection="1">
      <alignment horizontal="left" vertical="center" wrapText="1"/>
      <protection locked="0"/>
    </xf>
    <xf numFmtId="2" fontId="3" fillId="0" borderId="0" xfId="1" applyNumberFormat="1" applyFont="1" applyAlignment="1" applyProtection="1">
      <alignment horizontal="right"/>
      <protection locked="0"/>
    </xf>
    <xf numFmtId="43" fontId="2" fillId="0" borderId="0" xfId="1" applyFont="1" applyProtection="1">
      <protection locked="0"/>
    </xf>
    <xf numFmtId="43" fontId="2" fillId="0" borderId="0" xfId="1" applyFont="1" applyAlignment="1" applyProtection="1">
      <alignment horizontal="right"/>
      <protection locked="0"/>
    </xf>
    <xf numFmtId="2" fontId="2" fillId="0" borderId="0" xfId="1" applyNumberFormat="1" applyFont="1" applyAlignment="1" applyProtection="1">
      <alignment horizontal="centerContinuous" wrapText="1"/>
      <protection locked="0"/>
    </xf>
    <xf numFmtId="43" fontId="2" fillId="0" borderId="0" xfId="1" applyFont="1" applyAlignment="1" applyProtection="1">
      <alignment horizontal="centerContinuous" wrapText="1"/>
      <protection locked="0"/>
    </xf>
    <xf numFmtId="0" fontId="10" fillId="4" borderId="0" xfId="0" applyFont="1" applyFill="1" applyAlignment="1" applyProtection="1">
      <alignment horizontal="centerContinuous" vertical="center" wrapText="1"/>
      <protection locked="0"/>
    </xf>
    <xf numFmtId="0" fontId="13" fillId="4" borderId="0" xfId="0" applyFont="1" applyFill="1" applyAlignment="1" applyProtection="1">
      <alignment horizontal="centerContinuous" vertical="center" wrapText="1"/>
      <protection locked="0"/>
    </xf>
    <xf numFmtId="0" fontId="18" fillId="6" borderId="3" xfId="0" applyFont="1" applyFill="1" applyBorder="1" applyAlignment="1" applyProtection="1">
      <alignment horizontal="center" vertical="center" wrapText="1"/>
      <protection locked="0"/>
    </xf>
    <xf numFmtId="0" fontId="18" fillId="6" borderId="0" xfId="0" applyFont="1" applyFill="1" applyAlignment="1" applyProtection="1">
      <alignment horizontal="center" vertical="center" wrapText="1"/>
      <protection locked="0"/>
    </xf>
    <xf numFmtId="10" fontId="2" fillId="0" borderId="7" xfId="0" applyNumberFormat="1" applyFont="1" applyBorder="1" applyAlignment="1" applyProtection="1">
      <alignment horizontal="center" vertical="center"/>
      <protection locked="0"/>
    </xf>
    <xf numFmtId="0" fontId="25" fillId="0" borderId="3" xfId="0" applyFont="1" applyBorder="1" applyAlignment="1">
      <alignment vertical="center"/>
    </xf>
    <xf numFmtId="0" fontId="17" fillId="4" borderId="2" xfId="0" applyFont="1" applyFill="1" applyBorder="1" applyAlignment="1">
      <alignment horizontal="center" vertical="center"/>
    </xf>
    <xf numFmtId="171" fontId="2" fillId="0" borderId="0" xfId="0" applyNumberFormat="1" applyFont="1" applyAlignment="1">
      <alignment horizontal="center" vertical="center"/>
    </xf>
    <xf numFmtId="0" fontId="14" fillId="4" borderId="0" xfId="0" applyFont="1" applyFill="1" applyAlignment="1">
      <alignment horizontal="centerContinuous" vertical="center"/>
    </xf>
    <xf numFmtId="0" fontId="15" fillId="0" borderId="0" xfId="0" applyFont="1" applyAlignment="1">
      <alignment horizontal="centerContinuous" vertical="center"/>
    </xf>
    <xf numFmtId="168" fontId="2" fillId="0" borderId="7" xfId="5" applyFont="1" applyFill="1" applyBorder="1" applyAlignment="1" applyProtection="1">
      <alignment vertical="center" wrapText="1"/>
    </xf>
    <xf numFmtId="168" fontId="2" fillId="0" borderId="7" xfId="5" applyFont="1" applyFill="1" applyBorder="1" applyAlignment="1" applyProtection="1">
      <alignment horizontal="right" vertical="center" wrapText="1"/>
    </xf>
    <xf numFmtId="10" fontId="2" fillId="0" borderId="7" xfId="2" applyNumberFormat="1" applyFont="1" applyFill="1" applyBorder="1" applyAlignment="1" applyProtection="1">
      <alignment horizontal="center" vertical="center" wrapText="1"/>
    </xf>
    <xf numFmtId="168" fontId="2" fillId="0" borderId="7" xfId="5" applyFont="1" applyFill="1" applyBorder="1" applyAlignment="1" applyProtection="1">
      <alignment horizontal="center" vertical="center" wrapText="1"/>
    </xf>
    <xf numFmtId="177" fontId="28" fillId="2" borderId="0" xfId="1" applyNumberFormat="1" applyFont="1" applyFill="1" applyBorder="1" applyAlignment="1" applyProtection="1">
      <alignment horizontal="right" wrapText="1"/>
    </xf>
    <xf numFmtId="177" fontId="28" fillId="2" borderId="3" xfId="1" applyNumberFormat="1" applyFont="1" applyFill="1" applyBorder="1" applyAlignment="1" applyProtection="1">
      <alignment horizontal="right" wrapText="1"/>
    </xf>
    <xf numFmtId="10" fontId="28" fillId="2" borderId="20" xfId="2" applyNumberFormat="1" applyFont="1" applyFill="1" applyBorder="1" applyAlignment="1" applyProtection="1">
      <alignment wrapText="1"/>
    </xf>
    <xf numFmtId="0" fontId="9" fillId="0" borderId="0" xfId="6" applyNumberFormat="1" applyBorder="1" applyAlignment="1" applyProtection="1">
      <alignment horizontal="left" vertical="center" wrapText="1"/>
    </xf>
    <xf numFmtId="0" fontId="9" fillId="0" borderId="0" xfId="6" applyBorder="1" applyAlignment="1" applyProtection="1">
      <alignment wrapText="1"/>
    </xf>
    <xf numFmtId="0" fontId="6" fillId="0" borderId="4" xfId="3" applyFont="1" applyBorder="1" applyAlignment="1">
      <alignment horizontal="center" vertical="center" wrapText="1"/>
    </xf>
    <xf numFmtId="0" fontId="3" fillId="0" borderId="0" xfId="0" applyFont="1" applyAlignment="1">
      <alignment wrapText="1"/>
    </xf>
    <xf numFmtId="49" fontId="2" fillId="0" borderId="0" xfId="0" applyNumberFormat="1" applyFont="1" applyAlignment="1">
      <alignment horizontal="center" vertical="center" wrapText="1"/>
    </xf>
    <xf numFmtId="2" fontId="2" fillId="0" borderId="0" xfId="3" applyNumberFormat="1" applyAlignment="1">
      <alignment vertical="center" wrapText="1"/>
    </xf>
    <xf numFmtId="0" fontId="2" fillId="0" borderId="0" xfId="0" applyFont="1" applyAlignment="1">
      <alignment horizontal="left" vertical="center" wrapText="1"/>
    </xf>
    <xf numFmtId="0" fontId="23" fillId="0" borderId="0" xfId="6" applyNumberFormat="1" applyFont="1" applyFill="1" applyBorder="1" applyAlignment="1" applyProtection="1">
      <alignment horizontal="center" vertical="center" wrapText="1"/>
    </xf>
    <xf numFmtId="0" fontId="23" fillId="0" borderId="0" xfId="6" applyFont="1" applyBorder="1" applyAlignment="1" applyProtection="1">
      <alignment wrapText="1"/>
    </xf>
    <xf numFmtId="2" fontId="30" fillId="4" borderId="0" xfId="5" applyNumberFormat="1" applyFont="1" applyFill="1" applyBorder="1" applyAlignment="1" applyProtection="1">
      <alignment horizontal="center" vertical="center" wrapText="1"/>
    </xf>
    <xf numFmtId="170" fontId="30" fillId="4" borderId="0" xfId="5" applyNumberFormat="1" applyFont="1" applyFill="1" applyBorder="1" applyAlignment="1" applyProtection="1">
      <alignment horizontal="center" vertical="center" wrapText="1"/>
    </xf>
    <xf numFmtId="0" fontId="31" fillId="6" borderId="0" xfId="0" applyFont="1" applyFill="1" applyAlignment="1" applyProtection="1">
      <alignment vertical="center" wrapText="1"/>
      <protection locked="0"/>
    </xf>
    <xf numFmtId="171" fontId="2" fillId="0" borderId="3" xfId="0" applyNumberFormat="1" applyFont="1" applyBorder="1" applyAlignment="1">
      <alignment horizontal="center" vertical="center" wrapText="1"/>
    </xf>
    <xf numFmtId="0" fontId="3" fillId="0" borderId="17" xfId="3" applyFont="1" applyBorder="1" applyAlignment="1">
      <alignment horizontal="center" vertical="center" wrapText="1"/>
    </xf>
    <xf numFmtId="0" fontId="20" fillId="0" borderId="0" xfId="0" applyFont="1" applyAlignment="1">
      <alignment vertical="center"/>
    </xf>
    <xf numFmtId="0" fontId="17" fillId="4" borderId="10" xfId="0" applyFont="1" applyFill="1" applyBorder="1" applyAlignment="1">
      <alignment horizontal="center" vertical="center"/>
    </xf>
    <xf numFmtId="0" fontId="32" fillId="0" borderId="0" xfId="6" applyFont="1" applyAlignment="1">
      <alignment horizontal="center" vertical="center" wrapText="1"/>
    </xf>
    <xf numFmtId="0" fontId="2" fillId="0" borderId="3" xfId="0" applyFont="1" applyBorder="1" applyAlignment="1">
      <alignment wrapText="1"/>
    </xf>
    <xf numFmtId="168" fontId="3" fillId="0" borderId="18" xfId="5" applyFont="1" applyFill="1" applyBorder="1" applyAlignment="1" applyProtection="1">
      <alignment horizontal="center" vertical="center" wrapText="1"/>
    </xf>
    <xf numFmtId="44" fontId="2" fillId="0" borderId="0" xfId="8" applyFont="1" applyFill="1" applyBorder="1" applyAlignment="1" applyProtection="1">
      <alignment horizontal="center" vertical="center" wrapText="1"/>
    </xf>
    <xf numFmtId="44" fontId="2" fillId="0" borderId="0" xfId="8" applyFont="1" applyBorder="1" applyAlignment="1" applyProtection="1">
      <alignment horizontal="center" vertical="center" wrapText="1"/>
    </xf>
    <xf numFmtId="44" fontId="2" fillId="0" borderId="16" xfId="8" applyFont="1" applyFill="1" applyBorder="1" applyAlignment="1" applyProtection="1">
      <alignment horizontal="center" vertical="center" wrapText="1"/>
    </xf>
    <xf numFmtId="44" fontId="7" fillId="5" borderId="16" xfId="8" applyFont="1" applyFill="1" applyBorder="1" applyAlignment="1" applyProtection="1">
      <alignment horizontal="center" vertical="center" wrapText="1"/>
    </xf>
    <xf numFmtId="44" fontId="7" fillId="0" borderId="0" xfId="8" applyFont="1" applyFill="1" applyBorder="1" applyAlignment="1" applyProtection="1">
      <alignment horizontal="center" vertical="center" wrapText="1"/>
    </xf>
    <xf numFmtId="44" fontId="3" fillId="0" borderId="8" xfId="3" applyNumberFormat="1" applyFont="1" applyBorder="1" applyAlignment="1">
      <alignment vertical="center" wrapText="1"/>
    </xf>
    <xf numFmtId="44" fontId="2" fillId="0" borderId="0" xfId="8" applyFont="1" applyFill="1" applyBorder="1" applyAlignment="1" applyProtection="1">
      <alignment vertical="center" wrapText="1"/>
    </xf>
    <xf numFmtId="43" fontId="2" fillId="0" borderId="0" xfId="0" applyNumberFormat="1" applyFont="1" applyAlignment="1">
      <alignment horizontal="center" vertical="center" wrapText="1"/>
    </xf>
    <xf numFmtId="3" fontId="3" fillId="0" borderId="14" xfId="3" applyNumberFormat="1" applyFont="1" applyBorder="1" applyAlignment="1">
      <alignment horizontal="center" vertical="center"/>
    </xf>
    <xf numFmtId="3" fontId="3" fillId="0" borderId="13" xfId="3" applyNumberFormat="1" applyFont="1" applyBorder="1" applyAlignment="1">
      <alignment horizontal="center" vertical="center"/>
    </xf>
    <xf numFmtId="3" fontId="3" fillId="0" borderId="17" xfId="3" applyNumberFormat="1" applyFont="1" applyBorder="1" applyAlignment="1">
      <alignment horizontal="center" vertical="center"/>
    </xf>
    <xf numFmtId="0" fontId="3" fillId="0" borderId="15" xfId="3" applyFont="1" applyBorder="1" applyAlignment="1">
      <alignment horizontal="center" vertical="center" wrapText="1"/>
    </xf>
    <xf numFmtId="0" fontId="3" fillId="0" borderId="0" xfId="3" applyFont="1" applyAlignment="1">
      <alignment horizontal="center" vertical="center" wrapText="1"/>
    </xf>
    <xf numFmtId="0" fontId="3" fillId="0" borderId="3" xfId="3" applyFont="1" applyBorder="1" applyAlignment="1">
      <alignment horizontal="center" vertical="center" wrapText="1"/>
    </xf>
    <xf numFmtId="0" fontId="3" fillId="0" borderId="13" xfId="3" applyFont="1" applyBorder="1" applyAlignment="1">
      <alignment horizontal="center" vertical="center"/>
    </xf>
    <xf numFmtId="0" fontId="3" fillId="0" borderId="17" xfId="3" applyFont="1" applyBorder="1" applyAlignment="1">
      <alignment horizontal="center" vertical="center"/>
    </xf>
    <xf numFmtId="0" fontId="3" fillId="3" borderId="15" xfId="3" applyFont="1" applyFill="1" applyBorder="1" applyAlignment="1">
      <alignment horizontal="center" vertical="center" wrapText="1"/>
    </xf>
    <xf numFmtId="0" fontId="3" fillId="3" borderId="0" xfId="3" applyFont="1" applyFill="1" applyAlignment="1">
      <alignment horizontal="center" vertical="center" wrapText="1"/>
    </xf>
    <xf numFmtId="0" fontId="3" fillId="3" borderId="3" xfId="3" applyFont="1" applyFill="1" applyBorder="1" applyAlignment="1">
      <alignment horizontal="center" vertical="center" wrapText="1"/>
    </xf>
    <xf numFmtId="3" fontId="3" fillId="0" borderId="14" xfId="3" applyNumberFormat="1" applyFont="1" applyBorder="1" applyAlignment="1">
      <alignment horizontal="center" vertical="center" wrapText="1"/>
    </xf>
    <xf numFmtId="0" fontId="3" fillId="0" borderId="13" xfId="3" applyFont="1" applyBorder="1" applyAlignment="1">
      <alignment horizontal="center" vertical="center" wrapText="1"/>
    </xf>
    <xf numFmtId="0" fontId="3" fillId="0" borderId="14" xfId="3" applyFont="1" applyBorder="1" applyAlignment="1">
      <alignment horizontal="center" vertical="center" wrapText="1"/>
    </xf>
    <xf numFmtId="0" fontId="3" fillId="0" borderId="17" xfId="3" applyFont="1" applyBorder="1" applyAlignment="1">
      <alignment horizontal="center" vertical="center" wrapText="1"/>
    </xf>
    <xf numFmtId="0" fontId="17" fillId="4" borderId="1" xfId="0" applyFont="1" applyFill="1" applyBorder="1" applyAlignment="1" applyProtection="1">
      <alignment horizontal="center" vertical="center" wrapText="1"/>
    </xf>
    <xf numFmtId="0" fontId="17" fillId="4" borderId="2" xfId="0" applyFont="1" applyFill="1" applyBorder="1" applyAlignment="1" applyProtection="1">
      <alignment horizontal="center" vertical="center" wrapText="1"/>
    </xf>
    <xf numFmtId="2" fontId="17" fillId="4" borderId="2" xfId="1" applyNumberFormat="1" applyFont="1" applyFill="1" applyBorder="1" applyAlignment="1" applyProtection="1">
      <alignment horizontal="center" vertical="center" wrapText="1"/>
    </xf>
    <xf numFmtId="43" fontId="17" fillId="4" borderId="2" xfId="1" applyFont="1" applyFill="1" applyBorder="1" applyAlignment="1" applyProtection="1">
      <alignment horizontal="center" vertical="center" wrapText="1"/>
    </xf>
    <xf numFmtId="3" fontId="2" fillId="0" borderId="6" xfId="4" applyNumberFormat="1" applyFont="1" applyFill="1" applyBorder="1" applyAlignment="1" applyProtection="1">
      <alignment horizontal="center" vertical="center" wrapText="1"/>
    </xf>
    <xf numFmtId="49" fontId="2" fillId="0" borderId="7" xfId="4" applyNumberFormat="1" applyFont="1" applyFill="1" applyBorder="1" applyAlignment="1" applyProtection="1">
      <alignment horizontal="left" vertical="center" wrapText="1"/>
    </xf>
    <xf numFmtId="4" fontId="2" fillId="0" borderId="7" xfId="4" applyNumberFormat="1" applyFont="1" applyFill="1" applyBorder="1" applyAlignment="1" applyProtection="1">
      <alignment horizontal="center" vertical="center" wrapText="1"/>
    </xf>
    <xf numFmtId="175" fontId="21" fillId="2" borderId="19" xfId="0" applyNumberFormat="1" applyFont="1" applyFill="1" applyBorder="1" applyAlignment="1" applyProtection="1">
      <alignment vertical="center" wrapText="1"/>
    </xf>
    <xf numFmtId="49" fontId="21" fillId="2" borderId="20" xfId="0" applyNumberFormat="1" applyFont="1" applyFill="1" applyBorder="1" applyAlignment="1" applyProtection="1">
      <alignment vertical="center" wrapText="1"/>
    </xf>
    <xf numFmtId="175" fontId="21" fillId="2" borderId="20" xfId="0" applyNumberFormat="1" applyFont="1" applyFill="1" applyBorder="1" applyAlignment="1" applyProtection="1">
      <alignment vertical="center" wrapText="1"/>
    </xf>
    <xf numFmtId="175" fontId="28" fillId="2" borderId="20" xfId="0" applyNumberFormat="1" applyFont="1" applyFill="1" applyBorder="1" applyAlignment="1" applyProtection="1">
      <alignment vertical="center" wrapText="1"/>
    </xf>
    <xf numFmtId="10" fontId="2" fillId="2" borderId="21" xfId="2" applyNumberFormat="1" applyFont="1" applyFill="1" applyBorder="1" applyAlignment="1" applyProtection="1">
      <alignment horizontal="center" vertical="center" wrapText="1"/>
    </xf>
    <xf numFmtId="168" fontId="2" fillId="2" borderId="21" xfId="5" applyFont="1" applyFill="1" applyBorder="1" applyAlignment="1" applyProtection="1">
      <alignment horizontal="center" vertical="center" wrapText="1"/>
    </xf>
    <xf numFmtId="168" fontId="2" fillId="2" borderId="0" xfId="5" applyFont="1" applyFill="1" applyBorder="1" applyAlignment="1" applyProtection="1">
      <alignment horizontal="right" vertical="center" wrapText="1"/>
    </xf>
    <xf numFmtId="176" fontId="28" fillId="2" borderId="19" xfId="0" applyNumberFormat="1" applyFont="1" applyFill="1" applyBorder="1" applyAlignment="1" applyProtection="1">
      <alignment horizontal="center" wrapText="1"/>
    </xf>
    <xf numFmtId="175" fontId="28" fillId="2" borderId="20" xfId="0" applyNumberFormat="1" applyFont="1" applyFill="1" applyBorder="1" applyAlignment="1" applyProtection="1">
      <alignment wrapText="1"/>
    </xf>
    <xf numFmtId="175" fontId="28" fillId="2" borderId="20" xfId="0" applyNumberFormat="1" applyFont="1" applyFill="1" applyBorder="1" applyAlignment="1" applyProtection="1">
      <alignment horizontal="centerContinuous" wrapText="1"/>
    </xf>
    <xf numFmtId="175" fontId="28" fillId="2" borderId="20" xfId="0" applyNumberFormat="1" applyFont="1" applyFill="1" applyBorder="1" applyAlignment="1" applyProtection="1">
      <alignment horizontal="center" wrapText="1"/>
    </xf>
    <xf numFmtId="175" fontId="28" fillId="2" borderId="4" xfId="0" applyNumberFormat="1" applyFont="1" applyFill="1" applyBorder="1" applyAlignment="1" applyProtection="1">
      <alignment wrapText="1"/>
    </xf>
    <xf numFmtId="175" fontId="28" fillId="2" borderId="8" xfId="0" applyNumberFormat="1" applyFont="1" applyFill="1" applyBorder="1" applyAlignment="1" applyProtection="1">
      <alignment wrapText="1"/>
    </xf>
    <xf numFmtId="175" fontId="28" fillId="2" borderId="8" xfId="0" applyNumberFormat="1" applyFont="1" applyFill="1" applyBorder="1" applyAlignment="1" applyProtection="1">
      <alignment horizontal="centerContinuous" wrapText="1"/>
    </xf>
    <xf numFmtId="175" fontId="28" fillId="2" borderId="4" xfId="0" applyNumberFormat="1" applyFont="1" applyFill="1" applyBorder="1" applyAlignment="1" applyProtection="1">
      <alignment horizontal="center" wrapText="1"/>
    </xf>
    <xf numFmtId="175" fontId="28" fillId="2" borderId="4" xfId="0" applyNumberFormat="1" applyFont="1" applyFill="1" applyBorder="1" applyAlignment="1" applyProtection="1">
      <alignment horizontal="centerContinuous" wrapText="1"/>
    </xf>
    <xf numFmtId="168" fontId="2" fillId="0" borderId="7" xfId="5" applyFont="1" applyFill="1" applyBorder="1" applyAlignment="1" applyProtection="1">
      <alignment vertical="center" wrapText="1"/>
      <protection locked="0"/>
    </xf>
    <xf numFmtId="0" fontId="17" fillId="4" borderId="4" xfId="0" applyFont="1" applyFill="1" applyBorder="1" applyAlignment="1" applyProtection="1">
      <alignment horizontal="centerContinuous" vertical="center"/>
    </xf>
    <xf numFmtId="0" fontId="17" fillId="4" borderId="8" xfId="0" applyFont="1" applyFill="1" applyBorder="1" applyAlignment="1" applyProtection="1">
      <alignment horizontal="centerContinuous" vertical="center"/>
    </xf>
    <xf numFmtId="0" fontId="2" fillId="0" borderId="22" xfId="0" applyFont="1" applyBorder="1" applyAlignment="1" applyProtection="1">
      <alignment vertical="center"/>
    </xf>
    <xf numFmtId="0" fontId="0" fillId="0" borderId="0" xfId="0" applyProtection="1"/>
    <xf numFmtId="0" fontId="11" fillId="0" borderId="23" xfId="0" applyFont="1" applyBorder="1" applyAlignment="1" applyProtection="1">
      <alignment horizontal="center" vertical="center" wrapText="1"/>
    </xf>
    <xf numFmtId="0" fontId="29" fillId="0" borderId="24" xfId="0" applyFont="1" applyBorder="1" applyAlignment="1" applyProtection="1">
      <alignment horizontal="center" vertical="center"/>
    </xf>
    <xf numFmtId="0" fontId="27" fillId="0" borderId="0" xfId="0" applyFont="1" applyAlignment="1" applyProtection="1">
      <alignment horizontal="center" vertical="center"/>
    </xf>
    <xf numFmtId="0" fontId="11" fillId="0" borderId="25" xfId="0" applyFont="1" applyBorder="1" applyAlignment="1" applyProtection="1">
      <alignment horizontal="center" vertical="center" wrapText="1"/>
    </xf>
    <xf numFmtId="0" fontId="21" fillId="0" borderId="26" xfId="0" applyFont="1" applyBorder="1" applyAlignment="1" applyProtection="1">
      <alignment horizontal="center" vertical="center"/>
    </xf>
    <xf numFmtId="0" fontId="11" fillId="0" borderId="27" xfId="0" applyFont="1" applyBorder="1" applyAlignment="1" applyProtection="1">
      <alignment horizontal="center" vertical="center" wrapText="1"/>
    </xf>
    <xf numFmtId="0" fontId="11" fillId="0" borderId="7" xfId="0" applyFont="1" applyBorder="1" applyAlignment="1" applyProtection="1">
      <alignment horizontal="center" vertical="center"/>
    </xf>
    <xf numFmtId="0" fontId="22" fillId="0" borderId="6" xfId="0" applyFont="1" applyBorder="1" applyAlignment="1" applyProtection="1">
      <alignment horizontal="center" vertical="center"/>
    </xf>
    <xf numFmtId="0" fontId="2" fillId="0" borderId="0" xfId="0" applyFont="1" applyAlignment="1" applyProtection="1">
      <alignment horizontal="center" vertical="center"/>
    </xf>
    <xf numFmtId="0" fontId="3" fillId="4" borderId="19" xfId="0" applyFont="1" applyFill="1" applyBorder="1" applyAlignment="1" applyProtection="1">
      <alignment horizontal="center" vertical="center" wrapText="1"/>
    </xf>
    <xf numFmtId="10" fontId="3" fillId="4" borderId="20" xfId="0" applyNumberFormat="1" applyFont="1" applyFill="1" applyBorder="1" applyAlignment="1" applyProtection="1">
      <alignment horizontal="center" vertical="center"/>
    </xf>
    <xf numFmtId="0" fontId="3" fillId="4" borderId="17" xfId="0" applyFont="1" applyFill="1" applyBorder="1" applyAlignment="1" applyProtection="1">
      <alignment horizontal="center" vertical="center"/>
    </xf>
    <xf numFmtId="0" fontId="2" fillId="0" borderId="13" xfId="0" applyFont="1" applyBorder="1" applyAlignment="1" applyProtection="1">
      <alignment vertical="center"/>
    </xf>
    <xf numFmtId="0" fontId="2" fillId="0" borderId="0" xfId="0" applyFont="1" applyAlignment="1" applyProtection="1">
      <alignment vertical="center"/>
    </xf>
    <xf numFmtId="0" fontId="7" fillId="0" borderId="0" xfId="0" applyFont="1" applyAlignment="1" applyProtection="1">
      <alignment horizontal="center" vertical="center"/>
    </xf>
    <xf numFmtId="10" fontId="7" fillId="0" borderId="0" xfId="0" applyNumberFormat="1" applyFont="1" applyAlignment="1" applyProtection="1">
      <alignment horizontal="center" vertical="center"/>
    </xf>
    <xf numFmtId="0" fontId="0" fillId="0" borderId="0" xfId="0" applyAlignment="1" applyProtection="1">
      <alignment horizontal="center"/>
    </xf>
    <xf numFmtId="0" fontId="16" fillId="0" borderId="0" xfId="0" applyFont="1" applyAlignment="1" applyProtection="1">
      <alignment horizontal="left"/>
    </xf>
  </cellXfs>
  <cellStyles count="9">
    <cellStyle name="Hiperlink" xfId="6" builtinId="8"/>
    <cellStyle name="Moeda 2" xfId="5"/>
    <cellStyle name="Moeda 2 2" xfId="8"/>
    <cellStyle name="Normal" xfId="0" builtinId="0"/>
    <cellStyle name="Normal_Composições" xfId="3"/>
    <cellStyle name="Porcentagem" xfId="2" builtinId="5"/>
    <cellStyle name="Separador de milhares_MODELO CÂMARA" xfId="4"/>
    <cellStyle name="Vírgula" xfId="1" builtinId="3"/>
    <cellStyle name="Vírgula 2" xfId="7"/>
  </cellStyles>
  <dxfs count="2669">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00FF"/>
      </font>
    </dxf>
    <dxf>
      <fill>
        <patternFill>
          <bgColor rgb="FFFF0000"/>
        </patternFill>
      </fill>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76200</xdr:rowOff>
    </xdr:from>
    <xdr:to>
      <xdr:col>11</xdr:col>
      <xdr:colOff>186578</xdr:colOff>
      <xdr:row>4</xdr:row>
      <xdr:rowOff>264318</xdr:rowOff>
    </xdr:to>
    <xdr:sp macro="" textlink="">
      <xdr:nvSpPr>
        <xdr:cNvPr id="4124" name="CommandButton1" hidden="1">
          <a:extLst>
            <a:ext uri="{63B3BB69-23CF-44E3-9099-C40C66FF867C}">
              <a14:compatExt xmlns:a14="http://schemas.microsoft.com/office/drawing/2010/main" spid="_x0000_s4124"/>
            </a:ext>
            <a:ext uri="{FF2B5EF4-FFF2-40B4-BE49-F238E27FC236}">
              <a16:creationId xmlns:a16="http://schemas.microsoft.com/office/drawing/2014/main" xmlns="" id="{00000000-0008-0000-0300-00001C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0</xdr:row>
      <xdr:rowOff>47625</xdr:rowOff>
    </xdr:from>
    <xdr:to>
      <xdr:col>11</xdr:col>
      <xdr:colOff>481853</xdr:colOff>
      <xdr:row>1</xdr:row>
      <xdr:rowOff>276225</xdr:rowOff>
    </xdr:to>
    <xdr:sp macro="" textlink="">
      <xdr:nvSpPr>
        <xdr:cNvPr id="4126" name="CommandButton2" hidden="1">
          <a:extLst>
            <a:ext uri="{63B3BB69-23CF-44E3-9099-C40C66FF867C}">
              <a14:compatExt xmlns:a14="http://schemas.microsoft.com/office/drawing/2010/main" spid="_x0000_s4126"/>
            </a:ext>
            <a:ext uri="{FF2B5EF4-FFF2-40B4-BE49-F238E27FC236}">
              <a16:creationId xmlns:a16="http://schemas.microsoft.com/office/drawing/2014/main" xmlns="" id="{00000000-0008-0000-0300-00001E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2</xdr:row>
      <xdr:rowOff>66675</xdr:rowOff>
    </xdr:from>
    <xdr:to>
      <xdr:col>11</xdr:col>
      <xdr:colOff>481853</xdr:colOff>
      <xdr:row>4</xdr:row>
      <xdr:rowOff>140493</xdr:rowOff>
    </xdr:to>
    <xdr:sp macro="" textlink="">
      <xdr:nvSpPr>
        <xdr:cNvPr id="4127" name="CommandButton3" hidden="1">
          <a:extLst>
            <a:ext uri="{63B3BB69-23CF-44E3-9099-C40C66FF867C}">
              <a14:compatExt xmlns:a14="http://schemas.microsoft.com/office/drawing/2010/main" spid="_x0000_s4127"/>
            </a:ext>
            <a:ext uri="{FF2B5EF4-FFF2-40B4-BE49-F238E27FC236}">
              <a16:creationId xmlns:a16="http://schemas.microsoft.com/office/drawing/2014/main" xmlns="" id="{00000000-0008-0000-0300-00001F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219075</xdr:colOff>
      <xdr:row>1</xdr:row>
      <xdr:rowOff>285750</xdr:rowOff>
    </xdr:to>
    <xdr:sp macro="" textlink="">
      <xdr:nvSpPr>
        <xdr:cNvPr id="5148" name="CommandButton1" hidden="1">
          <a:extLst>
            <a:ext uri="{63B3BB69-23CF-44E3-9099-C40C66FF867C}">
              <a14:compatExt xmlns:a14="http://schemas.microsoft.com/office/drawing/2010/main" spid="_x0000_s5148"/>
            </a:ext>
            <a:ext uri="{FF2B5EF4-FFF2-40B4-BE49-F238E27FC236}">
              <a16:creationId xmlns:a16="http://schemas.microsoft.com/office/drawing/2014/main" xmlns="" id="{00000000-0008-0000-0400-00001C1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38100</xdr:rowOff>
    </xdr:from>
    <xdr:to>
      <xdr:col>10</xdr:col>
      <xdr:colOff>219075</xdr:colOff>
      <xdr:row>4</xdr:row>
      <xdr:rowOff>169068</xdr:rowOff>
    </xdr:to>
    <xdr:sp macro="" textlink="">
      <xdr:nvSpPr>
        <xdr:cNvPr id="5149" name="CommandButton2" hidden="1">
          <a:extLst>
            <a:ext uri="{63B3BB69-23CF-44E3-9099-C40C66FF867C}">
              <a14:compatExt xmlns:a14="http://schemas.microsoft.com/office/drawing/2010/main" spid="_x0000_s5149"/>
            </a:ext>
            <a:ext uri="{FF2B5EF4-FFF2-40B4-BE49-F238E27FC236}">
              <a16:creationId xmlns:a16="http://schemas.microsoft.com/office/drawing/2014/main" xmlns="" id="{00000000-0008-0000-0400-00001D1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228600</xdr:colOff>
      <xdr:row>1</xdr:row>
      <xdr:rowOff>285750</xdr:rowOff>
    </xdr:to>
    <xdr:sp macro="" textlink="">
      <xdr:nvSpPr>
        <xdr:cNvPr id="6154" name="CommandButton1" hidden="1">
          <a:extLst>
            <a:ext uri="{63B3BB69-23CF-44E3-9099-C40C66FF867C}">
              <a14:compatExt xmlns:a14="http://schemas.microsoft.com/office/drawing/2010/main" spid="_x0000_s6154"/>
            </a:ext>
            <a:ext uri="{FF2B5EF4-FFF2-40B4-BE49-F238E27FC236}">
              <a16:creationId xmlns:a16="http://schemas.microsoft.com/office/drawing/2014/main" xmlns="" id="{00000000-0008-0000-0500-00000A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66675</xdr:rowOff>
    </xdr:from>
    <xdr:to>
      <xdr:col>10</xdr:col>
      <xdr:colOff>228600</xdr:colOff>
      <xdr:row>4</xdr:row>
      <xdr:rowOff>92868</xdr:rowOff>
    </xdr:to>
    <xdr:sp macro="" textlink="">
      <xdr:nvSpPr>
        <xdr:cNvPr id="6155" name="CommandButton2" hidden="1">
          <a:extLst>
            <a:ext uri="{63B3BB69-23CF-44E3-9099-C40C66FF867C}">
              <a14:compatExt xmlns:a14="http://schemas.microsoft.com/office/drawing/2010/main" spid="_x0000_s6155"/>
            </a:ext>
            <a:ext uri="{FF2B5EF4-FFF2-40B4-BE49-F238E27FC236}">
              <a16:creationId xmlns:a16="http://schemas.microsoft.com/office/drawing/2014/main" xmlns="" id="{00000000-0008-0000-0500-00000B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0</xdr:colOff>
      <xdr:row>0</xdr:row>
      <xdr:rowOff>19050</xdr:rowOff>
    </xdr:from>
    <xdr:to>
      <xdr:col>11</xdr:col>
      <xdr:colOff>595312</xdr:colOff>
      <xdr:row>1</xdr:row>
      <xdr:rowOff>76200</xdr:rowOff>
    </xdr:to>
    <xdr:sp macro="" textlink="">
      <xdr:nvSpPr>
        <xdr:cNvPr id="11266" name="CommandButton1" hidden="1">
          <a:extLst>
            <a:ext uri="{63B3BB69-23CF-44E3-9099-C40C66FF867C}">
              <a14:compatExt xmlns:a14="http://schemas.microsoft.com/office/drawing/2010/main" spid="_x0000_s11266"/>
            </a:ext>
            <a:ext uri="{FF2B5EF4-FFF2-40B4-BE49-F238E27FC236}">
              <a16:creationId xmlns:a16="http://schemas.microsoft.com/office/drawing/2014/main" xmlns="" id="{00000000-0008-0000-0600-0000022C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10</xdr:col>
      <xdr:colOff>0</xdr:colOff>
      <xdr:row>1</xdr:row>
      <xdr:rowOff>95250</xdr:rowOff>
    </xdr:from>
    <xdr:to>
      <xdr:col>11</xdr:col>
      <xdr:colOff>604837</xdr:colOff>
      <xdr:row>3</xdr:row>
      <xdr:rowOff>190500</xdr:rowOff>
    </xdr:to>
    <xdr:sp macro="" textlink="">
      <xdr:nvSpPr>
        <xdr:cNvPr id="11267" name="CommandButton2" hidden="1">
          <a:extLst>
            <a:ext uri="{63B3BB69-23CF-44E3-9099-C40C66FF867C}">
              <a14:compatExt xmlns:a14="http://schemas.microsoft.com/office/drawing/2010/main" spid="_x0000_s11267"/>
            </a:ext>
            <a:ext uri="{FF2B5EF4-FFF2-40B4-BE49-F238E27FC236}">
              <a16:creationId xmlns:a16="http://schemas.microsoft.com/office/drawing/2014/main" xmlns="" id="{00000000-0008-0000-0600-0000032C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30082</xdr:colOff>
      <xdr:row>18</xdr:row>
      <xdr:rowOff>120066</xdr:rowOff>
    </xdr:from>
    <xdr:to>
      <xdr:col>4</xdr:col>
      <xdr:colOff>486452</xdr:colOff>
      <xdr:row>36</xdr:row>
      <xdr:rowOff>26769</xdr:rowOff>
    </xdr:to>
    <xdr:pic>
      <xdr:nvPicPr>
        <xdr:cNvPr id="2" name="Imagem 1">
          <a:extLst>
            <a:ext uri="{FF2B5EF4-FFF2-40B4-BE49-F238E27FC236}">
              <a16:creationId xmlns:a16="http://schemas.microsoft.com/office/drawing/2014/main" xmlns="" id="{00000000-0008-0000-0700-000002000000}"/>
            </a:ext>
          </a:extLst>
        </xdr:cNvPr>
        <xdr:cNvPicPr>
          <a:picLocks noChangeAspect="1"/>
        </xdr:cNvPicPr>
      </xdr:nvPicPr>
      <xdr:blipFill>
        <a:blip xmlns:r="http://schemas.openxmlformats.org/officeDocument/2006/relationships" r:embed="rId1"/>
        <a:stretch>
          <a:fillRect/>
        </a:stretch>
      </xdr:blipFill>
      <xdr:spPr>
        <a:xfrm>
          <a:off x="30082" y="7073316"/>
          <a:ext cx="6635714" cy="3335703"/>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quartzolit.weber/files/br/2017-12/super_graute_quartzolit.pdf" TargetMode="External"/><Relationship Id="rId3" Type="http://schemas.openxmlformats.org/officeDocument/2006/relationships/hyperlink" Target="https://www.sherwin-williams.com.br/produto-detalhe/metalatex-eco-complementos" TargetMode="External"/><Relationship Id="rId7" Type="http://schemas.openxmlformats.org/officeDocument/2006/relationships/hyperlink" Target="http://www.denverimper.com.br/files/produtos/0000001-0000500/122/e5fe48d2b8810574e94921c5fb6cea0c.pdf" TargetMode="External"/><Relationship Id="rId12" Type="http://schemas.openxmlformats.org/officeDocument/2006/relationships/vmlDrawing" Target="../drawings/vmlDrawing1.vml"/><Relationship Id="rId2" Type="http://schemas.openxmlformats.org/officeDocument/2006/relationships/hyperlink" Target="https://www.suvinil.com.br/upload/78d22676-91b1-4086-99ad-4258fadd7b08-suvinil-fundo-seca-rapidomaio2018.pdf" TargetMode="External"/><Relationship Id="rId1" Type="http://schemas.openxmlformats.org/officeDocument/2006/relationships/hyperlink" Target="https://s3.amazonaws.com/mapa-da-obra-producao/wp-content/uploads/2015/12/2101-matrix-revestimento-interno.pdf" TargetMode="External"/><Relationship Id="rId6" Type="http://schemas.openxmlformats.org/officeDocument/2006/relationships/hyperlink" Target="http://www.denverimper.com.br/files/produtos/0000001-0000500/122/e5fe48d2b8810574e94921c5fb6cea0c.pdf" TargetMode="External"/><Relationship Id="rId11" Type="http://schemas.openxmlformats.org/officeDocument/2006/relationships/drawing" Target="../drawings/drawing1.xml"/><Relationship Id="rId5" Type="http://schemas.openxmlformats.org/officeDocument/2006/relationships/hyperlink" Target="http://vedacit.com.br/produtos/primer-eco-vedacit" TargetMode="External"/><Relationship Id="rId10" Type="http://schemas.openxmlformats.org/officeDocument/2006/relationships/printerSettings" Target="../printerSettings/printerSettings1.bin"/><Relationship Id="rId4" Type="http://schemas.openxmlformats.org/officeDocument/2006/relationships/hyperlink" Target="http://www.bautechbrasil.com.br/produtos/pinturas-especiais-e-complementos/bautech-resina-acr%C3%ADlica-multiuso" TargetMode="External"/><Relationship Id="rId9" Type="http://schemas.openxmlformats.org/officeDocument/2006/relationships/hyperlink" Target="https://bra.sika.com/dms/getdocument.get/936a7cee-8d90-4be4-9494-f16d0e9334b4/sikacryl_-103.pdf"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 filterMode="1">
    <pageSetUpPr fitToPage="1"/>
  </sheetPr>
  <dimension ref="A1:J8237"/>
  <sheetViews>
    <sheetView zoomScale="80" zoomScaleNormal="80" workbookViewId="0">
      <pane ySplit="5" topLeftCell="A6" activePane="bottomLeft" state="frozen"/>
      <selection pane="bottomLeft" activeCell="G4" sqref="G4"/>
    </sheetView>
  </sheetViews>
  <sheetFormatPr defaultRowHeight="15" x14ac:dyDescent="0.25"/>
  <cols>
    <col min="1" max="1" width="14.7109375" customWidth="1"/>
    <col min="2" max="2" width="50.7109375" customWidth="1"/>
    <col min="3" max="3" width="65.7109375" customWidth="1"/>
    <col min="4" max="4" width="15.7109375" customWidth="1"/>
    <col min="5" max="5" width="20.7109375" customWidth="1"/>
    <col min="6" max="6" width="15.7109375" customWidth="1"/>
    <col min="7" max="8" width="17.7109375" customWidth="1"/>
    <col min="9" max="9" width="5.7109375" customWidth="1"/>
    <col min="10" max="10" width="14.42578125" customWidth="1"/>
  </cols>
  <sheetData>
    <row r="1" spans="1:10" ht="24.95" customHeight="1" x14ac:dyDescent="0.25">
      <c r="A1" s="5" t="str">
        <f>Orçamentária!A1</f>
        <v>Instalação de splits no Bloco 17</v>
      </c>
      <c r="B1" s="5"/>
      <c r="C1" s="5"/>
      <c r="D1" s="5"/>
      <c r="E1" s="6"/>
      <c r="F1" s="5"/>
      <c r="G1" s="5"/>
      <c r="H1" s="5"/>
      <c r="I1" s="7"/>
      <c r="J1" s="8"/>
    </row>
    <row r="2" spans="1:10" ht="24.95" customHeight="1" x14ac:dyDescent="0.25">
      <c r="A2" s="9" t="s">
        <v>0</v>
      </c>
      <c r="B2" s="10"/>
      <c r="C2" s="134"/>
      <c r="D2" s="10"/>
      <c r="E2" s="11"/>
      <c r="F2" s="10"/>
      <c r="G2" s="10"/>
      <c r="H2" s="10"/>
      <c r="I2" s="12"/>
      <c r="J2" s="8"/>
    </row>
    <row r="3" spans="1:10" ht="20.100000000000001" customHeight="1" x14ac:dyDescent="0.25">
      <c r="A3" s="13" t="str">
        <f>Orçamentária!A3</f>
        <v>Data: março de 2023</v>
      </c>
      <c r="B3" s="13"/>
      <c r="C3" s="135"/>
      <c r="D3" s="13"/>
      <c r="E3" s="14"/>
      <c r="F3" s="13"/>
      <c r="G3" s="13"/>
      <c r="H3" s="13"/>
      <c r="J3" s="8"/>
    </row>
    <row r="4" spans="1:10" ht="15.75" thickBot="1" x14ac:dyDescent="0.3">
      <c r="A4" s="15"/>
      <c r="B4" s="15"/>
      <c r="C4" s="157"/>
      <c r="D4" s="15"/>
      <c r="E4" s="16"/>
      <c r="F4" s="15"/>
      <c r="G4" s="17"/>
      <c r="H4" s="15"/>
      <c r="I4" s="15"/>
      <c r="J4" s="18"/>
    </row>
    <row r="5" spans="1:10" ht="30.75" thickBot="1" x14ac:dyDescent="0.3">
      <c r="A5" s="19" t="s">
        <v>1</v>
      </c>
      <c r="B5" s="20" t="s">
        <v>2</v>
      </c>
      <c r="C5" s="158" t="s">
        <v>3</v>
      </c>
      <c r="D5" s="20" t="s">
        <v>4</v>
      </c>
      <c r="E5" s="21" t="s">
        <v>5</v>
      </c>
      <c r="F5" s="20" t="s">
        <v>6</v>
      </c>
      <c r="G5" s="20" t="s">
        <v>7</v>
      </c>
      <c r="H5" s="22" t="s">
        <v>8</v>
      </c>
      <c r="I5" s="23"/>
      <c r="J5" s="24" t="s">
        <v>9</v>
      </c>
    </row>
    <row r="6" spans="1:10" ht="15.75" thickBot="1" x14ac:dyDescent="0.3">
      <c r="A6" s="170" t="s">
        <v>10</v>
      </c>
      <c r="B6" s="173" t="str">
        <f>INDEX(Orçamentária!A:B,MATCH(Composições!A6,Orçamentária!A:A,0),2)</f>
        <v>Engenheiro(a) /Arquiteto(a) júnior</v>
      </c>
      <c r="C6" s="40"/>
      <c r="D6" s="25" t="s">
        <v>1286</v>
      </c>
      <c r="E6" s="26"/>
      <c r="F6" s="27" t="s">
        <v>416</v>
      </c>
      <c r="G6" s="27" t="str">
        <f>IF(ISNUMBER(F6),E6*F6,"")</f>
        <v/>
      </c>
      <c r="H6" s="28"/>
      <c r="I6" s="29"/>
      <c r="J6" s="152">
        <v>120</v>
      </c>
    </row>
    <row r="7" spans="1:10" x14ac:dyDescent="0.25">
      <c r="A7" s="176"/>
      <c r="B7" s="174"/>
      <c r="C7" s="31"/>
      <c r="D7" s="31"/>
      <c r="E7" s="32"/>
      <c r="F7" s="30" t="s">
        <v>416</v>
      </c>
      <c r="G7" s="33" t="str">
        <f>IF(ISNUMBER(F7),E7*F7,"")</f>
        <v/>
      </c>
      <c r="H7" s="34"/>
      <c r="I7" s="30"/>
      <c r="J7" s="152">
        <v>120</v>
      </c>
    </row>
    <row r="8" spans="1:10" ht="25.5" x14ac:dyDescent="0.25">
      <c r="A8" s="176"/>
      <c r="B8" s="174"/>
      <c r="C8" s="35" t="s">
        <v>2914</v>
      </c>
      <c r="D8" s="35" t="s">
        <v>583</v>
      </c>
      <c r="E8" s="36">
        <v>1</v>
      </c>
      <c r="F8" s="30">
        <v>104.08199999999999</v>
      </c>
      <c r="G8" s="33">
        <f>IF(ISNUMBER(F8),E8*F8,"")</f>
        <v>104.08199999999999</v>
      </c>
      <c r="H8" s="38">
        <f>SUM(G8:G8)</f>
        <v>104.08199999999999</v>
      </c>
      <c r="I8" s="39"/>
      <c r="J8" s="152">
        <v>120</v>
      </c>
    </row>
    <row r="9" spans="1:10" ht="15.75" thickBot="1" x14ac:dyDescent="0.3">
      <c r="A9" s="177"/>
      <c r="B9" s="175"/>
      <c r="C9" s="35"/>
      <c r="D9" s="35"/>
      <c r="E9" s="36"/>
      <c r="F9" s="30" t="s">
        <v>416</v>
      </c>
      <c r="G9" s="33" t="str">
        <f>IF(ISNUMBER(F9),E9*F9,"")</f>
        <v/>
      </c>
      <c r="H9" s="34"/>
      <c r="I9" s="30"/>
      <c r="J9" s="152">
        <v>120</v>
      </c>
    </row>
    <row r="10" spans="1:10" ht="15.75" thickBot="1" x14ac:dyDescent="0.3">
      <c r="A10" s="181" t="s">
        <v>12</v>
      </c>
      <c r="B10" s="173" t="str">
        <f>INDEX(Orçamentária!A:B,MATCH(Composições!A10,Orçamentária!A:A,0),2)</f>
        <v>Mestre de obras</v>
      </c>
      <c r="C10" s="40"/>
      <c r="D10" s="25" t="s">
        <v>1286</v>
      </c>
      <c r="E10" s="26"/>
      <c r="F10" s="41" t="s">
        <v>416</v>
      </c>
      <c r="G10" s="27" t="str">
        <f>IF(ISNUMBER(F10),E10*F10,"")</f>
        <v/>
      </c>
      <c r="H10" s="28"/>
      <c r="I10" s="29"/>
      <c r="J10" s="152">
        <v>480</v>
      </c>
    </row>
    <row r="11" spans="1:10" x14ac:dyDescent="0.25">
      <c r="A11" s="182"/>
      <c r="B11" s="174"/>
      <c r="C11" s="31"/>
      <c r="D11" s="31"/>
      <c r="E11" s="32"/>
      <c r="F11" s="42" t="s">
        <v>416</v>
      </c>
      <c r="G11" s="30" t="str">
        <f>IF(ISNUMBER(F11),E11*F11,"")</f>
        <v/>
      </c>
      <c r="H11" s="34"/>
      <c r="I11" s="30"/>
      <c r="J11" s="152">
        <v>480</v>
      </c>
    </row>
    <row r="12" spans="1:10" x14ac:dyDescent="0.25">
      <c r="A12" s="182"/>
      <c r="B12" s="174"/>
      <c r="C12" s="35" t="s">
        <v>2915</v>
      </c>
      <c r="D12" s="35" t="s">
        <v>583</v>
      </c>
      <c r="E12" s="36">
        <v>1</v>
      </c>
      <c r="F12" s="30">
        <v>44.564499999999995</v>
      </c>
      <c r="G12" s="33">
        <f>IF(ISNUMBER(F12),E12*F12,"")</f>
        <v>44.564499999999995</v>
      </c>
      <c r="H12" s="38">
        <f>SUM(G12:G12)</f>
        <v>44.564499999999995</v>
      </c>
      <c r="I12" s="39"/>
      <c r="J12" s="152">
        <v>480</v>
      </c>
    </row>
    <row r="13" spans="1:10" ht="15.75" thickBot="1" x14ac:dyDescent="0.3">
      <c r="A13" s="182"/>
      <c r="B13" s="174"/>
      <c r="C13" s="35"/>
      <c r="D13" s="35"/>
      <c r="E13" s="36"/>
      <c r="F13" s="30" t="s">
        <v>416</v>
      </c>
      <c r="G13" s="30" t="str">
        <f>IF(ISNUMBER(F13),E13*F13,"")</f>
        <v/>
      </c>
      <c r="H13" s="34"/>
      <c r="I13" s="30"/>
      <c r="J13" s="152">
        <v>480</v>
      </c>
    </row>
    <row r="14" spans="1:10" ht="15.75" thickBot="1" x14ac:dyDescent="0.3">
      <c r="A14" s="170" t="s">
        <v>13</v>
      </c>
      <c r="B14" s="173" t="str">
        <f>INDEX(Orçamentária!A:B,MATCH(Composições!A14,Orçamentária!A:A,0),2)</f>
        <v>Planejamento físico-financeiro</v>
      </c>
      <c r="C14" s="40"/>
      <c r="D14" s="25" t="s">
        <v>16</v>
      </c>
      <c r="E14" s="26"/>
      <c r="F14" s="41" t="s">
        <v>416</v>
      </c>
      <c r="G14" s="27" t="str">
        <f>IF(ISNUMBER(F14),E14*F14,"")</f>
        <v/>
      </c>
      <c r="H14" s="28"/>
      <c r="I14" s="29"/>
      <c r="J14" s="152">
        <v>1</v>
      </c>
    </row>
    <row r="15" spans="1:10" x14ac:dyDescent="0.25">
      <c r="A15" s="176"/>
      <c r="B15" s="174"/>
      <c r="C15" s="31"/>
      <c r="D15" s="31"/>
      <c r="E15" s="32"/>
      <c r="F15" s="42" t="s">
        <v>416</v>
      </c>
      <c r="G15" s="30" t="str">
        <f>IF(ISNUMBER(F15),E15*F15,"")</f>
        <v/>
      </c>
      <c r="H15" s="34"/>
      <c r="I15" s="30"/>
      <c r="J15" s="152">
        <v>1</v>
      </c>
    </row>
    <row r="16" spans="1:10" ht="25.5" x14ac:dyDescent="0.25">
      <c r="A16" s="176"/>
      <c r="B16" s="174"/>
      <c r="C16" s="35" t="s">
        <v>654</v>
      </c>
      <c r="D16" s="35" t="s">
        <v>583</v>
      </c>
      <c r="E16" s="36">
        <v>16</v>
      </c>
      <c r="F16" s="30">
        <v>118.2085</v>
      </c>
      <c r="G16" s="30">
        <f>IF(ISNUMBER(F16),E16*F16,"")</f>
        <v>1891.336</v>
      </c>
      <c r="H16" s="38">
        <f>SUM(G16:G16)</f>
        <v>1891.336</v>
      </c>
      <c r="I16" s="39"/>
      <c r="J16" s="152">
        <v>1</v>
      </c>
    </row>
    <row r="17" spans="1:10" ht="15.75" thickBot="1" x14ac:dyDescent="0.3">
      <c r="A17" s="177"/>
      <c r="B17" s="175"/>
      <c r="C17" s="35"/>
      <c r="D17" s="35"/>
      <c r="E17" s="36"/>
      <c r="F17" s="30" t="s">
        <v>416</v>
      </c>
      <c r="G17" s="30" t="str">
        <f>IF(ISNUMBER(F17),E17*F17,"")</f>
        <v/>
      </c>
      <c r="H17" s="34"/>
      <c r="I17" s="30"/>
      <c r="J17" s="152">
        <v>1</v>
      </c>
    </row>
    <row r="18" spans="1:10" ht="15.75" thickBot="1" x14ac:dyDescent="0.3">
      <c r="A18" s="170" t="s">
        <v>14</v>
      </c>
      <c r="B18" s="173" t="str">
        <f>INDEX(Orçamentária!A:B,MATCH(Composições!A18,Orçamentária!A:A,0),2)</f>
        <v>Projetos de segurança do trabalho</v>
      </c>
      <c r="C18" s="40"/>
      <c r="D18" s="25" t="s">
        <v>16</v>
      </c>
      <c r="E18" s="26"/>
      <c r="F18" s="41" t="s">
        <v>416</v>
      </c>
      <c r="G18" s="27" t="str">
        <f>IF(ISNUMBER(F18),E18*F18,"")</f>
        <v/>
      </c>
      <c r="H18" s="28"/>
      <c r="I18" s="29"/>
      <c r="J18" s="152">
        <v>1</v>
      </c>
    </row>
    <row r="19" spans="1:10" x14ac:dyDescent="0.25">
      <c r="A19" s="176"/>
      <c r="B19" s="174"/>
      <c r="C19" s="31"/>
      <c r="D19" s="31"/>
      <c r="E19" s="32"/>
      <c r="F19" s="42" t="s">
        <v>416</v>
      </c>
      <c r="G19" s="30" t="str">
        <f>IF(ISNUMBER(F19),E19*F19,"")</f>
        <v/>
      </c>
      <c r="H19" s="34"/>
      <c r="I19" s="30"/>
      <c r="J19" s="152">
        <v>1</v>
      </c>
    </row>
    <row r="20" spans="1:10" x14ac:dyDescent="0.25">
      <c r="A20" s="176"/>
      <c r="B20" s="174"/>
      <c r="C20" s="35" t="s">
        <v>1069</v>
      </c>
      <c r="D20" s="35" t="s">
        <v>583</v>
      </c>
      <c r="E20" s="36">
        <v>20</v>
      </c>
      <c r="F20" s="30">
        <v>118.465</v>
      </c>
      <c r="G20" s="30">
        <f>IF(ISNUMBER(F20),E20*F20,"")</f>
        <v>2369.3000000000002</v>
      </c>
      <c r="H20" s="38">
        <f>SUM(G20:G21)</f>
        <v>2623.8900000000003</v>
      </c>
      <c r="I20" s="39"/>
      <c r="J20" s="152">
        <v>1</v>
      </c>
    </row>
    <row r="21" spans="1:10" x14ac:dyDescent="0.25">
      <c r="A21" s="176"/>
      <c r="B21" s="174"/>
      <c r="C21" s="35" t="s">
        <v>15</v>
      </c>
      <c r="D21" s="35" t="s">
        <v>16</v>
      </c>
      <c r="E21" s="36">
        <v>1</v>
      </c>
      <c r="F21" s="33">
        <v>254.59</v>
      </c>
      <c r="G21" s="30">
        <f>IF(ISNUMBER(F21),E21*F21,"")</f>
        <v>254.59</v>
      </c>
      <c r="H21" s="34"/>
      <c r="I21" s="30"/>
      <c r="J21" s="152">
        <v>1</v>
      </c>
    </row>
    <row r="22" spans="1:10" ht="15.75" thickBot="1" x14ac:dyDescent="0.3">
      <c r="A22" s="177"/>
      <c r="B22" s="175"/>
      <c r="C22" s="35"/>
      <c r="D22" s="35"/>
      <c r="E22" s="36"/>
      <c r="F22" s="30" t="s">
        <v>416</v>
      </c>
      <c r="G22" s="30" t="str">
        <f>IF(ISNUMBER(F22),E22*F22,"")</f>
        <v/>
      </c>
      <c r="H22" s="34"/>
      <c r="I22" s="30"/>
      <c r="J22" s="152">
        <v>1</v>
      </c>
    </row>
    <row r="23" spans="1:10" ht="15.75" hidden="1" thickBot="1" x14ac:dyDescent="0.3">
      <c r="A23" s="170" t="s">
        <v>17</v>
      </c>
      <c r="B23" s="173" t="str">
        <f>INDEX(Orçamentária!A:B,MATCH(Composições!A23,Orçamentária!A:A,0),2)</f>
        <v>Demolição de alvenarias</v>
      </c>
      <c r="C23" s="40"/>
      <c r="D23" s="25" t="s">
        <v>80</v>
      </c>
      <c r="E23" s="26"/>
      <c r="F23" s="41" t="s">
        <v>416</v>
      </c>
      <c r="G23" s="27" t="str">
        <f>IF(ISNUMBER(F23),E23*F23,"")</f>
        <v/>
      </c>
      <c r="H23" s="28"/>
      <c r="I23" s="29"/>
      <c r="J23" s="152">
        <v>0</v>
      </c>
    </row>
    <row r="24" spans="1:10" ht="15.75" hidden="1" thickBot="1" x14ac:dyDescent="0.3">
      <c r="A24" s="176"/>
      <c r="B24" s="174"/>
      <c r="C24" s="31"/>
      <c r="D24" s="31"/>
      <c r="E24" s="32"/>
      <c r="F24" s="42" t="s">
        <v>416</v>
      </c>
      <c r="G24" s="30" t="str">
        <f>IF(ISNUMBER(F24),E24*F24,"")</f>
        <v/>
      </c>
      <c r="H24" s="34"/>
      <c r="I24" s="30"/>
      <c r="J24" s="152">
        <v>0</v>
      </c>
    </row>
    <row r="25" spans="1:10" ht="15.75" hidden="1" thickBot="1" x14ac:dyDescent="0.3">
      <c r="A25" s="176"/>
      <c r="B25" s="174"/>
      <c r="C25" s="35" t="s">
        <v>591</v>
      </c>
      <c r="D25" s="35" t="s">
        <v>583</v>
      </c>
      <c r="E25" s="36">
        <v>0.22500000000000001</v>
      </c>
      <c r="F25" s="30">
        <v>27.160499999999999</v>
      </c>
      <c r="G25" s="33">
        <f>IF(ISNUMBER(F25),E25*F25,"")</f>
        <v>6.1111124999999999</v>
      </c>
      <c r="H25" s="38">
        <f>SUM(G25:G26)</f>
        <v>53.131354899999991</v>
      </c>
      <c r="I25" s="39"/>
      <c r="J25" s="152">
        <v>0</v>
      </c>
    </row>
    <row r="26" spans="1:10" ht="15.75" hidden="1" thickBot="1" x14ac:dyDescent="0.3">
      <c r="A26" s="176"/>
      <c r="B26" s="174"/>
      <c r="C26" s="35" t="s">
        <v>584</v>
      </c>
      <c r="D26" s="35" t="s">
        <v>583</v>
      </c>
      <c r="E26" s="36">
        <v>2.3248000000000002</v>
      </c>
      <c r="F26" s="30">
        <v>20.225499999999997</v>
      </c>
      <c r="G26" s="33">
        <f>IF(ISNUMBER(F26),E26*F26,"")</f>
        <v>47.020242399999994</v>
      </c>
      <c r="H26" s="43"/>
      <c r="I26" s="39"/>
      <c r="J26" s="152">
        <v>0</v>
      </c>
    </row>
    <row r="27" spans="1:10" ht="15.75" hidden="1" thickBot="1" x14ac:dyDescent="0.3">
      <c r="A27" s="177"/>
      <c r="B27" s="175"/>
      <c r="C27" s="35"/>
      <c r="D27" s="35"/>
      <c r="E27" s="36"/>
      <c r="F27" s="30" t="s">
        <v>416</v>
      </c>
      <c r="G27" s="30" t="str">
        <f>IF(ISNUMBER(F27),E27*F27,"")</f>
        <v/>
      </c>
      <c r="H27" s="34"/>
      <c r="I27" s="30"/>
      <c r="J27" s="152">
        <v>0</v>
      </c>
    </row>
    <row r="28" spans="1:10" ht="15.75" hidden="1" thickBot="1" x14ac:dyDescent="0.3">
      <c r="A28" s="170" t="s">
        <v>18</v>
      </c>
      <c r="B28" s="173" t="str">
        <f>INDEX(Orçamentária!A:B,MATCH(Composições!A28,Orçamentária!A:A,0),2)</f>
        <v>Demolição de concreto simples</v>
      </c>
      <c r="C28" s="40"/>
      <c r="D28" s="25" t="s">
        <v>80</v>
      </c>
      <c r="E28" s="26"/>
      <c r="F28" s="41" t="s">
        <v>416</v>
      </c>
      <c r="G28" s="27" t="str">
        <f>IF(ISNUMBER(F28),E28*F28,"")</f>
        <v/>
      </c>
      <c r="H28" s="28"/>
      <c r="I28" s="29"/>
      <c r="J28" s="152">
        <v>0</v>
      </c>
    </row>
    <row r="29" spans="1:10" ht="15.75" hidden="1" thickBot="1" x14ac:dyDescent="0.3">
      <c r="A29" s="176"/>
      <c r="B29" s="174"/>
      <c r="C29" s="31"/>
      <c r="D29" s="31"/>
      <c r="E29" s="32"/>
      <c r="F29" s="42" t="s">
        <v>416</v>
      </c>
      <c r="G29" s="30" t="str">
        <f>IF(ISNUMBER(F29),E29*F29,"")</f>
        <v/>
      </c>
      <c r="H29" s="34"/>
      <c r="I29" s="30"/>
      <c r="J29" s="152">
        <v>0</v>
      </c>
    </row>
    <row r="30" spans="1:10" ht="15.75" hidden="1" thickBot="1" x14ac:dyDescent="0.3">
      <c r="A30" s="176"/>
      <c r="B30" s="174"/>
      <c r="C30" s="35" t="s">
        <v>591</v>
      </c>
      <c r="D30" s="35" t="s">
        <v>583</v>
      </c>
      <c r="E30" s="36">
        <v>1.3</v>
      </c>
      <c r="F30" s="30">
        <v>27.160499999999999</v>
      </c>
      <c r="G30" s="33">
        <f>IF(ISNUMBER(F30),E30*F30,"")</f>
        <v>35.30865</v>
      </c>
      <c r="H30" s="38">
        <f>SUM(G30:G31)</f>
        <v>298.24014999999997</v>
      </c>
      <c r="I30" s="39"/>
      <c r="J30" s="152">
        <v>0</v>
      </c>
    </row>
    <row r="31" spans="1:10" ht="15.75" hidden="1" thickBot="1" x14ac:dyDescent="0.3">
      <c r="A31" s="176"/>
      <c r="B31" s="174"/>
      <c r="C31" s="35" t="s">
        <v>584</v>
      </c>
      <c r="D31" s="35" t="s">
        <v>583</v>
      </c>
      <c r="E31" s="36">
        <v>13</v>
      </c>
      <c r="F31" s="30">
        <v>20.225499999999997</v>
      </c>
      <c r="G31" s="33">
        <f>IF(ISNUMBER(F31),E31*F31,"")</f>
        <v>262.93149999999997</v>
      </c>
      <c r="H31" s="34"/>
      <c r="I31" s="30"/>
      <c r="J31" s="152">
        <v>0</v>
      </c>
    </row>
    <row r="32" spans="1:10" ht="15.75" hidden="1" thickBot="1" x14ac:dyDescent="0.3">
      <c r="A32" s="177"/>
      <c r="B32" s="175"/>
      <c r="C32" s="35"/>
      <c r="D32" s="35"/>
      <c r="E32" s="36"/>
      <c r="F32" s="30" t="s">
        <v>416</v>
      </c>
      <c r="G32" s="30" t="str">
        <f>IF(ISNUMBER(F32),E32*F32,"")</f>
        <v/>
      </c>
      <c r="H32" s="34"/>
      <c r="I32" s="30"/>
      <c r="J32" s="152">
        <v>0</v>
      </c>
    </row>
    <row r="33" spans="1:10" ht="15.75" hidden="1" thickBot="1" x14ac:dyDescent="0.3">
      <c r="A33" s="170" t="s">
        <v>19</v>
      </c>
      <c r="B33" s="173" t="str">
        <f>INDEX(Orçamentária!A:B,MATCH(Composições!A33,Orçamentária!A:A,0),2)</f>
        <v>Demolição de contrapiso</v>
      </c>
      <c r="C33" s="40"/>
      <c r="D33" s="25" t="s">
        <v>70</v>
      </c>
      <c r="E33" s="26"/>
      <c r="F33" s="41" t="s">
        <v>416</v>
      </c>
      <c r="G33" s="27" t="str">
        <f>IF(ISNUMBER(F33),E33*F33,"")</f>
        <v/>
      </c>
      <c r="H33" s="28"/>
      <c r="I33" s="29"/>
      <c r="J33" s="152">
        <v>0</v>
      </c>
    </row>
    <row r="34" spans="1:10" ht="15.75" hidden="1" thickBot="1" x14ac:dyDescent="0.3">
      <c r="A34" s="176"/>
      <c r="B34" s="174"/>
      <c r="C34" s="31"/>
      <c r="D34" s="31"/>
      <c r="E34" s="32"/>
      <c r="F34" s="42" t="s">
        <v>416</v>
      </c>
      <c r="G34" s="30" t="str">
        <f>IF(ISNUMBER(F34),E34*F34,"")</f>
        <v/>
      </c>
      <c r="H34" s="34"/>
      <c r="I34" s="30"/>
      <c r="J34" s="152">
        <v>0</v>
      </c>
    </row>
    <row r="35" spans="1:10" ht="15.75" hidden="1" thickBot="1" x14ac:dyDescent="0.3">
      <c r="A35" s="176"/>
      <c r="B35" s="174"/>
      <c r="C35" s="35" t="s">
        <v>591</v>
      </c>
      <c r="D35" s="35" t="s">
        <v>583</v>
      </c>
      <c r="E35" s="36">
        <v>0.08</v>
      </c>
      <c r="F35" s="30">
        <v>27.160499999999999</v>
      </c>
      <c r="G35" s="33">
        <f>IF(ISNUMBER(F35),E35*F35,"")</f>
        <v>2.1728399999999999</v>
      </c>
      <c r="H35" s="38">
        <f>SUM(G35:G36)</f>
        <v>18.35324</v>
      </c>
      <c r="I35" s="39"/>
      <c r="J35" s="152">
        <v>0</v>
      </c>
    </row>
    <row r="36" spans="1:10" ht="15.75" hidden="1" thickBot="1" x14ac:dyDescent="0.3">
      <c r="A36" s="176"/>
      <c r="B36" s="174"/>
      <c r="C36" s="35" t="s">
        <v>584</v>
      </c>
      <c r="D36" s="35" t="s">
        <v>583</v>
      </c>
      <c r="E36" s="36">
        <v>0.8</v>
      </c>
      <c r="F36" s="30">
        <v>20.225499999999997</v>
      </c>
      <c r="G36" s="33">
        <f>IF(ISNUMBER(F36),E36*F36,"")</f>
        <v>16.180399999999999</v>
      </c>
      <c r="H36" s="43"/>
      <c r="I36" s="39"/>
      <c r="J36" s="152">
        <v>0</v>
      </c>
    </row>
    <row r="37" spans="1:10" ht="15.75" hidden="1" thickBot="1" x14ac:dyDescent="0.3">
      <c r="A37" s="177"/>
      <c r="B37" s="175"/>
      <c r="C37" s="35"/>
      <c r="D37" s="35"/>
      <c r="E37" s="36"/>
      <c r="F37" s="30" t="s">
        <v>416</v>
      </c>
      <c r="G37" s="30" t="str">
        <f>IF(ISNUMBER(F37),E37*F37,"")</f>
        <v/>
      </c>
      <c r="H37" s="34"/>
      <c r="I37" s="30"/>
      <c r="J37" s="152">
        <v>0</v>
      </c>
    </row>
    <row r="38" spans="1:10" ht="15.75" thickBot="1" x14ac:dyDescent="0.3">
      <c r="A38" s="170" t="s">
        <v>20</v>
      </c>
      <c r="B38" s="173" t="str">
        <f>INDEX(Orçamentária!A:B,MATCH(Composições!A38,Orçamentária!A:A,0),2)</f>
        <v>Demolição de fechamento ou parede em gesso acartonado</v>
      </c>
      <c r="C38" s="40"/>
      <c r="D38" s="25" t="s">
        <v>70</v>
      </c>
      <c r="E38" s="26"/>
      <c r="F38" s="41" t="s">
        <v>416</v>
      </c>
      <c r="G38" s="27" t="str">
        <f>IF(ISNUMBER(F38),E38*F38,"")</f>
        <v/>
      </c>
      <c r="H38" s="28"/>
      <c r="I38" s="29"/>
      <c r="J38" s="152">
        <v>17</v>
      </c>
    </row>
    <row r="39" spans="1:10" x14ac:dyDescent="0.25">
      <c r="A39" s="176"/>
      <c r="B39" s="174"/>
      <c r="C39" s="31"/>
      <c r="D39" s="31"/>
      <c r="E39" s="32"/>
      <c r="F39" s="42" t="s">
        <v>416</v>
      </c>
      <c r="G39" s="30" t="str">
        <f>IF(ISNUMBER(F39),E39*F39,"")</f>
        <v/>
      </c>
      <c r="H39" s="34"/>
      <c r="I39" s="30"/>
      <c r="J39" s="152">
        <v>17</v>
      </c>
    </row>
    <row r="40" spans="1:10" ht="25.5" x14ac:dyDescent="0.25">
      <c r="A40" s="176"/>
      <c r="B40" s="174"/>
      <c r="C40" s="35" t="s">
        <v>854</v>
      </c>
      <c r="D40" s="35" t="s">
        <v>583</v>
      </c>
      <c r="E40" s="36">
        <v>0.1186</v>
      </c>
      <c r="F40" s="30">
        <v>20.719499999999996</v>
      </c>
      <c r="G40" s="33">
        <f>IF(ISNUMBER(F40),E40*F40,"")</f>
        <v>2.4573326999999994</v>
      </c>
      <c r="H40" s="38">
        <f>SUM(G40:G41)</f>
        <v>7.1678516499999985</v>
      </c>
      <c r="I40" s="39"/>
      <c r="J40" s="152">
        <v>17</v>
      </c>
    </row>
    <row r="41" spans="1:10" x14ac:dyDescent="0.25">
      <c r="A41" s="176"/>
      <c r="B41" s="174"/>
      <c r="C41" s="35" t="s">
        <v>584</v>
      </c>
      <c r="D41" s="35" t="s">
        <v>583</v>
      </c>
      <c r="E41" s="36">
        <v>0.2329</v>
      </c>
      <c r="F41" s="30">
        <v>20.225499999999997</v>
      </c>
      <c r="G41" s="33">
        <f>IF(ISNUMBER(F41),E41*F41,"")</f>
        <v>4.7105189499999991</v>
      </c>
      <c r="H41" s="44"/>
      <c r="I41" s="45"/>
      <c r="J41" s="152">
        <v>17</v>
      </c>
    </row>
    <row r="42" spans="1:10" ht="15.75" thickBot="1" x14ac:dyDescent="0.3">
      <c r="A42" s="177"/>
      <c r="B42" s="175"/>
      <c r="C42" s="35"/>
      <c r="D42" s="35"/>
      <c r="E42" s="36"/>
      <c r="F42" s="30" t="s">
        <v>416</v>
      </c>
      <c r="G42" s="30" t="str">
        <f>IF(ISNUMBER(F42),E42*F42,"")</f>
        <v/>
      </c>
      <c r="H42" s="34"/>
      <c r="I42" s="30"/>
      <c r="J42" s="152">
        <v>17</v>
      </c>
    </row>
    <row r="43" spans="1:10" ht="15.75" thickBot="1" x14ac:dyDescent="0.3">
      <c r="A43" s="170" t="s">
        <v>21</v>
      </c>
      <c r="B43" s="173" t="str">
        <f>INDEX(Orçamentária!A:B,MATCH(Composições!A43,Orçamentária!A:A,0),2)</f>
        <v>Demolição de forro</v>
      </c>
      <c r="C43" s="40"/>
      <c r="D43" s="25" t="s">
        <v>70</v>
      </c>
      <c r="E43" s="26"/>
      <c r="F43" s="41" t="s">
        <v>416</v>
      </c>
      <c r="G43" s="27" t="str">
        <f>IF(ISNUMBER(F43),E43*F43,"")</f>
        <v/>
      </c>
      <c r="H43" s="28"/>
      <c r="I43" s="29"/>
      <c r="J43" s="152">
        <v>388</v>
      </c>
    </row>
    <row r="44" spans="1:10" x14ac:dyDescent="0.25">
      <c r="A44" s="176"/>
      <c r="B44" s="174"/>
      <c r="C44" s="31"/>
      <c r="D44" s="31"/>
      <c r="E44" s="32"/>
      <c r="F44" s="42" t="s">
        <v>416</v>
      </c>
      <c r="G44" s="30" t="str">
        <f>IF(ISNUMBER(F44),E44*F44,"")</f>
        <v/>
      </c>
      <c r="H44" s="34"/>
      <c r="I44" s="30"/>
      <c r="J44" s="152">
        <v>388</v>
      </c>
    </row>
    <row r="45" spans="1:10" ht="25.5" x14ac:dyDescent="0.25">
      <c r="A45" s="176"/>
      <c r="B45" s="174"/>
      <c r="C45" s="35" t="s">
        <v>854</v>
      </c>
      <c r="D45" s="35" t="s">
        <v>583</v>
      </c>
      <c r="E45" s="36">
        <v>2.58E-2</v>
      </c>
      <c r="F45" s="30">
        <v>20.719499999999996</v>
      </c>
      <c r="G45" s="33">
        <f>IF(ISNUMBER(F45),E45*F45,"")</f>
        <v>0.53456309999999996</v>
      </c>
      <c r="H45" s="38">
        <f>SUM(G45:G46)</f>
        <v>1.5599959499999998</v>
      </c>
      <c r="I45" s="39"/>
      <c r="J45" s="152">
        <v>388</v>
      </c>
    </row>
    <row r="46" spans="1:10" x14ac:dyDescent="0.25">
      <c r="A46" s="176"/>
      <c r="B46" s="174"/>
      <c r="C46" s="35" t="s">
        <v>584</v>
      </c>
      <c r="D46" s="35" t="s">
        <v>583</v>
      </c>
      <c r="E46" s="36">
        <v>5.0700000000000002E-2</v>
      </c>
      <c r="F46" s="30">
        <v>20.225499999999997</v>
      </c>
      <c r="G46" s="33">
        <f>IF(ISNUMBER(F46),E46*F46,"")</f>
        <v>1.0254328499999998</v>
      </c>
      <c r="H46" s="34"/>
      <c r="I46" s="30"/>
      <c r="J46" s="152">
        <v>388</v>
      </c>
    </row>
    <row r="47" spans="1:10" ht="15.75" thickBot="1" x14ac:dyDescent="0.3">
      <c r="A47" s="177"/>
      <c r="B47" s="175"/>
      <c r="C47" s="35"/>
      <c r="D47" s="35"/>
      <c r="E47" s="36"/>
      <c r="F47" s="30" t="s">
        <v>416</v>
      </c>
      <c r="G47" s="30" t="str">
        <f>IF(ISNUMBER(F47),E47*F47,"")</f>
        <v/>
      </c>
      <c r="H47" s="34"/>
      <c r="I47" s="30"/>
      <c r="J47" s="152">
        <v>388</v>
      </c>
    </row>
    <row r="48" spans="1:10" ht="15.75" hidden="1" thickBot="1" x14ac:dyDescent="0.3">
      <c r="A48" s="170" t="s">
        <v>22</v>
      </c>
      <c r="B48" s="173" t="str">
        <f>INDEX(Orçamentária!A:B,MATCH(Composições!A48,Orçamentária!A:A,0),2)</f>
        <v>Demolição de infraestrutura elétrica (eletrodutos, eletrocalhas, cabos)</v>
      </c>
      <c r="C48" s="40"/>
      <c r="D48" s="25" t="s">
        <v>69</v>
      </c>
      <c r="E48" s="26"/>
      <c r="F48" s="41" t="s">
        <v>416</v>
      </c>
      <c r="G48" s="27" t="str">
        <f>IF(ISNUMBER(F48),E48*F48,"")</f>
        <v/>
      </c>
      <c r="H48" s="28"/>
      <c r="I48" s="29"/>
      <c r="J48" s="152">
        <v>0</v>
      </c>
    </row>
    <row r="49" spans="1:10" ht="15.75" hidden="1" thickBot="1" x14ac:dyDescent="0.3">
      <c r="A49" s="176"/>
      <c r="B49" s="174"/>
      <c r="C49" s="31"/>
      <c r="D49" s="31"/>
      <c r="E49" s="32"/>
      <c r="F49" s="42" t="s">
        <v>416</v>
      </c>
      <c r="G49" s="30" t="str">
        <f>IF(ISNUMBER(F49),E49*F49,"")</f>
        <v/>
      </c>
      <c r="H49" s="34"/>
      <c r="I49" s="30"/>
      <c r="J49" s="152">
        <v>0</v>
      </c>
    </row>
    <row r="50" spans="1:10" ht="15.75" hidden="1" thickBot="1" x14ac:dyDescent="0.3">
      <c r="A50" s="176"/>
      <c r="B50" s="174"/>
      <c r="C50" s="35" t="s">
        <v>1018</v>
      </c>
      <c r="D50" s="35" t="s">
        <v>583</v>
      </c>
      <c r="E50" s="36">
        <f>ROUND(0.0096*5,4)</f>
        <v>4.8000000000000001E-2</v>
      </c>
      <c r="F50" s="30">
        <v>27.835000000000001</v>
      </c>
      <c r="G50" s="33">
        <f>IF(ISNUMBER(F50),E50*F50,"")</f>
        <v>1.3360800000000002</v>
      </c>
      <c r="H50" s="38">
        <f>SUM(G50:G51)</f>
        <v>3.2372769999999997</v>
      </c>
      <c r="I50" s="39"/>
      <c r="J50" s="152">
        <v>0</v>
      </c>
    </row>
    <row r="51" spans="1:10" ht="15.75" hidden="1" thickBot="1" x14ac:dyDescent="0.3">
      <c r="A51" s="176"/>
      <c r="B51" s="174"/>
      <c r="C51" s="35" t="s">
        <v>584</v>
      </c>
      <c r="D51" s="35" t="s">
        <v>583</v>
      </c>
      <c r="E51" s="36">
        <f>ROUND(0.0188*5,4)</f>
        <v>9.4E-2</v>
      </c>
      <c r="F51" s="30">
        <v>20.225499999999997</v>
      </c>
      <c r="G51" s="33">
        <f>IF(ISNUMBER(F51),E51*F51,"")</f>
        <v>1.9011969999999998</v>
      </c>
      <c r="H51" s="34"/>
      <c r="I51" s="30"/>
      <c r="J51" s="152">
        <v>0</v>
      </c>
    </row>
    <row r="52" spans="1:10" ht="15.75" hidden="1" thickBot="1" x14ac:dyDescent="0.3">
      <c r="A52" s="177"/>
      <c r="B52" s="175"/>
      <c r="C52" s="35"/>
      <c r="D52" s="35"/>
      <c r="E52" s="36"/>
      <c r="F52" s="30" t="s">
        <v>416</v>
      </c>
      <c r="G52" s="30" t="str">
        <f>IF(ISNUMBER(F52),E52*F52,"")</f>
        <v/>
      </c>
      <c r="H52" s="34"/>
      <c r="I52" s="30"/>
      <c r="J52" s="152">
        <v>0</v>
      </c>
    </row>
    <row r="53" spans="1:10" ht="15.75" hidden="1" thickBot="1" x14ac:dyDescent="0.3">
      <c r="A53" s="170" t="s">
        <v>23</v>
      </c>
      <c r="B53" s="173" t="str">
        <f>INDEX(Orçamentária!A:B,MATCH(Composições!A53,Orçamentária!A:A,0),2)</f>
        <v>Demolição de revestimento cerâmico, granito, mármore ou granitina</v>
      </c>
      <c r="C53" s="40"/>
      <c r="D53" s="25" t="s">
        <v>70</v>
      </c>
      <c r="E53" s="26"/>
      <c r="F53" s="41" t="s">
        <v>416</v>
      </c>
      <c r="G53" s="27" t="str">
        <f>IF(ISNUMBER(F53),E53*F53,"")</f>
        <v/>
      </c>
      <c r="H53" s="28"/>
      <c r="I53" s="29"/>
      <c r="J53" s="152">
        <v>0</v>
      </c>
    </row>
    <row r="54" spans="1:10" ht="15.75" hidden="1" thickBot="1" x14ac:dyDescent="0.3">
      <c r="A54" s="176"/>
      <c r="B54" s="174"/>
      <c r="C54" s="31"/>
      <c r="D54" s="31"/>
      <c r="E54" s="32"/>
      <c r="F54" s="42" t="s">
        <v>416</v>
      </c>
      <c r="G54" s="30" t="str">
        <f>IF(ISNUMBER(F54),E54*F54,"")</f>
        <v/>
      </c>
      <c r="H54" s="34"/>
      <c r="I54" s="30"/>
      <c r="J54" s="152">
        <v>0</v>
      </c>
    </row>
    <row r="55" spans="1:10" ht="26.25" hidden="1" thickBot="1" x14ac:dyDescent="0.3">
      <c r="A55" s="176"/>
      <c r="B55" s="174"/>
      <c r="C55" s="35" t="s">
        <v>969</v>
      </c>
      <c r="D55" s="35" t="s">
        <v>813</v>
      </c>
      <c r="E55" s="36">
        <v>6.9900000000000004E-2</v>
      </c>
      <c r="F55" s="33">
        <v>24.6525</v>
      </c>
      <c r="G55" s="33">
        <f>IF(ISNUMBER(F55),E55*F55,"")</f>
        <v>1.7232097500000001</v>
      </c>
      <c r="H55" s="38">
        <f>SUM(G55:G58)</f>
        <v>11.695665649999999</v>
      </c>
      <c r="I55" s="39"/>
      <c r="J55" s="152">
        <v>0</v>
      </c>
    </row>
    <row r="56" spans="1:10" ht="26.25" hidden="1" thickBot="1" x14ac:dyDescent="0.3">
      <c r="A56" s="176"/>
      <c r="B56" s="174"/>
      <c r="C56" s="35" t="s">
        <v>970</v>
      </c>
      <c r="D56" s="35" t="s">
        <v>815</v>
      </c>
      <c r="E56" s="36">
        <v>4.82E-2</v>
      </c>
      <c r="F56" s="33">
        <v>23.008999999999997</v>
      </c>
      <c r="G56" s="33">
        <f>IF(ISNUMBER(F56),E56*F56,"")</f>
        <v>1.1090337999999997</v>
      </c>
      <c r="H56" s="34"/>
      <c r="I56" s="30"/>
      <c r="J56" s="152">
        <v>0</v>
      </c>
    </row>
    <row r="57" spans="1:10" ht="15.75" hidden="1" thickBot="1" x14ac:dyDescent="0.3">
      <c r="A57" s="176"/>
      <c r="B57" s="174"/>
      <c r="C57" s="35" t="s">
        <v>1079</v>
      </c>
      <c r="D57" s="35" t="s">
        <v>583</v>
      </c>
      <c r="E57" s="36">
        <v>0.1055</v>
      </c>
      <c r="F57" s="30">
        <v>27.036999999999999</v>
      </c>
      <c r="G57" s="33">
        <f>IF(ISNUMBER(F57),E57*F57,"")</f>
        <v>2.8524034999999999</v>
      </c>
      <c r="H57" s="34"/>
      <c r="I57" s="30"/>
      <c r="J57" s="152">
        <v>0</v>
      </c>
    </row>
    <row r="58" spans="1:10" ht="15.75" hidden="1" thickBot="1" x14ac:dyDescent="0.3">
      <c r="A58" s="176"/>
      <c r="B58" s="174"/>
      <c r="C58" s="35" t="s">
        <v>584</v>
      </c>
      <c r="D58" s="35" t="s">
        <v>583</v>
      </c>
      <c r="E58" s="36">
        <v>0.29720000000000002</v>
      </c>
      <c r="F58" s="30">
        <v>20.225499999999997</v>
      </c>
      <c r="G58" s="33">
        <f>IF(ISNUMBER(F58),E58*F58,"")</f>
        <v>6.011018599999999</v>
      </c>
      <c r="H58" s="34"/>
      <c r="I58" s="30"/>
      <c r="J58" s="152">
        <v>0</v>
      </c>
    </row>
    <row r="59" spans="1:10" ht="15.75" hidden="1" thickBot="1" x14ac:dyDescent="0.3">
      <c r="A59" s="177"/>
      <c r="B59" s="175"/>
      <c r="C59" s="35"/>
      <c r="D59" s="35"/>
      <c r="E59" s="36"/>
      <c r="F59" s="30" t="s">
        <v>416</v>
      </c>
      <c r="G59" s="30" t="str">
        <f>IF(ISNUMBER(F59),E59*F59,"")</f>
        <v/>
      </c>
      <c r="H59" s="34"/>
      <c r="I59" s="30"/>
      <c r="J59" s="152">
        <v>0</v>
      </c>
    </row>
    <row r="60" spans="1:10" ht="15.75" hidden="1" thickBot="1" x14ac:dyDescent="0.3">
      <c r="A60" s="170" t="s">
        <v>24</v>
      </c>
      <c r="B60" s="173" t="str">
        <f>INDEX(Orçamentária!A:B,MATCH(Composições!A60,Orçamentária!A:A,0),2)</f>
        <v>Demolição de revestimento em argamassa</v>
      </c>
      <c r="C60" s="40"/>
      <c r="D60" s="25" t="s">
        <v>70</v>
      </c>
      <c r="E60" s="26"/>
      <c r="F60" s="41" t="s">
        <v>416</v>
      </c>
      <c r="G60" s="27" t="str">
        <f>IF(ISNUMBER(F60),E60*F60,"")</f>
        <v/>
      </c>
      <c r="H60" s="28"/>
      <c r="I60" s="29"/>
      <c r="J60" s="152">
        <v>0</v>
      </c>
    </row>
    <row r="61" spans="1:10" ht="15.75" hidden="1" thickBot="1" x14ac:dyDescent="0.3">
      <c r="A61" s="176"/>
      <c r="B61" s="174"/>
      <c r="C61" s="31"/>
      <c r="D61" s="31"/>
      <c r="E61" s="32"/>
      <c r="F61" s="42" t="s">
        <v>416</v>
      </c>
      <c r="G61" s="30" t="str">
        <f>IF(ISNUMBER(F61),E61*F61,"")</f>
        <v/>
      </c>
      <c r="H61" s="34"/>
      <c r="I61" s="30"/>
      <c r="J61" s="152">
        <v>0</v>
      </c>
    </row>
    <row r="62" spans="1:10" ht="15.75" hidden="1" thickBot="1" x14ac:dyDescent="0.3">
      <c r="A62" s="176"/>
      <c r="B62" s="174"/>
      <c r="C62" s="35" t="s">
        <v>591</v>
      </c>
      <c r="D62" s="35" t="s">
        <v>583</v>
      </c>
      <c r="E62" s="36">
        <v>3.7400000000000003E-2</v>
      </c>
      <c r="F62" s="30">
        <v>27.160499999999999</v>
      </c>
      <c r="G62" s="33">
        <f>IF(ISNUMBER(F62),E62*F62,"")</f>
        <v>1.0158027000000001</v>
      </c>
      <c r="H62" s="38">
        <f>SUM(G62:G63)</f>
        <v>3.1455478499999998</v>
      </c>
      <c r="I62" s="39"/>
      <c r="J62" s="152">
        <v>0</v>
      </c>
    </row>
    <row r="63" spans="1:10" ht="15.75" hidden="1" thickBot="1" x14ac:dyDescent="0.3">
      <c r="A63" s="176"/>
      <c r="B63" s="174"/>
      <c r="C63" s="35" t="s">
        <v>584</v>
      </c>
      <c r="D63" s="35" t="s">
        <v>583</v>
      </c>
      <c r="E63" s="36">
        <v>0.1053</v>
      </c>
      <c r="F63" s="30">
        <v>20.225499999999997</v>
      </c>
      <c r="G63" s="33">
        <f>IF(ISNUMBER(F63),E63*F63,"")</f>
        <v>2.1297451499999998</v>
      </c>
      <c r="H63" s="34"/>
      <c r="I63" s="30"/>
      <c r="J63" s="152">
        <v>0</v>
      </c>
    </row>
    <row r="64" spans="1:10" ht="15.75" hidden="1" thickBot="1" x14ac:dyDescent="0.3">
      <c r="A64" s="177"/>
      <c r="B64" s="175"/>
      <c r="C64" s="35"/>
      <c r="D64" s="35"/>
      <c r="E64" s="36"/>
      <c r="F64" s="30" t="s">
        <v>416</v>
      </c>
      <c r="G64" s="30" t="str">
        <f>IF(ISNUMBER(F64),E64*F64,"")</f>
        <v/>
      </c>
      <c r="H64" s="34"/>
      <c r="I64" s="30"/>
      <c r="J64" s="152">
        <v>0</v>
      </c>
    </row>
    <row r="65" spans="1:10" ht="15.75" hidden="1" thickBot="1" x14ac:dyDescent="0.3">
      <c r="A65" s="170" t="s">
        <v>25</v>
      </c>
      <c r="B65" s="173" t="str">
        <f>INDEX(Orçamentária!A:B,MATCH(Composições!A65,Orçamentária!A:A,0),2)</f>
        <v>Demolição de tubulação hidrossanitária embutida com conexões e acessórios</v>
      </c>
      <c r="C65" s="40"/>
      <c r="D65" s="25" t="s">
        <v>69</v>
      </c>
      <c r="E65" s="26"/>
      <c r="F65" s="41" t="s">
        <v>416</v>
      </c>
      <c r="G65" s="27" t="str">
        <f>IF(ISNUMBER(F65),E65*F65,"")</f>
        <v/>
      </c>
      <c r="H65" s="28"/>
      <c r="I65" s="29"/>
      <c r="J65" s="152">
        <v>0</v>
      </c>
    </row>
    <row r="66" spans="1:10" ht="15.75" hidden="1" thickBot="1" x14ac:dyDescent="0.3">
      <c r="A66" s="176"/>
      <c r="B66" s="174"/>
      <c r="C66" s="31"/>
      <c r="D66" s="31"/>
      <c r="E66" s="32"/>
      <c r="F66" s="42" t="s">
        <v>416</v>
      </c>
      <c r="G66" s="30" t="str">
        <f>IF(ISNUMBER(F66),E66*F66,"")</f>
        <v/>
      </c>
      <c r="H66" s="34"/>
      <c r="I66" s="30"/>
      <c r="J66" s="152">
        <v>0</v>
      </c>
    </row>
    <row r="67" spans="1:10" ht="26.25" hidden="1" thickBot="1" x14ac:dyDescent="0.3">
      <c r="A67" s="176"/>
      <c r="B67" s="174"/>
      <c r="C67" s="35" t="s">
        <v>825</v>
      </c>
      <c r="D67" s="35" t="s">
        <v>583</v>
      </c>
      <c r="E67" s="36">
        <v>7.1000000000000004E-3</v>
      </c>
      <c r="F67" s="30">
        <v>26.799499999999998</v>
      </c>
      <c r="G67" s="33">
        <f>IF(ISNUMBER(F67),E67*F67,"")</f>
        <v>0.19027644999999999</v>
      </c>
      <c r="H67" s="38">
        <f>SUM(G67:G68)</f>
        <v>0.47343344999999992</v>
      </c>
      <c r="I67" s="39"/>
      <c r="J67" s="152">
        <v>0</v>
      </c>
    </row>
    <row r="68" spans="1:10" ht="15.75" hidden="1" thickBot="1" x14ac:dyDescent="0.3">
      <c r="A68" s="176"/>
      <c r="B68" s="174"/>
      <c r="C68" s="35" t="s">
        <v>584</v>
      </c>
      <c r="D68" s="35" t="s">
        <v>583</v>
      </c>
      <c r="E68" s="36">
        <v>1.4E-2</v>
      </c>
      <c r="F68" s="30">
        <v>20.225499999999997</v>
      </c>
      <c r="G68" s="33">
        <f>IF(ISNUMBER(F68),E68*F68,"")</f>
        <v>0.28315699999999994</v>
      </c>
      <c r="H68" s="34"/>
      <c r="I68" s="30"/>
      <c r="J68" s="152">
        <v>0</v>
      </c>
    </row>
    <row r="69" spans="1:10" ht="15.75" hidden="1" thickBot="1" x14ac:dyDescent="0.3">
      <c r="A69" s="177"/>
      <c r="B69" s="175"/>
      <c r="C69" s="35"/>
      <c r="D69" s="35"/>
      <c r="E69" s="36"/>
      <c r="F69" s="30" t="s">
        <v>416</v>
      </c>
      <c r="G69" s="30" t="str">
        <f>IF(ISNUMBER(F69),E69*F69,"")</f>
        <v/>
      </c>
      <c r="H69" s="34"/>
      <c r="I69" s="30"/>
      <c r="J69" s="152">
        <v>0</v>
      </c>
    </row>
    <row r="70" spans="1:10" ht="15.75" hidden="1" thickBot="1" x14ac:dyDescent="0.3">
      <c r="A70" s="170" t="s">
        <v>26</v>
      </c>
      <c r="B70" s="173" t="str">
        <f>INDEX(Orçamentária!A:B,MATCH(Composições!A70,Orçamentária!A:A,0),2)</f>
        <v>Demolição em concreto armado</v>
      </c>
      <c r="C70" s="40"/>
      <c r="D70" s="25" t="s">
        <v>80</v>
      </c>
      <c r="E70" s="26"/>
      <c r="F70" s="41" t="s">
        <v>416</v>
      </c>
      <c r="G70" s="27" t="str">
        <f>IF(ISNUMBER(F70),E70*F70,"")</f>
        <v/>
      </c>
      <c r="H70" s="28"/>
      <c r="I70" s="29"/>
      <c r="J70" s="152">
        <v>0</v>
      </c>
    </row>
    <row r="71" spans="1:10" ht="15.75" hidden="1" thickBot="1" x14ac:dyDescent="0.3">
      <c r="A71" s="176"/>
      <c r="B71" s="174"/>
      <c r="C71" s="31"/>
      <c r="D71" s="31"/>
      <c r="E71" s="32"/>
      <c r="F71" s="42" t="s">
        <v>416</v>
      </c>
      <c r="G71" s="30" t="str">
        <f>IF(ISNUMBER(F71),E71*F71,"")</f>
        <v/>
      </c>
      <c r="H71" s="34"/>
      <c r="I71" s="30"/>
      <c r="J71" s="152">
        <v>0</v>
      </c>
    </row>
    <row r="72" spans="1:10" ht="26.25" hidden="1" thickBot="1" x14ac:dyDescent="0.3">
      <c r="A72" s="176"/>
      <c r="B72" s="174"/>
      <c r="C72" s="35" t="s">
        <v>969</v>
      </c>
      <c r="D72" s="35" t="s">
        <v>813</v>
      </c>
      <c r="E72" s="36">
        <v>3.2467999999999999</v>
      </c>
      <c r="F72" s="33">
        <v>24.6525</v>
      </c>
      <c r="G72" s="33">
        <f>IF(ISNUMBER(F72),E72*F72,"")</f>
        <v>80.041736999999998</v>
      </c>
      <c r="H72" s="38">
        <f>SUM(G72:G76)</f>
        <v>270.43004759999997</v>
      </c>
      <c r="I72" s="39"/>
      <c r="J72" s="152">
        <v>0</v>
      </c>
    </row>
    <row r="73" spans="1:10" ht="26.25" hidden="1" thickBot="1" x14ac:dyDescent="0.3">
      <c r="A73" s="176"/>
      <c r="B73" s="174"/>
      <c r="C73" s="35" t="s">
        <v>970</v>
      </c>
      <c r="D73" s="35" t="s">
        <v>815</v>
      </c>
      <c r="E73" s="36">
        <v>0.92020000000000002</v>
      </c>
      <c r="F73" s="33">
        <v>23.008999999999997</v>
      </c>
      <c r="G73" s="33">
        <f>IF(ISNUMBER(F73),E73*F73,"")</f>
        <v>21.172881799999999</v>
      </c>
      <c r="H73" s="34"/>
      <c r="I73" s="30"/>
      <c r="J73" s="152">
        <v>0</v>
      </c>
    </row>
    <row r="74" spans="1:10" ht="26.25" hidden="1" thickBot="1" x14ac:dyDescent="0.3">
      <c r="A74" s="176"/>
      <c r="B74" s="174"/>
      <c r="C74" s="35" t="s">
        <v>27</v>
      </c>
      <c r="D74" s="35" t="s">
        <v>773</v>
      </c>
      <c r="E74" s="36">
        <v>0.28349999999999997</v>
      </c>
      <c r="F74" s="33">
        <v>66.566499999999991</v>
      </c>
      <c r="G74" s="30">
        <f>IF(ISNUMBER(F74),E74*F74,"")</f>
        <v>18.871602749999994</v>
      </c>
      <c r="H74" s="34"/>
      <c r="I74" s="30"/>
      <c r="J74" s="152">
        <v>0</v>
      </c>
    </row>
    <row r="75" spans="1:10" ht="15.75" hidden="1" thickBot="1" x14ac:dyDescent="0.3">
      <c r="A75" s="176"/>
      <c r="B75" s="174"/>
      <c r="C75" s="35" t="s">
        <v>591</v>
      </c>
      <c r="D75" s="35" t="s">
        <v>583</v>
      </c>
      <c r="E75" s="36">
        <v>0.63660000000000005</v>
      </c>
      <c r="F75" s="30">
        <v>27.160499999999999</v>
      </c>
      <c r="G75" s="33">
        <f>IF(ISNUMBER(F75),E75*F75,"")</f>
        <v>17.2903743</v>
      </c>
      <c r="H75" s="34"/>
      <c r="I75" s="30"/>
      <c r="J75" s="152">
        <v>0</v>
      </c>
    </row>
    <row r="76" spans="1:10" ht="15.75" hidden="1" thickBot="1" x14ac:dyDescent="0.3">
      <c r="A76" s="176"/>
      <c r="B76" s="174"/>
      <c r="C76" s="35" t="s">
        <v>584</v>
      </c>
      <c r="D76" s="35" t="s">
        <v>583</v>
      </c>
      <c r="E76" s="36">
        <v>6.5785</v>
      </c>
      <c r="F76" s="30">
        <v>20.225499999999997</v>
      </c>
      <c r="G76" s="33">
        <f>IF(ISNUMBER(F76),E76*F76,"")</f>
        <v>133.05345174999997</v>
      </c>
      <c r="H76" s="34"/>
      <c r="I76" s="30"/>
      <c r="J76" s="152">
        <v>0</v>
      </c>
    </row>
    <row r="77" spans="1:10" ht="15.75" hidden="1" thickBot="1" x14ac:dyDescent="0.3">
      <c r="A77" s="177"/>
      <c r="B77" s="175"/>
      <c r="C77" s="35"/>
      <c r="D77" s="35"/>
      <c r="E77" s="36"/>
      <c r="F77" s="30" t="s">
        <v>416</v>
      </c>
      <c r="G77" s="30" t="str">
        <f>IF(ISNUMBER(F77),E77*F77,"")</f>
        <v/>
      </c>
      <c r="H77" s="34"/>
      <c r="I77" s="30"/>
      <c r="J77" s="152">
        <v>0</v>
      </c>
    </row>
    <row r="78" spans="1:10" ht="15.75" hidden="1" thickBot="1" x14ac:dyDescent="0.3">
      <c r="A78" s="181" t="s">
        <v>29</v>
      </c>
      <c r="B78" s="173" t="str">
        <f>INDEX(Orçamentária!A:B,MATCH(Composições!A78,Orçamentária!A:A,0),2)</f>
        <v>Remoção de armários</v>
      </c>
      <c r="C78" s="40"/>
      <c r="D78" s="25" t="s">
        <v>70</v>
      </c>
      <c r="E78" s="26"/>
      <c r="F78" s="41" t="s">
        <v>416</v>
      </c>
      <c r="G78" s="27" t="str">
        <f>IF(ISNUMBER(F78),E78*F78,"")</f>
        <v/>
      </c>
      <c r="H78" s="28"/>
      <c r="I78" s="29"/>
      <c r="J78" s="152">
        <v>0</v>
      </c>
    </row>
    <row r="79" spans="1:10" ht="15.75" hidden="1" thickBot="1" x14ac:dyDescent="0.3">
      <c r="A79" s="182"/>
      <c r="B79" s="174"/>
      <c r="C79" s="31"/>
      <c r="D79" s="31"/>
      <c r="E79" s="32"/>
      <c r="F79" s="42" t="s">
        <v>416</v>
      </c>
      <c r="G79" s="30" t="str">
        <f>IF(ISNUMBER(F79),E79*F79,"")</f>
        <v/>
      </c>
      <c r="H79" s="34"/>
      <c r="I79" s="30"/>
      <c r="J79" s="152">
        <v>0</v>
      </c>
    </row>
    <row r="80" spans="1:10" ht="15.75" hidden="1" thickBot="1" x14ac:dyDescent="0.3">
      <c r="A80" s="182"/>
      <c r="B80" s="174"/>
      <c r="C80" s="35" t="s">
        <v>582</v>
      </c>
      <c r="D80" s="35" t="s">
        <v>583</v>
      </c>
      <c r="E80" s="36">
        <v>0.35</v>
      </c>
      <c r="F80" s="30">
        <v>25.725999999999996</v>
      </c>
      <c r="G80" s="33">
        <f>IF(ISNUMBER(F80),E80*F80,"")</f>
        <v>9.0040999999999976</v>
      </c>
      <c r="H80" s="38">
        <f>SUM(G80:G81)</f>
        <v>16.083024999999996</v>
      </c>
      <c r="I80" s="39"/>
      <c r="J80" s="152">
        <v>0</v>
      </c>
    </row>
    <row r="81" spans="1:10" ht="15.75" hidden="1" thickBot="1" x14ac:dyDescent="0.3">
      <c r="A81" s="182"/>
      <c r="B81" s="174"/>
      <c r="C81" s="35" t="s">
        <v>584</v>
      </c>
      <c r="D81" s="35" t="s">
        <v>583</v>
      </c>
      <c r="E81" s="36">
        <v>0.35</v>
      </c>
      <c r="F81" s="30">
        <v>20.225499999999997</v>
      </c>
      <c r="G81" s="33">
        <f>IF(ISNUMBER(F81),E81*F81,"")</f>
        <v>7.0789249999999981</v>
      </c>
      <c r="H81" s="44"/>
      <c r="I81" s="45"/>
      <c r="J81" s="152">
        <v>0</v>
      </c>
    </row>
    <row r="82" spans="1:10" ht="15.75" hidden="1" thickBot="1" x14ac:dyDescent="0.3">
      <c r="A82" s="182"/>
      <c r="B82" s="174"/>
      <c r="C82" s="35"/>
      <c r="D82" s="35"/>
      <c r="E82" s="36"/>
      <c r="F82" s="30" t="s">
        <v>416</v>
      </c>
      <c r="G82" s="30" t="str">
        <f>IF(ISNUMBER(F82),E82*F82,"")</f>
        <v/>
      </c>
      <c r="H82" s="34"/>
      <c r="I82" s="30"/>
      <c r="J82" s="152">
        <v>0</v>
      </c>
    </row>
    <row r="83" spans="1:10" ht="15.75" hidden="1" thickBot="1" x14ac:dyDescent="0.3">
      <c r="A83" s="170" t="s">
        <v>30</v>
      </c>
      <c r="B83" s="173" t="str">
        <f>INDEX(Orçamentária!A:B,MATCH(Composições!A83,Orçamentária!A:A,0),2)</f>
        <v>Remoção de bancadas</v>
      </c>
      <c r="C83" s="40"/>
      <c r="D83" s="25" t="s">
        <v>70</v>
      </c>
      <c r="E83" s="26"/>
      <c r="F83" s="41" t="s">
        <v>416</v>
      </c>
      <c r="G83" s="27" t="str">
        <f>IF(ISNUMBER(F83),E83*F83,"")</f>
        <v/>
      </c>
      <c r="H83" s="28"/>
      <c r="I83" s="29"/>
      <c r="J83" s="152">
        <v>0</v>
      </c>
    </row>
    <row r="84" spans="1:10" ht="15.75" hidden="1" thickBot="1" x14ac:dyDescent="0.3">
      <c r="A84" s="176"/>
      <c r="B84" s="174"/>
      <c r="C84" s="31"/>
      <c r="D84" s="31"/>
      <c r="E84" s="32"/>
      <c r="F84" s="42" t="s">
        <v>416</v>
      </c>
      <c r="G84" s="30" t="str">
        <f>IF(ISNUMBER(F84),E84*F84,"")</f>
        <v/>
      </c>
      <c r="H84" s="34"/>
      <c r="I84" s="30"/>
      <c r="J84" s="152">
        <v>0</v>
      </c>
    </row>
    <row r="85" spans="1:10" ht="15.75" hidden="1" thickBot="1" x14ac:dyDescent="0.3">
      <c r="A85" s="176"/>
      <c r="B85" s="174"/>
      <c r="C85" s="35" t="s">
        <v>591</v>
      </c>
      <c r="D85" s="35" t="s">
        <v>583</v>
      </c>
      <c r="E85" s="36">
        <v>0.15</v>
      </c>
      <c r="F85" s="30">
        <v>27.160499999999999</v>
      </c>
      <c r="G85" s="33">
        <f>IF(ISNUMBER(F85),E85*F85,"")</f>
        <v>4.0740749999999997</v>
      </c>
      <c r="H85" s="38">
        <f>SUM(G85:G86)</f>
        <v>24.299574999999997</v>
      </c>
      <c r="I85" s="39"/>
      <c r="J85" s="152">
        <v>0</v>
      </c>
    </row>
    <row r="86" spans="1:10" ht="15.75" hidden="1" thickBot="1" x14ac:dyDescent="0.3">
      <c r="A86" s="176"/>
      <c r="B86" s="174"/>
      <c r="C86" s="35" t="s">
        <v>584</v>
      </c>
      <c r="D86" s="35" t="s">
        <v>583</v>
      </c>
      <c r="E86" s="36">
        <v>1</v>
      </c>
      <c r="F86" s="30">
        <v>20.225499999999997</v>
      </c>
      <c r="G86" s="33">
        <f>IF(ISNUMBER(F86),E86*F86,"")</f>
        <v>20.225499999999997</v>
      </c>
      <c r="H86" s="34"/>
      <c r="I86" s="30"/>
      <c r="J86" s="152">
        <v>0</v>
      </c>
    </row>
    <row r="87" spans="1:10" ht="15.75" hidden="1" thickBot="1" x14ac:dyDescent="0.3">
      <c r="A87" s="177"/>
      <c r="B87" s="175"/>
      <c r="C87" s="35"/>
      <c r="D87" s="35"/>
      <c r="E87" s="36"/>
      <c r="F87" s="30" t="s">
        <v>416</v>
      </c>
      <c r="G87" s="30" t="str">
        <f>IF(ISNUMBER(F87),E87*F87,"")</f>
        <v/>
      </c>
      <c r="H87" s="34"/>
      <c r="I87" s="30"/>
      <c r="J87" s="152">
        <v>0</v>
      </c>
    </row>
    <row r="88" spans="1:10" ht="15.75" hidden="1" thickBot="1" x14ac:dyDescent="0.3">
      <c r="A88" s="170" t="s">
        <v>31</v>
      </c>
      <c r="B88" s="173" t="str">
        <f>INDEX(Orçamentária!A:B,MATCH(Composições!A88,Orçamentária!A:A,0),2)</f>
        <v>Remoção de batentes de madeira</v>
      </c>
      <c r="C88" s="40"/>
      <c r="D88" s="25" t="s">
        <v>16</v>
      </c>
      <c r="E88" s="26"/>
      <c r="F88" s="41" t="s">
        <v>416</v>
      </c>
      <c r="G88" s="27" t="str">
        <f>IF(ISNUMBER(F88),E88*F88,"")</f>
        <v/>
      </c>
      <c r="H88" s="28"/>
      <c r="I88" s="29"/>
      <c r="J88" s="152">
        <v>0</v>
      </c>
    </row>
    <row r="89" spans="1:10" ht="15.75" hidden="1" thickBot="1" x14ac:dyDescent="0.3">
      <c r="A89" s="176"/>
      <c r="B89" s="174"/>
      <c r="C89" s="31"/>
      <c r="D89" s="31"/>
      <c r="E89" s="32"/>
      <c r="F89" s="42" t="s">
        <v>416</v>
      </c>
      <c r="G89" s="30" t="str">
        <f>IF(ISNUMBER(F89),E89*F89,"")</f>
        <v/>
      </c>
      <c r="H89" s="34"/>
      <c r="I89" s="30"/>
      <c r="J89" s="152">
        <v>0</v>
      </c>
    </row>
    <row r="90" spans="1:10" ht="15.75" hidden="1" thickBot="1" x14ac:dyDescent="0.3">
      <c r="A90" s="176"/>
      <c r="B90" s="174"/>
      <c r="C90" s="35" t="s">
        <v>591</v>
      </c>
      <c r="D90" s="35" t="s">
        <v>583</v>
      </c>
      <c r="E90" s="36">
        <f>0.08/2</f>
        <v>0.04</v>
      </c>
      <c r="F90" s="30">
        <v>27.160499999999999</v>
      </c>
      <c r="G90" s="33">
        <f>IF(ISNUMBER(F90),E90*F90,"")</f>
        <v>1.0864199999999999</v>
      </c>
      <c r="H90" s="38">
        <f>SUM(G90:G91)</f>
        <v>9.1766199999999998</v>
      </c>
      <c r="I90" s="39"/>
      <c r="J90" s="152">
        <v>0</v>
      </c>
    </row>
    <row r="91" spans="1:10" ht="15.75" hidden="1" thickBot="1" x14ac:dyDescent="0.3">
      <c r="A91" s="176"/>
      <c r="B91" s="174"/>
      <c r="C91" s="35" t="s">
        <v>584</v>
      </c>
      <c r="D91" s="35" t="s">
        <v>583</v>
      </c>
      <c r="E91" s="36">
        <f>0.8/2</f>
        <v>0.4</v>
      </c>
      <c r="F91" s="30">
        <v>20.225499999999997</v>
      </c>
      <c r="G91" s="33">
        <f>IF(ISNUMBER(F91),E91*F91,"")</f>
        <v>8.0901999999999994</v>
      </c>
      <c r="H91" s="34"/>
      <c r="I91" s="30"/>
      <c r="J91" s="152">
        <v>0</v>
      </c>
    </row>
    <row r="92" spans="1:10" ht="15.75" hidden="1" thickBot="1" x14ac:dyDescent="0.3">
      <c r="A92" s="176"/>
      <c r="B92" s="174"/>
      <c r="C92" s="35"/>
      <c r="D92" s="35"/>
      <c r="E92" s="36"/>
      <c r="F92" s="33" t="s">
        <v>416</v>
      </c>
      <c r="G92" s="33" t="str">
        <f>IF(ISNUMBER(F92),E92*F92,"")</f>
        <v/>
      </c>
      <c r="H92" s="34"/>
      <c r="I92" s="30"/>
      <c r="J92" s="152">
        <v>0</v>
      </c>
    </row>
    <row r="93" spans="1:10" ht="15.75" hidden="1" thickBot="1" x14ac:dyDescent="0.3">
      <c r="A93" s="170" t="s">
        <v>32</v>
      </c>
      <c r="B93" s="173" t="str">
        <f>INDEX(Orçamentária!A:B,MATCH(Composições!A93,Orçamentária!A:A,0),2)</f>
        <v>Remoção de canaleta em alumínio</v>
      </c>
      <c r="C93" s="40"/>
      <c r="D93" s="25" t="s">
        <v>69</v>
      </c>
      <c r="E93" s="26"/>
      <c r="F93" s="41" t="s">
        <v>416</v>
      </c>
      <c r="G93" s="27" t="str">
        <f>IF(ISNUMBER(F93),E93*F93,"")</f>
        <v/>
      </c>
      <c r="H93" s="28"/>
      <c r="I93" s="29"/>
      <c r="J93" s="152">
        <v>0</v>
      </c>
    </row>
    <row r="94" spans="1:10" ht="15.75" hidden="1" thickBot="1" x14ac:dyDescent="0.3">
      <c r="A94" s="176"/>
      <c r="B94" s="174"/>
      <c r="C94" s="31"/>
      <c r="D94" s="31"/>
      <c r="E94" s="32"/>
      <c r="F94" s="42" t="s">
        <v>416</v>
      </c>
      <c r="G94" s="30" t="str">
        <f>IF(ISNUMBER(F94),E94*F94,"")</f>
        <v/>
      </c>
      <c r="H94" s="34"/>
      <c r="I94" s="30"/>
      <c r="J94" s="152">
        <v>0</v>
      </c>
    </row>
    <row r="95" spans="1:10" ht="15.75" hidden="1" thickBot="1" x14ac:dyDescent="0.3">
      <c r="A95" s="176"/>
      <c r="B95" s="174"/>
      <c r="C95" s="35" t="s">
        <v>1018</v>
      </c>
      <c r="D95" s="35" t="s">
        <v>583</v>
      </c>
      <c r="E95" s="36">
        <f>0.75*0.1</f>
        <v>7.5000000000000011E-2</v>
      </c>
      <c r="F95" s="30">
        <v>27.835000000000001</v>
      </c>
      <c r="G95" s="33">
        <f>IF(ISNUMBER(F95),E95*F95,"")</f>
        <v>2.0876250000000005</v>
      </c>
      <c r="H95" s="38">
        <f>SUM(G95:G96)</f>
        <v>5.1214500000000003</v>
      </c>
      <c r="I95" s="39"/>
      <c r="J95" s="152">
        <v>0</v>
      </c>
    </row>
    <row r="96" spans="1:10" ht="15.75" hidden="1" thickBot="1" x14ac:dyDescent="0.3">
      <c r="A96" s="176"/>
      <c r="B96" s="174"/>
      <c r="C96" s="35" t="s">
        <v>584</v>
      </c>
      <c r="D96" s="35" t="s">
        <v>583</v>
      </c>
      <c r="E96" s="36">
        <f>0.75*0.2</f>
        <v>0.15000000000000002</v>
      </c>
      <c r="F96" s="30">
        <v>20.225499999999997</v>
      </c>
      <c r="G96" s="33">
        <f>IF(ISNUMBER(F96),E96*F96,"")</f>
        <v>3.0338249999999998</v>
      </c>
      <c r="H96" s="34"/>
      <c r="I96" s="30"/>
      <c r="J96" s="152">
        <v>0</v>
      </c>
    </row>
    <row r="97" spans="1:10" ht="15.75" hidden="1" thickBot="1" x14ac:dyDescent="0.3">
      <c r="A97" s="177"/>
      <c r="B97" s="175"/>
      <c r="C97" s="35"/>
      <c r="D97" s="35"/>
      <c r="E97" s="36"/>
      <c r="F97" s="30" t="s">
        <v>416</v>
      </c>
      <c r="G97" s="30" t="str">
        <f>IF(ISNUMBER(F97),E97*F97,"")</f>
        <v/>
      </c>
      <c r="H97" s="34"/>
      <c r="I97" s="30"/>
      <c r="J97" s="152">
        <v>0</v>
      </c>
    </row>
    <row r="98" spans="1:10" ht="15.75" hidden="1" thickBot="1" x14ac:dyDescent="0.3">
      <c r="A98" s="170" t="s">
        <v>33</v>
      </c>
      <c r="B98" s="173" t="str">
        <f>INDEX(Orçamentária!A:B,MATCH(Composições!A98,Orçamentária!A:A,0),2)</f>
        <v>Remoção de carpete</v>
      </c>
      <c r="C98" s="40"/>
      <c r="D98" s="25" t="s">
        <v>70</v>
      </c>
      <c r="E98" s="26"/>
      <c r="F98" s="41" t="s">
        <v>416</v>
      </c>
      <c r="G98" s="27" t="str">
        <f>IF(ISNUMBER(F98),E98*F98,"")</f>
        <v/>
      </c>
      <c r="H98" s="28"/>
      <c r="I98" s="29"/>
      <c r="J98" s="152">
        <v>0</v>
      </c>
    </row>
    <row r="99" spans="1:10" ht="15.75" hidden="1" thickBot="1" x14ac:dyDescent="0.3">
      <c r="A99" s="176"/>
      <c r="B99" s="174"/>
      <c r="C99" s="31"/>
      <c r="D99" s="31"/>
      <c r="E99" s="32"/>
      <c r="F99" s="42" t="s">
        <v>416</v>
      </c>
      <c r="G99" s="30" t="str">
        <f>IF(ISNUMBER(F99),E99*F99,"")</f>
        <v/>
      </c>
      <c r="H99" s="34"/>
      <c r="I99" s="30"/>
      <c r="J99" s="152">
        <v>0</v>
      </c>
    </row>
    <row r="100" spans="1:10" ht="15.75" hidden="1" thickBot="1" x14ac:dyDescent="0.3">
      <c r="A100" s="176"/>
      <c r="B100" s="174"/>
      <c r="C100" s="35" t="s">
        <v>591</v>
      </c>
      <c r="D100" s="35" t="s">
        <v>583</v>
      </c>
      <c r="E100" s="36">
        <v>0.01</v>
      </c>
      <c r="F100" s="30">
        <v>27.160499999999999</v>
      </c>
      <c r="G100" s="33">
        <f>IF(ISNUMBER(F100),E100*F100,"")</f>
        <v>0.27160499999999999</v>
      </c>
      <c r="H100" s="38">
        <f>SUM(G100:G101)</f>
        <v>2.2941549999999999</v>
      </c>
      <c r="I100" s="39"/>
      <c r="J100" s="152">
        <v>0</v>
      </c>
    </row>
    <row r="101" spans="1:10" ht="15.75" hidden="1" thickBot="1" x14ac:dyDescent="0.3">
      <c r="A101" s="176"/>
      <c r="B101" s="174"/>
      <c r="C101" s="35" t="s">
        <v>584</v>
      </c>
      <c r="D101" s="35" t="s">
        <v>583</v>
      </c>
      <c r="E101" s="36">
        <v>0.1</v>
      </c>
      <c r="F101" s="30">
        <v>20.225499999999997</v>
      </c>
      <c r="G101" s="33">
        <f>IF(ISNUMBER(F101),E101*F101,"")</f>
        <v>2.0225499999999998</v>
      </c>
      <c r="H101" s="34"/>
      <c r="I101" s="30"/>
      <c r="J101" s="152">
        <v>0</v>
      </c>
    </row>
    <row r="102" spans="1:10" ht="15.75" hidden="1" thickBot="1" x14ac:dyDescent="0.3">
      <c r="A102" s="177"/>
      <c r="B102" s="175"/>
      <c r="C102" s="35"/>
      <c r="D102" s="35"/>
      <c r="E102" s="36"/>
      <c r="F102" s="30" t="s">
        <v>416</v>
      </c>
      <c r="G102" s="30" t="str">
        <f>IF(ISNUMBER(F102),E102*F102,"")</f>
        <v/>
      </c>
      <c r="H102" s="34"/>
      <c r="I102" s="30"/>
      <c r="J102" s="152">
        <v>0</v>
      </c>
    </row>
    <row r="103" spans="1:10" ht="15.75" hidden="1" thickBot="1" x14ac:dyDescent="0.3">
      <c r="A103" s="170" t="s">
        <v>34</v>
      </c>
      <c r="B103" s="173" t="str">
        <f>INDEX(Orçamentária!A:B,MATCH(Composições!A103,Orçamentária!A:A,0),2)</f>
        <v>Remoção de cortinas</v>
      </c>
      <c r="C103" s="40"/>
      <c r="D103" s="25" t="s">
        <v>69</v>
      </c>
      <c r="E103" s="26"/>
      <c r="F103" s="41" t="s">
        <v>416</v>
      </c>
      <c r="G103" s="27" t="str">
        <f>IF(ISNUMBER(F103),E103*F103,"")</f>
        <v/>
      </c>
      <c r="H103" s="28"/>
      <c r="I103" s="29"/>
      <c r="J103" s="152">
        <v>0</v>
      </c>
    </row>
    <row r="104" spans="1:10" ht="15.75" hidden="1" thickBot="1" x14ac:dyDescent="0.3">
      <c r="A104" s="176"/>
      <c r="B104" s="174"/>
      <c r="C104" s="31"/>
      <c r="D104" s="31"/>
      <c r="E104" s="32"/>
      <c r="F104" s="42" t="s">
        <v>416</v>
      </c>
      <c r="G104" s="30" t="str">
        <f>IF(ISNUMBER(F104),E104*F104,"")</f>
        <v/>
      </c>
      <c r="H104" s="34"/>
      <c r="I104" s="30"/>
      <c r="J104" s="152">
        <v>0</v>
      </c>
    </row>
    <row r="105" spans="1:10" ht="15.75" hidden="1" thickBot="1" x14ac:dyDescent="0.3">
      <c r="A105" s="176"/>
      <c r="B105" s="174"/>
      <c r="C105" s="35" t="s">
        <v>1233</v>
      </c>
      <c r="D105" s="35" t="s">
        <v>583</v>
      </c>
      <c r="E105" s="36">
        <f>ROUND(1/6,4)</f>
        <v>0.16669999999999999</v>
      </c>
      <c r="F105" s="30">
        <v>21.318000000000001</v>
      </c>
      <c r="G105" s="33">
        <f>IF(ISNUMBER(F105),E105*F105,"")</f>
        <v>3.5537106000000001</v>
      </c>
      <c r="H105" s="38">
        <f>SUM(G105:G105)</f>
        <v>3.5537106000000001</v>
      </c>
      <c r="I105" s="39"/>
      <c r="J105" s="152">
        <v>0</v>
      </c>
    </row>
    <row r="106" spans="1:10" ht="15.75" hidden="1" thickBot="1" x14ac:dyDescent="0.3">
      <c r="A106" s="177"/>
      <c r="B106" s="175"/>
      <c r="C106" s="35"/>
      <c r="D106" s="35"/>
      <c r="E106" s="36"/>
      <c r="F106" s="30" t="s">
        <v>416</v>
      </c>
      <c r="G106" s="30" t="str">
        <f>IF(ISNUMBER(F106),E106*F106,"")</f>
        <v/>
      </c>
      <c r="H106" s="34"/>
      <c r="I106" s="30"/>
      <c r="J106" s="152">
        <v>0</v>
      </c>
    </row>
    <row r="107" spans="1:10" ht="15.75" hidden="1" thickBot="1" x14ac:dyDescent="0.3">
      <c r="A107" s="170" t="s">
        <v>35</v>
      </c>
      <c r="B107" s="173" t="str">
        <f>INDEX(Orçamentária!A:B,MATCH(Composições!A107,Orçamentária!A:A,0),2)</f>
        <v>Remoção de difusores, grelhas e acessórios de climatização</v>
      </c>
      <c r="C107" s="40"/>
      <c r="D107" s="25" t="s">
        <v>16</v>
      </c>
      <c r="E107" s="26"/>
      <c r="F107" s="41" t="s">
        <v>416</v>
      </c>
      <c r="G107" s="27" t="str">
        <f>IF(ISNUMBER(F107),E107*F107,"")</f>
        <v/>
      </c>
      <c r="H107" s="28"/>
      <c r="I107" s="29"/>
      <c r="J107" s="152">
        <v>0</v>
      </c>
    </row>
    <row r="108" spans="1:10" ht="15.75" hidden="1" thickBot="1" x14ac:dyDescent="0.3">
      <c r="A108" s="176"/>
      <c r="B108" s="174"/>
      <c r="C108" s="31"/>
      <c r="D108" s="31"/>
      <c r="E108" s="32"/>
      <c r="F108" s="42" t="s">
        <v>416</v>
      </c>
      <c r="G108" s="30" t="str">
        <f>IF(ISNUMBER(F108),E108*F108,"")</f>
        <v/>
      </c>
      <c r="H108" s="34"/>
      <c r="I108" s="30"/>
      <c r="J108" s="152">
        <v>0</v>
      </c>
    </row>
    <row r="109" spans="1:10" ht="26.25" hidden="1" thickBot="1" x14ac:dyDescent="0.3">
      <c r="A109" s="176"/>
      <c r="B109" s="174"/>
      <c r="C109" s="35" t="s">
        <v>2901</v>
      </c>
      <c r="D109" s="35" t="s">
        <v>583</v>
      </c>
      <c r="E109" s="36">
        <v>0.6</v>
      </c>
      <c r="F109" s="30">
        <v>23.160999999999998</v>
      </c>
      <c r="G109" s="30">
        <f>IF(ISNUMBER(F109),E109*F109,"")</f>
        <v>13.896599999999998</v>
      </c>
      <c r="H109" s="38">
        <f>SUM(G109:G110)</f>
        <v>26.031899999999993</v>
      </c>
      <c r="I109" s="39"/>
      <c r="J109" s="152">
        <v>0</v>
      </c>
    </row>
    <row r="110" spans="1:10" ht="15.75" hidden="1" thickBot="1" x14ac:dyDescent="0.3">
      <c r="A110" s="176"/>
      <c r="B110" s="174"/>
      <c r="C110" s="35" t="s">
        <v>584</v>
      </c>
      <c r="D110" s="35" t="s">
        <v>583</v>
      </c>
      <c r="E110" s="36">
        <v>0.6</v>
      </c>
      <c r="F110" s="30">
        <v>20.225499999999997</v>
      </c>
      <c r="G110" s="30">
        <f>IF(ISNUMBER(F110),E110*F110,"")</f>
        <v>12.135299999999997</v>
      </c>
      <c r="H110" s="34"/>
      <c r="I110" s="30"/>
      <c r="J110" s="152">
        <v>0</v>
      </c>
    </row>
    <row r="111" spans="1:10" ht="15.75" hidden="1" thickBot="1" x14ac:dyDescent="0.3">
      <c r="A111" s="177"/>
      <c r="B111" s="175"/>
      <c r="C111" s="35"/>
      <c r="D111" s="35"/>
      <c r="E111" s="36"/>
      <c r="F111" s="30" t="s">
        <v>416</v>
      </c>
      <c r="G111" s="30" t="str">
        <f>IF(ISNUMBER(F111),E111*F111,"")</f>
        <v/>
      </c>
      <c r="H111" s="34"/>
      <c r="I111" s="30"/>
      <c r="J111" s="152">
        <v>0</v>
      </c>
    </row>
    <row r="112" spans="1:10" ht="15.75" hidden="1" thickBot="1" x14ac:dyDescent="0.3">
      <c r="A112" s="170" t="s">
        <v>36</v>
      </c>
      <c r="B112" s="173" t="str">
        <f>INDEX(Orçamentária!A:B,MATCH(Composições!A112,Orçamentária!A:A,0),2)</f>
        <v>Remoção de divisória de mármore ou granito</v>
      </c>
      <c r="C112" s="40"/>
      <c r="D112" s="25" t="s">
        <v>70</v>
      </c>
      <c r="E112" s="26"/>
      <c r="F112" s="41" t="s">
        <v>416</v>
      </c>
      <c r="G112" s="27" t="str">
        <f>IF(ISNUMBER(F112),E112*F112,"")</f>
        <v/>
      </c>
      <c r="H112" s="28"/>
      <c r="I112" s="29"/>
      <c r="J112" s="152">
        <v>0</v>
      </c>
    </row>
    <row r="113" spans="1:10" ht="15.75" hidden="1" thickBot="1" x14ac:dyDescent="0.3">
      <c r="A113" s="176"/>
      <c r="B113" s="174"/>
      <c r="C113" s="31"/>
      <c r="D113" s="31"/>
      <c r="E113" s="32"/>
      <c r="F113" s="42" t="s">
        <v>416</v>
      </c>
      <c r="G113" s="30" t="str">
        <f>IF(ISNUMBER(F113),E113*F113,"")</f>
        <v/>
      </c>
      <c r="H113" s="34"/>
      <c r="I113" s="30"/>
      <c r="J113" s="152">
        <v>0</v>
      </c>
    </row>
    <row r="114" spans="1:10" ht="15.75" hidden="1" thickBot="1" x14ac:dyDescent="0.3">
      <c r="A114" s="176"/>
      <c r="B114" s="174"/>
      <c r="C114" s="35" t="s">
        <v>2906</v>
      </c>
      <c r="D114" s="35" t="s">
        <v>583</v>
      </c>
      <c r="E114" s="36">
        <v>0.6</v>
      </c>
      <c r="F114" s="30">
        <v>27.036999999999999</v>
      </c>
      <c r="G114" s="33">
        <f>IF(ISNUMBER(F114),E114*F114,"")</f>
        <v>16.222199999999997</v>
      </c>
      <c r="H114" s="38">
        <f>SUM(G114:G115)</f>
        <v>40.492799999999988</v>
      </c>
      <c r="I114" s="39"/>
      <c r="J114" s="152">
        <v>0</v>
      </c>
    </row>
    <row r="115" spans="1:10" ht="15.75" hidden="1" thickBot="1" x14ac:dyDescent="0.3">
      <c r="A115" s="176"/>
      <c r="B115" s="174"/>
      <c r="C115" s="35" t="s">
        <v>584</v>
      </c>
      <c r="D115" s="35" t="s">
        <v>583</v>
      </c>
      <c r="E115" s="36">
        <v>1.2</v>
      </c>
      <c r="F115" s="30">
        <v>20.225499999999997</v>
      </c>
      <c r="G115" s="33">
        <f>IF(ISNUMBER(F115),E115*F115,"")</f>
        <v>24.270599999999995</v>
      </c>
      <c r="H115" s="34"/>
      <c r="I115" s="30"/>
      <c r="J115" s="152">
        <v>0</v>
      </c>
    </row>
    <row r="116" spans="1:10" ht="15.75" hidden="1" thickBot="1" x14ac:dyDescent="0.3">
      <c r="A116" s="177"/>
      <c r="B116" s="175"/>
      <c r="C116" s="35"/>
      <c r="D116" s="35"/>
      <c r="E116" s="36"/>
      <c r="F116" s="30" t="s">
        <v>416</v>
      </c>
      <c r="G116" s="30" t="str">
        <f>IF(ISNUMBER(F116),E116*F116,"")</f>
        <v/>
      </c>
      <c r="H116" s="34"/>
      <c r="I116" s="30"/>
      <c r="J116" s="152">
        <v>0</v>
      </c>
    </row>
    <row r="117" spans="1:10" ht="15.75" hidden="1" thickBot="1" x14ac:dyDescent="0.3">
      <c r="A117" s="170" t="s">
        <v>37</v>
      </c>
      <c r="B117" s="173" t="str">
        <f>INDEX(Orçamentária!A:B,MATCH(Composições!A117,Orçamentária!A:A,0),2)</f>
        <v>Remoção de divisórias de MDF e gesso acartonado</v>
      </c>
      <c r="C117" s="40"/>
      <c r="D117" s="25" t="s">
        <v>70</v>
      </c>
      <c r="E117" s="26"/>
      <c r="F117" s="41" t="s">
        <v>416</v>
      </c>
      <c r="G117" s="27" t="str">
        <f>IF(ISNUMBER(F117),E117*F117,"")</f>
        <v/>
      </c>
      <c r="H117" s="28"/>
      <c r="I117" s="29"/>
      <c r="J117" s="152">
        <v>0</v>
      </c>
    </row>
    <row r="118" spans="1:10" ht="15.75" hidden="1" thickBot="1" x14ac:dyDescent="0.3">
      <c r="A118" s="176"/>
      <c r="B118" s="174"/>
      <c r="C118" s="31"/>
      <c r="D118" s="31"/>
      <c r="E118" s="32"/>
      <c r="F118" s="42" t="s">
        <v>416</v>
      </c>
      <c r="G118" s="30" t="str">
        <f>IF(ISNUMBER(F118),E118*F118,"")</f>
        <v/>
      </c>
      <c r="H118" s="34"/>
      <c r="I118" s="30"/>
      <c r="J118" s="152">
        <v>0</v>
      </c>
    </row>
    <row r="119" spans="1:10" ht="26.25" hidden="1" thickBot="1" x14ac:dyDescent="0.3">
      <c r="A119" s="176"/>
      <c r="B119" s="174"/>
      <c r="C119" s="35" t="s">
        <v>854</v>
      </c>
      <c r="D119" s="35" t="s">
        <v>583</v>
      </c>
      <c r="E119" s="36">
        <v>0.1186</v>
      </c>
      <c r="F119" s="30">
        <v>20.719499999999996</v>
      </c>
      <c r="G119" s="30">
        <f>IF(ISNUMBER(F119),E119*F119,"")</f>
        <v>2.4573326999999994</v>
      </c>
      <c r="H119" s="38">
        <f>SUM(G119:G120)</f>
        <v>7.1678516499999985</v>
      </c>
      <c r="I119" s="39"/>
      <c r="J119" s="152">
        <v>0</v>
      </c>
    </row>
    <row r="120" spans="1:10" ht="15.75" hidden="1" thickBot="1" x14ac:dyDescent="0.3">
      <c r="A120" s="176"/>
      <c r="B120" s="174"/>
      <c r="C120" s="35" t="s">
        <v>584</v>
      </c>
      <c r="D120" s="35" t="s">
        <v>583</v>
      </c>
      <c r="E120" s="36">
        <v>0.2329</v>
      </c>
      <c r="F120" s="30">
        <v>20.225499999999997</v>
      </c>
      <c r="G120" s="30">
        <f>IF(ISNUMBER(F120),E120*F120,"")</f>
        <v>4.7105189499999991</v>
      </c>
      <c r="H120" s="34"/>
      <c r="I120" s="30"/>
      <c r="J120" s="152">
        <v>0</v>
      </c>
    </row>
    <row r="121" spans="1:10" ht="15.75" hidden="1" thickBot="1" x14ac:dyDescent="0.3">
      <c r="A121" s="177"/>
      <c r="B121" s="175"/>
      <c r="C121" s="35"/>
      <c r="D121" s="35"/>
      <c r="E121" s="36"/>
      <c r="F121" s="30" t="s">
        <v>416</v>
      </c>
      <c r="G121" s="30" t="str">
        <f>IF(ISNUMBER(F121),E121*F121,"")</f>
        <v/>
      </c>
      <c r="H121" s="34"/>
      <c r="I121" s="30"/>
      <c r="J121" s="152">
        <v>0</v>
      </c>
    </row>
    <row r="122" spans="1:10" ht="15.75" thickBot="1" x14ac:dyDescent="0.3">
      <c r="A122" s="170" t="s">
        <v>38</v>
      </c>
      <c r="B122" s="173" t="str">
        <f>INDEX(Orçamentária!A:B,MATCH(Composições!A122,Orçamentária!A:A,0),2)</f>
        <v>Remoção de dutos/tubulações</v>
      </c>
      <c r="C122" s="40"/>
      <c r="D122" s="25" t="s">
        <v>69</v>
      </c>
      <c r="E122" s="26"/>
      <c r="F122" s="41" t="s">
        <v>416</v>
      </c>
      <c r="G122" s="27" t="str">
        <f>IF(ISNUMBER(F122),E122*F122,"")</f>
        <v/>
      </c>
      <c r="H122" s="28"/>
      <c r="I122" s="29"/>
      <c r="J122" s="152">
        <v>271</v>
      </c>
    </row>
    <row r="123" spans="1:10" x14ac:dyDescent="0.25">
      <c r="A123" s="176"/>
      <c r="B123" s="174"/>
      <c r="C123" s="31"/>
      <c r="D123" s="31"/>
      <c r="E123" s="32"/>
      <c r="F123" s="42" t="s">
        <v>416</v>
      </c>
      <c r="G123" s="30" t="str">
        <f>IF(ISNUMBER(F123),E123*F123,"")</f>
        <v/>
      </c>
      <c r="H123" s="34"/>
      <c r="I123" s="30"/>
      <c r="J123" s="152">
        <v>271</v>
      </c>
    </row>
    <row r="124" spans="1:10" ht="25.5" x14ac:dyDescent="0.25">
      <c r="A124" s="176"/>
      <c r="B124" s="174"/>
      <c r="C124" s="35" t="s">
        <v>825</v>
      </c>
      <c r="D124" s="35" t="s">
        <v>583</v>
      </c>
      <c r="E124" s="36">
        <v>0.17499999999999999</v>
      </c>
      <c r="F124" s="30">
        <v>26.799499999999998</v>
      </c>
      <c r="G124" s="33">
        <f>IF(ISNUMBER(F124),E124*F124,"")</f>
        <v>4.6899124999999993</v>
      </c>
      <c r="H124" s="38">
        <f>SUM(G124:G125)</f>
        <v>10.757562499999999</v>
      </c>
      <c r="I124" s="39"/>
      <c r="J124" s="152">
        <v>271</v>
      </c>
    </row>
    <row r="125" spans="1:10" x14ac:dyDescent="0.25">
      <c r="A125" s="176"/>
      <c r="B125" s="174"/>
      <c r="C125" s="35" t="s">
        <v>584</v>
      </c>
      <c r="D125" s="35" t="s">
        <v>583</v>
      </c>
      <c r="E125" s="36">
        <v>0.3</v>
      </c>
      <c r="F125" s="30">
        <v>20.225499999999997</v>
      </c>
      <c r="G125" s="33">
        <f>IF(ISNUMBER(F125),E125*F125,"")</f>
        <v>6.0676499999999987</v>
      </c>
      <c r="H125" s="34"/>
      <c r="I125" s="30"/>
      <c r="J125" s="152">
        <v>271</v>
      </c>
    </row>
    <row r="126" spans="1:10" ht="15.75" thickBot="1" x14ac:dyDescent="0.3">
      <c r="A126" s="177"/>
      <c r="B126" s="175"/>
      <c r="C126" s="35"/>
      <c r="D126" s="35"/>
      <c r="E126" s="36"/>
      <c r="F126" s="30" t="s">
        <v>416</v>
      </c>
      <c r="G126" s="30" t="str">
        <f>IF(ISNUMBER(F126),E126*F126,"")</f>
        <v/>
      </c>
      <c r="H126" s="34"/>
      <c r="I126" s="30"/>
      <c r="J126" s="152">
        <v>271</v>
      </c>
    </row>
    <row r="127" spans="1:10" ht="15.75" hidden="1" thickBot="1" x14ac:dyDescent="0.3">
      <c r="A127" s="170" t="s">
        <v>39</v>
      </c>
      <c r="B127" s="173" t="str">
        <f>INDEX(Orçamentária!A:B,MATCH(Composições!A127,Orçamentária!A:A,0),2)</f>
        <v>Remoção de esquadrias metálicas</v>
      </c>
      <c r="C127" s="40"/>
      <c r="D127" s="25" t="s">
        <v>70</v>
      </c>
      <c r="E127" s="26"/>
      <c r="F127" s="41" t="s">
        <v>416</v>
      </c>
      <c r="G127" s="27" t="str">
        <f>IF(ISNUMBER(F127),E127*F127,"")</f>
        <v/>
      </c>
      <c r="H127" s="28"/>
      <c r="I127" s="29"/>
      <c r="J127" s="152">
        <v>0</v>
      </c>
    </row>
    <row r="128" spans="1:10" ht="15.75" hidden="1" thickBot="1" x14ac:dyDescent="0.3">
      <c r="A128" s="176"/>
      <c r="B128" s="174"/>
      <c r="C128" s="31"/>
      <c r="D128" s="31"/>
      <c r="E128" s="32"/>
      <c r="F128" s="42" t="s">
        <v>416</v>
      </c>
      <c r="G128" s="30" t="str">
        <f>IF(ISNUMBER(F128),E128*F128,"")</f>
        <v/>
      </c>
      <c r="H128" s="34"/>
      <c r="I128" s="30"/>
      <c r="J128" s="152">
        <v>0</v>
      </c>
    </row>
    <row r="129" spans="1:10" ht="15.75" hidden="1" thickBot="1" x14ac:dyDescent="0.3">
      <c r="A129" s="176"/>
      <c r="B129" s="174"/>
      <c r="C129" s="35" t="s">
        <v>591</v>
      </c>
      <c r="D129" s="35" t="s">
        <v>583</v>
      </c>
      <c r="E129" s="36">
        <v>0.05</v>
      </c>
      <c r="F129" s="30">
        <v>27.160499999999999</v>
      </c>
      <c r="G129" s="33">
        <f>IF(ISNUMBER(F129),E129*F129,"")</f>
        <v>1.358025</v>
      </c>
      <c r="H129" s="38">
        <f>SUM(G129:G130)</f>
        <v>11.470774999999998</v>
      </c>
      <c r="I129" s="39"/>
      <c r="J129" s="152">
        <v>0</v>
      </c>
    </row>
    <row r="130" spans="1:10" ht="15.75" hidden="1" thickBot="1" x14ac:dyDescent="0.3">
      <c r="A130" s="176"/>
      <c r="B130" s="174"/>
      <c r="C130" s="35" t="s">
        <v>584</v>
      </c>
      <c r="D130" s="35" t="s">
        <v>583</v>
      </c>
      <c r="E130" s="36">
        <v>0.5</v>
      </c>
      <c r="F130" s="30">
        <v>20.225499999999997</v>
      </c>
      <c r="G130" s="33">
        <f>IF(ISNUMBER(F130),E130*F130,"")</f>
        <v>10.112749999999998</v>
      </c>
      <c r="H130" s="44"/>
      <c r="I130" s="45"/>
      <c r="J130" s="152">
        <v>0</v>
      </c>
    </row>
    <row r="131" spans="1:10" ht="15.75" hidden="1" thickBot="1" x14ac:dyDescent="0.3">
      <c r="A131" s="177"/>
      <c r="B131" s="175"/>
      <c r="C131" s="35"/>
      <c r="D131" s="35"/>
      <c r="E131" s="36"/>
      <c r="F131" s="30" t="s">
        <v>416</v>
      </c>
      <c r="G131" s="30" t="str">
        <f>IF(ISNUMBER(F131),E131*F131,"")</f>
        <v/>
      </c>
      <c r="H131" s="34"/>
      <c r="I131" s="30"/>
      <c r="J131" s="152">
        <v>0</v>
      </c>
    </row>
    <row r="132" spans="1:10" ht="15.75" hidden="1" thickBot="1" x14ac:dyDescent="0.3">
      <c r="A132" s="170" t="s">
        <v>40</v>
      </c>
      <c r="B132" s="173" t="str">
        <f>INDEX(Orçamentária!A:B,MATCH(Composições!A132,Orçamentária!A:A,0),2)</f>
        <v>Remoção de exaustor</v>
      </c>
      <c r="C132" s="40"/>
      <c r="D132" s="25" t="s">
        <v>16</v>
      </c>
      <c r="E132" s="26"/>
      <c r="F132" s="41" t="s">
        <v>416</v>
      </c>
      <c r="G132" s="27" t="str">
        <f>IF(ISNUMBER(F132),E132*F132,"")</f>
        <v/>
      </c>
      <c r="H132" s="28"/>
      <c r="I132" s="29"/>
      <c r="J132" s="152">
        <v>0</v>
      </c>
    </row>
    <row r="133" spans="1:10" ht="15.75" hidden="1" thickBot="1" x14ac:dyDescent="0.3">
      <c r="A133" s="176"/>
      <c r="B133" s="174"/>
      <c r="C133" s="31"/>
      <c r="D133" s="31"/>
      <c r="E133" s="32"/>
      <c r="F133" s="42" t="s">
        <v>416</v>
      </c>
      <c r="G133" s="30" t="str">
        <f>IF(ISNUMBER(F133),E133*F133,"")</f>
        <v/>
      </c>
      <c r="H133" s="34"/>
      <c r="I133" s="30"/>
      <c r="J133" s="152">
        <v>0</v>
      </c>
    </row>
    <row r="134" spans="1:10" ht="15.75" hidden="1" thickBot="1" x14ac:dyDescent="0.3">
      <c r="A134" s="176"/>
      <c r="B134" s="174"/>
      <c r="C134" s="35" t="s">
        <v>1018</v>
      </c>
      <c r="D134" s="35" t="s">
        <v>583</v>
      </c>
      <c r="E134" s="36">
        <v>0.3</v>
      </c>
      <c r="F134" s="30">
        <v>27.835000000000001</v>
      </c>
      <c r="G134" s="30">
        <f>IF(ISNUMBER(F134),E134*F134,"")</f>
        <v>8.3505000000000003</v>
      </c>
      <c r="H134" s="38">
        <f>SUM(G134:G134)</f>
        <v>8.3505000000000003</v>
      </c>
      <c r="I134" s="39"/>
      <c r="J134" s="152">
        <v>0</v>
      </c>
    </row>
    <row r="135" spans="1:10" ht="15.75" hidden="1" thickBot="1" x14ac:dyDescent="0.3">
      <c r="A135" s="177"/>
      <c r="B135" s="175"/>
      <c r="C135" s="35"/>
      <c r="D135" s="35"/>
      <c r="E135" s="36"/>
      <c r="F135" s="30" t="s">
        <v>416</v>
      </c>
      <c r="G135" s="30" t="str">
        <f>IF(ISNUMBER(F135),E135*F135,"")</f>
        <v/>
      </c>
      <c r="H135" s="34"/>
      <c r="I135" s="30"/>
      <c r="J135" s="152">
        <v>0</v>
      </c>
    </row>
    <row r="136" spans="1:10" ht="15.75" hidden="1" thickBot="1" x14ac:dyDescent="0.3">
      <c r="A136" s="170" t="s">
        <v>41</v>
      </c>
      <c r="B136" s="173" t="str">
        <f>INDEX(Orçamentária!A:B,MATCH(Composições!A136,Orçamentária!A:A,0),2)</f>
        <v>Remoção de fechadura/puxador de porta</v>
      </c>
      <c r="C136" s="40"/>
      <c r="D136" s="25" t="s">
        <v>16</v>
      </c>
      <c r="E136" s="26"/>
      <c r="F136" s="41" t="s">
        <v>416</v>
      </c>
      <c r="G136" s="27" t="str">
        <f>IF(ISNUMBER(F136),E136*F136,"")</f>
        <v/>
      </c>
      <c r="H136" s="28"/>
      <c r="I136" s="29"/>
      <c r="J136" s="152">
        <v>0</v>
      </c>
    </row>
    <row r="137" spans="1:10" ht="15.75" hidden="1" thickBot="1" x14ac:dyDescent="0.3">
      <c r="A137" s="176"/>
      <c r="B137" s="174"/>
      <c r="C137" s="31"/>
      <c r="D137" s="31"/>
      <c r="E137" s="32"/>
      <c r="F137" s="42" t="s">
        <v>416</v>
      </c>
      <c r="G137" s="30" t="str">
        <f>IF(ISNUMBER(F137),E137*F137,"")</f>
        <v/>
      </c>
      <c r="H137" s="34"/>
      <c r="I137" s="30"/>
      <c r="J137" s="152">
        <v>0</v>
      </c>
    </row>
    <row r="138" spans="1:10" ht="15.75" hidden="1" thickBot="1" x14ac:dyDescent="0.3">
      <c r="A138" s="176"/>
      <c r="B138" s="174"/>
      <c r="C138" s="35" t="s">
        <v>582</v>
      </c>
      <c r="D138" s="35" t="s">
        <v>583</v>
      </c>
      <c r="E138" s="36">
        <f>0.25</f>
        <v>0.25</v>
      </c>
      <c r="F138" s="30">
        <v>25.725999999999996</v>
      </c>
      <c r="G138" s="33">
        <f>IF(ISNUMBER(F138),E138*F138,"")</f>
        <v>6.4314999999999989</v>
      </c>
      <c r="H138" s="38">
        <f>SUM(G138:G138)</f>
        <v>6.4314999999999989</v>
      </c>
      <c r="I138" s="39"/>
      <c r="J138" s="152">
        <v>0</v>
      </c>
    </row>
    <row r="139" spans="1:10" ht="15.75" hidden="1" thickBot="1" x14ac:dyDescent="0.3">
      <c r="A139" s="176"/>
      <c r="B139" s="174"/>
      <c r="C139" s="35"/>
      <c r="D139" s="35"/>
      <c r="E139" s="36"/>
      <c r="F139" s="30" t="s">
        <v>416</v>
      </c>
      <c r="G139" s="30" t="str">
        <f>IF(ISNUMBER(F139),E139*F139,"")</f>
        <v/>
      </c>
      <c r="H139" s="34"/>
      <c r="I139" s="30"/>
      <c r="J139" s="152">
        <v>0</v>
      </c>
    </row>
    <row r="140" spans="1:10" ht="15.75" hidden="1" thickBot="1" x14ac:dyDescent="0.3">
      <c r="A140" s="170" t="s">
        <v>42</v>
      </c>
      <c r="B140" s="173" t="str">
        <f>INDEX(Orçamentária!A:B,MATCH(Composições!A140,Orçamentária!A:A,0),2)</f>
        <v>Remoção de folha de porta e dobradiças / pivôs</v>
      </c>
      <c r="C140" s="40"/>
      <c r="D140" s="25" t="s">
        <v>16</v>
      </c>
      <c r="E140" s="26"/>
      <c r="F140" s="41" t="s">
        <v>416</v>
      </c>
      <c r="G140" s="27" t="str">
        <f>IF(ISNUMBER(F140),E140*F140,"")</f>
        <v/>
      </c>
      <c r="H140" s="28"/>
      <c r="I140" s="29"/>
      <c r="J140" s="152">
        <v>0</v>
      </c>
    </row>
    <row r="141" spans="1:10" ht="15.75" hidden="1" thickBot="1" x14ac:dyDescent="0.3">
      <c r="A141" s="176"/>
      <c r="B141" s="174"/>
      <c r="C141" s="31"/>
      <c r="D141" s="31"/>
      <c r="E141" s="32"/>
      <c r="F141" s="42" t="s">
        <v>416</v>
      </c>
      <c r="G141" s="30" t="str">
        <f>IF(ISNUMBER(F141),E141*F141,"")</f>
        <v/>
      </c>
      <c r="H141" s="34"/>
      <c r="I141" s="30"/>
      <c r="J141" s="152">
        <v>0</v>
      </c>
    </row>
    <row r="142" spans="1:10" ht="15.75" hidden="1" thickBot="1" x14ac:dyDescent="0.3">
      <c r="A142" s="176"/>
      <c r="B142" s="174"/>
      <c r="C142" s="35" t="s">
        <v>591</v>
      </c>
      <c r="D142" s="35" t="s">
        <v>583</v>
      </c>
      <c r="E142" s="36">
        <v>0.13150000000000001</v>
      </c>
      <c r="F142" s="30">
        <v>27.160499999999999</v>
      </c>
      <c r="G142" s="33">
        <f>IF(ISNUMBER(F142),E142*F142,"")</f>
        <v>3.5716057499999998</v>
      </c>
      <c r="H142" s="38">
        <f>SUM(G142:G143)</f>
        <v>8.7938298499999981</v>
      </c>
      <c r="I142" s="39"/>
      <c r="J142" s="152">
        <v>0</v>
      </c>
    </row>
    <row r="143" spans="1:10" ht="15.75" hidden="1" thickBot="1" x14ac:dyDescent="0.3">
      <c r="A143" s="176"/>
      <c r="B143" s="174"/>
      <c r="C143" s="35" t="s">
        <v>584</v>
      </c>
      <c r="D143" s="35" t="s">
        <v>583</v>
      </c>
      <c r="E143" s="36">
        <v>0.25819999999999999</v>
      </c>
      <c r="F143" s="30">
        <v>20.225499999999997</v>
      </c>
      <c r="G143" s="33">
        <f>IF(ISNUMBER(F143),E143*F143,"")</f>
        <v>5.2222240999999991</v>
      </c>
      <c r="H143" s="44"/>
      <c r="I143" s="45"/>
      <c r="J143" s="152">
        <v>0</v>
      </c>
    </row>
    <row r="144" spans="1:10" ht="15.75" hidden="1" thickBot="1" x14ac:dyDescent="0.3">
      <c r="A144" s="177"/>
      <c r="B144" s="175"/>
      <c r="C144" s="35"/>
      <c r="D144" s="35"/>
      <c r="E144" s="36"/>
      <c r="F144" s="30" t="s">
        <v>416</v>
      </c>
      <c r="G144" s="30" t="str">
        <f>IF(ISNUMBER(F144),E144*F144,"")</f>
        <v/>
      </c>
      <c r="H144" s="34"/>
      <c r="I144" s="30"/>
      <c r="J144" s="152">
        <v>0</v>
      </c>
    </row>
    <row r="145" spans="1:10" ht="15.75" hidden="1" thickBot="1" x14ac:dyDescent="0.3">
      <c r="A145" s="170" t="s">
        <v>43</v>
      </c>
      <c r="B145" s="173" t="str">
        <f>INDEX(Orçamentária!A:B,MATCH(Composições!A145,Orçamentária!A:A,0),2)</f>
        <v>Remoção de laminado melamínico (LDAP), em PVC ou vinílico</v>
      </c>
      <c r="C145" s="40"/>
      <c r="D145" s="25" t="s">
        <v>70</v>
      </c>
      <c r="E145" s="26"/>
      <c r="F145" s="41" t="s">
        <v>416</v>
      </c>
      <c r="G145" s="27" t="str">
        <f>IF(ISNUMBER(F145),E145*F145,"")</f>
        <v/>
      </c>
      <c r="H145" s="28"/>
      <c r="I145" s="29"/>
      <c r="J145" s="152">
        <v>0</v>
      </c>
    </row>
    <row r="146" spans="1:10" ht="15.75" hidden="1" thickBot="1" x14ac:dyDescent="0.3">
      <c r="A146" s="176"/>
      <c r="B146" s="174"/>
      <c r="C146" s="31"/>
      <c r="D146" s="31"/>
      <c r="E146" s="32"/>
      <c r="F146" s="42" t="s">
        <v>416</v>
      </c>
      <c r="G146" s="30" t="str">
        <f>IF(ISNUMBER(F146),E146*F146,"")</f>
        <v/>
      </c>
      <c r="H146" s="34"/>
      <c r="I146" s="30"/>
      <c r="J146" s="152">
        <v>0</v>
      </c>
    </row>
    <row r="147" spans="1:10" ht="15.75" hidden="1" thickBot="1" x14ac:dyDescent="0.3">
      <c r="A147" s="176"/>
      <c r="B147" s="174"/>
      <c r="C147" s="35" t="s">
        <v>591</v>
      </c>
      <c r="D147" s="35" t="s">
        <v>583</v>
      </c>
      <c r="E147" s="36">
        <v>0.09</v>
      </c>
      <c r="F147" s="30">
        <v>27.160499999999999</v>
      </c>
      <c r="G147" s="33">
        <f>IF(ISNUMBER(F147),E147*F147,"")</f>
        <v>2.444445</v>
      </c>
      <c r="H147" s="38">
        <f>SUM(G147:G148)</f>
        <v>20.647394999999996</v>
      </c>
      <c r="I147" s="39"/>
      <c r="J147" s="152">
        <v>0</v>
      </c>
    </row>
    <row r="148" spans="1:10" ht="15.75" hidden="1" thickBot="1" x14ac:dyDescent="0.3">
      <c r="A148" s="176"/>
      <c r="B148" s="174"/>
      <c r="C148" s="35" t="s">
        <v>584</v>
      </c>
      <c r="D148" s="35" t="s">
        <v>583</v>
      </c>
      <c r="E148" s="36">
        <v>0.9</v>
      </c>
      <c r="F148" s="30">
        <v>20.225499999999997</v>
      </c>
      <c r="G148" s="33">
        <f>IF(ISNUMBER(F148),E148*F148,"")</f>
        <v>18.202949999999998</v>
      </c>
      <c r="H148" s="34"/>
      <c r="I148" s="30"/>
      <c r="J148" s="152">
        <v>0</v>
      </c>
    </row>
    <row r="149" spans="1:10" ht="15.75" hidden="1" thickBot="1" x14ac:dyDescent="0.3">
      <c r="A149" s="177"/>
      <c r="B149" s="175"/>
      <c r="C149" s="35"/>
      <c r="D149" s="35"/>
      <c r="E149" s="36"/>
      <c r="F149" s="30" t="s">
        <v>416</v>
      </c>
      <c r="G149" s="30" t="str">
        <f>IF(ISNUMBER(F149),E149*F149,"")</f>
        <v/>
      </c>
      <c r="H149" s="34"/>
      <c r="I149" s="30"/>
      <c r="J149" s="152">
        <v>0</v>
      </c>
    </row>
    <row r="150" spans="1:10" ht="15.75" hidden="1" thickBot="1" x14ac:dyDescent="0.3">
      <c r="A150" s="170" t="s">
        <v>44</v>
      </c>
      <c r="B150" s="173" t="str">
        <f>INDEX(Orçamentária!A:B,MATCH(Composições!A150,Orçamentária!A:A,0),2)</f>
        <v>Remoção de louças</v>
      </c>
      <c r="C150" s="40"/>
      <c r="D150" s="25" t="s">
        <v>16</v>
      </c>
      <c r="E150" s="26"/>
      <c r="F150" s="41" t="s">
        <v>416</v>
      </c>
      <c r="G150" s="27" t="str">
        <f>IF(ISNUMBER(F150),E150*F150,"")</f>
        <v/>
      </c>
      <c r="H150" s="28"/>
      <c r="I150" s="29"/>
      <c r="J150" s="152">
        <v>0</v>
      </c>
    </row>
    <row r="151" spans="1:10" ht="15.75" hidden="1" thickBot="1" x14ac:dyDescent="0.3">
      <c r="A151" s="176"/>
      <c r="B151" s="174"/>
      <c r="C151" s="31"/>
      <c r="D151" s="31"/>
      <c r="E151" s="32"/>
      <c r="F151" s="42" t="s">
        <v>416</v>
      </c>
      <c r="G151" s="30" t="str">
        <f>IF(ISNUMBER(F151),E151*F151,"")</f>
        <v/>
      </c>
      <c r="H151" s="34"/>
      <c r="I151" s="30"/>
      <c r="J151" s="152">
        <v>0</v>
      </c>
    </row>
    <row r="152" spans="1:10" ht="26.25" hidden="1" thickBot="1" x14ac:dyDescent="0.3">
      <c r="A152" s="176"/>
      <c r="B152" s="174"/>
      <c r="C152" s="35" t="s">
        <v>825</v>
      </c>
      <c r="D152" s="35" t="s">
        <v>583</v>
      </c>
      <c r="E152" s="36">
        <v>0.17549999999999999</v>
      </c>
      <c r="F152" s="30">
        <v>26.799499999999998</v>
      </c>
      <c r="G152" s="33">
        <f>IF(ISNUMBER(F152),E152*F152,"")</f>
        <v>4.7033122499999998</v>
      </c>
      <c r="H152" s="38">
        <f>SUM(G152:G153)</f>
        <v>11.677064649999998</v>
      </c>
      <c r="I152" s="39"/>
      <c r="J152" s="152">
        <v>0</v>
      </c>
    </row>
    <row r="153" spans="1:10" ht="15.75" hidden="1" thickBot="1" x14ac:dyDescent="0.3">
      <c r="A153" s="176"/>
      <c r="B153" s="174"/>
      <c r="C153" s="35" t="s">
        <v>584</v>
      </c>
      <c r="D153" s="35" t="s">
        <v>583</v>
      </c>
      <c r="E153" s="36">
        <v>0.3448</v>
      </c>
      <c r="F153" s="30">
        <v>20.225499999999997</v>
      </c>
      <c r="G153" s="33">
        <f>IF(ISNUMBER(F153),E153*F153,"")</f>
        <v>6.9737523999999986</v>
      </c>
      <c r="H153" s="43"/>
      <c r="I153" s="39"/>
      <c r="J153" s="152">
        <v>0</v>
      </c>
    </row>
    <row r="154" spans="1:10" ht="15.75" hidden="1" thickBot="1" x14ac:dyDescent="0.3">
      <c r="A154" s="177"/>
      <c r="B154" s="175"/>
      <c r="C154" s="35"/>
      <c r="D154" s="35"/>
      <c r="E154" s="36"/>
      <c r="F154" s="30" t="s">
        <v>416</v>
      </c>
      <c r="G154" s="30" t="str">
        <f>IF(ISNUMBER(F154),E154*F154,"")</f>
        <v/>
      </c>
      <c r="H154" s="34"/>
      <c r="I154" s="30"/>
      <c r="J154" s="152">
        <v>0</v>
      </c>
    </row>
    <row r="155" spans="1:10" ht="15.75" hidden="1" thickBot="1" x14ac:dyDescent="0.3">
      <c r="A155" s="170" t="s">
        <v>45</v>
      </c>
      <c r="B155" s="173" t="str">
        <f>INDEX(Orçamentária!A:B,MATCH(Composições!A155,Orçamentária!A:A,0),2)</f>
        <v>Remoção de luminária</v>
      </c>
      <c r="C155" s="40"/>
      <c r="D155" s="25" t="s">
        <v>16</v>
      </c>
      <c r="E155" s="26"/>
      <c r="F155" s="41" t="s">
        <v>416</v>
      </c>
      <c r="G155" s="27" t="str">
        <f>IF(ISNUMBER(F155),E155*F155,"")</f>
        <v/>
      </c>
      <c r="H155" s="28"/>
      <c r="I155" s="29"/>
      <c r="J155" s="152">
        <v>0</v>
      </c>
    </row>
    <row r="156" spans="1:10" ht="15.75" hidden="1" thickBot="1" x14ac:dyDescent="0.3">
      <c r="A156" s="171"/>
      <c r="B156" s="174"/>
      <c r="C156" s="31"/>
      <c r="D156" s="31"/>
      <c r="E156" s="32"/>
      <c r="F156" s="42" t="s">
        <v>416</v>
      </c>
      <c r="G156" s="30" t="str">
        <f>IF(ISNUMBER(F156),E156*F156,"")</f>
        <v/>
      </c>
      <c r="H156" s="34"/>
      <c r="I156" s="30"/>
      <c r="J156" s="152">
        <v>0</v>
      </c>
    </row>
    <row r="157" spans="1:10" ht="15.75" hidden="1" thickBot="1" x14ac:dyDescent="0.3">
      <c r="A157" s="171"/>
      <c r="B157" s="174"/>
      <c r="C157" s="35" t="s">
        <v>1018</v>
      </c>
      <c r="D157" s="35" t="s">
        <v>583</v>
      </c>
      <c r="E157" s="36">
        <f>0.0183*5</f>
        <v>9.1499999999999998E-2</v>
      </c>
      <c r="F157" s="30">
        <v>27.835000000000001</v>
      </c>
      <c r="G157" s="33">
        <f>IF(ISNUMBER(F157),E157*F157,"")</f>
        <v>2.5469024999999998</v>
      </c>
      <c r="H157" s="38">
        <f>SUM(G157:G158)</f>
        <v>6.1773797499999992</v>
      </c>
      <c r="I157" s="39"/>
      <c r="J157" s="152">
        <v>0</v>
      </c>
    </row>
    <row r="158" spans="1:10" ht="15.75" hidden="1" thickBot="1" x14ac:dyDescent="0.3">
      <c r="A158" s="171"/>
      <c r="B158" s="174"/>
      <c r="C158" s="35" t="s">
        <v>584</v>
      </c>
      <c r="D158" s="35" t="s">
        <v>583</v>
      </c>
      <c r="E158" s="36">
        <f>0.0359*5</f>
        <v>0.17949999999999999</v>
      </c>
      <c r="F158" s="30">
        <v>20.225499999999997</v>
      </c>
      <c r="G158" s="33">
        <f>IF(ISNUMBER(F158),E158*F158,"")</f>
        <v>3.6304772499999993</v>
      </c>
      <c r="H158" s="44"/>
      <c r="I158" s="45"/>
      <c r="J158" s="152">
        <v>0</v>
      </c>
    </row>
    <row r="159" spans="1:10" ht="15.75" hidden="1" thickBot="1" x14ac:dyDescent="0.3">
      <c r="A159" s="171"/>
      <c r="B159" s="174"/>
      <c r="C159" s="35"/>
      <c r="D159" s="35"/>
      <c r="E159" s="36"/>
      <c r="F159" s="30" t="s">
        <v>416</v>
      </c>
      <c r="G159" s="30" t="str">
        <f>IF(ISNUMBER(F159),E159*F159,"")</f>
        <v/>
      </c>
      <c r="H159" s="34"/>
      <c r="I159" s="30"/>
      <c r="J159" s="152">
        <v>0</v>
      </c>
    </row>
    <row r="160" spans="1:10" ht="15.75" hidden="1" thickBot="1" x14ac:dyDescent="0.3">
      <c r="A160" s="171"/>
      <c r="B160" s="174"/>
      <c r="C160" s="47" t="s">
        <v>46</v>
      </c>
      <c r="D160" s="35"/>
      <c r="E160" s="36"/>
      <c r="F160" s="30" t="s">
        <v>416</v>
      </c>
      <c r="G160" s="30" t="str">
        <f>IF(ISNUMBER(F160),E160*F160,"")</f>
        <v/>
      </c>
      <c r="H160" s="34"/>
      <c r="I160" s="30"/>
      <c r="J160" s="152">
        <v>0</v>
      </c>
    </row>
    <row r="161" spans="1:10" ht="15.75" hidden="1" thickBot="1" x14ac:dyDescent="0.3">
      <c r="A161" s="172"/>
      <c r="B161" s="175"/>
      <c r="C161" s="35"/>
      <c r="D161" s="35"/>
      <c r="E161" s="36"/>
      <c r="F161" s="30" t="s">
        <v>416</v>
      </c>
      <c r="G161" s="30" t="str">
        <f>IF(ISNUMBER(F161),E161*F161,"")</f>
        <v/>
      </c>
      <c r="H161" s="34"/>
      <c r="I161" s="30"/>
      <c r="J161" s="152">
        <v>0</v>
      </c>
    </row>
    <row r="162" spans="1:10" ht="15.75" hidden="1" thickBot="1" x14ac:dyDescent="0.3">
      <c r="A162" s="170" t="s">
        <v>47</v>
      </c>
      <c r="B162" s="173" t="str">
        <f>INDEX(Orçamentária!A:B,MATCH(Composições!A162,Orçamentária!A:A,0),2)</f>
        <v>Remoção de metais e acessórios</v>
      </c>
      <c r="C162" s="40"/>
      <c r="D162" s="25" t="s">
        <v>16</v>
      </c>
      <c r="E162" s="26"/>
      <c r="F162" s="41" t="s">
        <v>416</v>
      </c>
      <c r="G162" s="27" t="str">
        <f>IF(ISNUMBER(F162),E162*F162,"")</f>
        <v/>
      </c>
      <c r="H162" s="28"/>
      <c r="I162" s="29"/>
      <c r="J162" s="152">
        <v>0</v>
      </c>
    </row>
    <row r="163" spans="1:10" ht="15.75" hidden="1" thickBot="1" x14ac:dyDescent="0.3">
      <c r="A163" s="176"/>
      <c r="B163" s="174"/>
      <c r="C163" s="31"/>
      <c r="D163" s="31"/>
      <c r="E163" s="32"/>
      <c r="F163" s="42" t="s">
        <v>416</v>
      </c>
      <c r="G163" s="30" t="str">
        <f>IF(ISNUMBER(F163),E163*F163,"")</f>
        <v/>
      </c>
      <c r="H163" s="34"/>
      <c r="I163" s="30"/>
      <c r="J163" s="152">
        <v>0</v>
      </c>
    </row>
    <row r="164" spans="1:10" ht="26.25" hidden="1" thickBot="1" x14ac:dyDescent="0.3">
      <c r="A164" s="176"/>
      <c r="B164" s="174"/>
      <c r="C164" s="35" t="s">
        <v>825</v>
      </c>
      <c r="D164" s="35" t="s">
        <v>583</v>
      </c>
      <c r="E164" s="36">
        <v>0.128</v>
      </c>
      <c r="F164" s="30">
        <v>26.799499999999998</v>
      </c>
      <c r="G164" s="33">
        <f>IF(ISNUMBER(F164),E164*F164,"")</f>
        <v>3.4303360000000001</v>
      </c>
      <c r="H164" s="38">
        <f>SUM(G164:G165)</f>
        <v>8.5150266999999999</v>
      </c>
      <c r="I164" s="39"/>
      <c r="J164" s="152">
        <v>0</v>
      </c>
    </row>
    <row r="165" spans="1:10" ht="15.75" hidden="1" thickBot="1" x14ac:dyDescent="0.3">
      <c r="A165" s="176"/>
      <c r="B165" s="174"/>
      <c r="C165" s="35" t="s">
        <v>584</v>
      </c>
      <c r="D165" s="35" t="s">
        <v>583</v>
      </c>
      <c r="E165" s="36">
        <v>0.25140000000000001</v>
      </c>
      <c r="F165" s="30">
        <v>20.225499999999997</v>
      </c>
      <c r="G165" s="33">
        <f>IF(ISNUMBER(F165),E165*F165,"")</f>
        <v>5.0846906999999995</v>
      </c>
      <c r="H165" s="43"/>
      <c r="I165" s="39"/>
      <c r="J165" s="152">
        <v>0</v>
      </c>
    </row>
    <row r="166" spans="1:10" ht="15.75" hidden="1" thickBot="1" x14ac:dyDescent="0.3">
      <c r="A166" s="177"/>
      <c r="B166" s="175"/>
      <c r="C166" s="35"/>
      <c r="D166" s="35"/>
      <c r="E166" s="36"/>
      <c r="F166" s="30" t="s">
        <v>416</v>
      </c>
      <c r="G166" s="30" t="str">
        <f>IF(ISNUMBER(F166),E166*F166,"")</f>
        <v/>
      </c>
      <c r="H166" s="34"/>
      <c r="I166" s="30"/>
      <c r="J166" s="152">
        <v>0</v>
      </c>
    </row>
    <row r="167" spans="1:10" ht="15.75" hidden="1" thickBot="1" x14ac:dyDescent="0.3">
      <c r="A167" s="170" t="s">
        <v>48</v>
      </c>
      <c r="B167" s="173" t="str">
        <f>INDEX(Orçamentária!A:B,MATCH(Composições!A167,Orçamentária!A:A,0),2)</f>
        <v>Remoção de painéis de vidro temperado</v>
      </c>
      <c r="C167" s="40"/>
      <c r="D167" s="25" t="s">
        <v>70</v>
      </c>
      <c r="E167" s="26"/>
      <c r="F167" s="41" t="s">
        <v>416</v>
      </c>
      <c r="G167" s="27" t="str">
        <f>IF(ISNUMBER(F167),E167*F167,"")</f>
        <v/>
      </c>
      <c r="H167" s="28"/>
      <c r="I167" s="29"/>
      <c r="J167" s="152">
        <v>0</v>
      </c>
    </row>
    <row r="168" spans="1:10" ht="15.75" hidden="1" thickBot="1" x14ac:dyDescent="0.3">
      <c r="A168" s="176"/>
      <c r="B168" s="174"/>
      <c r="C168" s="31"/>
      <c r="D168" s="31"/>
      <c r="E168" s="32"/>
      <c r="F168" s="42" t="s">
        <v>416</v>
      </c>
      <c r="G168" s="30" t="str">
        <f>IF(ISNUMBER(F168),E168*F168,"")</f>
        <v/>
      </c>
      <c r="H168" s="34"/>
      <c r="I168" s="30"/>
      <c r="J168" s="152">
        <v>0</v>
      </c>
    </row>
    <row r="169" spans="1:10" ht="15.75" hidden="1" thickBot="1" x14ac:dyDescent="0.3">
      <c r="A169" s="176"/>
      <c r="B169" s="174"/>
      <c r="C169" s="35" t="s">
        <v>584</v>
      </c>
      <c r="D169" s="35" t="s">
        <v>583</v>
      </c>
      <c r="E169" s="36">
        <v>0.33800000000000002</v>
      </c>
      <c r="F169" s="30">
        <v>20.225499999999997</v>
      </c>
      <c r="G169" s="33">
        <f>IF(ISNUMBER(F169),E169*F169,"")</f>
        <v>6.8362189999999989</v>
      </c>
      <c r="H169" s="38">
        <f>SUM(G169:G170)</f>
        <v>15.557446999999996</v>
      </c>
      <c r="I169" s="39"/>
      <c r="J169" s="152">
        <v>0</v>
      </c>
    </row>
    <row r="170" spans="1:10" ht="15.75" hidden="1" thickBot="1" x14ac:dyDescent="0.3">
      <c r="A170" s="176"/>
      <c r="B170" s="174"/>
      <c r="C170" s="35" t="s">
        <v>2909</v>
      </c>
      <c r="D170" s="35" t="s">
        <v>583</v>
      </c>
      <c r="E170" s="36">
        <v>0.34799999999999998</v>
      </c>
      <c r="F170" s="30">
        <v>25.060999999999996</v>
      </c>
      <c r="G170" s="33">
        <f>IF(ISNUMBER(F170),E170*F170,"")</f>
        <v>8.7212279999999982</v>
      </c>
      <c r="H170" s="34"/>
      <c r="I170" s="30"/>
      <c r="J170" s="152">
        <v>0</v>
      </c>
    </row>
    <row r="171" spans="1:10" ht="15.75" hidden="1" thickBot="1" x14ac:dyDescent="0.3">
      <c r="A171" s="177"/>
      <c r="B171" s="175"/>
      <c r="C171" s="35"/>
      <c r="D171" s="35"/>
      <c r="E171" s="36"/>
      <c r="F171" s="30" t="s">
        <v>416</v>
      </c>
      <c r="G171" s="30" t="str">
        <f>IF(ISNUMBER(F171),E171*F171,"")</f>
        <v/>
      </c>
      <c r="H171" s="34"/>
      <c r="I171" s="30"/>
      <c r="J171" s="152">
        <v>0</v>
      </c>
    </row>
    <row r="172" spans="1:10" ht="15.75" hidden="1" thickBot="1" x14ac:dyDescent="0.3">
      <c r="A172" s="170" t="s">
        <v>49</v>
      </c>
      <c r="B172" s="173" t="str">
        <f>INDEX(Orçamentária!A:B,MATCH(Composições!A172,Orçamentária!A:A,0),2)</f>
        <v>Remoção de película</v>
      </c>
      <c r="C172" s="40"/>
      <c r="D172" s="25" t="s">
        <v>70</v>
      </c>
      <c r="E172" s="26"/>
      <c r="F172" s="41" t="s">
        <v>416</v>
      </c>
      <c r="G172" s="27" t="str">
        <f>IF(ISNUMBER(F172),E172*F172,"")</f>
        <v/>
      </c>
      <c r="H172" s="28"/>
      <c r="I172" s="29"/>
      <c r="J172" s="152">
        <v>0</v>
      </c>
    </row>
    <row r="173" spans="1:10" ht="15.75" hidden="1" thickBot="1" x14ac:dyDescent="0.3">
      <c r="A173" s="176"/>
      <c r="B173" s="174"/>
      <c r="C173" s="31"/>
      <c r="D173" s="31"/>
      <c r="E173" s="32"/>
      <c r="F173" s="42" t="s">
        <v>416</v>
      </c>
      <c r="G173" s="30" t="str">
        <f>IF(ISNUMBER(F173),E173*F173,"")</f>
        <v/>
      </c>
      <c r="H173" s="34"/>
      <c r="I173" s="30"/>
      <c r="J173" s="152">
        <v>0</v>
      </c>
    </row>
    <row r="174" spans="1:10" ht="15.75" hidden="1" thickBot="1" x14ac:dyDescent="0.3">
      <c r="A174" s="176"/>
      <c r="B174" s="174"/>
      <c r="C174" s="35" t="s">
        <v>2909</v>
      </c>
      <c r="D174" s="35" t="s">
        <v>583</v>
      </c>
      <c r="E174" s="36">
        <v>0.4</v>
      </c>
      <c r="F174" s="30">
        <v>25.060999999999996</v>
      </c>
      <c r="G174" s="33">
        <f>IF(ISNUMBER(F174),E174*F174,"")</f>
        <v>10.0244</v>
      </c>
      <c r="H174" s="38">
        <f>SUM(G174:G174)</f>
        <v>10.0244</v>
      </c>
      <c r="I174" s="39"/>
      <c r="J174" s="152">
        <v>0</v>
      </c>
    </row>
    <row r="175" spans="1:10" ht="15.75" hidden="1" thickBot="1" x14ac:dyDescent="0.3">
      <c r="A175" s="177"/>
      <c r="B175" s="175"/>
      <c r="C175" s="35"/>
      <c r="D175" s="35"/>
      <c r="E175" s="36"/>
      <c r="F175" s="30" t="s">
        <v>416</v>
      </c>
      <c r="G175" s="30" t="str">
        <f>IF(ISNUMBER(F175),E175*F175,"")</f>
        <v/>
      </c>
      <c r="H175" s="34"/>
      <c r="I175" s="30"/>
      <c r="J175" s="152">
        <v>0</v>
      </c>
    </row>
    <row r="176" spans="1:10" ht="15.75" hidden="1" thickBot="1" x14ac:dyDescent="0.3">
      <c r="A176" s="170" t="s">
        <v>50</v>
      </c>
      <c r="B176" s="173" t="str">
        <f>INDEX(Orçamentária!A:B,MATCH(Composições!A176,Orçamentária!A:A,0),2)</f>
        <v>Remoção de persianas</v>
      </c>
      <c r="C176" s="40"/>
      <c r="D176" s="25" t="s">
        <v>69</v>
      </c>
      <c r="E176" s="26"/>
      <c r="F176" s="41" t="s">
        <v>416</v>
      </c>
      <c r="G176" s="27" t="str">
        <f>IF(ISNUMBER(F176),E176*F176,"")</f>
        <v/>
      </c>
      <c r="H176" s="28"/>
      <c r="I176" s="29"/>
      <c r="J176" s="152">
        <v>0</v>
      </c>
    </row>
    <row r="177" spans="1:10" ht="15.75" hidden="1" thickBot="1" x14ac:dyDescent="0.3">
      <c r="A177" s="176"/>
      <c r="B177" s="174"/>
      <c r="C177" s="31"/>
      <c r="D177" s="31"/>
      <c r="E177" s="32"/>
      <c r="F177" s="42" t="s">
        <v>416</v>
      </c>
      <c r="G177" s="30" t="str">
        <f>IF(ISNUMBER(F177),E177*F177,"")</f>
        <v/>
      </c>
      <c r="H177" s="34"/>
      <c r="I177" s="30"/>
      <c r="J177" s="152">
        <v>0</v>
      </c>
    </row>
    <row r="178" spans="1:10" ht="15.75" hidden="1" thickBot="1" x14ac:dyDescent="0.3">
      <c r="A178" s="176"/>
      <c r="B178" s="174"/>
      <c r="C178" s="35" t="s">
        <v>1233</v>
      </c>
      <c r="D178" s="35" t="s">
        <v>583</v>
      </c>
      <c r="E178" s="36">
        <f>ROUND(1/6,4)</f>
        <v>0.16669999999999999</v>
      </c>
      <c r="F178" s="30">
        <v>21.318000000000001</v>
      </c>
      <c r="G178" s="33">
        <f>IF(ISNUMBER(F178),E178*F178,"")</f>
        <v>3.5537106000000001</v>
      </c>
      <c r="H178" s="38">
        <f>SUM(G178:G178)</f>
        <v>3.5537106000000001</v>
      </c>
      <c r="I178" s="39"/>
      <c r="J178" s="152">
        <v>0</v>
      </c>
    </row>
    <row r="179" spans="1:10" ht="15.75" hidden="1" thickBot="1" x14ac:dyDescent="0.3">
      <c r="A179" s="177"/>
      <c r="B179" s="175"/>
      <c r="C179" s="35"/>
      <c r="D179" s="35"/>
      <c r="E179" s="36"/>
      <c r="F179" s="30" t="s">
        <v>416</v>
      </c>
      <c r="G179" s="30" t="str">
        <f>IF(ISNUMBER(F179),E179*F179,"")</f>
        <v/>
      </c>
      <c r="H179" s="34"/>
      <c r="I179" s="30"/>
      <c r="J179" s="152">
        <v>0</v>
      </c>
    </row>
    <row r="180" spans="1:10" ht="15.75" hidden="1" thickBot="1" x14ac:dyDescent="0.3">
      <c r="A180" s="170" t="s">
        <v>51</v>
      </c>
      <c r="B180" s="173" t="str">
        <f>INDEX(Orçamentária!A:B,MATCH(Composições!A180,Orçamentária!A:A,0),2)</f>
        <v>Remoção de pintura ou textura</v>
      </c>
      <c r="C180" s="40"/>
      <c r="D180" s="25" t="s">
        <v>70</v>
      </c>
      <c r="E180" s="26"/>
      <c r="F180" s="41" t="s">
        <v>416</v>
      </c>
      <c r="G180" s="27" t="str">
        <f>IF(ISNUMBER(F180),E180*F180,"")</f>
        <v/>
      </c>
      <c r="H180" s="28"/>
      <c r="I180" s="29"/>
      <c r="J180" s="152">
        <v>0</v>
      </c>
    </row>
    <row r="181" spans="1:10" ht="15.75" hidden="1" thickBot="1" x14ac:dyDescent="0.3">
      <c r="A181" s="176"/>
      <c r="B181" s="174"/>
      <c r="C181" s="31"/>
      <c r="D181" s="31"/>
      <c r="E181" s="32"/>
      <c r="F181" s="42" t="s">
        <v>416</v>
      </c>
      <c r="G181" s="30" t="str">
        <f>IF(ISNUMBER(F181),E181*F181,"")</f>
        <v/>
      </c>
      <c r="H181" s="34"/>
      <c r="I181" s="30"/>
      <c r="J181" s="152">
        <v>0</v>
      </c>
    </row>
    <row r="182" spans="1:10" ht="15.75" hidden="1" thickBot="1" x14ac:dyDescent="0.3">
      <c r="A182" s="176"/>
      <c r="B182" s="174"/>
      <c r="C182" s="35" t="s">
        <v>584</v>
      </c>
      <c r="D182" s="35" t="s">
        <v>583</v>
      </c>
      <c r="E182" s="36">
        <v>0.4</v>
      </c>
      <c r="F182" s="30">
        <v>20.225499999999997</v>
      </c>
      <c r="G182" s="33">
        <f>IF(ISNUMBER(F182),E182*F182,"")</f>
        <v>8.0901999999999994</v>
      </c>
      <c r="H182" s="38">
        <f>SUM(G182:G182)</f>
        <v>8.0901999999999994</v>
      </c>
      <c r="I182" s="39"/>
      <c r="J182" s="152">
        <v>0</v>
      </c>
    </row>
    <row r="183" spans="1:10" ht="15.75" hidden="1" thickBot="1" x14ac:dyDescent="0.3">
      <c r="A183" s="177"/>
      <c r="B183" s="175"/>
      <c r="C183" s="35"/>
      <c r="D183" s="35"/>
      <c r="E183" s="36"/>
      <c r="F183" s="30" t="s">
        <v>416</v>
      </c>
      <c r="G183" s="30" t="str">
        <f>IF(ISNUMBER(F183),E183*F183,"")</f>
        <v/>
      </c>
      <c r="H183" s="34"/>
      <c r="I183" s="30"/>
      <c r="J183" s="152">
        <v>0</v>
      </c>
    </row>
    <row r="184" spans="1:10" ht="15.75" hidden="1" thickBot="1" x14ac:dyDescent="0.3">
      <c r="A184" s="170" t="s">
        <v>52</v>
      </c>
      <c r="B184" s="173" t="str">
        <f>INDEX(Orçamentária!A:B,MATCH(Composições!A184,Orçamentária!A:A,0),2)</f>
        <v>Remoção de placas de forro</v>
      </c>
      <c r="C184" s="40"/>
      <c r="D184" s="25" t="s">
        <v>70</v>
      </c>
      <c r="E184" s="26"/>
      <c r="F184" s="41" t="s">
        <v>416</v>
      </c>
      <c r="G184" s="27" t="str">
        <f>IF(ISNUMBER(F184),E184*F184,"")</f>
        <v/>
      </c>
      <c r="H184" s="28"/>
      <c r="I184" s="29"/>
      <c r="J184" s="152">
        <v>0</v>
      </c>
    </row>
    <row r="185" spans="1:10" ht="15.75" hidden="1" thickBot="1" x14ac:dyDescent="0.3">
      <c r="A185" s="176"/>
      <c r="B185" s="174"/>
      <c r="C185" s="31"/>
      <c r="D185" s="31"/>
      <c r="E185" s="32"/>
      <c r="F185" s="42" t="s">
        <v>416</v>
      </c>
      <c r="G185" s="30" t="str">
        <f>IF(ISNUMBER(F185),E185*F185,"")</f>
        <v/>
      </c>
      <c r="H185" s="34"/>
      <c r="I185" s="30"/>
      <c r="J185" s="152">
        <v>0</v>
      </c>
    </row>
    <row r="186" spans="1:10" ht="26.25" hidden="1" thickBot="1" x14ac:dyDescent="0.3">
      <c r="A186" s="176"/>
      <c r="B186" s="174"/>
      <c r="C186" s="35" t="s">
        <v>854</v>
      </c>
      <c r="D186" s="35" t="s">
        <v>583</v>
      </c>
      <c r="E186" s="36">
        <f>0.0258*3</f>
        <v>7.7399999999999997E-2</v>
      </c>
      <c r="F186" s="30">
        <v>20.719499999999996</v>
      </c>
      <c r="G186" s="33">
        <f>IF(ISNUMBER(F186),E186*F186,"")</f>
        <v>1.6036892999999997</v>
      </c>
      <c r="H186" s="38">
        <f>SUM(G186:G187)</f>
        <v>4.6799878499999998</v>
      </c>
      <c r="I186" s="39"/>
      <c r="J186" s="152">
        <v>0</v>
      </c>
    </row>
    <row r="187" spans="1:10" ht="15.75" hidden="1" thickBot="1" x14ac:dyDescent="0.3">
      <c r="A187" s="176"/>
      <c r="B187" s="174"/>
      <c r="C187" s="35" t="s">
        <v>584</v>
      </c>
      <c r="D187" s="35" t="s">
        <v>583</v>
      </c>
      <c r="E187" s="36">
        <f>0.0507*3</f>
        <v>0.15210000000000001</v>
      </c>
      <c r="F187" s="30">
        <v>20.225499999999997</v>
      </c>
      <c r="G187" s="33">
        <f>IF(ISNUMBER(F187),E187*F187,"")</f>
        <v>3.0762985499999997</v>
      </c>
      <c r="H187" s="34"/>
      <c r="I187" s="30"/>
      <c r="J187" s="152">
        <v>0</v>
      </c>
    </row>
    <row r="188" spans="1:10" ht="15.75" hidden="1" thickBot="1" x14ac:dyDescent="0.3">
      <c r="A188" s="176"/>
      <c r="B188" s="174"/>
      <c r="C188" s="35"/>
      <c r="D188" s="35"/>
      <c r="E188" s="36"/>
      <c r="F188" s="30" t="s">
        <v>416</v>
      </c>
      <c r="G188" s="33" t="str">
        <f>IF(ISNUMBER(F188),E188*F188,"")</f>
        <v/>
      </c>
      <c r="H188" s="34"/>
      <c r="I188" s="30"/>
      <c r="J188" s="152">
        <v>0</v>
      </c>
    </row>
    <row r="189" spans="1:10" ht="15.75" hidden="1" thickBot="1" x14ac:dyDescent="0.3">
      <c r="A189" s="176"/>
      <c r="B189" s="174"/>
      <c r="C189" s="47" t="s">
        <v>53</v>
      </c>
      <c r="D189" s="35"/>
      <c r="E189" s="36"/>
      <c r="F189" s="30" t="s">
        <v>416</v>
      </c>
      <c r="G189" s="33" t="str">
        <f>IF(ISNUMBER(F189),E189*F189,"")</f>
        <v/>
      </c>
      <c r="H189" s="34"/>
      <c r="I189" s="30"/>
      <c r="J189" s="152">
        <v>0</v>
      </c>
    </row>
    <row r="190" spans="1:10" ht="15.75" hidden="1" thickBot="1" x14ac:dyDescent="0.3">
      <c r="A190" s="177"/>
      <c r="B190" s="175"/>
      <c r="C190" s="35"/>
      <c r="D190" s="35"/>
      <c r="E190" s="36"/>
      <c r="F190" s="30" t="s">
        <v>416</v>
      </c>
      <c r="G190" s="30" t="str">
        <f>IF(ISNUMBER(F190),E190*F190,"")</f>
        <v/>
      </c>
      <c r="H190" s="34"/>
      <c r="I190" s="30"/>
      <c r="J190" s="152">
        <v>0</v>
      </c>
    </row>
    <row r="191" spans="1:10" ht="15.75" hidden="1" thickBot="1" x14ac:dyDescent="0.3">
      <c r="A191" s="170" t="s">
        <v>54</v>
      </c>
      <c r="B191" s="173" t="str">
        <f>INDEX(Orçamentária!A:B,MATCH(Composições!A191,Orçamentária!A:A,0),2)</f>
        <v>Remoção de quadros de elétricos ou de telecomunicações</v>
      </c>
      <c r="C191" s="40"/>
      <c r="D191" s="25" t="s">
        <v>16</v>
      </c>
      <c r="E191" s="26"/>
      <c r="F191" s="41" t="s">
        <v>416</v>
      </c>
      <c r="G191" s="27" t="str">
        <f>IF(ISNUMBER(F191),E191*F191,"")</f>
        <v/>
      </c>
      <c r="H191" s="28"/>
      <c r="I191" s="29"/>
      <c r="J191" s="152">
        <v>0</v>
      </c>
    </row>
    <row r="192" spans="1:10" ht="15.75" hidden="1" thickBot="1" x14ac:dyDescent="0.3">
      <c r="A192" s="176"/>
      <c r="B192" s="174"/>
      <c r="C192" s="31"/>
      <c r="D192" s="31"/>
      <c r="E192" s="32"/>
      <c r="F192" s="42" t="s">
        <v>416</v>
      </c>
      <c r="G192" s="30" t="str">
        <f>IF(ISNUMBER(F192),E192*F192,"")</f>
        <v/>
      </c>
      <c r="H192" s="34"/>
      <c r="I192" s="30"/>
      <c r="J192" s="152">
        <v>0</v>
      </c>
    </row>
    <row r="193" spans="1:10" ht="15.75" hidden="1" thickBot="1" x14ac:dyDescent="0.3">
      <c r="A193" s="176"/>
      <c r="B193" s="174"/>
      <c r="C193" s="35" t="s">
        <v>1017</v>
      </c>
      <c r="D193" s="35" t="s">
        <v>583</v>
      </c>
      <c r="E193" s="36">
        <v>0.5</v>
      </c>
      <c r="F193" s="30">
        <v>21.584</v>
      </c>
      <c r="G193" s="33">
        <f>IF(ISNUMBER(F193),E193*F193,"")</f>
        <v>10.792</v>
      </c>
      <c r="H193" s="38">
        <f>SUM(G193:G196)</f>
        <v>72.095499999999987</v>
      </c>
      <c r="I193" s="39"/>
      <c r="J193" s="152">
        <v>0</v>
      </c>
    </row>
    <row r="194" spans="1:10" ht="15.75" hidden="1" thickBot="1" x14ac:dyDescent="0.3">
      <c r="A194" s="176"/>
      <c r="B194" s="174"/>
      <c r="C194" s="35" t="s">
        <v>1018</v>
      </c>
      <c r="D194" s="35" t="s">
        <v>583</v>
      </c>
      <c r="E194" s="36">
        <v>0.5</v>
      </c>
      <c r="F194" s="30">
        <v>27.835000000000001</v>
      </c>
      <c r="G194" s="33">
        <f>IF(ISNUMBER(F194),E194*F194,"")</f>
        <v>13.9175</v>
      </c>
      <c r="H194" s="34"/>
      <c r="I194" s="30"/>
      <c r="J194" s="152">
        <v>0</v>
      </c>
    </row>
    <row r="195" spans="1:10" ht="15.75" hidden="1" thickBot="1" x14ac:dyDescent="0.3">
      <c r="A195" s="176"/>
      <c r="B195" s="174"/>
      <c r="C195" s="35" t="s">
        <v>591</v>
      </c>
      <c r="D195" s="35" t="s">
        <v>583</v>
      </c>
      <c r="E195" s="36">
        <v>1</v>
      </c>
      <c r="F195" s="30">
        <v>27.160499999999999</v>
      </c>
      <c r="G195" s="33">
        <f>IF(ISNUMBER(F195),E195*F195,"")</f>
        <v>27.160499999999999</v>
      </c>
      <c r="H195" s="34"/>
      <c r="I195" s="30"/>
      <c r="J195" s="152">
        <v>0</v>
      </c>
    </row>
    <row r="196" spans="1:10" ht="15.75" hidden="1" thickBot="1" x14ac:dyDescent="0.3">
      <c r="A196" s="176"/>
      <c r="B196" s="174"/>
      <c r="C196" s="35" t="s">
        <v>584</v>
      </c>
      <c r="D196" s="35" t="s">
        <v>583</v>
      </c>
      <c r="E196" s="36">
        <v>1</v>
      </c>
      <c r="F196" s="30">
        <v>20.225499999999997</v>
      </c>
      <c r="G196" s="33">
        <f>IF(ISNUMBER(F196),E196*F196,"")</f>
        <v>20.225499999999997</v>
      </c>
      <c r="H196" s="34"/>
      <c r="I196" s="30"/>
      <c r="J196" s="152">
        <v>0</v>
      </c>
    </row>
    <row r="197" spans="1:10" ht="15.75" hidden="1" thickBot="1" x14ac:dyDescent="0.3">
      <c r="A197" s="177"/>
      <c r="B197" s="175"/>
      <c r="C197" s="35"/>
      <c r="D197" s="35"/>
      <c r="E197" s="36"/>
      <c r="F197" s="30" t="s">
        <v>416</v>
      </c>
      <c r="G197" s="30" t="str">
        <f>IF(ISNUMBER(F197),E197*F197,"")</f>
        <v/>
      </c>
      <c r="H197" s="34"/>
      <c r="I197" s="30"/>
      <c r="J197" s="152">
        <v>0</v>
      </c>
    </row>
    <row r="198" spans="1:10" ht="15.75" hidden="1" thickBot="1" x14ac:dyDescent="0.3">
      <c r="A198" s="170" t="s">
        <v>55</v>
      </c>
      <c r="B198" s="173" t="str">
        <f>INDEX(Orçamentária!A:B,MATCH(Composições!A198,Orçamentária!A:A,0),2)</f>
        <v>Remoção de revestimento acústico</v>
      </c>
      <c r="C198" s="40"/>
      <c r="D198" s="25" t="s">
        <v>70</v>
      </c>
      <c r="E198" s="26"/>
      <c r="F198" s="41" t="s">
        <v>416</v>
      </c>
      <c r="G198" s="27" t="str">
        <f>IF(ISNUMBER(F198),E198*F198,"")</f>
        <v/>
      </c>
      <c r="H198" s="28"/>
      <c r="I198" s="29"/>
      <c r="J198" s="152">
        <v>0</v>
      </c>
    </row>
    <row r="199" spans="1:10" ht="15.75" hidden="1" thickBot="1" x14ac:dyDescent="0.3">
      <c r="A199" s="176"/>
      <c r="B199" s="174"/>
      <c r="C199" s="31"/>
      <c r="D199" s="31"/>
      <c r="E199" s="32"/>
      <c r="F199" s="42" t="s">
        <v>416</v>
      </c>
      <c r="G199" s="30" t="str">
        <f>IF(ISNUMBER(F199),E199*F199,"")</f>
        <v/>
      </c>
      <c r="H199" s="34"/>
      <c r="I199" s="30"/>
      <c r="J199" s="152">
        <v>0</v>
      </c>
    </row>
    <row r="200" spans="1:10" ht="15.75" hidden="1" thickBot="1" x14ac:dyDescent="0.3">
      <c r="A200" s="176"/>
      <c r="B200" s="174"/>
      <c r="C200" s="35" t="s">
        <v>584</v>
      </c>
      <c r="D200" s="35" t="s">
        <v>583</v>
      </c>
      <c r="E200" s="36">
        <v>0.2</v>
      </c>
      <c r="F200" s="30">
        <v>20.225499999999997</v>
      </c>
      <c r="G200" s="33">
        <f>IF(ISNUMBER(F200),E200*F200,"")</f>
        <v>4.0450999999999997</v>
      </c>
      <c r="H200" s="38">
        <f>SUM(G200:G200)</f>
        <v>4.0450999999999997</v>
      </c>
      <c r="I200" s="39"/>
      <c r="J200" s="152">
        <v>0</v>
      </c>
    </row>
    <row r="201" spans="1:10" ht="15.75" hidden="1" thickBot="1" x14ac:dyDescent="0.3">
      <c r="A201" s="177"/>
      <c r="B201" s="175"/>
      <c r="C201" s="35"/>
      <c r="D201" s="35"/>
      <c r="E201" s="36"/>
      <c r="F201" s="30" t="s">
        <v>416</v>
      </c>
      <c r="G201" s="30" t="str">
        <f>IF(ISNUMBER(F201),E201*F201,"")</f>
        <v/>
      </c>
      <c r="H201" s="34"/>
      <c r="I201" s="30"/>
      <c r="J201" s="152">
        <v>0</v>
      </c>
    </row>
    <row r="202" spans="1:10" ht="15.75" hidden="1" thickBot="1" x14ac:dyDescent="0.3">
      <c r="A202" s="170" t="s">
        <v>56</v>
      </c>
      <c r="B202" s="173" t="str">
        <f>INDEX(Orçamentária!A:B,MATCH(Composições!A202,Orçamentária!A:A,0),2)</f>
        <v>Remoção de rodapé/rodabanca de mármore ou granito</v>
      </c>
      <c r="C202" s="40"/>
      <c r="D202" s="25" t="s">
        <v>69</v>
      </c>
      <c r="E202" s="26"/>
      <c r="F202" s="41" t="s">
        <v>416</v>
      </c>
      <c r="G202" s="27" t="str">
        <f>IF(ISNUMBER(F202),E202*F202,"")</f>
        <v/>
      </c>
      <c r="H202" s="28"/>
      <c r="I202" s="29"/>
      <c r="J202" s="152">
        <v>0</v>
      </c>
    </row>
    <row r="203" spans="1:10" ht="15.75" hidden="1" thickBot="1" x14ac:dyDescent="0.3">
      <c r="A203" s="176"/>
      <c r="B203" s="174"/>
      <c r="C203" s="31"/>
      <c r="D203" s="31"/>
      <c r="E203" s="32"/>
      <c r="F203" s="42" t="s">
        <v>416</v>
      </c>
      <c r="G203" s="30" t="str">
        <f>IF(ISNUMBER(F203),E203*F203,"")</f>
        <v/>
      </c>
      <c r="H203" s="34"/>
      <c r="I203" s="30"/>
      <c r="J203" s="152">
        <v>0</v>
      </c>
    </row>
    <row r="204" spans="1:10" ht="15.75" hidden="1" thickBot="1" x14ac:dyDescent="0.3">
      <c r="A204" s="176"/>
      <c r="B204" s="174"/>
      <c r="C204" s="35" t="s">
        <v>584</v>
      </c>
      <c r="D204" s="35" t="s">
        <v>583</v>
      </c>
      <c r="E204" s="36">
        <f>0.437*0.2</f>
        <v>8.7400000000000005E-2</v>
      </c>
      <c r="F204" s="30">
        <v>20.225499999999997</v>
      </c>
      <c r="G204" s="33">
        <f>IF(ISNUMBER(F204),E204*F204,"")</f>
        <v>1.7677086999999998</v>
      </c>
      <c r="H204" s="38">
        <f>SUM(G204:G204)</f>
        <v>1.7677086999999998</v>
      </c>
      <c r="I204" s="39"/>
      <c r="J204" s="152">
        <v>0</v>
      </c>
    </row>
    <row r="205" spans="1:10" ht="15.75" hidden="1" thickBot="1" x14ac:dyDescent="0.3">
      <c r="A205" s="176"/>
      <c r="B205" s="174"/>
      <c r="C205" s="35"/>
      <c r="D205" s="35"/>
      <c r="E205" s="36"/>
      <c r="F205" s="30" t="s">
        <v>416</v>
      </c>
      <c r="G205" s="33" t="str">
        <f>IF(ISNUMBER(F205),E205*F205,"")</f>
        <v/>
      </c>
      <c r="H205" s="34"/>
      <c r="I205" s="30"/>
      <c r="J205" s="152">
        <v>0</v>
      </c>
    </row>
    <row r="206" spans="1:10" ht="15.75" hidden="1" thickBot="1" x14ac:dyDescent="0.3">
      <c r="A206" s="170" t="s">
        <v>57</v>
      </c>
      <c r="B206" s="173" t="str">
        <f>INDEX(Orçamentária!A:B,MATCH(Composições!A206,Orçamentária!A:A,0),2)</f>
        <v>Remoção de rodapés de madeira</v>
      </c>
      <c r="C206" s="40"/>
      <c r="D206" s="25" t="s">
        <v>70</v>
      </c>
      <c r="E206" s="26"/>
      <c r="F206" s="41" t="s">
        <v>416</v>
      </c>
      <c r="G206" s="27" t="str">
        <f>IF(ISNUMBER(F206),E206*F206,"")</f>
        <v/>
      </c>
      <c r="H206" s="28"/>
      <c r="I206" s="29"/>
      <c r="J206" s="152">
        <v>0</v>
      </c>
    </row>
    <row r="207" spans="1:10" ht="15.75" hidden="1" thickBot="1" x14ac:dyDescent="0.3">
      <c r="A207" s="176"/>
      <c r="B207" s="174"/>
      <c r="C207" s="31"/>
      <c r="D207" s="31"/>
      <c r="E207" s="32"/>
      <c r="F207" s="42" t="s">
        <v>416</v>
      </c>
      <c r="G207" s="30" t="str">
        <f>IF(ISNUMBER(F207),E207*F207,"")</f>
        <v/>
      </c>
      <c r="H207" s="34"/>
      <c r="I207" s="30"/>
      <c r="J207" s="152">
        <v>0</v>
      </c>
    </row>
    <row r="208" spans="1:10" ht="15.75" hidden="1" thickBot="1" x14ac:dyDescent="0.3">
      <c r="A208" s="176"/>
      <c r="B208" s="174"/>
      <c r="C208" s="35" t="s">
        <v>862</v>
      </c>
      <c r="D208" s="35" t="s">
        <v>583</v>
      </c>
      <c r="E208" s="36">
        <v>0.25</v>
      </c>
      <c r="F208" s="30">
        <v>26.799499999999998</v>
      </c>
      <c r="G208" s="30">
        <f>IF(ISNUMBER(F208),E208*F208,"")</f>
        <v>6.6998749999999996</v>
      </c>
      <c r="H208" s="38">
        <f>SUM(G208:G209)</f>
        <v>7.2055124999999993</v>
      </c>
      <c r="I208" s="39"/>
      <c r="J208" s="152">
        <v>0</v>
      </c>
    </row>
    <row r="209" spans="1:10" ht="15.75" hidden="1" thickBot="1" x14ac:dyDescent="0.3">
      <c r="A209" s="176"/>
      <c r="B209" s="174"/>
      <c r="C209" s="35" t="s">
        <v>584</v>
      </c>
      <c r="D209" s="35" t="s">
        <v>583</v>
      </c>
      <c r="E209" s="36">
        <v>2.5000000000000001E-2</v>
      </c>
      <c r="F209" s="30">
        <v>20.225499999999997</v>
      </c>
      <c r="G209" s="33">
        <f>IF(ISNUMBER(F209),E209*F209,"")</f>
        <v>0.50563749999999996</v>
      </c>
      <c r="H209" s="34"/>
      <c r="I209" s="30"/>
      <c r="J209" s="152">
        <v>0</v>
      </c>
    </row>
    <row r="210" spans="1:10" ht="15.75" hidden="1" thickBot="1" x14ac:dyDescent="0.3">
      <c r="A210" s="177"/>
      <c r="B210" s="175"/>
      <c r="C210" s="35"/>
      <c r="D210" s="35"/>
      <c r="E210" s="36"/>
      <c r="F210" s="30" t="s">
        <v>416</v>
      </c>
      <c r="G210" s="30" t="str">
        <f>IF(ISNUMBER(F210),E210*F210,"")</f>
        <v/>
      </c>
      <c r="H210" s="34"/>
      <c r="I210" s="30"/>
      <c r="J210" s="152">
        <v>0</v>
      </c>
    </row>
    <row r="211" spans="1:10" ht="15.75" hidden="1" thickBot="1" x14ac:dyDescent="0.3">
      <c r="A211" s="170" t="s">
        <v>58</v>
      </c>
      <c r="B211" s="173" t="str">
        <f>INDEX(Orçamentária!A:B,MATCH(Composições!A211,Orçamentária!A:A,0),2)</f>
        <v>Remoção de soleira de mármore ou granito</v>
      </c>
      <c r="C211" s="40"/>
      <c r="D211" s="25" t="s">
        <v>69</v>
      </c>
      <c r="E211" s="26"/>
      <c r="F211" s="41" t="s">
        <v>416</v>
      </c>
      <c r="G211" s="27" t="str">
        <f>IF(ISNUMBER(F211),E211*F211,"")</f>
        <v/>
      </c>
      <c r="H211" s="28"/>
      <c r="I211" s="29"/>
      <c r="J211" s="152">
        <v>0</v>
      </c>
    </row>
    <row r="212" spans="1:10" ht="15.75" hidden="1" thickBot="1" x14ac:dyDescent="0.3">
      <c r="A212" s="176"/>
      <c r="B212" s="174"/>
      <c r="C212" s="31"/>
      <c r="D212" s="31"/>
      <c r="E212" s="32"/>
      <c r="F212" s="42" t="s">
        <v>416</v>
      </c>
      <c r="G212" s="30" t="str">
        <f>IF(ISNUMBER(F212),E212*F212,"")</f>
        <v/>
      </c>
      <c r="H212" s="34"/>
      <c r="I212" s="30"/>
      <c r="J212" s="152">
        <v>0</v>
      </c>
    </row>
    <row r="213" spans="1:10" ht="15.75" hidden="1" thickBot="1" x14ac:dyDescent="0.3">
      <c r="A213" s="176"/>
      <c r="B213" s="174"/>
      <c r="C213" s="35" t="s">
        <v>584</v>
      </c>
      <c r="D213" s="35" t="s">
        <v>583</v>
      </c>
      <c r="E213" s="36">
        <v>0.55000000000000004</v>
      </c>
      <c r="F213" s="30">
        <v>20.225499999999997</v>
      </c>
      <c r="G213" s="33">
        <f>IF(ISNUMBER(F213),E213*F213,"")</f>
        <v>11.124025</v>
      </c>
      <c r="H213" s="38">
        <f>SUM(G213:G213)</f>
        <v>11.124025</v>
      </c>
      <c r="I213" s="39"/>
      <c r="J213" s="152">
        <v>0</v>
      </c>
    </row>
    <row r="214" spans="1:10" ht="15.75" hidden="1" thickBot="1" x14ac:dyDescent="0.3">
      <c r="A214" s="177"/>
      <c r="B214" s="175"/>
      <c r="C214" s="35"/>
      <c r="D214" s="35"/>
      <c r="E214" s="36"/>
      <c r="F214" s="30" t="s">
        <v>416</v>
      </c>
      <c r="G214" s="30" t="str">
        <f>IF(ISNUMBER(F214),E214*F214,"")</f>
        <v/>
      </c>
      <c r="H214" s="34"/>
      <c r="I214" s="30"/>
      <c r="J214" s="152">
        <v>0</v>
      </c>
    </row>
    <row r="215" spans="1:10" ht="15.75" thickBot="1" x14ac:dyDescent="0.3">
      <c r="A215" s="170" t="s">
        <v>59</v>
      </c>
      <c r="B215" s="173" t="str">
        <f>INDEX(Orçamentária!A:B,MATCH(Composições!A215,Orçamentária!A:A,0),2)</f>
        <v>Remoção de split/fancolete/ACJ (equipamento unitário)</v>
      </c>
      <c r="C215" s="40"/>
      <c r="D215" s="25" t="s">
        <v>16</v>
      </c>
      <c r="E215" s="26"/>
      <c r="F215" s="41" t="s">
        <v>416</v>
      </c>
      <c r="G215" s="27" t="str">
        <f>IF(ISNUMBER(F215),E215*F215,"")</f>
        <v/>
      </c>
      <c r="H215" s="28"/>
      <c r="I215" s="29"/>
      <c r="J215" s="152">
        <v>21</v>
      </c>
    </row>
    <row r="216" spans="1:10" x14ac:dyDescent="0.25">
      <c r="A216" s="176"/>
      <c r="B216" s="174"/>
      <c r="C216" s="31"/>
      <c r="D216" s="31"/>
      <c r="E216" s="32"/>
      <c r="F216" s="42" t="s">
        <v>416</v>
      </c>
      <c r="G216" s="30" t="str">
        <f>IF(ISNUMBER(F216),E216*F216,"")</f>
        <v/>
      </c>
      <c r="H216" s="34"/>
      <c r="I216" s="30"/>
      <c r="J216" s="152">
        <v>21</v>
      </c>
    </row>
    <row r="217" spans="1:10" ht="25.5" x14ac:dyDescent="0.25">
      <c r="A217" s="176"/>
      <c r="B217" s="174"/>
      <c r="C217" s="35" t="s">
        <v>462</v>
      </c>
      <c r="D217" s="35" t="s">
        <v>583</v>
      </c>
      <c r="E217" s="36">
        <v>1</v>
      </c>
      <c r="F217" s="30">
        <v>29.183999999999997</v>
      </c>
      <c r="G217" s="30">
        <f>IF(ISNUMBER(F217),E217*F217,"")</f>
        <v>29.183999999999997</v>
      </c>
      <c r="H217" s="38">
        <f>SUM(G217:G218)</f>
        <v>52.344999999999999</v>
      </c>
      <c r="I217" s="39"/>
      <c r="J217" s="152">
        <v>21</v>
      </c>
    </row>
    <row r="218" spans="1:10" ht="25.5" x14ac:dyDescent="0.25">
      <c r="A218" s="176"/>
      <c r="B218" s="174"/>
      <c r="C218" s="35" t="s">
        <v>2901</v>
      </c>
      <c r="D218" s="35" t="s">
        <v>583</v>
      </c>
      <c r="E218" s="36">
        <v>1</v>
      </c>
      <c r="F218" s="30">
        <v>23.160999999999998</v>
      </c>
      <c r="G218" s="33">
        <f>IF(ISNUMBER(F218),E218*F218,"")</f>
        <v>23.160999999999998</v>
      </c>
      <c r="H218" s="34"/>
      <c r="I218" s="30"/>
      <c r="J218" s="152">
        <v>21</v>
      </c>
    </row>
    <row r="219" spans="1:10" ht="15.75" thickBot="1" x14ac:dyDescent="0.3">
      <c r="A219" s="177"/>
      <c r="B219" s="175"/>
      <c r="C219" s="35"/>
      <c r="D219" s="35"/>
      <c r="E219" s="36"/>
      <c r="F219" s="30" t="s">
        <v>416</v>
      </c>
      <c r="G219" s="30" t="str">
        <f>IF(ISNUMBER(F219),E219*F219,"")</f>
        <v/>
      </c>
      <c r="H219" s="34"/>
      <c r="I219" s="30"/>
      <c r="J219" s="152">
        <v>21</v>
      </c>
    </row>
    <row r="220" spans="1:10" ht="15.75" hidden="1" thickBot="1" x14ac:dyDescent="0.3">
      <c r="A220" s="170" t="s">
        <v>60</v>
      </c>
      <c r="B220" s="173" t="str">
        <f>INDEX(Orçamentária!A:B,MATCH(Composições!A220,Orçamentária!A:A,0),2)</f>
        <v>Remoção de vidro comum / espelho</v>
      </c>
      <c r="C220" s="40"/>
      <c r="D220" s="25" t="s">
        <v>70</v>
      </c>
      <c r="E220" s="26"/>
      <c r="F220" s="41" t="s">
        <v>416</v>
      </c>
      <c r="G220" s="27" t="str">
        <f>IF(ISNUMBER(F220),E220*F220,"")</f>
        <v/>
      </c>
      <c r="H220" s="28"/>
      <c r="I220" s="29"/>
      <c r="J220" s="152">
        <v>0</v>
      </c>
    </row>
    <row r="221" spans="1:10" ht="15.75" hidden="1" thickBot="1" x14ac:dyDescent="0.3">
      <c r="A221" s="176"/>
      <c r="B221" s="174"/>
      <c r="C221" s="31"/>
      <c r="D221" s="31"/>
      <c r="E221" s="32"/>
      <c r="F221" s="42" t="s">
        <v>416</v>
      </c>
      <c r="G221" s="30" t="str">
        <f>IF(ISNUMBER(F221),E221*F221,"")</f>
        <v/>
      </c>
      <c r="H221" s="34"/>
      <c r="I221" s="30"/>
      <c r="J221" s="152">
        <v>0</v>
      </c>
    </row>
    <row r="222" spans="1:10" ht="15.75" hidden="1" thickBot="1" x14ac:dyDescent="0.3">
      <c r="A222" s="176"/>
      <c r="B222" s="174"/>
      <c r="C222" s="35" t="s">
        <v>584</v>
      </c>
      <c r="D222" s="35" t="s">
        <v>583</v>
      </c>
      <c r="E222" s="36">
        <v>0.39</v>
      </c>
      <c r="F222" s="30">
        <v>20.225499999999997</v>
      </c>
      <c r="G222" s="33">
        <f>IF(ISNUMBER(F222),E222*F222,"")</f>
        <v>7.8879449999999993</v>
      </c>
      <c r="H222" s="38">
        <f>SUM(G222:G223)</f>
        <v>17.937405999999999</v>
      </c>
      <c r="I222" s="39"/>
      <c r="J222" s="152">
        <v>0</v>
      </c>
    </row>
    <row r="223" spans="1:10" ht="15.75" hidden="1" thickBot="1" x14ac:dyDescent="0.3">
      <c r="A223" s="176"/>
      <c r="B223" s="174"/>
      <c r="C223" s="35" t="s">
        <v>2909</v>
      </c>
      <c r="D223" s="35" t="s">
        <v>583</v>
      </c>
      <c r="E223" s="36">
        <v>0.40100000000000002</v>
      </c>
      <c r="F223" s="30">
        <v>25.060999999999996</v>
      </c>
      <c r="G223" s="33">
        <f>IF(ISNUMBER(F223),E223*F223,"")</f>
        <v>10.049460999999999</v>
      </c>
      <c r="H223" s="34"/>
      <c r="I223" s="30"/>
      <c r="J223" s="152">
        <v>0</v>
      </c>
    </row>
    <row r="224" spans="1:10" ht="15.75" hidden="1" thickBot="1" x14ac:dyDescent="0.3">
      <c r="A224" s="177"/>
      <c r="B224" s="175"/>
      <c r="C224" s="35"/>
      <c r="D224" s="35"/>
      <c r="E224" s="36"/>
      <c r="F224" s="30" t="s">
        <v>416</v>
      </c>
      <c r="G224" s="30" t="str">
        <f>IF(ISNUMBER(F224),E224*F224,"")</f>
        <v/>
      </c>
      <c r="H224" s="34"/>
      <c r="I224" s="30"/>
      <c r="J224" s="152">
        <v>0</v>
      </c>
    </row>
    <row r="225" spans="1:10" ht="15.75" hidden="1" thickBot="1" x14ac:dyDescent="0.3">
      <c r="A225" s="181" t="s">
        <v>61</v>
      </c>
      <c r="B225" s="173" t="str">
        <f>INDEX(Orçamentária!A:B,MATCH(Composições!A225,Orçamentária!A:A,0),2)</f>
        <v>Retirada de entulhos</v>
      </c>
      <c r="C225" s="40"/>
      <c r="D225" s="25" t="s">
        <v>80</v>
      </c>
      <c r="E225" s="26"/>
      <c r="F225" s="41" t="s">
        <v>416</v>
      </c>
      <c r="G225" s="27" t="str">
        <f>IF(ISNUMBER(F225),E225*F225,"")</f>
        <v/>
      </c>
      <c r="H225" s="28"/>
      <c r="I225" s="29"/>
      <c r="J225" s="152">
        <v>0</v>
      </c>
    </row>
    <row r="226" spans="1:10" ht="15.75" hidden="1" thickBot="1" x14ac:dyDescent="0.3">
      <c r="A226" s="182"/>
      <c r="B226" s="174"/>
      <c r="C226" s="31"/>
      <c r="D226" s="31"/>
      <c r="E226" s="32"/>
      <c r="F226" s="42" t="s">
        <v>416</v>
      </c>
      <c r="G226" s="30" t="str">
        <f>IF(ISNUMBER(F226),E226*F226,"")</f>
        <v/>
      </c>
      <c r="H226" s="34"/>
      <c r="I226" s="30"/>
      <c r="J226" s="152">
        <v>0</v>
      </c>
    </row>
    <row r="227" spans="1:10" ht="15.75" hidden="1" thickBot="1" x14ac:dyDescent="0.3">
      <c r="A227" s="182"/>
      <c r="B227" s="174"/>
      <c r="C227" s="35" t="s">
        <v>584</v>
      </c>
      <c r="D227" s="35" t="s">
        <v>583</v>
      </c>
      <c r="E227" s="36">
        <v>1</v>
      </c>
      <c r="F227" s="30">
        <v>20.225499999999997</v>
      </c>
      <c r="G227" s="33">
        <f>IF(ISNUMBER(F227),E227*F227,"")</f>
        <v>20.225499999999997</v>
      </c>
      <c r="H227" s="38">
        <f>SUM(G227:G227)</f>
        <v>20.225499999999997</v>
      </c>
      <c r="I227" s="39"/>
      <c r="J227" s="152">
        <v>0</v>
      </c>
    </row>
    <row r="228" spans="1:10" ht="15.75" hidden="1" thickBot="1" x14ac:dyDescent="0.3">
      <c r="A228" s="182"/>
      <c r="B228" s="174"/>
      <c r="C228" s="35"/>
      <c r="D228" s="35"/>
      <c r="E228" s="36"/>
      <c r="F228" s="30" t="s">
        <v>416</v>
      </c>
      <c r="G228" s="30" t="str">
        <f>IF(ISNUMBER(F228),E228*F228,"")</f>
        <v/>
      </c>
      <c r="H228" s="34"/>
      <c r="I228" s="30"/>
      <c r="J228" s="152">
        <v>0</v>
      </c>
    </row>
    <row r="229" spans="1:10" ht="15.75" hidden="1" thickBot="1" x14ac:dyDescent="0.3">
      <c r="A229" s="181" t="s">
        <v>62</v>
      </c>
      <c r="B229" s="173" t="str">
        <f>INDEX(Orçamentária!A:B,MATCH(Composições!A229,Orçamentária!A:A,0),2)</f>
        <v>Andaime fachadeiro</v>
      </c>
      <c r="C229" s="40"/>
      <c r="D229" s="25" t="s">
        <v>1334</v>
      </c>
      <c r="E229" s="26"/>
      <c r="F229" s="41" t="s">
        <v>416</v>
      </c>
      <c r="G229" s="27" t="str">
        <f>IF(ISNUMBER(F229),E229*F229,"")</f>
        <v/>
      </c>
      <c r="H229" s="28"/>
      <c r="I229" s="29"/>
      <c r="J229" s="152">
        <v>0</v>
      </c>
    </row>
    <row r="230" spans="1:10" ht="15.75" hidden="1" thickBot="1" x14ac:dyDescent="0.3">
      <c r="A230" s="182"/>
      <c r="B230" s="174"/>
      <c r="C230" s="31"/>
      <c r="D230" s="31"/>
      <c r="E230" s="32"/>
      <c r="F230" s="42" t="s">
        <v>416</v>
      </c>
      <c r="G230" s="30" t="str">
        <f>IF(ISNUMBER(F230),E230*F230,"")</f>
        <v/>
      </c>
      <c r="H230" s="34"/>
      <c r="I230" s="30"/>
      <c r="J230" s="152">
        <v>0</v>
      </c>
    </row>
    <row r="231" spans="1:10" ht="51.75" hidden="1" thickBot="1" x14ac:dyDescent="0.3">
      <c r="A231" s="182"/>
      <c r="B231" s="174"/>
      <c r="C231" s="35" t="s">
        <v>8222</v>
      </c>
      <c r="D231" s="35" t="s">
        <v>63</v>
      </c>
      <c r="E231" s="36">
        <v>1</v>
      </c>
      <c r="F231" s="30">
        <v>6.327</v>
      </c>
      <c r="G231" s="33">
        <f>IF(ISNUMBER(F231),E231*F231,"")</f>
        <v>6.327</v>
      </c>
      <c r="H231" s="38">
        <f>SUM(G231:G231)</f>
        <v>6.327</v>
      </c>
      <c r="I231" s="39"/>
      <c r="J231" s="152">
        <v>0</v>
      </c>
    </row>
    <row r="232" spans="1:10" ht="15.75" hidden="1" thickBot="1" x14ac:dyDescent="0.3">
      <c r="A232" s="182"/>
      <c r="B232" s="174"/>
      <c r="C232" s="35"/>
      <c r="D232" s="35"/>
      <c r="E232" s="36"/>
      <c r="F232" s="30" t="s">
        <v>416</v>
      </c>
      <c r="G232" s="30" t="str">
        <f>IF(ISNUMBER(F232),E232*F232,"")</f>
        <v/>
      </c>
      <c r="H232" s="34"/>
      <c r="I232" s="30"/>
      <c r="J232" s="152">
        <v>0</v>
      </c>
    </row>
    <row r="233" spans="1:10" ht="15.75" hidden="1" thickBot="1" x14ac:dyDescent="0.3">
      <c r="A233" s="170" t="s">
        <v>64</v>
      </c>
      <c r="B233" s="173" t="str">
        <f>INDEX(Orçamentária!A:B,MATCH(Composições!A233,Orçamentária!A:A,0),2)</f>
        <v>Andaime tubular (aluguel/mês)</v>
      </c>
      <c r="C233" s="40"/>
      <c r="D233" s="25" t="s">
        <v>1336</v>
      </c>
      <c r="E233" s="26"/>
      <c r="F233" s="41" t="s">
        <v>416</v>
      </c>
      <c r="G233" s="27" t="str">
        <f>IF(ISNUMBER(F233),E233*F233,"")</f>
        <v/>
      </c>
      <c r="H233" s="28"/>
      <c r="I233" s="29"/>
      <c r="J233" s="152">
        <v>0</v>
      </c>
    </row>
    <row r="234" spans="1:10" ht="15.75" hidden="1" thickBot="1" x14ac:dyDescent="0.3">
      <c r="A234" s="176"/>
      <c r="B234" s="174"/>
      <c r="C234" s="31"/>
      <c r="D234" s="31"/>
      <c r="E234" s="32"/>
      <c r="F234" s="42" t="s">
        <v>416</v>
      </c>
      <c r="G234" s="30" t="str">
        <f>IF(ISNUMBER(F234),E234*F234,"")</f>
        <v/>
      </c>
      <c r="H234" s="34"/>
      <c r="I234" s="30"/>
      <c r="J234" s="152">
        <v>0</v>
      </c>
    </row>
    <row r="235" spans="1:10" ht="64.5" hidden="1" thickBot="1" x14ac:dyDescent="0.3">
      <c r="A235" s="176"/>
      <c r="B235" s="174"/>
      <c r="C235" s="35" t="s">
        <v>8223</v>
      </c>
      <c r="D235" s="35" t="s">
        <v>65</v>
      </c>
      <c r="E235" s="36">
        <v>1</v>
      </c>
      <c r="F235" s="30">
        <v>19</v>
      </c>
      <c r="G235" s="30">
        <f>IF(ISNUMBER(F235),E235*F235,"")</f>
        <v>19</v>
      </c>
      <c r="H235" s="38">
        <f>SUM(G235:G235)</f>
        <v>19</v>
      </c>
      <c r="I235" s="39"/>
      <c r="J235" s="152">
        <v>0</v>
      </c>
    </row>
    <row r="236" spans="1:10" ht="15.75" hidden="1" thickBot="1" x14ac:dyDescent="0.3">
      <c r="A236" s="177"/>
      <c r="B236" s="175"/>
      <c r="C236" s="35"/>
      <c r="D236" s="35"/>
      <c r="E236" s="36"/>
      <c r="F236" s="30" t="s">
        <v>416</v>
      </c>
      <c r="G236" s="30" t="str">
        <f>IF(ISNUMBER(F236),E236*F236,"")</f>
        <v/>
      </c>
      <c r="H236" s="34"/>
      <c r="I236" s="30"/>
      <c r="J236" s="152">
        <v>0</v>
      </c>
    </row>
    <row r="237" spans="1:10" ht="15.75" hidden="1" thickBot="1" x14ac:dyDescent="0.3">
      <c r="A237" s="181" t="s">
        <v>66</v>
      </c>
      <c r="B237" s="173" t="str">
        <f>INDEX(Orçamentária!A:B,MATCH(Composições!A237,Orçamentária!A:A,0),2)</f>
        <v>Corda de poliamida 12 mm tipo bombeiro, para trabalho em altura</v>
      </c>
      <c r="C237" s="40"/>
      <c r="D237" s="25" t="s">
        <v>69</v>
      </c>
      <c r="E237" s="26"/>
      <c r="F237" s="41" t="s">
        <v>416</v>
      </c>
      <c r="G237" s="27" t="str">
        <f>IF(ISNUMBER(F237),E237*F237,"")</f>
        <v/>
      </c>
      <c r="H237" s="28"/>
      <c r="I237" s="29"/>
      <c r="J237" s="152">
        <v>0</v>
      </c>
    </row>
    <row r="238" spans="1:10" ht="15.75" hidden="1" thickBot="1" x14ac:dyDescent="0.3">
      <c r="A238" s="182"/>
      <c r="B238" s="174"/>
      <c r="C238" s="31"/>
      <c r="D238" s="31"/>
      <c r="E238" s="32"/>
      <c r="F238" s="42" t="s">
        <v>416</v>
      </c>
      <c r="G238" s="30" t="str">
        <f>IF(ISNUMBER(F238),E238*F238,"")</f>
        <v/>
      </c>
      <c r="H238" s="34"/>
      <c r="I238" s="30"/>
      <c r="J238" s="152">
        <v>0</v>
      </c>
    </row>
    <row r="239" spans="1:10" ht="26.25" hidden="1" thickBot="1" x14ac:dyDescent="0.3">
      <c r="A239" s="182"/>
      <c r="B239" s="174"/>
      <c r="C239" s="35" t="s">
        <v>67</v>
      </c>
      <c r="D239" s="35" t="s">
        <v>8516</v>
      </c>
      <c r="E239" s="36">
        <v>0.01</v>
      </c>
      <c r="F239" s="30">
        <v>577.41</v>
      </c>
      <c r="G239" s="33">
        <f>IF(ISNUMBER(F239),E239*F239,"")</f>
        <v>5.7740999999999998</v>
      </c>
      <c r="H239" s="38">
        <f>SUM(G239:G239)</f>
        <v>5.7740999999999998</v>
      </c>
      <c r="I239" s="39"/>
      <c r="J239" s="152">
        <v>0</v>
      </c>
    </row>
    <row r="240" spans="1:10" ht="15.75" hidden="1" thickBot="1" x14ac:dyDescent="0.3">
      <c r="A240" s="182"/>
      <c r="B240" s="174"/>
      <c r="C240" s="35"/>
      <c r="D240" s="35"/>
      <c r="E240" s="36"/>
      <c r="F240" s="30" t="s">
        <v>416</v>
      </c>
      <c r="G240" s="30" t="str">
        <f>IF(ISNUMBER(F240),E240*F240,"")</f>
        <v/>
      </c>
      <c r="H240" s="34"/>
      <c r="I240" s="30"/>
      <c r="J240" s="152">
        <v>0</v>
      </c>
    </row>
    <row r="241" spans="1:10" ht="15.75" hidden="1" thickBot="1" x14ac:dyDescent="0.3">
      <c r="A241" s="170" t="s">
        <v>68</v>
      </c>
      <c r="B241" s="173" t="str">
        <f>INDEX(Orçamentária!A:B,MATCH(Composições!A241,Orçamentária!A:A,0),2)</f>
        <v>Isolamento de obra com tela plástica com malha de 5mm e estrutura de madeira pontaleteada</v>
      </c>
      <c r="C241" s="40"/>
      <c r="D241" s="25" t="s">
        <v>70</v>
      </c>
      <c r="E241" s="26"/>
      <c r="F241" s="48" t="s">
        <v>416</v>
      </c>
      <c r="G241" s="27" t="str">
        <f>IF(ISNUMBER(F241),E241*F241,"")</f>
        <v/>
      </c>
      <c r="H241" s="28"/>
      <c r="I241" s="29"/>
      <c r="J241" s="152">
        <v>0</v>
      </c>
    </row>
    <row r="242" spans="1:10" ht="15.75" hidden="1" thickBot="1" x14ac:dyDescent="0.3">
      <c r="A242" s="176"/>
      <c r="B242" s="174"/>
      <c r="C242" s="31"/>
      <c r="D242" s="31"/>
      <c r="E242" s="32"/>
      <c r="F242" s="30" t="s">
        <v>416</v>
      </c>
      <c r="G242" s="30" t="str">
        <f>IF(ISNUMBER(F242),E242*F242,"")</f>
        <v/>
      </c>
      <c r="H242" s="34"/>
      <c r="I242" s="30"/>
      <c r="J242" s="152">
        <v>0</v>
      </c>
    </row>
    <row r="243" spans="1:10" ht="15.75" hidden="1" thickBot="1" x14ac:dyDescent="0.3">
      <c r="A243" s="176"/>
      <c r="B243" s="174"/>
      <c r="C243" s="35" t="s">
        <v>584</v>
      </c>
      <c r="D243" s="35" t="s">
        <v>583</v>
      </c>
      <c r="E243" s="36">
        <v>0.15</v>
      </c>
      <c r="F243" s="30">
        <v>20.225499999999997</v>
      </c>
      <c r="G243" s="30">
        <f>IF(ISNUMBER(F243),E243*F243,"")</f>
        <v>3.0338249999999993</v>
      </c>
      <c r="H243" s="38">
        <f>SUM(G243:G247)</f>
        <v>28.244449999999993</v>
      </c>
      <c r="I243" s="39"/>
      <c r="J243" s="152">
        <v>0</v>
      </c>
    </row>
    <row r="244" spans="1:10" ht="15.75" hidden="1" thickBot="1" x14ac:dyDescent="0.3">
      <c r="A244" s="176"/>
      <c r="B244" s="174"/>
      <c r="C244" s="35" t="s">
        <v>862</v>
      </c>
      <c r="D244" s="35" t="s">
        <v>583</v>
      </c>
      <c r="E244" s="36">
        <v>0.3</v>
      </c>
      <c r="F244" s="30">
        <v>26.799499999999998</v>
      </c>
      <c r="G244" s="30">
        <f>IF(ISNUMBER(F244),E244*F244,"")</f>
        <v>8.0398499999999995</v>
      </c>
      <c r="H244" s="34"/>
      <c r="I244" s="30"/>
      <c r="J244" s="152">
        <v>0</v>
      </c>
    </row>
    <row r="245" spans="1:10" ht="26.25" hidden="1" thickBot="1" x14ac:dyDescent="0.3">
      <c r="A245" s="176"/>
      <c r="B245" s="174"/>
      <c r="C245" s="35" t="s">
        <v>3233</v>
      </c>
      <c r="D245" s="35" t="s">
        <v>385</v>
      </c>
      <c r="E245" s="36">
        <v>1.5</v>
      </c>
      <c r="F245" s="33">
        <v>8.1889999999999983</v>
      </c>
      <c r="G245" s="30">
        <f>IF(ISNUMBER(F245),E245*F245,"")</f>
        <v>12.283499999999997</v>
      </c>
      <c r="H245" s="34"/>
      <c r="I245" s="30"/>
      <c r="J245" s="152">
        <v>0</v>
      </c>
    </row>
    <row r="246" spans="1:10" ht="15.75" hidden="1" thickBot="1" x14ac:dyDescent="0.3">
      <c r="A246" s="176"/>
      <c r="B246" s="174"/>
      <c r="C246" s="35" t="s">
        <v>8339</v>
      </c>
      <c r="D246" s="35" t="s">
        <v>773</v>
      </c>
      <c r="E246" s="36">
        <v>0.1</v>
      </c>
      <c r="F246" s="33">
        <v>21.232500000000002</v>
      </c>
      <c r="G246" s="30">
        <f>IF(ISNUMBER(F246),E246*F246,"")</f>
        <v>2.1232500000000001</v>
      </c>
      <c r="H246" s="34"/>
      <c r="I246" s="30"/>
      <c r="J246" s="152">
        <v>0</v>
      </c>
    </row>
    <row r="247" spans="1:10" ht="26.25" hidden="1" thickBot="1" x14ac:dyDescent="0.3">
      <c r="A247" s="176"/>
      <c r="B247" s="174"/>
      <c r="C247" s="35" t="s">
        <v>2945</v>
      </c>
      <c r="D247" s="35" t="s">
        <v>385</v>
      </c>
      <c r="E247" s="36">
        <v>1.1499999999999999</v>
      </c>
      <c r="F247" s="33">
        <v>2.4034999999999997</v>
      </c>
      <c r="G247" s="30">
        <f>IF(ISNUMBER(F247),E247*F247,"")</f>
        <v>2.7640249999999993</v>
      </c>
      <c r="H247" s="34"/>
      <c r="I247" s="30"/>
      <c r="J247" s="152">
        <v>0</v>
      </c>
    </row>
    <row r="248" spans="1:10" ht="15.75" hidden="1" thickBot="1" x14ac:dyDescent="0.3">
      <c r="A248" s="177"/>
      <c r="B248" s="175"/>
      <c r="C248" s="35"/>
      <c r="D248" s="35"/>
      <c r="E248" s="36"/>
      <c r="F248" s="30" t="s">
        <v>416</v>
      </c>
      <c r="G248" s="30" t="str">
        <f>IF(ISNUMBER(F248),E248*F248,"")</f>
        <v/>
      </c>
      <c r="H248" s="34"/>
      <c r="I248" s="30"/>
      <c r="J248" s="152">
        <v>0</v>
      </c>
    </row>
    <row r="249" spans="1:10" ht="15.75" hidden="1" thickBot="1" x14ac:dyDescent="0.3">
      <c r="A249" s="170" t="s">
        <v>71</v>
      </c>
      <c r="B249" s="173" t="str">
        <f>INDEX(Orçamentária!A:B,MATCH(Composições!A249,Orçamentária!A:A,0),2)</f>
        <v>Tapume</v>
      </c>
      <c r="C249" s="40"/>
      <c r="D249" s="25" t="s">
        <v>70</v>
      </c>
      <c r="E249" s="26"/>
      <c r="F249" s="41" t="s">
        <v>416</v>
      </c>
      <c r="G249" s="27" t="str">
        <f>IF(ISNUMBER(F249),E249*F249,"")</f>
        <v/>
      </c>
      <c r="H249" s="28"/>
      <c r="I249" s="29"/>
      <c r="J249" s="152">
        <v>0</v>
      </c>
    </row>
    <row r="250" spans="1:10" ht="15.75" hidden="1" thickBot="1" x14ac:dyDescent="0.3">
      <c r="A250" s="176"/>
      <c r="B250" s="174"/>
      <c r="C250" s="31"/>
      <c r="D250" s="31"/>
      <c r="E250" s="32"/>
      <c r="F250" s="42" t="s">
        <v>416</v>
      </c>
      <c r="G250" s="30" t="str">
        <f>IF(ISNUMBER(F250),E250*F250,"")</f>
        <v/>
      </c>
      <c r="H250" s="34"/>
      <c r="I250" s="30"/>
      <c r="J250" s="152">
        <v>0</v>
      </c>
    </row>
    <row r="251" spans="1:10" ht="15.75" hidden="1" thickBot="1" x14ac:dyDescent="0.3">
      <c r="A251" s="176"/>
      <c r="B251" s="174"/>
      <c r="C251" s="35" t="s">
        <v>862</v>
      </c>
      <c r="D251" s="35" t="s">
        <v>583</v>
      </c>
      <c r="E251" s="36">
        <v>0.4</v>
      </c>
      <c r="F251" s="30">
        <v>26.799499999999998</v>
      </c>
      <c r="G251" s="30">
        <f>IF(ISNUMBER(F251),E251*F251,"")</f>
        <v>10.719799999999999</v>
      </c>
      <c r="H251" s="38">
        <f>SUM(G251:G262)</f>
        <v>83.14817050000002</v>
      </c>
      <c r="I251" s="39"/>
      <c r="J251" s="152">
        <v>0</v>
      </c>
    </row>
    <row r="252" spans="1:10" ht="15.75" hidden="1" thickBot="1" x14ac:dyDescent="0.3">
      <c r="A252" s="176"/>
      <c r="B252" s="174"/>
      <c r="C252" s="35" t="s">
        <v>584</v>
      </c>
      <c r="D252" s="35" t="s">
        <v>583</v>
      </c>
      <c r="E252" s="36">
        <v>0.4</v>
      </c>
      <c r="F252" s="30">
        <v>20.225499999999997</v>
      </c>
      <c r="G252" s="30">
        <f>IF(ISNUMBER(F252),E252*F252,"")</f>
        <v>8.0901999999999994</v>
      </c>
      <c r="H252" s="34"/>
      <c r="I252" s="30"/>
      <c r="J252" s="152">
        <v>0</v>
      </c>
    </row>
    <row r="253" spans="1:10" ht="15.75" hidden="1" thickBot="1" x14ac:dyDescent="0.3">
      <c r="A253" s="176"/>
      <c r="B253" s="174"/>
      <c r="C253" s="35" t="s">
        <v>72</v>
      </c>
      <c r="D253" s="35" t="s">
        <v>70</v>
      </c>
      <c r="E253" s="36">
        <v>1.1000000000000001</v>
      </c>
      <c r="F253" s="30">
        <v>0</v>
      </c>
      <c r="G253" s="30">
        <f>IF(ISNUMBER(F253),E253*F253,"")</f>
        <v>0</v>
      </c>
      <c r="H253" s="34"/>
      <c r="I253" s="30"/>
      <c r="J253" s="152">
        <v>0</v>
      </c>
    </row>
    <row r="254" spans="1:10" ht="26.25" hidden="1" thickBot="1" x14ac:dyDescent="0.3">
      <c r="A254" s="176"/>
      <c r="B254" s="174"/>
      <c r="C254" s="35" t="s">
        <v>3233</v>
      </c>
      <c r="D254" s="35" t="s">
        <v>385</v>
      </c>
      <c r="E254" s="36">
        <v>1.6</v>
      </c>
      <c r="F254" s="33">
        <v>8.1889999999999983</v>
      </c>
      <c r="G254" s="30">
        <f>IF(ISNUMBER(F254),E254*F254,"")</f>
        <v>13.102399999999998</v>
      </c>
      <c r="H254" s="34"/>
      <c r="I254" s="30"/>
      <c r="J254" s="152">
        <v>0</v>
      </c>
    </row>
    <row r="255" spans="1:10" ht="26.25" hidden="1" thickBot="1" x14ac:dyDescent="0.3">
      <c r="A255" s="176"/>
      <c r="B255" s="174"/>
      <c r="C255" s="35" t="s">
        <v>8517</v>
      </c>
      <c r="D255" s="35" t="s">
        <v>385</v>
      </c>
      <c r="E255" s="36">
        <v>1.65</v>
      </c>
      <c r="F255" s="33">
        <v>11.685</v>
      </c>
      <c r="G255" s="30">
        <f>IF(ISNUMBER(F255),E255*F255,"")</f>
        <v>19.280249999999999</v>
      </c>
      <c r="H255" s="34"/>
      <c r="I255" s="30"/>
      <c r="J255" s="152">
        <v>0</v>
      </c>
    </row>
    <row r="256" spans="1:10" ht="26.25" hidden="1" thickBot="1" x14ac:dyDescent="0.3">
      <c r="A256" s="176"/>
      <c r="B256" s="174"/>
      <c r="C256" s="35" t="s">
        <v>8381</v>
      </c>
      <c r="D256" s="35" t="s">
        <v>385</v>
      </c>
      <c r="E256" s="36">
        <v>0.5</v>
      </c>
      <c r="F256" s="33">
        <v>34.152500000000003</v>
      </c>
      <c r="G256" s="30">
        <f>IF(ISNUMBER(F256),E256*F256,"")</f>
        <v>17.076250000000002</v>
      </c>
      <c r="H256" s="34"/>
      <c r="I256" s="30"/>
      <c r="J256" s="152">
        <v>0</v>
      </c>
    </row>
    <row r="257" spans="1:10" ht="15.75" hidden="1" thickBot="1" x14ac:dyDescent="0.3">
      <c r="A257" s="176"/>
      <c r="B257" s="174"/>
      <c r="C257" s="35" t="s">
        <v>73</v>
      </c>
      <c r="D257" s="35" t="s">
        <v>773</v>
      </c>
      <c r="E257" s="36">
        <v>0.1</v>
      </c>
      <c r="F257" s="33">
        <v>21.602999999999998</v>
      </c>
      <c r="G257" s="30">
        <f>IF(ISNUMBER(F257),E257*F257,"")</f>
        <v>2.1602999999999999</v>
      </c>
      <c r="H257" s="34"/>
      <c r="I257" s="30"/>
      <c r="J257" s="152">
        <v>0</v>
      </c>
    </row>
    <row r="258" spans="1:10" ht="15.75" hidden="1" thickBot="1" x14ac:dyDescent="0.3">
      <c r="A258" s="176"/>
      <c r="B258" s="174"/>
      <c r="C258" s="35" t="s">
        <v>2919</v>
      </c>
      <c r="D258" s="35" t="s">
        <v>583</v>
      </c>
      <c r="E258" s="36">
        <v>1.5E-3</v>
      </c>
      <c r="F258" s="33">
        <v>23.047000000000001</v>
      </c>
      <c r="G258" s="30">
        <f>IF(ISNUMBER(F258),E258*F258,"")</f>
        <v>3.4570500000000004E-2</v>
      </c>
      <c r="H258" s="34"/>
      <c r="I258" s="30"/>
      <c r="J258" s="152">
        <v>0</v>
      </c>
    </row>
    <row r="259" spans="1:10" ht="15.75" hidden="1" thickBot="1" x14ac:dyDescent="0.3">
      <c r="A259" s="176"/>
      <c r="B259" s="174"/>
      <c r="C259" s="35" t="s">
        <v>956</v>
      </c>
      <c r="D259" s="35" t="s">
        <v>583</v>
      </c>
      <c r="E259" s="36">
        <v>0.4</v>
      </c>
      <c r="F259" s="33">
        <v>28.6615</v>
      </c>
      <c r="G259" s="30">
        <f>IF(ISNUMBER(F259),E259*F259,"")</f>
        <v>11.464600000000001</v>
      </c>
      <c r="H259" s="34"/>
      <c r="I259" s="30"/>
      <c r="J259" s="152">
        <v>0</v>
      </c>
    </row>
    <row r="260" spans="1:10" ht="15.75" hidden="1" thickBot="1" x14ac:dyDescent="0.3">
      <c r="A260" s="176"/>
      <c r="B260" s="174"/>
      <c r="C260" s="35" t="s">
        <v>74</v>
      </c>
      <c r="D260" s="35" t="s">
        <v>75</v>
      </c>
      <c r="E260" s="36">
        <v>2.2499999999999999E-2</v>
      </c>
      <c r="F260" s="33">
        <v>0</v>
      </c>
      <c r="G260" s="30">
        <f>IF(ISNUMBER(F260),E260*F260,"")</f>
        <v>0</v>
      </c>
      <c r="H260" s="34"/>
      <c r="I260" s="30"/>
      <c r="J260" s="152">
        <v>0</v>
      </c>
    </row>
    <row r="261" spans="1:10" ht="15.75" hidden="1" thickBot="1" x14ac:dyDescent="0.3">
      <c r="A261" s="176"/>
      <c r="B261" s="174"/>
      <c r="C261" s="35" t="s">
        <v>8041</v>
      </c>
      <c r="D261" s="35" t="s">
        <v>773</v>
      </c>
      <c r="E261" s="36">
        <v>0.6</v>
      </c>
      <c r="F261" s="33">
        <v>2.0329999999999999</v>
      </c>
      <c r="G261" s="30">
        <f>IF(ISNUMBER(F261),E261*F261,"")</f>
        <v>1.2198</v>
      </c>
      <c r="H261" s="34"/>
      <c r="I261" s="30"/>
      <c r="J261" s="152">
        <v>0</v>
      </c>
    </row>
    <row r="262" spans="1:10" ht="15.75" hidden="1" thickBot="1" x14ac:dyDescent="0.3">
      <c r="A262" s="176"/>
      <c r="B262" s="174"/>
      <c r="C262" s="35" t="s">
        <v>76</v>
      </c>
      <c r="D262" s="35" t="s">
        <v>28</v>
      </c>
      <c r="E262" s="36">
        <v>1.4999999999999999E-2</v>
      </c>
      <c r="F262" s="33">
        <v>0</v>
      </c>
      <c r="G262" s="30">
        <f>IF(ISNUMBER(F262),E262*F262,"")</f>
        <v>0</v>
      </c>
      <c r="H262" s="34"/>
      <c r="I262" s="30"/>
      <c r="J262" s="152">
        <v>0</v>
      </c>
    </row>
    <row r="263" spans="1:10" ht="15.75" hidden="1" thickBot="1" x14ac:dyDescent="0.3">
      <c r="A263" s="177"/>
      <c r="B263" s="175"/>
      <c r="C263" s="35"/>
      <c r="D263" s="35"/>
      <c r="E263" s="36"/>
      <c r="F263" s="30" t="s">
        <v>416</v>
      </c>
      <c r="G263" s="30" t="str">
        <f>IF(ISNUMBER(F263),E263*F263,"")</f>
        <v/>
      </c>
      <c r="H263" s="34"/>
      <c r="I263" s="30"/>
      <c r="J263" s="152">
        <v>0</v>
      </c>
    </row>
    <row r="264" spans="1:10" ht="15.75" hidden="1" thickBot="1" x14ac:dyDescent="0.3">
      <c r="A264" s="170" t="s">
        <v>77</v>
      </c>
      <c r="B264" s="173" t="str">
        <f>INDEX(Orçamentária!A:B,MATCH(Composições!A264,Orçamentária!A:A,0),2)</f>
        <v>Limpeza final</v>
      </c>
      <c r="C264" s="40"/>
      <c r="D264" s="25" t="s">
        <v>70</v>
      </c>
      <c r="E264" s="26"/>
      <c r="F264" s="41" t="s">
        <v>416</v>
      </c>
      <c r="G264" s="27" t="str">
        <f>IF(ISNUMBER(F264),E264*F264,"")</f>
        <v/>
      </c>
      <c r="H264" s="28"/>
      <c r="I264" s="29"/>
      <c r="J264" s="152">
        <v>0</v>
      </c>
    </row>
    <row r="265" spans="1:10" ht="15.75" hidden="1" thickBot="1" x14ac:dyDescent="0.3">
      <c r="A265" s="176"/>
      <c r="B265" s="174"/>
      <c r="C265" s="31"/>
      <c r="D265" s="31"/>
      <c r="E265" s="32"/>
      <c r="F265" s="42" t="s">
        <v>416</v>
      </c>
      <c r="G265" s="30" t="str">
        <f>IF(ISNUMBER(F265),E265*F265,"")</f>
        <v/>
      </c>
      <c r="H265" s="34"/>
      <c r="I265" s="30"/>
      <c r="J265" s="152">
        <v>0</v>
      </c>
    </row>
    <row r="266" spans="1:10" ht="15.75" hidden="1" thickBot="1" x14ac:dyDescent="0.3">
      <c r="A266" s="176"/>
      <c r="B266" s="174"/>
      <c r="C266" s="35" t="s">
        <v>584</v>
      </c>
      <c r="D266" s="35" t="s">
        <v>583</v>
      </c>
      <c r="E266" s="36">
        <v>2.5000000000000001E-2</v>
      </c>
      <c r="F266" s="30">
        <v>20.225499999999997</v>
      </c>
      <c r="G266" s="30">
        <f>IF(ISNUMBER(F266),E266*F266,"")</f>
        <v>0.50563749999999996</v>
      </c>
      <c r="H266" s="38">
        <f>SUM(G266:G267)</f>
        <v>2.467511</v>
      </c>
      <c r="I266" s="39"/>
      <c r="J266" s="152">
        <v>0</v>
      </c>
    </row>
    <row r="267" spans="1:10" ht="15.75" hidden="1" thickBot="1" x14ac:dyDescent="0.3">
      <c r="A267" s="176"/>
      <c r="B267" s="174"/>
      <c r="C267" s="35" t="s">
        <v>584</v>
      </c>
      <c r="D267" s="35" t="s">
        <v>583</v>
      </c>
      <c r="E267" s="36">
        <v>9.7000000000000003E-2</v>
      </c>
      <c r="F267" s="30">
        <v>20.225499999999997</v>
      </c>
      <c r="G267" s="30">
        <f>IF(ISNUMBER(F267),E267*F267,"")</f>
        <v>1.9618734999999998</v>
      </c>
      <c r="H267" s="34"/>
      <c r="I267" s="39"/>
      <c r="J267" s="152">
        <v>0</v>
      </c>
    </row>
    <row r="268" spans="1:10" ht="15.75" hidden="1" thickBot="1" x14ac:dyDescent="0.3">
      <c r="A268" s="177"/>
      <c r="B268" s="175"/>
      <c r="C268" s="35"/>
      <c r="D268" s="35"/>
      <c r="E268" s="36"/>
      <c r="F268" s="30" t="s">
        <v>416</v>
      </c>
      <c r="G268" s="30" t="str">
        <f>IF(ISNUMBER(F268),E268*F268,"")</f>
        <v/>
      </c>
      <c r="H268" s="34"/>
      <c r="I268" s="30"/>
      <c r="J268" s="152">
        <v>0</v>
      </c>
    </row>
    <row r="269" spans="1:10" ht="15.75" hidden="1" thickBot="1" x14ac:dyDescent="0.3">
      <c r="A269" s="170" t="s">
        <v>78</v>
      </c>
      <c r="B269" s="173" t="str">
        <f>INDEX(Orçamentária!A:B,MATCH(Composições!A269,Orçamentária!A:A,0),2)</f>
        <v>Abertura/fechamento rasgo em alvenaria</v>
      </c>
      <c r="C269" s="40"/>
      <c r="D269" s="25" t="s">
        <v>69</v>
      </c>
      <c r="E269" s="26"/>
      <c r="F269" s="41" t="s">
        <v>416</v>
      </c>
      <c r="G269" s="27" t="str">
        <f>IF(ISNUMBER(F269),E269*F269,"")</f>
        <v/>
      </c>
      <c r="H269" s="28"/>
      <c r="I269" s="29"/>
      <c r="J269" s="152">
        <v>0</v>
      </c>
    </row>
    <row r="270" spans="1:10" ht="15.75" hidden="1" thickBot="1" x14ac:dyDescent="0.3">
      <c r="A270" s="176"/>
      <c r="B270" s="174"/>
      <c r="C270" s="31"/>
      <c r="D270" s="31"/>
      <c r="E270" s="32"/>
      <c r="F270" s="42" t="s">
        <v>416</v>
      </c>
      <c r="G270" s="30" t="str">
        <f>IF(ISNUMBER(F270),E270*F270,"")</f>
        <v/>
      </c>
      <c r="H270" s="34"/>
      <c r="I270" s="30"/>
      <c r="J270" s="152">
        <v>0</v>
      </c>
    </row>
    <row r="271" spans="1:10" ht="15.75" hidden="1" thickBot="1" x14ac:dyDescent="0.3">
      <c r="A271" s="176"/>
      <c r="B271" s="174"/>
      <c r="C271" s="35" t="s">
        <v>1017</v>
      </c>
      <c r="D271" s="35" t="s">
        <v>583</v>
      </c>
      <c r="E271" s="36">
        <v>3.4000000000000002E-2</v>
      </c>
      <c r="F271" s="30">
        <v>21.584</v>
      </c>
      <c r="G271" s="30">
        <f>IF(ISNUMBER(F271),E271*F271,"")</f>
        <v>0.73385600000000006</v>
      </c>
      <c r="H271" s="38">
        <f>SUM(G271:G275)</f>
        <v>20.663349636765499</v>
      </c>
      <c r="I271" s="39"/>
      <c r="J271" s="152">
        <v>0</v>
      </c>
    </row>
    <row r="272" spans="1:10" ht="15.75" hidden="1" thickBot="1" x14ac:dyDescent="0.3">
      <c r="A272" s="176"/>
      <c r="B272" s="174"/>
      <c r="C272" s="35" t="s">
        <v>1018</v>
      </c>
      <c r="D272" s="35" t="s">
        <v>583</v>
      </c>
      <c r="E272" s="36">
        <v>0.216</v>
      </c>
      <c r="F272" s="30">
        <v>27.835000000000001</v>
      </c>
      <c r="G272" s="30">
        <f>IF(ISNUMBER(F272),E272*F272,"")</f>
        <v>6.0123600000000001</v>
      </c>
      <c r="H272" s="34"/>
      <c r="I272" s="30"/>
      <c r="J272" s="152">
        <v>0</v>
      </c>
    </row>
    <row r="273" spans="1:10" ht="26.25" hidden="1" thickBot="1" x14ac:dyDescent="0.3">
      <c r="A273" s="176"/>
      <c r="B273" s="174"/>
      <c r="C273" s="35" t="s">
        <v>824</v>
      </c>
      <c r="D273" s="35" t="s">
        <v>583</v>
      </c>
      <c r="E273" s="36">
        <v>5.5E-2</v>
      </c>
      <c r="F273" s="30">
        <v>21.166</v>
      </c>
      <c r="G273" s="30">
        <f>IF(ISNUMBER(F273),E273*F273,"")</f>
        <v>1.1641300000000001</v>
      </c>
      <c r="H273" s="34"/>
      <c r="I273" s="30"/>
      <c r="J273" s="152">
        <v>0</v>
      </c>
    </row>
    <row r="274" spans="1:10" ht="26.25" hidden="1" thickBot="1" x14ac:dyDescent="0.3">
      <c r="A274" s="176"/>
      <c r="B274" s="174"/>
      <c r="C274" s="35" t="s">
        <v>825</v>
      </c>
      <c r="D274" s="35" t="s">
        <v>583</v>
      </c>
      <c r="E274" s="36">
        <v>0.39100000000000001</v>
      </c>
      <c r="F274" s="30">
        <v>26.799499999999998</v>
      </c>
      <c r="G274" s="30">
        <f>IF(ISNUMBER(F274),E274*F274,"")</f>
        <v>10.478604499999999</v>
      </c>
      <c r="H274" s="34"/>
      <c r="I274" s="30"/>
      <c r="J274" s="152">
        <v>0</v>
      </c>
    </row>
    <row r="275" spans="1:10" ht="26.25" hidden="1" thickBot="1" x14ac:dyDescent="0.3">
      <c r="A275" s="176"/>
      <c r="B275" s="174"/>
      <c r="C275" s="35" t="s">
        <v>79</v>
      </c>
      <c r="D275" s="35" t="s">
        <v>80</v>
      </c>
      <c r="E275" s="36">
        <v>3.0000000000000001E-3</v>
      </c>
      <c r="F275" s="33">
        <v>758.13304558849984</v>
      </c>
      <c r="G275" s="33">
        <f>IF(ISNUMBER(F275),E275*F275,"")</f>
        <v>2.2743991367654997</v>
      </c>
      <c r="H275" s="34"/>
      <c r="I275" s="30"/>
      <c r="J275" s="152">
        <v>0</v>
      </c>
    </row>
    <row r="276" spans="1:10" ht="15.75" hidden="1" thickBot="1" x14ac:dyDescent="0.3">
      <c r="A276" s="177"/>
      <c r="B276" s="175"/>
      <c r="C276" s="35"/>
      <c r="D276" s="35"/>
      <c r="E276" s="36"/>
      <c r="F276" s="30" t="s">
        <v>416</v>
      </c>
      <c r="G276" s="30" t="str">
        <f>IF(ISNUMBER(F276),E276*F276,"")</f>
        <v/>
      </c>
      <c r="H276" s="34"/>
      <c r="I276" s="30"/>
      <c r="J276" s="152">
        <v>0</v>
      </c>
    </row>
    <row r="277" spans="1:10" ht="15.75" hidden="1" thickBot="1" x14ac:dyDescent="0.3">
      <c r="A277" s="170" t="s">
        <v>81</v>
      </c>
      <c r="B277" s="173" t="str">
        <f>INDEX(Orçamentária!A:B,MATCH(Composições!A277,Orçamentária!A:A,0),2)</f>
        <v>Furo em concreto de 40 mm até 75 mm de diâmetro</v>
      </c>
      <c r="C277" s="40"/>
      <c r="D277" s="25" t="s">
        <v>16</v>
      </c>
      <c r="E277" s="26"/>
      <c r="F277" s="41" t="s">
        <v>416</v>
      </c>
      <c r="G277" s="27" t="str">
        <f>IF(ISNUMBER(F277),E277*F277,"")</f>
        <v/>
      </c>
      <c r="H277" s="28"/>
      <c r="I277" s="29"/>
      <c r="J277" s="152">
        <v>0</v>
      </c>
    </row>
    <row r="278" spans="1:10" ht="15.75" hidden="1" thickBot="1" x14ac:dyDescent="0.3">
      <c r="A278" s="176"/>
      <c r="B278" s="174"/>
      <c r="C278" s="31"/>
      <c r="D278" s="31"/>
      <c r="E278" s="32"/>
      <c r="F278" s="42" t="s">
        <v>416</v>
      </c>
      <c r="G278" s="30" t="str">
        <f>IF(ISNUMBER(F278),E278*F278,"")</f>
        <v/>
      </c>
      <c r="H278" s="34"/>
      <c r="I278" s="30"/>
      <c r="J278" s="152">
        <v>0</v>
      </c>
    </row>
    <row r="279" spans="1:10" ht="26.25" hidden="1" thickBot="1" x14ac:dyDescent="0.3">
      <c r="A279" s="176"/>
      <c r="B279" s="174"/>
      <c r="C279" s="35" t="s">
        <v>969</v>
      </c>
      <c r="D279" s="35" t="s">
        <v>813</v>
      </c>
      <c r="E279" s="36">
        <v>0.58699999999999997</v>
      </c>
      <c r="F279" s="33">
        <v>24.6525</v>
      </c>
      <c r="G279" s="33">
        <f>IF(ISNUMBER(F279),E279*F279,"")</f>
        <v>14.471017499999999</v>
      </c>
      <c r="H279" s="38">
        <f>SUM(G279:G282)</f>
        <v>100.656927</v>
      </c>
      <c r="I279" s="39"/>
      <c r="J279" s="152">
        <v>0</v>
      </c>
    </row>
    <row r="280" spans="1:10" ht="26.25" hidden="1" thickBot="1" x14ac:dyDescent="0.3">
      <c r="A280" s="176"/>
      <c r="B280" s="174"/>
      <c r="C280" s="35" t="s">
        <v>970</v>
      </c>
      <c r="D280" s="35" t="s">
        <v>815</v>
      </c>
      <c r="E280" s="36">
        <v>1.29</v>
      </c>
      <c r="F280" s="33">
        <v>23.008999999999997</v>
      </c>
      <c r="G280" s="33">
        <f>IF(ISNUMBER(F280),E280*F280,"")</f>
        <v>29.681609999999996</v>
      </c>
      <c r="H280" s="34"/>
      <c r="I280" s="30"/>
      <c r="J280" s="152">
        <v>0</v>
      </c>
    </row>
    <row r="281" spans="1:10" ht="26.25" hidden="1" thickBot="1" x14ac:dyDescent="0.3">
      <c r="A281" s="176"/>
      <c r="B281" s="174"/>
      <c r="C281" s="35" t="s">
        <v>824</v>
      </c>
      <c r="D281" s="35" t="s">
        <v>583</v>
      </c>
      <c r="E281" s="36">
        <v>0.29299999999999998</v>
      </c>
      <c r="F281" s="30">
        <v>21.166</v>
      </c>
      <c r="G281" s="33">
        <f>IF(ISNUMBER(F281),E281*F281,"")</f>
        <v>6.201638</v>
      </c>
      <c r="H281" s="34"/>
      <c r="I281" s="30"/>
      <c r="J281" s="152">
        <v>0</v>
      </c>
    </row>
    <row r="282" spans="1:10" ht="26.25" hidden="1" thickBot="1" x14ac:dyDescent="0.3">
      <c r="A282" s="176"/>
      <c r="B282" s="174"/>
      <c r="C282" s="35" t="s">
        <v>825</v>
      </c>
      <c r="D282" s="35" t="s">
        <v>583</v>
      </c>
      <c r="E282" s="36">
        <v>1.877</v>
      </c>
      <c r="F282" s="30">
        <v>26.799499999999998</v>
      </c>
      <c r="G282" s="33">
        <f>IF(ISNUMBER(F282),E282*F282,"")</f>
        <v>50.302661499999999</v>
      </c>
      <c r="H282" s="34"/>
      <c r="I282" s="30"/>
      <c r="J282" s="152">
        <v>0</v>
      </c>
    </row>
    <row r="283" spans="1:10" ht="15.75" hidden="1" thickBot="1" x14ac:dyDescent="0.3">
      <c r="A283" s="177"/>
      <c r="B283" s="175"/>
      <c r="C283" s="35"/>
      <c r="D283" s="35"/>
      <c r="E283" s="36"/>
      <c r="F283" s="30" t="s">
        <v>416</v>
      </c>
      <c r="G283" s="30" t="str">
        <f>IF(ISNUMBER(F283),E283*F283,"")</f>
        <v/>
      </c>
      <c r="H283" s="34"/>
      <c r="I283" s="30"/>
      <c r="J283" s="152">
        <v>0</v>
      </c>
    </row>
    <row r="284" spans="1:10" ht="15.75" hidden="1" thickBot="1" x14ac:dyDescent="0.3">
      <c r="A284" s="170" t="s">
        <v>82</v>
      </c>
      <c r="B284" s="173" t="str">
        <f>INDEX(Orçamentária!A:B,MATCH(Composições!A284,Orçamentária!A:A,0),2)</f>
        <v>Furo em concreto para diâmetros maiores que 75 mm</v>
      </c>
      <c r="C284" s="40"/>
      <c r="D284" s="25" t="s">
        <v>16</v>
      </c>
      <c r="E284" s="26"/>
      <c r="F284" s="41" t="s">
        <v>416</v>
      </c>
      <c r="G284" s="27" t="str">
        <f>IF(ISNUMBER(F284),E284*F284,"")</f>
        <v/>
      </c>
      <c r="H284" s="28"/>
      <c r="I284" s="29"/>
      <c r="J284" s="152">
        <v>0</v>
      </c>
    </row>
    <row r="285" spans="1:10" ht="15.75" hidden="1" thickBot="1" x14ac:dyDescent="0.3">
      <c r="A285" s="176"/>
      <c r="B285" s="174"/>
      <c r="C285" s="31"/>
      <c r="D285" s="31"/>
      <c r="E285" s="32"/>
      <c r="F285" s="42" t="s">
        <v>416</v>
      </c>
      <c r="G285" s="30" t="str">
        <f>IF(ISNUMBER(F285),E285*F285,"")</f>
        <v/>
      </c>
      <c r="H285" s="34"/>
      <c r="I285" s="30"/>
      <c r="J285" s="152">
        <v>0</v>
      </c>
    </row>
    <row r="286" spans="1:10" ht="26.25" hidden="1" thickBot="1" x14ac:dyDescent="0.3">
      <c r="A286" s="176"/>
      <c r="B286" s="174"/>
      <c r="C286" s="35" t="s">
        <v>969</v>
      </c>
      <c r="D286" s="35" t="s">
        <v>813</v>
      </c>
      <c r="E286" s="36">
        <v>0.75</v>
      </c>
      <c r="F286" s="33">
        <v>24.6525</v>
      </c>
      <c r="G286" s="33">
        <f>IF(ISNUMBER(F286),E286*F286,"")</f>
        <v>18.489374999999999</v>
      </c>
      <c r="H286" s="38">
        <f>SUM(G286:G289)</f>
        <v>128.56084949999999</v>
      </c>
      <c r="I286" s="39"/>
      <c r="J286" s="152">
        <v>0</v>
      </c>
    </row>
    <row r="287" spans="1:10" ht="26.25" hidden="1" thickBot="1" x14ac:dyDescent="0.3">
      <c r="A287" s="176"/>
      <c r="B287" s="174"/>
      <c r="C287" s="35" t="s">
        <v>970</v>
      </c>
      <c r="D287" s="35" t="s">
        <v>815</v>
      </c>
      <c r="E287" s="36">
        <v>1.647</v>
      </c>
      <c r="F287" s="33">
        <v>23.008999999999997</v>
      </c>
      <c r="G287" s="33">
        <f>IF(ISNUMBER(F287),E287*F287,"")</f>
        <v>37.895822999999993</v>
      </c>
      <c r="H287" s="34"/>
      <c r="I287" s="30"/>
      <c r="J287" s="152">
        <v>0</v>
      </c>
    </row>
    <row r="288" spans="1:10" ht="26.25" hidden="1" thickBot="1" x14ac:dyDescent="0.3">
      <c r="A288" s="176"/>
      <c r="B288" s="174"/>
      <c r="C288" s="35" t="s">
        <v>824</v>
      </c>
      <c r="D288" s="35" t="s">
        <v>583</v>
      </c>
      <c r="E288" s="36">
        <v>0.375</v>
      </c>
      <c r="F288" s="30">
        <v>21.166</v>
      </c>
      <c r="G288" s="33">
        <f>IF(ISNUMBER(F288),E288*F288,"")</f>
        <v>7.9372500000000006</v>
      </c>
      <c r="H288" s="34"/>
      <c r="I288" s="30"/>
      <c r="J288" s="152">
        <v>0</v>
      </c>
    </row>
    <row r="289" spans="1:10" ht="26.25" hidden="1" thickBot="1" x14ac:dyDescent="0.3">
      <c r="A289" s="176"/>
      <c r="B289" s="174"/>
      <c r="C289" s="35" t="s">
        <v>825</v>
      </c>
      <c r="D289" s="35" t="s">
        <v>583</v>
      </c>
      <c r="E289" s="36">
        <v>2.3969999999999998</v>
      </c>
      <c r="F289" s="30">
        <v>26.799499999999998</v>
      </c>
      <c r="G289" s="33">
        <f>IF(ISNUMBER(F289),E289*F289,"")</f>
        <v>64.238401499999995</v>
      </c>
      <c r="H289" s="34"/>
      <c r="I289" s="30"/>
      <c r="J289" s="152">
        <v>0</v>
      </c>
    </row>
    <row r="290" spans="1:10" ht="15.75" hidden="1" thickBot="1" x14ac:dyDescent="0.3">
      <c r="A290" s="177"/>
      <c r="B290" s="175"/>
      <c r="C290" s="35"/>
      <c r="D290" s="35"/>
      <c r="E290" s="36"/>
      <c r="F290" s="30" t="s">
        <v>416</v>
      </c>
      <c r="G290" s="30" t="str">
        <f>IF(ISNUMBER(F290),E290*F290,"")</f>
        <v/>
      </c>
      <c r="H290" s="34"/>
      <c r="I290" s="30"/>
      <c r="J290" s="152">
        <v>0</v>
      </c>
    </row>
    <row r="291" spans="1:10" ht="15.75" hidden="1" thickBot="1" x14ac:dyDescent="0.3">
      <c r="A291" s="170" t="s">
        <v>83</v>
      </c>
      <c r="B291" s="173" t="str">
        <f>INDEX(Orçamentária!A:B,MATCH(Composições!A291,Orçamentária!A:A,0),2)</f>
        <v>Concreto virado em betoneira, fck = 15 MPa</v>
      </c>
      <c r="C291" s="40"/>
      <c r="D291" s="25" t="s">
        <v>80</v>
      </c>
      <c r="E291" s="26"/>
      <c r="F291" s="41" t="s">
        <v>416</v>
      </c>
      <c r="G291" s="27" t="str">
        <f>IF(ISNUMBER(F291),E291*F291,"")</f>
        <v/>
      </c>
      <c r="H291" s="28"/>
      <c r="I291" s="29"/>
      <c r="J291" s="152">
        <v>0</v>
      </c>
    </row>
    <row r="292" spans="1:10" ht="15.75" hidden="1" thickBot="1" x14ac:dyDescent="0.3">
      <c r="A292" s="176"/>
      <c r="B292" s="174"/>
      <c r="C292" s="31"/>
      <c r="D292" s="31"/>
      <c r="E292" s="32"/>
      <c r="F292" s="42" t="s">
        <v>416</v>
      </c>
      <c r="G292" s="30" t="str">
        <f>IF(ISNUMBER(F292),E292*F292,"")</f>
        <v/>
      </c>
      <c r="H292" s="34"/>
      <c r="I292" s="30"/>
      <c r="J292" s="152">
        <v>0</v>
      </c>
    </row>
    <row r="293" spans="1:10" ht="26.25" hidden="1" thickBot="1" x14ac:dyDescent="0.3">
      <c r="A293" s="176"/>
      <c r="B293" s="174"/>
      <c r="C293" s="35" t="s">
        <v>6584</v>
      </c>
      <c r="D293" s="46" t="s">
        <v>80</v>
      </c>
      <c r="E293" s="36">
        <v>1</v>
      </c>
      <c r="F293" s="30">
        <v>283.7422095</v>
      </c>
      <c r="G293" s="33">
        <f>IF(ISNUMBER(F293),E293*F293,"")</f>
        <v>283.7422095</v>
      </c>
      <c r="H293" s="38">
        <f>SUM(G293:G302)</f>
        <v>881.20200397747999</v>
      </c>
      <c r="I293" s="39"/>
      <c r="J293" s="152">
        <v>0</v>
      </c>
    </row>
    <row r="294" spans="1:10" ht="26.25" hidden="1" thickBot="1" x14ac:dyDescent="0.3">
      <c r="A294" s="176"/>
      <c r="B294" s="174"/>
      <c r="C294" s="35" t="s">
        <v>7985</v>
      </c>
      <c r="D294" s="35" t="s">
        <v>87</v>
      </c>
      <c r="E294" s="36">
        <v>0.80459999999999998</v>
      </c>
      <c r="F294" s="33">
        <v>202.33099999999999</v>
      </c>
      <c r="G294" s="33">
        <f>IF(ISNUMBER(F294),E294*F294,"")</f>
        <v>162.7955226</v>
      </c>
      <c r="H294" s="34"/>
      <c r="I294" s="30"/>
      <c r="J294" s="152">
        <v>0</v>
      </c>
    </row>
    <row r="295" spans="1:10" ht="15.75" hidden="1" thickBot="1" x14ac:dyDescent="0.3">
      <c r="A295" s="176"/>
      <c r="B295" s="174"/>
      <c r="C295" s="35" t="s">
        <v>8065</v>
      </c>
      <c r="D295" s="35" t="s">
        <v>773</v>
      </c>
      <c r="E295" s="36">
        <v>273.06299999999999</v>
      </c>
      <c r="F295" s="33">
        <v>0.627</v>
      </c>
      <c r="G295" s="33">
        <f>IF(ISNUMBER(F295),E295*F295,"")</f>
        <v>171.21050099999999</v>
      </c>
      <c r="H295" s="34"/>
      <c r="I295" s="30"/>
      <c r="J295" s="152">
        <v>0</v>
      </c>
    </row>
    <row r="296" spans="1:10" ht="26.25" hidden="1" thickBot="1" x14ac:dyDescent="0.3">
      <c r="A296" s="176"/>
      <c r="B296" s="174"/>
      <c r="C296" s="35" t="s">
        <v>8311</v>
      </c>
      <c r="D296" s="35" t="s">
        <v>87</v>
      </c>
      <c r="E296" s="36">
        <v>0.57199999999999995</v>
      </c>
      <c r="F296" s="33">
        <v>176.453</v>
      </c>
      <c r="G296" s="33">
        <f>IF(ISNUMBER(F296),E296*F296,"")</f>
        <v>100.93111599999999</v>
      </c>
      <c r="H296" s="34"/>
      <c r="I296" s="30"/>
      <c r="J296" s="152">
        <v>0</v>
      </c>
    </row>
    <row r="297" spans="1:10" ht="26.25" hidden="1" thickBot="1" x14ac:dyDescent="0.3">
      <c r="A297" s="176"/>
      <c r="B297" s="174"/>
      <c r="C297" s="35" t="s">
        <v>1271</v>
      </c>
      <c r="D297" s="35" t="s">
        <v>583</v>
      </c>
      <c r="E297" s="36">
        <v>1.4695</v>
      </c>
      <c r="F297" s="30">
        <v>20.291999999999998</v>
      </c>
      <c r="G297" s="33">
        <f>IF(ISNUMBER(F297),E297*F297,"")</f>
        <v>29.819093999999996</v>
      </c>
      <c r="H297" s="34"/>
      <c r="I297" s="30"/>
      <c r="J297" s="152">
        <v>0</v>
      </c>
    </row>
    <row r="298" spans="1:10" ht="15.75" hidden="1" thickBot="1" x14ac:dyDescent="0.3">
      <c r="A298" s="176"/>
      <c r="B298" s="174"/>
      <c r="C298" s="35" t="s">
        <v>584</v>
      </c>
      <c r="D298" s="35" t="s">
        <v>583</v>
      </c>
      <c r="E298" s="36">
        <v>2.3275000000000001</v>
      </c>
      <c r="F298" s="30">
        <v>20.225499999999997</v>
      </c>
      <c r="G298" s="33">
        <f>IF(ISNUMBER(F298),E298*F298,"")</f>
        <v>47.074851249999995</v>
      </c>
      <c r="H298" s="34"/>
      <c r="I298" s="30"/>
      <c r="J298" s="152">
        <v>0</v>
      </c>
    </row>
    <row r="299" spans="1:10" ht="39" hidden="1" thickBot="1" x14ac:dyDescent="0.3">
      <c r="A299" s="176"/>
      <c r="B299" s="174"/>
      <c r="C299" s="35" t="s">
        <v>84</v>
      </c>
      <c r="D299" s="35" t="s">
        <v>813</v>
      </c>
      <c r="E299" s="36">
        <v>0.75629999999999997</v>
      </c>
      <c r="F299" s="33">
        <v>1.6435</v>
      </c>
      <c r="G299" s="33">
        <f>IF(ISNUMBER(F299),E299*F299,"")</f>
        <v>1.24297905</v>
      </c>
      <c r="H299" s="34"/>
      <c r="I299" s="30"/>
      <c r="J299" s="152">
        <v>0</v>
      </c>
    </row>
    <row r="300" spans="1:10" ht="39" hidden="1" thickBot="1" x14ac:dyDescent="0.3">
      <c r="A300" s="176"/>
      <c r="B300" s="174"/>
      <c r="C300" s="35" t="s">
        <v>85</v>
      </c>
      <c r="D300" s="35" t="s">
        <v>815</v>
      </c>
      <c r="E300" s="36">
        <v>0.71309999999999996</v>
      </c>
      <c r="F300" s="33">
        <v>0.42749999999999999</v>
      </c>
      <c r="G300" s="33">
        <f>IF(ISNUMBER(F300),E300*F300,"")</f>
        <v>0.30485024999999999</v>
      </c>
      <c r="H300" s="34"/>
      <c r="I300" s="30"/>
      <c r="J300" s="152">
        <v>0</v>
      </c>
    </row>
    <row r="301" spans="1:10" ht="51.75" hidden="1" thickBot="1" x14ac:dyDescent="0.3">
      <c r="A301" s="176"/>
      <c r="B301" s="174"/>
      <c r="C301" s="35" t="s">
        <v>3071</v>
      </c>
      <c r="D301" s="35" t="s">
        <v>87</v>
      </c>
      <c r="E301" s="36">
        <f>1*(E294+E296)</f>
        <v>1.3765999999999998</v>
      </c>
      <c r="F301" s="33">
        <v>7.9257587999999988</v>
      </c>
      <c r="G301" s="33">
        <f>IF(ISNUMBER(F301),E301*F301,"")</f>
        <v>10.910599564079996</v>
      </c>
      <c r="H301" s="34"/>
      <c r="I301" s="30"/>
      <c r="J301" s="152">
        <v>0</v>
      </c>
    </row>
    <row r="302" spans="1:10" ht="39" hidden="1" thickBot="1" x14ac:dyDescent="0.3">
      <c r="A302" s="176"/>
      <c r="B302" s="174"/>
      <c r="C302" s="35" t="s">
        <v>88</v>
      </c>
      <c r="D302" s="46" t="s">
        <v>89</v>
      </c>
      <c r="E302" s="36">
        <f>(E294+E296)*20</f>
        <v>27.531999999999996</v>
      </c>
      <c r="F302" s="33">
        <v>2.6576449499999995</v>
      </c>
      <c r="G302" s="33">
        <f>IF(ISNUMBER(F302),E302*F302,"")</f>
        <v>73.170280763399973</v>
      </c>
      <c r="H302" s="34"/>
      <c r="I302" s="30"/>
      <c r="J302" s="152">
        <v>0</v>
      </c>
    </row>
    <row r="303" spans="1:10" ht="15.75" hidden="1" thickBot="1" x14ac:dyDescent="0.3">
      <c r="A303" s="176"/>
      <c r="B303" s="174"/>
      <c r="C303" s="50"/>
      <c r="D303" s="46"/>
      <c r="E303" s="36"/>
      <c r="F303" s="33" t="s">
        <v>416</v>
      </c>
      <c r="G303" s="33" t="str">
        <f>IF(ISNUMBER(F303),E303*F303,"")</f>
        <v/>
      </c>
      <c r="H303" s="34"/>
      <c r="I303" s="30"/>
      <c r="J303" s="152">
        <v>0</v>
      </c>
    </row>
    <row r="304" spans="1:10" ht="26.25" hidden="1" thickBot="1" x14ac:dyDescent="0.3">
      <c r="A304" s="176"/>
      <c r="B304" s="174"/>
      <c r="C304" s="47" t="s">
        <v>90</v>
      </c>
      <c r="D304" s="46"/>
      <c r="E304" s="36"/>
      <c r="F304" s="33" t="s">
        <v>416</v>
      </c>
      <c r="G304" s="33" t="str">
        <f>IF(ISNUMBER(F304),E304*F304,"")</f>
        <v/>
      </c>
      <c r="H304" s="34"/>
      <c r="I304" s="30"/>
      <c r="J304" s="152">
        <v>0</v>
      </c>
    </row>
    <row r="305" spans="1:10" ht="15.75" hidden="1" thickBot="1" x14ac:dyDescent="0.3">
      <c r="A305" s="177"/>
      <c r="B305" s="175"/>
      <c r="C305" s="35"/>
      <c r="D305" s="35"/>
      <c r="E305" s="36"/>
      <c r="F305" s="30" t="s">
        <v>416</v>
      </c>
      <c r="G305" s="30" t="str">
        <f>IF(ISNUMBER(F305),E305*F305,"")</f>
        <v/>
      </c>
      <c r="H305" s="34"/>
      <c r="I305" s="30"/>
      <c r="J305" s="152">
        <v>0</v>
      </c>
    </row>
    <row r="306" spans="1:10" ht="15.75" hidden="1" thickBot="1" x14ac:dyDescent="0.3">
      <c r="A306" s="170" t="s">
        <v>91</v>
      </c>
      <c r="B306" s="173" t="str">
        <f>INDEX(Orçamentária!A:B,MATCH(Composições!A306,Orçamentária!A:A,0),2)</f>
        <v>Concreto virado em betoneira, fck = 25 MPa</v>
      </c>
      <c r="C306" s="40"/>
      <c r="D306" s="25" t="s">
        <v>80</v>
      </c>
      <c r="E306" s="26"/>
      <c r="F306" s="41" t="s">
        <v>416</v>
      </c>
      <c r="G306" s="27" t="str">
        <f>IF(ISNUMBER(F306),E306*F306,"")</f>
        <v/>
      </c>
      <c r="H306" s="28"/>
      <c r="I306" s="29"/>
      <c r="J306" s="152">
        <v>0</v>
      </c>
    </row>
    <row r="307" spans="1:10" ht="15.75" hidden="1" thickBot="1" x14ac:dyDescent="0.3">
      <c r="A307" s="176"/>
      <c r="B307" s="174"/>
      <c r="C307" s="31"/>
      <c r="D307" s="31"/>
      <c r="E307" s="32"/>
      <c r="F307" s="42" t="s">
        <v>416</v>
      </c>
      <c r="G307" s="30" t="str">
        <f>IF(ISNUMBER(F307),E307*F307,"")</f>
        <v/>
      </c>
      <c r="H307" s="34"/>
      <c r="I307" s="30"/>
      <c r="J307" s="152">
        <v>0</v>
      </c>
    </row>
    <row r="308" spans="1:10" ht="26.25" hidden="1" thickBot="1" x14ac:dyDescent="0.3">
      <c r="A308" s="176"/>
      <c r="B308" s="174"/>
      <c r="C308" s="35" t="s">
        <v>6584</v>
      </c>
      <c r="D308" s="46" t="s">
        <v>80</v>
      </c>
      <c r="E308" s="36">
        <v>1</v>
      </c>
      <c r="F308" s="30">
        <v>283.7422095</v>
      </c>
      <c r="G308" s="33">
        <f>IF(ISNUMBER(F308),E308*F308,"")</f>
        <v>283.7422095</v>
      </c>
      <c r="H308" s="38">
        <f>SUM(G308:G317)</f>
        <v>920.49739506213996</v>
      </c>
      <c r="I308" s="39"/>
      <c r="J308" s="152">
        <v>0</v>
      </c>
    </row>
    <row r="309" spans="1:10" ht="26.25" hidden="1" thickBot="1" x14ac:dyDescent="0.3">
      <c r="A309" s="176"/>
      <c r="B309" s="174"/>
      <c r="C309" s="35" t="s">
        <v>7985</v>
      </c>
      <c r="D309" s="35" t="s">
        <v>87</v>
      </c>
      <c r="E309" s="36">
        <v>0.72289999999999999</v>
      </c>
      <c r="F309" s="33">
        <v>202.33099999999999</v>
      </c>
      <c r="G309" s="30">
        <f>IF(ISNUMBER(F309),E309*F309,"")</f>
        <v>146.26507989999999</v>
      </c>
      <c r="H309" s="34"/>
      <c r="I309" s="30"/>
      <c r="J309" s="152">
        <v>0</v>
      </c>
    </row>
    <row r="310" spans="1:10" ht="15.75" hidden="1" thickBot="1" x14ac:dyDescent="0.3">
      <c r="A310" s="176"/>
      <c r="B310" s="174"/>
      <c r="C310" s="35" t="s">
        <v>8065</v>
      </c>
      <c r="D310" s="35" t="s">
        <v>773</v>
      </c>
      <c r="E310" s="36">
        <v>362.65789999999998</v>
      </c>
      <c r="F310" s="33">
        <v>0.627</v>
      </c>
      <c r="G310" s="30">
        <f>IF(ISNUMBER(F310),E310*F310,"")</f>
        <v>227.38650329999999</v>
      </c>
      <c r="H310" s="34"/>
      <c r="I310" s="30"/>
      <c r="J310" s="152">
        <v>0</v>
      </c>
    </row>
    <row r="311" spans="1:10" ht="26.25" hidden="1" thickBot="1" x14ac:dyDescent="0.3">
      <c r="A311" s="176"/>
      <c r="B311" s="174"/>
      <c r="C311" s="35" t="s">
        <v>8311</v>
      </c>
      <c r="D311" s="35" t="s">
        <v>87</v>
      </c>
      <c r="E311" s="36">
        <v>0.59340000000000004</v>
      </c>
      <c r="F311" s="33">
        <v>176.453</v>
      </c>
      <c r="G311" s="30">
        <f>IF(ISNUMBER(F311),E311*F311,"")</f>
        <v>104.70721020000001</v>
      </c>
      <c r="H311" s="34"/>
      <c r="I311" s="30"/>
      <c r="J311" s="152">
        <v>0</v>
      </c>
    </row>
    <row r="312" spans="1:10" ht="15.75" hidden="1" thickBot="1" x14ac:dyDescent="0.3">
      <c r="A312" s="176"/>
      <c r="B312" s="174"/>
      <c r="C312" s="35" t="s">
        <v>584</v>
      </c>
      <c r="D312" s="35" t="s">
        <v>583</v>
      </c>
      <c r="E312" s="36">
        <v>2.3117000000000001</v>
      </c>
      <c r="F312" s="30">
        <v>20.225499999999997</v>
      </c>
      <c r="G312" s="30">
        <f>IF(ISNUMBER(F312),E312*F312,"")</f>
        <v>46.755288349999994</v>
      </c>
      <c r="H312" s="34"/>
      <c r="I312" s="30"/>
      <c r="J312" s="152">
        <v>0</v>
      </c>
    </row>
    <row r="313" spans="1:10" ht="26.25" hidden="1" thickBot="1" x14ac:dyDescent="0.3">
      <c r="A313" s="176"/>
      <c r="B313" s="174"/>
      <c r="C313" s="35" t="s">
        <v>1271</v>
      </c>
      <c r="D313" s="35" t="s">
        <v>583</v>
      </c>
      <c r="E313" s="36">
        <v>1.4637</v>
      </c>
      <c r="F313" s="30">
        <v>20.291999999999998</v>
      </c>
      <c r="G313" s="30">
        <f>IF(ISNUMBER(F313),E313*F313,"")</f>
        <v>29.701400399999997</v>
      </c>
      <c r="H313" s="34"/>
      <c r="I313" s="30"/>
      <c r="J313" s="152">
        <v>0</v>
      </c>
    </row>
    <row r="314" spans="1:10" ht="39" hidden="1" thickBot="1" x14ac:dyDescent="0.3">
      <c r="A314" s="176"/>
      <c r="B314" s="174"/>
      <c r="C314" s="35" t="s">
        <v>84</v>
      </c>
      <c r="D314" s="35" t="s">
        <v>813</v>
      </c>
      <c r="E314" s="36">
        <v>0.75339999999999996</v>
      </c>
      <c r="F314" s="33">
        <v>1.6435</v>
      </c>
      <c r="G314" s="30">
        <f>IF(ISNUMBER(F314),E314*F314,"")</f>
        <v>1.2382128999999999</v>
      </c>
      <c r="H314" s="34"/>
      <c r="I314" s="30"/>
      <c r="J314" s="152">
        <v>0</v>
      </c>
    </row>
    <row r="315" spans="1:10" ht="39" hidden="1" thickBot="1" x14ac:dyDescent="0.3">
      <c r="A315" s="176"/>
      <c r="B315" s="174"/>
      <c r="C315" s="35" t="s">
        <v>85</v>
      </c>
      <c r="D315" s="35" t="s">
        <v>815</v>
      </c>
      <c r="E315" s="36">
        <v>0.71030000000000004</v>
      </c>
      <c r="F315" s="33">
        <v>0.42749999999999999</v>
      </c>
      <c r="G315" s="30">
        <f>IF(ISNUMBER(F315),E315*F315,"")</f>
        <v>0.30365324999999999</v>
      </c>
      <c r="H315" s="34"/>
      <c r="I315" s="30"/>
      <c r="J315" s="152">
        <v>0</v>
      </c>
    </row>
    <row r="316" spans="1:10" ht="51.75" hidden="1" thickBot="1" x14ac:dyDescent="0.3">
      <c r="A316" s="176"/>
      <c r="B316" s="174"/>
      <c r="C316" s="35" t="s">
        <v>3071</v>
      </c>
      <c r="D316" s="35" t="s">
        <v>87</v>
      </c>
      <c r="E316" s="36">
        <f>1*(E309+E311)</f>
        <v>1.3163</v>
      </c>
      <c r="F316" s="33">
        <v>7.9257587999999988</v>
      </c>
      <c r="G316" s="33">
        <f>IF(ISNUMBER(F316),E316*F316,"")</f>
        <v>10.432676308439998</v>
      </c>
      <c r="H316" s="34"/>
      <c r="I316" s="30"/>
      <c r="J316" s="152">
        <v>0</v>
      </c>
    </row>
    <row r="317" spans="1:10" ht="39" hidden="1" thickBot="1" x14ac:dyDescent="0.3">
      <c r="A317" s="176"/>
      <c r="B317" s="174"/>
      <c r="C317" s="35" t="s">
        <v>88</v>
      </c>
      <c r="D317" s="46" t="s">
        <v>89</v>
      </c>
      <c r="E317" s="36">
        <f>(E309+E311)*20</f>
        <v>26.326000000000001</v>
      </c>
      <c r="F317" s="33">
        <v>2.6576449499999995</v>
      </c>
      <c r="G317" s="33">
        <f>IF(ISNUMBER(F317),E317*F317,"")</f>
        <v>69.965160953699993</v>
      </c>
      <c r="H317" s="34"/>
      <c r="I317" s="30"/>
      <c r="J317" s="152">
        <v>0</v>
      </c>
    </row>
    <row r="318" spans="1:10" ht="15.75" hidden="1" thickBot="1" x14ac:dyDescent="0.3">
      <c r="A318" s="176"/>
      <c r="B318" s="174"/>
      <c r="C318" s="50"/>
      <c r="D318" s="46"/>
      <c r="E318" s="36"/>
      <c r="F318" s="33" t="s">
        <v>416</v>
      </c>
      <c r="G318" s="33" t="str">
        <f>IF(ISNUMBER(F318),E318*F318,"")</f>
        <v/>
      </c>
      <c r="H318" s="34"/>
      <c r="I318" s="30"/>
      <c r="J318" s="152">
        <v>0</v>
      </c>
    </row>
    <row r="319" spans="1:10" ht="26.25" hidden="1" thickBot="1" x14ac:dyDescent="0.3">
      <c r="A319" s="176"/>
      <c r="B319" s="174"/>
      <c r="C319" s="47" t="s">
        <v>90</v>
      </c>
      <c r="D319" s="46"/>
      <c r="E319" s="36"/>
      <c r="F319" s="33" t="s">
        <v>416</v>
      </c>
      <c r="G319" s="33" t="str">
        <f>IF(ISNUMBER(F319),E319*F319,"")</f>
        <v/>
      </c>
      <c r="H319" s="34"/>
      <c r="I319" s="30"/>
      <c r="J319" s="152">
        <v>0</v>
      </c>
    </row>
    <row r="320" spans="1:10" ht="15.75" hidden="1" thickBot="1" x14ac:dyDescent="0.3">
      <c r="A320" s="177"/>
      <c r="B320" s="175"/>
      <c r="C320" s="35"/>
      <c r="D320" s="35"/>
      <c r="E320" s="36"/>
      <c r="F320" s="30" t="s">
        <v>416</v>
      </c>
      <c r="G320" s="30" t="str">
        <f>IF(ISNUMBER(F320),E320*F320,"")</f>
        <v/>
      </c>
      <c r="H320" s="34"/>
      <c r="I320" s="30"/>
      <c r="J320" s="152">
        <v>0</v>
      </c>
    </row>
    <row r="321" spans="1:10" ht="15.75" hidden="1" thickBot="1" x14ac:dyDescent="0.3">
      <c r="A321" s="170" t="s">
        <v>92</v>
      </c>
      <c r="B321" s="173" t="str">
        <f>INDEX(Orçamentária!A:B,MATCH(Composições!A321,Orçamentária!A:A,0),2)</f>
        <v>Escoramento metálico</v>
      </c>
      <c r="C321" s="40"/>
      <c r="D321" s="25" t="s">
        <v>1334</v>
      </c>
      <c r="E321" s="26"/>
      <c r="F321" s="41" t="s">
        <v>416</v>
      </c>
      <c r="G321" s="27" t="str">
        <f>IF(ISNUMBER(F321),E321*F321,"")</f>
        <v/>
      </c>
      <c r="H321" s="28"/>
      <c r="I321" s="29"/>
      <c r="J321" s="152">
        <v>0</v>
      </c>
    </row>
    <row r="322" spans="1:10" ht="15.75" hidden="1" thickBot="1" x14ac:dyDescent="0.3">
      <c r="A322" s="176"/>
      <c r="B322" s="174"/>
      <c r="C322" s="31"/>
      <c r="D322" s="31"/>
      <c r="E322" s="32"/>
      <c r="F322" s="30" t="s">
        <v>416</v>
      </c>
      <c r="G322" s="30" t="str">
        <f>IF(ISNUMBER(F322),E322*F322,"")</f>
        <v/>
      </c>
      <c r="H322" s="34"/>
      <c r="I322" s="30"/>
      <c r="J322" s="152">
        <v>0</v>
      </c>
    </row>
    <row r="323" spans="1:10" ht="39" hidden="1" thickBot="1" x14ac:dyDescent="0.3">
      <c r="A323" s="176"/>
      <c r="B323" s="174"/>
      <c r="C323" s="35" t="s">
        <v>8227</v>
      </c>
      <c r="D323" s="35" t="s">
        <v>93</v>
      </c>
      <c r="E323" s="36">
        <v>0.85</v>
      </c>
      <c r="F323" s="30">
        <v>8.702</v>
      </c>
      <c r="G323" s="30">
        <f>IF(ISNUMBER(F323),E323*F323,"")</f>
        <v>7.3967000000000001</v>
      </c>
      <c r="H323" s="38">
        <f>SUM(G323:G325)</f>
        <v>20.672000000000001</v>
      </c>
      <c r="I323" s="39"/>
      <c r="J323" s="152">
        <v>0</v>
      </c>
    </row>
    <row r="324" spans="1:10" ht="15.75" hidden="1" thickBot="1" x14ac:dyDescent="0.3">
      <c r="A324" s="176"/>
      <c r="B324" s="174"/>
      <c r="C324" s="35" t="s">
        <v>660</v>
      </c>
      <c r="D324" s="35" t="s">
        <v>583</v>
      </c>
      <c r="E324" s="36">
        <v>0.2</v>
      </c>
      <c r="F324" s="30">
        <v>21.337</v>
      </c>
      <c r="G324" s="30">
        <f>IF(ISNUMBER(F324),E324*F324,"")</f>
        <v>4.2674000000000003</v>
      </c>
      <c r="H324" s="34"/>
      <c r="I324" s="30"/>
      <c r="J324" s="152">
        <v>0</v>
      </c>
    </row>
    <row r="325" spans="1:10" ht="26.25" hidden="1" thickBot="1" x14ac:dyDescent="0.3">
      <c r="A325" s="176"/>
      <c r="B325" s="174"/>
      <c r="C325" s="35" t="s">
        <v>3233</v>
      </c>
      <c r="D325" s="35" t="s">
        <v>385</v>
      </c>
      <c r="E325" s="36">
        <v>1.1000000000000001</v>
      </c>
      <c r="F325" s="30">
        <v>8.1889999999999983</v>
      </c>
      <c r="G325" s="30">
        <f>IF(ISNUMBER(F325),E325*F325,"")</f>
        <v>9.0078999999999994</v>
      </c>
      <c r="H325" s="34"/>
      <c r="I325" s="30"/>
      <c r="J325" s="152">
        <v>0</v>
      </c>
    </row>
    <row r="326" spans="1:10" ht="15.75" hidden="1" thickBot="1" x14ac:dyDescent="0.3">
      <c r="A326" s="176"/>
      <c r="B326" s="174"/>
      <c r="C326" s="35"/>
      <c r="D326" s="35"/>
      <c r="E326" s="36"/>
      <c r="F326" s="30" t="s">
        <v>416</v>
      </c>
      <c r="G326" s="30" t="str">
        <f>IF(ISNUMBER(F326),E326*F326,"")</f>
        <v/>
      </c>
      <c r="H326" s="34"/>
      <c r="I326" s="30"/>
      <c r="J326" s="152">
        <v>0</v>
      </c>
    </row>
    <row r="327" spans="1:10" ht="15.75" hidden="1" thickBot="1" x14ac:dyDescent="0.3">
      <c r="A327" s="170" t="s">
        <v>94</v>
      </c>
      <c r="B327" s="173" t="str">
        <f>INDEX(Orçamentária!A:B,MATCH(Composições!A327,Orçamentária!A:A,0),2)</f>
        <v>Estrutura metálica em aço</v>
      </c>
      <c r="C327" s="40"/>
      <c r="D327" s="25" t="s">
        <v>28</v>
      </c>
      <c r="E327" s="26"/>
      <c r="F327" s="41" t="s">
        <v>416</v>
      </c>
      <c r="G327" s="27" t="str">
        <f>IF(ISNUMBER(F327),E327*F327,"")</f>
        <v/>
      </c>
      <c r="H327" s="28"/>
      <c r="I327" s="29"/>
      <c r="J327" s="152">
        <v>0</v>
      </c>
    </row>
    <row r="328" spans="1:10" ht="15.75" hidden="1" thickBot="1" x14ac:dyDescent="0.3">
      <c r="A328" s="176"/>
      <c r="B328" s="174"/>
      <c r="C328" s="31"/>
      <c r="D328" s="31"/>
      <c r="E328" s="32"/>
      <c r="F328" s="42" t="s">
        <v>416</v>
      </c>
      <c r="G328" s="30" t="str">
        <f>IF(ISNUMBER(F328),E328*F328,"")</f>
        <v/>
      </c>
      <c r="H328" s="34"/>
      <c r="I328" s="30"/>
      <c r="J328" s="152">
        <v>0</v>
      </c>
    </row>
    <row r="329" spans="1:10" ht="39" hidden="1" thickBot="1" x14ac:dyDescent="0.3">
      <c r="A329" s="176"/>
      <c r="B329" s="174"/>
      <c r="C329" s="35" t="s">
        <v>7956</v>
      </c>
      <c r="D329" s="35" t="s">
        <v>773</v>
      </c>
      <c r="E329" s="36">
        <v>0.01</v>
      </c>
      <c r="F329" s="33">
        <v>64.219999999999985</v>
      </c>
      <c r="G329" s="33">
        <f>IF(ISNUMBER(F329),E329*F329,"")</f>
        <v>0.64219999999999988</v>
      </c>
      <c r="H329" s="38">
        <f>SUM(G329:G340)</f>
        <v>15.324924999999997</v>
      </c>
      <c r="I329" s="39"/>
      <c r="J329" s="152">
        <v>0</v>
      </c>
    </row>
    <row r="330" spans="1:10" ht="26.25" hidden="1" thickBot="1" x14ac:dyDescent="0.3">
      <c r="A330" s="176"/>
      <c r="B330" s="174"/>
      <c r="C330" s="35" t="s">
        <v>95</v>
      </c>
      <c r="D330" s="35" t="s">
        <v>773</v>
      </c>
      <c r="E330" s="36">
        <v>0.27</v>
      </c>
      <c r="F330" s="33">
        <v>10.069999999999999</v>
      </c>
      <c r="G330" s="33">
        <f>IF(ISNUMBER(F330),E330*F330,"")</f>
        <v>2.7188999999999997</v>
      </c>
      <c r="H330" s="34"/>
      <c r="I330" s="30"/>
      <c r="J330" s="152">
        <v>0</v>
      </c>
    </row>
    <row r="331" spans="1:10" ht="15.75" hidden="1" thickBot="1" x14ac:dyDescent="0.3">
      <c r="A331" s="176"/>
      <c r="B331" s="174"/>
      <c r="C331" s="35" t="s">
        <v>96</v>
      </c>
      <c r="D331" s="46" t="s">
        <v>28</v>
      </c>
      <c r="E331" s="36">
        <v>0.33</v>
      </c>
      <c r="F331" s="33">
        <v>0</v>
      </c>
      <c r="G331" s="33">
        <f>IF(ISNUMBER(F331),E331*F331,"")</f>
        <v>0</v>
      </c>
      <c r="H331" s="34"/>
      <c r="I331" s="30"/>
      <c r="J331" s="152">
        <v>0</v>
      </c>
    </row>
    <row r="332" spans="1:10" ht="15.75" hidden="1" thickBot="1" x14ac:dyDescent="0.3">
      <c r="A332" s="176"/>
      <c r="B332" s="174"/>
      <c r="C332" s="35" t="s">
        <v>97</v>
      </c>
      <c r="D332" s="35" t="s">
        <v>773</v>
      </c>
      <c r="E332" s="36">
        <v>2.5000000000000001E-2</v>
      </c>
      <c r="F332" s="33">
        <v>38</v>
      </c>
      <c r="G332" s="33">
        <f>IF(ISNUMBER(F332),E332*F332,"")</f>
        <v>0.95000000000000007</v>
      </c>
      <c r="H332" s="34"/>
      <c r="I332" s="30"/>
      <c r="J332" s="152">
        <v>0</v>
      </c>
    </row>
    <row r="333" spans="1:10" ht="26.25" hidden="1" thickBot="1" x14ac:dyDescent="0.3">
      <c r="A333" s="176"/>
      <c r="B333" s="174"/>
      <c r="C333" s="35" t="s">
        <v>98</v>
      </c>
      <c r="D333" s="35" t="s">
        <v>87</v>
      </c>
      <c r="E333" s="36">
        <v>0.05</v>
      </c>
      <c r="F333" s="33">
        <v>14.0695</v>
      </c>
      <c r="G333" s="33">
        <f>IF(ISNUMBER(F333),E333*F333,"")</f>
        <v>0.70347500000000007</v>
      </c>
      <c r="H333" s="34"/>
      <c r="I333" s="30"/>
      <c r="J333" s="152">
        <v>0</v>
      </c>
    </row>
    <row r="334" spans="1:10" ht="15.75" hidden="1" thickBot="1" x14ac:dyDescent="0.3">
      <c r="A334" s="176"/>
      <c r="B334" s="174"/>
      <c r="C334" s="35" t="s">
        <v>99</v>
      </c>
      <c r="D334" s="46" t="s">
        <v>28</v>
      </c>
      <c r="E334" s="36">
        <v>0.4</v>
      </c>
      <c r="F334" s="33">
        <v>0</v>
      </c>
      <c r="G334" s="33">
        <f>IF(ISNUMBER(F334),E334*F334,"")</f>
        <v>0</v>
      </c>
      <c r="H334" s="34"/>
      <c r="I334" s="30"/>
      <c r="J334" s="152">
        <v>0</v>
      </c>
    </row>
    <row r="335" spans="1:10" ht="26.25" hidden="1" thickBot="1" x14ac:dyDescent="0.3">
      <c r="A335" s="176"/>
      <c r="B335" s="174"/>
      <c r="C335" s="35" t="s">
        <v>854</v>
      </c>
      <c r="D335" s="35" t="s">
        <v>583</v>
      </c>
      <c r="E335" s="36">
        <f>0.2+0.2</f>
        <v>0.4</v>
      </c>
      <c r="F335" s="30">
        <v>20.719499999999996</v>
      </c>
      <c r="G335" s="33">
        <f>IF(ISNUMBER(F335),E335*F335,"")</f>
        <v>8.2877999999999989</v>
      </c>
      <c r="H335" s="34"/>
      <c r="I335" s="30"/>
      <c r="J335" s="152">
        <v>0</v>
      </c>
    </row>
    <row r="336" spans="1:10" ht="15.75" hidden="1" thickBot="1" x14ac:dyDescent="0.3">
      <c r="A336" s="176"/>
      <c r="B336" s="174"/>
      <c r="C336" s="35" t="s">
        <v>584</v>
      </c>
      <c r="D336" s="35" t="s">
        <v>583</v>
      </c>
      <c r="E336" s="36">
        <v>0.1</v>
      </c>
      <c r="F336" s="30">
        <v>20.225499999999997</v>
      </c>
      <c r="G336" s="33">
        <f>IF(ISNUMBER(F336),E336*F336,"")</f>
        <v>2.0225499999999998</v>
      </c>
      <c r="H336" s="34"/>
      <c r="I336" s="30"/>
      <c r="J336" s="152">
        <v>0</v>
      </c>
    </row>
    <row r="337" spans="1:10" ht="26.25" hidden="1" thickBot="1" x14ac:dyDescent="0.3">
      <c r="A337" s="176"/>
      <c r="B337" s="174"/>
      <c r="C337" s="35" t="s">
        <v>100</v>
      </c>
      <c r="D337" s="46" t="s">
        <v>28</v>
      </c>
      <c r="E337" s="36">
        <v>0.05</v>
      </c>
      <c r="F337" s="33">
        <v>0</v>
      </c>
      <c r="G337" s="33">
        <f>IF(ISNUMBER(F337),E337*F337,"")</f>
        <v>0</v>
      </c>
      <c r="H337" s="34"/>
      <c r="I337" s="30"/>
      <c r="J337" s="152">
        <v>0</v>
      </c>
    </row>
    <row r="338" spans="1:10" ht="39" hidden="1" thickBot="1" x14ac:dyDescent="0.3">
      <c r="A338" s="176"/>
      <c r="B338" s="174"/>
      <c r="C338" s="35" t="s">
        <v>101</v>
      </c>
      <c r="D338" s="46" t="s">
        <v>70</v>
      </c>
      <c r="E338" s="36">
        <v>0.05</v>
      </c>
      <c r="F338" s="33">
        <v>0</v>
      </c>
      <c r="G338" s="33">
        <f>IF(ISNUMBER(F338),E338*F338,"")</f>
        <v>0</v>
      </c>
      <c r="H338" s="34"/>
      <c r="I338" s="30"/>
      <c r="J338" s="152">
        <v>0</v>
      </c>
    </row>
    <row r="339" spans="1:10" ht="15.75" hidden="1" thickBot="1" x14ac:dyDescent="0.3">
      <c r="A339" s="176"/>
      <c r="B339" s="174"/>
      <c r="C339" s="35" t="s">
        <v>102</v>
      </c>
      <c r="D339" s="46" t="s">
        <v>11</v>
      </c>
      <c r="E339" s="36">
        <v>2.5000000000000001E-2</v>
      </c>
      <c r="F339" s="33">
        <v>0</v>
      </c>
      <c r="G339" s="33">
        <f>IF(ISNUMBER(F339),E339*F339,"")</f>
        <v>0</v>
      </c>
      <c r="H339" s="34"/>
      <c r="I339" s="30"/>
      <c r="J339" s="152">
        <v>0</v>
      </c>
    </row>
    <row r="340" spans="1:10" ht="51.75" hidden="1" thickBot="1" x14ac:dyDescent="0.3">
      <c r="A340" s="176"/>
      <c r="B340" s="174"/>
      <c r="C340" s="35" t="s">
        <v>103</v>
      </c>
      <c r="D340" s="46" t="s">
        <v>11</v>
      </c>
      <c r="E340" s="36">
        <v>0.5</v>
      </c>
      <c r="F340" s="33">
        <v>0</v>
      </c>
      <c r="G340" s="33">
        <f>IF(ISNUMBER(F340),E340*F340,"")</f>
        <v>0</v>
      </c>
      <c r="H340" s="34"/>
      <c r="I340" s="30"/>
      <c r="J340" s="152">
        <v>0</v>
      </c>
    </row>
    <row r="341" spans="1:10" ht="15.75" hidden="1" thickBot="1" x14ac:dyDescent="0.3">
      <c r="A341" s="177"/>
      <c r="B341" s="175"/>
      <c r="C341" s="35"/>
      <c r="D341" s="35"/>
      <c r="E341" s="36"/>
      <c r="F341" s="30" t="s">
        <v>416</v>
      </c>
      <c r="G341" s="30" t="str">
        <f>IF(ISNUMBER(F341),E341*F341,"")</f>
        <v/>
      </c>
      <c r="H341" s="34"/>
      <c r="I341" s="30"/>
      <c r="J341" s="152">
        <v>0</v>
      </c>
    </row>
    <row r="342" spans="1:10" ht="15.75" hidden="1" thickBot="1" x14ac:dyDescent="0.3">
      <c r="A342" s="170" t="s">
        <v>104</v>
      </c>
      <c r="B342" s="173" t="str">
        <f>INDEX(Orçamentária!A:B,MATCH(Composições!A342,Orçamentária!A:A,0),2)</f>
        <v>Forma para estruturas de concreto</v>
      </c>
      <c r="C342" s="40"/>
      <c r="D342" s="25" t="s">
        <v>70</v>
      </c>
      <c r="E342" s="26"/>
      <c r="F342" s="41" t="s">
        <v>416</v>
      </c>
      <c r="G342" s="27" t="str">
        <f>IF(ISNUMBER(F342),E342*F342,"")</f>
        <v/>
      </c>
      <c r="H342" s="28"/>
      <c r="I342" s="29"/>
      <c r="J342" s="152">
        <v>0</v>
      </c>
    </row>
    <row r="343" spans="1:10" ht="15.75" hidden="1" thickBot="1" x14ac:dyDescent="0.3">
      <c r="A343" s="176"/>
      <c r="B343" s="174"/>
      <c r="C343" s="31"/>
      <c r="D343" s="31"/>
      <c r="E343" s="32"/>
      <c r="F343" s="42" t="s">
        <v>416</v>
      </c>
      <c r="G343" s="30" t="str">
        <f>IF(ISNUMBER(F343),E343*F343,"")</f>
        <v/>
      </c>
      <c r="H343" s="34"/>
      <c r="I343" s="30"/>
      <c r="J343" s="152">
        <v>0</v>
      </c>
    </row>
    <row r="344" spans="1:10" ht="26.25" hidden="1" thickBot="1" x14ac:dyDescent="0.3">
      <c r="A344" s="176"/>
      <c r="B344" s="174"/>
      <c r="C344" s="35" t="s">
        <v>1009</v>
      </c>
      <c r="D344" s="35" t="s">
        <v>75</v>
      </c>
      <c r="E344" s="36">
        <v>0.01</v>
      </c>
      <c r="F344" s="33">
        <v>7.9229999999999992</v>
      </c>
      <c r="G344" s="33">
        <f>IF(ISNUMBER(F344),E344*F344,"")</f>
        <v>7.9229999999999995E-2</v>
      </c>
      <c r="H344" s="38">
        <f>SUM(G344:G350)</f>
        <v>193.04211718899998</v>
      </c>
      <c r="I344" s="39"/>
      <c r="J344" s="152">
        <v>0</v>
      </c>
    </row>
    <row r="345" spans="1:10" ht="26.25" hidden="1" thickBot="1" x14ac:dyDescent="0.3">
      <c r="A345" s="176"/>
      <c r="B345" s="174"/>
      <c r="C345" s="35" t="s">
        <v>8518</v>
      </c>
      <c r="D345" s="35" t="s">
        <v>385</v>
      </c>
      <c r="E345" s="36">
        <v>0.47399999999999998</v>
      </c>
      <c r="F345" s="33">
        <v>23.398499999999999</v>
      </c>
      <c r="G345" s="33">
        <f>IF(ISNUMBER(F345),E345*F345,"")</f>
        <v>11.090888999999999</v>
      </c>
      <c r="H345" s="34"/>
      <c r="I345" s="30"/>
      <c r="J345" s="152">
        <v>0</v>
      </c>
    </row>
    <row r="346" spans="1:10" ht="15.75" hidden="1" thickBot="1" x14ac:dyDescent="0.3">
      <c r="A346" s="176"/>
      <c r="B346" s="174"/>
      <c r="C346" s="35" t="s">
        <v>2936</v>
      </c>
      <c r="D346" s="35" t="s">
        <v>773</v>
      </c>
      <c r="E346" s="36">
        <v>4.9000000000000002E-2</v>
      </c>
      <c r="F346" s="33">
        <v>26.656999999999996</v>
      </c>
      <c r="G346" s="33">
        <f>IF(ISNUMBER(F346),E346*F346,"")</f>
        <v>1.3061929999999999</v>
      </c>
      <c r="H346" s="34"/>
      <c r="I346" s="30"/>
      <c r="J346" s="152">
        <v>0</v>
      </c>
    </row>
    <row r="347" spans="1:10" ht="15.75" hidden="1" thickBot="1" x14ac:dyDescent="0.3">
      <c r="A347" s="176"/>
      <c r="B347" s="174"/>
      <c r="C347" s="35" t="s">
        <v>660</v>
      </c>
      <c r="D347" s="35" t="s">
        <v>583</v>
      </c>
      <c r="E347" s="36">
        <v>0.20499999999999999</v>
      </c>
      <c r="F347" s="30">
        <v>21.337</v>
      </c>
      <c r="G347" s="33">
        <f>IF(ISNUMBER(F347),E347*F347,"")</f>
        <v>4.374085</v>
      </c>
      <c r="H347" s="34"/>
      <c r="I347" s="30"/>
      <c r="J347" s="152">
        <v>0</v>
      </c>
    </row>
    <row r="348" spans="1:10" ht="15.75" hidden="1" thickBot="1" x14ac:dyDescent="0.3">
      <c r="A348" s="176"/>
      <c r="B348" s="174"/>
      <c r="C348" s="35" t="s">
        <v>862</v>
      </c>
      <c r="D348" s="35" t="s">
        <v>583</v>
      </c>
      <c r="E348" s="36">
        <v>1.1200000000000001</v>
      </c>
      <c r="F348" s="30">
        <v>26.799499999999998</v>
      </c>
      <c r="G348" s="33">
        <f>IF(ISNUMBER(F348),E348*F348,"")</f>
        <v>30.015440000000002</v>
      </c>
      <c r="H348" s="34"/>
      <c r="I348" s="30"/>
      <c r="J348" s="152">
        <v>0</v>
      </c>
    </row>
    <row r="349" spans="1:10" ht="26.25" hidden="1" thickBot="1" x14ac:dyDescent="0.3">
      <c r="A349" s="176"/>
      <c r="B349" s="174"/>
      <c r="C349" s="35" t="s">
        <v>3218</v>
      </c>
      <c r="D349" s="35" t="s">
        <v>861</v>
      </c>
      <c r="E349" s="36">
        <v>0.621</v>
      </c>
      <c r="F349" s="33">
        <v>124.33613299999998</v>
      </c>
      <c r="G349" s="33">
        <f>IF(ISNUMBER(F349),E349*F349,"")</f>
        <v>77.212738592999983</v>
      </c>
      <c r="H349" s="34"/>
      <c r="I349" s="30"/>
      <c r="J349" s="152">
        <v>0</v>
      </c>
    </row>
    <row r="350" spans="1:10" ht="26.25" hidden="1" thickBot="1" x14ac:dyDescent="0.3">
      <c r="A350" s="176"/>
      <c r="B350" s="174"/>
      <c r="C350" s="35" t="s">
        <v>3220</v>
      </c>
      <c r="D350" s="35" t="s">
        <v>385</v>
      </c>
      <c r="E350" s="36">
        <v>1.8160000000000001</v>
      </c>
      <c r="F350" s="33">
        <v>37.9755185</v>
      </c>
      <c r="G350" s="33">
        <f>IF(ISNUMBER(F350),E350*F350,"")</f>
        <v>68.963541595999999</v>
      </c>
      <c r="H350" s="34"/>
      <c r="I350" s="30"/>
      <c r="J350" s="152">
        <v>0</v>
      </c>
    </row>
    <row r="351" spans="1:10" ht="15.75" hidden="1" thickBot="1" x14ac:dyDescent="0.3">
      <c r="A351" s="177"/>
      <c r="B351" s="175"/>
      <c r="C351" s="35"/>
      <c r="D351" s="35"/>
      <c r="E351" s="36"/>
      <c r="F351" s="30" t="s">
        <v>416</v>
      </c>
      <c r="G351" s="30" t="str">
        <f>IF(ISNUMBER(F351),E351*F351,"")</f>
        <v/>
      </c>
      <c r="H351" s="34"/>
      <c r="I351" s="30"/>
      <c r="J351" s="152">
        <v>0</v>
      </c>
    </row>
    <row r="352" spans="1:10" ht="15.75" hidden="1" thickBot="1" x14ac:dyDescent="0.3">
      <c r="A352" s="170" t="s">
        <v>105</v>
      </c>
      <c r="B352" s="173" t="str">
        <f>INDEX(Orçamentária!A:B,MATCH(Composições!A352,Orçamentária!A:A,0),2)</f>
        <v>Verga/contraverga/cinta em bloco de concreto canaleta 11,5 x 19 x 39 cm</v>
      </c>
      <c r="C352" s="40"/>
      <c r="D352" s="25" t="s">
        <v>69</v>
      </c>
      <c r="E352" s="26"/>
      <c r="F352" s="41" t="s">
        <v>416</v>
      </c>
      <c r="G352" s="27" t="str">
        <f>IF(ISNUMBER(F352),E352*F352,"")</f>
        <v/>
      </c>
      <c r="H352" s="28"/>
      <c r="I352" s="29"/>
      <c r="J352" s="152">
        <v>0</v>
      </c>
    </row>
    <row r="353" spans="1:10" ht="15.75" hidden="1" thickBot="1" x14ac:dyDescent="0.3">
      <c r="A353" s="171"/>
      <c r="B353" s="174"/>
      <c r="C353" s="31"/>
      <c r="D353" s="31"/>
      <c r="E353" s="32"/>
      <c r="F353" s="42" t="s">
        <v>416</v>
      </c>
      <c r="G353" s="30" t="str">
        <f>IF(ISNUMBER(F353),E353*F353,"")</f>
        <v/>
      </c>
      <c r="H353" s="34"/>
      <c r="I353" s="30"/>
      <c r="J353" s="152">
        <v>0</v>
      </c>
    </row>
    <row r="354" spans="1:10" ht="15.75" hidden="1" thickBot="1" x14ac:dyDescent="0.3">
      <c r="A354" s="171"/>
      <c r="B354" s="174"/>
      <c r="C354" s="35" t="s">
        <v>584</v>
      </c>
      <c r="D354" s="35" t="s">
        <v>583</v>
      </c>
      <c r="E354" s="36">
        <v>0.4</v>
      </c>
      <c r="F354" s="30">
        <v>20.225499999999997</v>
      </c>
      <c r="G354" s="33">
        <f>IF(ISNUMBER(F354),E354*F354,"")</f>
        <v>8.0901999999999994</v>
      </c>
      <c r="H354" s="38">
        <f>SUM(G354:G362)</f>
        <v>27.234093155999997</v>
      </c>
      <c r="I354" s="39"/>
      <c r="J354" s="152">
        <v>0</v>
      </c>
    </row>
    <row r="355" spans="1:10" ht="15.75" hidden="1" thickBot="1" x14ac:dyDescent="0.3">
      <c r="A355" s="171"/>
      <c r="B355" s="174"/>
      <c r="C355" s="35" t="s">
        <v>591</v>
      </c>
      <c r="D355" s="35" t="s">
        <v>583</v>
      </c>
      <c r="E355" s="36">
        <v>0.3</v>
      </c>
      <c r="F355" s="30">
        <v>27.160499999999999</v>
      </c>
      <c r="G355" s="33">
        <f>IF(ISNUMBER(F355),E355*F355,"")</f>
        <v>8.1481499999999993</v>
      </c>
      <c r="H355" s="34"/>
      <c r="I355" s="30"/>
      <c r="J355" s="152">
        <v>0</v>
      </c>
    </row>
    <row r="356" spans="1:10" ht="26.25" hidden="1" thickBot="1" x14ac:dyDescent="0.3">
      <c r="A356" s="171"/>
      <c r="B356" s="174"/>
      <c r="C356" s="35" t="s">
        <v>7985</v>
      </c>
      <c r="D356" s="35" t="s">
        <v>87</v>
      </c>
      <c r="E356" s="36">
        <v>0.01</v>
      </c>
      <c r="F356" s="33">
        <v>202.33099999999999</v>
      </c>
      <c r="G356" s="33">
        <f>IF(ISNUMBER(F356),E356*F356,"")</f>
        <v>2.0233099999999999</v>
      </c>
      <c r="H356" s="34"/>
      <c r="I356" s="30"/>
      <c r="J356" s="152">
        <v>0</v>
      </c>
    </row>
    <row r="357" spans="1:10" ht="26.25" hidden="1" thickBot="1" x14ac:dyDescent="0.3">
      <c r="A357" s="171"/>
      <c r="B357" s="174"/>
      <c r="C357" s="35" t="s">
        <v>8312</v>
      </c>
      <c r="D357" s="35" t="s">
        <v>87</v>
      </c>
      <c r="E357" s="36">
        <v>0.01</v>
      </c>
      <c r="F357" s="33">
        <v>177.38399999999999</v>
      </c>
      <c r="G357" s="33">
        <f>IF(ISNUMBER(F357),E357*F357,"")</f>
        <v>1.7738399999999999</v>
      </c>
      <c r="H357" s="34"/>
      <c r="I357" s="30"/>
      <c r="J357" s="152">
        <v>0</v>
      </c>
    </row>
    <row r="358" spans="1:10" ht="15.75" hidden="1" thickBot="1" x14ac:dyDescent="0.3">
      <c r="A358" s="171"/>
      <c r="B358" s="174"/>
      <c r="C358" s="35" t="s">
        <v>8065</v>
      </c>
      <c r="D358" s="35" t="s">
        <v>773</v>
      </c>
      <c r="E358" s="36">
        <v>2.0099999999999998</v>
      </c>
      <c r="F358" s="33">
        <v>0.627</v>
      </c>
      <c r="G358" s="33">
        <f>IF(ISNUMBER(F358),E358*F358,"")</f>
        <v>1.2602699999999998</v>
      </c>
      <c r="H358" s="34"/>
      <c r="I358" s="30"/>
      <c r="J358" s="152">
        <v>0</v>
      </c>
    </row>
    <row r="359" spans="1:10" ht="15.75" hidden="1" thickBot="1" x14ac:dyDescent="0.3">
      <c r="A359" s="171"/>
      <c r="B359" s="174"/>
      <c r="C359" s="35" t="s">
        <v>106</v>
      </c>
      <c r="D359" s="46" t="s">
        <v>107</v>
      </c>
      <c r="E359" s="36">
        <v>2.5</v>
      </c>
      <c r="F359" s="30">
        <v>0</v>
      </c>
      <c r="G359" s="33">
        <f>IF(ISNUMBER(F359),E359*F359,"")</f>
        <v>0</v>
      </c>
      <c r="H359" s="34"/>
      <c r="I359" s="30"/>
      <c r="J359" s="152">
        <v>0</v>
      </c>
    </row>
    <row r="360" spans="1:10" ht="15.75" hidden="1" thickBot="1" x14ac:dyDescent="0.3">
      <c r="A360" s="171"/>
      <c r="B360" s="174"/>
      <c r="C360" s="35" t="s">
        <v>7958</v>
      </c>
      <c r="D360" s="35" t="s">
        <v>773</v>
      </c>
      <c r="E360" s="36">
        <v>0.5</v>
      </c>
      <c r="F360" s="33">
        <v>9.4334999999999987</v>
      </c>
      <c r="G360" s="33">
        <f>IF(ISNUMBER(F360),E360*F360,"")</f>
        <v>4.7167499999999993</v>
      </c>
      <c r="H360" s="34"/>
      <c r="I360" s="30"/>
      <c r="J360" s="152">
        <v>0</v>
      </c>
    </row>
    <row r="361" spans="1:10" ht="51.75" hidden="1" thickBot="1" x14ac:dyDescent="0.3">
      <c r="A361" s="171"/>
      <c r="B361" s="174"/>
      <c r="C361" s="35" t="s">
        <v>3071</v>
      </c>
      <c r="D361" s="35" t="s">
        <v>87</v>
      </c>
      <c r="E361" s="36">
        <f>1*(E356+E357)</f>
        <v>0.02</v>
      </c>
      <c r="F361" s="33">
        <v>7.9257587999999988</v>
      </c>
      <c r="G361" s="33">
        <f>IF(ISNUMBER(F361),E361*F361,"")</f>
        <v>0.15851517599999998</v>
      </c>
      <c r="H361" s="34"/>
      <c r="I361" s="30"/>
      <c r="J361" s="152">
        <v>0</v>
      </c>
    </row>
    <row r="362" spans="1:10" ht="39" hidden="1" thickBot="1" x14ac:dyDescent="0.3">
      <c r="A362" s="171"/>
      <c r="B362" s="174"/>
      <c r="C362" s="35" t="s">
        <v>88</v>
      </c>
      <c r="D362" s="46" t="s">
        <v>89</v>
      </c>
      <c r="E362" s="36">
        <f>(E356+E357)*20</f>
        <v>0.4</v>
      </c>
      <c r="F362" s="33">
        <v>2.6576449499999995</v>
      </c>
      <c r="G362" s="33">
        <f>IF(ISNUMBER(F362),E362*F362,"")</f>
        <v>1.0630579799999997</v>
      </c>
      <c r="H362" s="34"/>
      <c r="I362" s="30"/>
      <c r="J362" s="152">
        <v>0</v>
      </c>
    </row>
    <row r="363" spans="1:10" ht="15.75" hidden="1" thickBot="1" x14ac:dyDescent="0.3">
      <c r="A363" s="171"/>
      <c r="B363" s="174"/>
      <c r="C363" s="50"/>
      <c r="D363" s="46"/>
      <c r="E363" s="36"/>
      <c r="F363" s="33" t="s">
        <v>416</v>
      </c>
      <c r="G363" s="33" t="str">
        <f>IF(ISNUMBER(F363),E363*F363,"")</f>
        <v/>
      </c>
      <c r="H363" s="34"/>
      <c r="I363" s="30"/>
      <c r="J363" s="152">
        <v>0</v>
      </c>
    </row>
    <row r="364" spans="1:10" ht="26.25" hidden="1" thickBot="1" x14ac:dyDescent="0.3">
      <c r="A364" s="171"/>
      <c r="B364" s="174"/>
      <c r="C364" s="47" t="s">
        <v>90</v>
      </c>
      <c r="D364" s="46"/>
      <c r="E364" s="36"/>
      <c r="F364" s="33" t="s">
        <v>416</v>
      </c>
      <c r="G364" s="33" t="str">
        <f>IF(ISNUMBER(F364),E364*F364,"")</f>
        <v/>
      </c>
      <c r="H364" s="34"/>
      <c r="I364" s="30"/>
      <c r="J364" s="152">
        <v>0</v>
      </c>
    </row>
    <row r="365" spans="1:10" ht="15.75" hidden="1" thickBot="1" x14ac:dyDescent="0.3">
      <c r="A365" s="172"/>
      <c r="B365" s="175"/>
      <c r="C365" s="35"/>
      <c r="D365" s="35"/>
      <c r="E365" s="36"/>
      <c r="F365" s="30" t="s">
        <v>416</v>
      </c>
      <c r="G365" s="30" t="str">
        <f>IF(ISNUMBER(F365),E365*F365,"")</f>
        <v/>
      </c>
      <c r="H365" s="34"/>
      <c r="I365" s="30"/>
      <c r="J365" s="152">
        <v>0</v>
      </c>
    </row>
    <row r="366" spans="1:10" ht="15.75" hidden="1" thickBot="1" x14ac:dyDescent="0.3">
      <c r="A366" s="170" t="s">
        <v>108</v>
      </c>
      <c r="B366" s="173" t="str">
        <f>INDEX(Orçamentária!A:B,MATCH(Composições!A366,Orçamentária!A:A,0),2)</f>
        <v>Impermeabilização de superfície com revestimento bicomponente semi flexível</v>
      </c>
      <c r="C366" s="40"/>
      <c r="D366" s="25" t="s">
        <v>70</v>
      </c>
      <c r="E366" s="26"/>
      <c r="F366" s="41" t="s">
        <v>416</v>
      </c>
      <c r="G366" s="27" t="str">
        <f>IF(ISNUMBER(F366),E366*F366,"")</f>
        <v/>
      </c>
      <c r="H366" s="28"/>
      <c r="I366" s="29"/>
      <c r="J366" s="152">
        <v>0</v>
      </c>
    </row>
    <row r="367" spans="1:10" ht="15.75" hidden="1" thickBot="1" x14ac:dyDescent="0.3">
      <c r="A367" s="176"/>
      <c r="B367" s="174"/>
      <c r="C367" s="31"/>
      <c r="D367" s="31"/>
      <c r="E367" s="32"/>
      <c r="F367" s="42" t="s">
        <v>416</v>
      </c>
      <c r="G367" s="30" t="str">
        <f>IF(ISNUMBER(F367),E367*F367,"")</f>
        <v/>
      </c>
      <c r="H367" s="34"/>
      <c r="I367" s="30"/>
      <c r="J367" s="152">
        <v>0</v>
      </c>
    </row>
    <row r="368" spans="1:10" ht="26.25" hidden="1" thickBot="1" x14ac:dyDescent="0.3">
      <c r="A368" s="176"/>
      <c r="B368" s="174"/>
      <c r="C368" s="35" t="s">
        <v>7991</v>
      </c>
      <c r="D368" s="35" t="s">
        <v>773</v>
      </c>
      <c r="E368" s="36">
        <v>3.2</v>
      </c>
      <c r="F368" s="33">
        <v>3.7809999999999997</v>
      </c>
      <c r="G368" s="30">
        <f>IF(ISNUMBER(F368),E368*F368,"")</f>
        <v>12.0992</v>
      </c>
      <c r="H368" s="38">
        <f>SUM(G368:G370)</f>
        <v>28.850929999999998</v>
      </c>
      <c r="I368" s="39"/>
      <c r="J368" s="152">
        <v>0</v>
      </c>
    </row>
    <row r="369" spans="1:10" ht="15.75" hidden="1" thickBot="1" x14ac:dyDescent="0.3">
      <c r="A369" s="176"/>
      <c r="B369" s="174"/>
      <c r="C369" s="35" t="s">
        <v>1233</v>
      </c>
      <c r="D369" s="35" t="s">
        <v>583</v>
      </c>
      <c r="E369" s="36">
        <v>0.108</v>
      </c>
      <c r="F369" s="30">
        <v>21.318000000000001</v>
      </c>
      <c r="G369" s="30">
        <f>IF(ISNUMBER(F369),E369*F369,"")</f>
        <v>2.3023440000000002</v>
      </c>
      <c r="H369" s="34"/>
      <c r="I369" s="30"/>
      <c r="J369" s="152">
        <v>0</v>
      </c>
    </row>
    <row r="370" spans="1:10" ht="15.75" hidden="1" thickBot="1" x14ac:dyDescent="0.3">
      <c r="A370" s="176"/>
      <c r="B370" s="174"/>
      <c r="C370" s="35" t="s">
        <v>881</v>
      </c>
      <c r="D370" s="35" t="s">
        <v>583</v>
      </c>
      <c r="E370" s="36">
        <v>0.53200000000000003</v>
      </c>
      <c r="F370" s="30">
        <v>27.160499999999999</v>
      </c>
      <c r="G370" s="30">
        <f>IF(ISNUMBER(F370),E370*F370,"")</f>
        <v>14.449386000000001</v>
      </c>
      <c r="H370" s="34"/>
      <c r="I370" s="30"/>
      <c r="J370" s="152">
        <v>0</v>
      </c>
    </row>
    <row r="371" spans="1:10" ht="15.75" hidden="1" thickBot="1" x14ac:dyDescent="0.3">
      <c r="A371" s="177"/>
      <c r="B371" s="175"/>
      <c r="C371" s="35"/>
      <c r="D371" s="35"/>
      <c r="E371" s="36"/>
      <c r="F371" s="30" t="s">
        <v>416</v>
      </c>
      <c r="G371" s="30" t="str">
        <f>IF(ISNUMBER(F371),E371*F371,"")</f>
        <v/>
      </c>
      <c r="H371" s="34"/>
      <c r="I371" s="30"/>
      <c r="J371" s="152">
        <v>0</v>
      </c>
    </row>
    <row r="372" spans="1:10" ht="15.75" hidden="1" thickBot="1" x14ac:dyDescent="0.3">
      <c r="A372" s="170" t="s">
        <v>109</v>
      </c>
      <c r="B372" s="173" t="str">
        <f>INDEX(Orçamentária!A:B,MATCH(Composições!A372,Orçamentária!A:A,0),2)</f>
        <v>Alvenaria de vedação</v>
      </c>
      <c r="C372" s="40"/>
      <c r="D372" s="25" t="s">
        <v>70</v>
      </c>
      <c r="E372" s="26"/>
      <c r="F372" s="41" t="s">
        <v>416</v>
      </c>
      <c r="G372" s="27" t="str">
        <f>IF(ISNUMBER(F372),E372*F372,"")</f>
        <v/>
      </c>
      <c r="H372" s="28"/>
      <c r="I372" s="29"/>
      <c r="J372" s="152">
        <v>0</v>
      </c>
    </row>
    <row r="373" spans="1:10" ht="15.75" hidden="1" thickBot="1" x14ac:dyDescent="0.3">
      <c r="A373" s="176"/>
      <c r="B373" s="174"/>
      <c r="C373" s="31"/>
      <c r="D373" s="31"/>
      <c r="E373" s="32"/>
      <c r="F373" s="42" t="s">
        <v>416</v>
      </c>
      <c r="G373" s="30" t="str">
        <f>IF(ISNUMBER(F373),E373*F373,"")</f>
        <v/>
      </c>
      <c r="H373" s="34"/>
      <c r="I373" s="30"/>
      <c r="J373" s="152">
        <v>0</v>
      </c>
    </row>
    <row r="374" spans="1:10" ht="26.25" hidden="1" thickBot="1" x14ac:dyDescent="0.3">
      <c r="A374" s="176"/>
      <c r="B374" s="174"/>
      <c r="C374" s="35" t="s">
        <v>8000</v>
      </c>
      <c r="D374" s="35" t="s">
        <v>213</v>
      </c>
      <c r="E374" s="36">
        <v>28.31</v>
      </c>
      <c r="F374" s="33">
        <v>0.66499999999999992</v>
      </c>
      <c r="G374" s="33">
        <f>IF(ISNUMBER(F374),E374*F374,"")</f>
        <v>18.826149999999998</v>
      </c>
      <c r="H374" s="38">
        <f>SUM(G374:G379)</f>
        <v>86.719148344805788</v>
      </c>
      <c r="I374" s="39"/>
      <c r="J374" s="152">
        <v>0</v>
      </c>
    </row>
    <row r="375" spans="1:10" ht="26.25" hidden="1" thickBot="1" x14ac:dyDescent="0.3">
      <c r="A375" s="176"/>
      <c r="B375" s="174"/>
      <c r="C375" s="35" t="s">
        <v>8423</v>
      </c>
      <c r="D375" s="35" t="s">
        <v>385</v>
      </c>
      <c r="E375" s="36">
        <v>0.42</v>
      </c>
      <c r="F375" s="33">
        <v>2.3939999999999997</v>
      </c>
      <c r="G375" s="33">
        <f>IF(ISNUMBER(F375),E375*F375,"")</f>
        <v>1.0054799999999999</v>
      </c>
      <c r="H375" s="34"/>
      <c r="I375" s="30"/>
      <c r="J375" s="152">
        <v>0</v>
      </c>
    </row>
    <row r="376" spans="1:10" ht="15.75" hidden="1" thickBot="1" x14ac:dyDescent="0.3">
      <c r="A376" s="176"/>
      <c r="B376" s="174"/>
      <c r="C376" s="35" t="s">
        <v>8320</v>
      </c>
      <c r="D376" s="35" t="s">
        <v>1102</v>
      </c>
      <c r="E376" s="36">
        <v>5.0000000000000001E-3</v>
      </c>
      <c r="F376" s="33">
        <v>38.313499999999998</v>
      </c>
      <c r="G376" s="33">
        <f>IF(ISNUMBER(F376),E376*F376,"")</f>
        <v>0.1915675</v>
      </c>
      <c r="H376" s="34"/>
      <c r="I376" s="30"/>
      <c r="J376" s="152">
        <v>0</v>
      </c>
    </row>
    <row r="377" spans="1:10" ht="51.75" hidden="1" thickBot="1" x14ac:dyDescent="0.3">
      <c r="A377" s="176"/>
      <c r="B377" s="174"/>
      <c r="C377" s="35" t="s">
        <v>110</v>
      </c>
      <c r="D377" s="46" t="s">
        <v>80</v>
      </c>
      <c r="E377" s="36">
        <v>9.1000000000000004E-3</v>
      </c>
      <c r="F377" s="33">
        <v>734.72729063799989</v>
      </c>
      <c r="G377" s="33">
        <f>IF(ISNUMBER(F377),E377*F377,"")</f>
        <v>6.6860183448057997</v>
      </c>
      <c r="H377" s="34"/>
      <c r="I377" s="30"/>
      <c r="J377" s="152">
        <v>0</v>
      </c>
    </row>
    <row r="378" spans="1:10" ht="15.75" hidden="1" thickBot="1" x14ac:dyDescent="0.3">
      <c r="A378" s="176"/>
      <c r="B378" s="174"/>
      <c r="C378" s="35" t="s">
        <v>591</v>
      </c>
      <c r="D378" s="35" t="s">
        <v>583</v>
      </c>
      <c r="E378" s="36">
        <v>1.61</v>
      </c>
      <c r="F378" s="30">
        <v>27.160499999999999</v>
      </c>
      <c r="G378" s="30">
        <f>IF(ISNUMBER(F378),E378*F378,"")</f>
        <v>43.728405000000002</v>
      </c>
      <c r="H378" s="34"/>
      <c r="I378" s="30"/>
      <c r="J378" s="152">
        <v>0</v>
      </c>
    </row>
    <row r="379" spans="1:10" ht="15.75" hidden="1" thickBot="1" x14ac:dyDescent="0.3">
      <c r="A379" s="176"/>
      <c r="B379" s="174"/>
      <c r="C379" s="35" t="s">
        <v>584</v>
      </c>
      <c r="D379" s="35" t="s">
        <v>583</v>
      </c>
      <c r="E379" s="36">
        <v>0.80500000000000005</v>
      </c>
      <c r="F379" s="30">
        <v>20.225499999999997</v>
      </c>
      <c r="G379" s="30">
        <f>IF(ISNUMBER(F379),E379*F379,"")</f>
        <v>16.281527499999999</v>
      </c>
      <c r="H379" s="34"/>
      <c r="I379" s="30"/>
      <c r="J379" s="152">
        <v>0</v>
      </c>
    </row>
    <row r="380" spans="1:10" ht="15.75" hidden="1" thickBot="1" x14ac:dyDescent="0.3">
      <c r="A380" s="177"/>
      <c r="B380" s="175"/>
      <c r="C380" s="35"/>
      <c r="D380" s="35"/>
      <c r="E380" s="36"/>
      <c r="F380" s="30" t="s">
        <v>416</v>
      </c>
      <c r="G380" s="30" t="str">
        <f>IF(ISNUMBER(F380),E380*F380,"")</f>
        <v/>
      </c>
      <c r="H380" s="34"/>
      <c r="I380" s="30"/>
      <c r="J380" s="152">
        <v>0</v>
      </c>
    </row>
    <row r="381" spans="1:10" ht="15.75" hidden="1" thickBot="1" x14ac:dyDescent="0.3">
      <c r="A381" s="170" t="s">
        <v>111</v>
      </c>
      <c r="B381" s="173" t="str">
        <f>INDEX(Orçamentária!A:B,MATCH(Composições!A381,Orçamentária!A:A,0),2)</f>
        <v>Fechamento ou shaft em gesso acartonado tipo drywall</v>
      </c>
      <c r="C381" s="40"/>
      <c r="D381" s="25" t="s">
        <v>70</v>
      </c>
      <c r="E381" s="26"/>
      <c r="F381" s="41" t="s">
        <v>416</v>
      </c>
      <c r="G381" s="27" t="str">
        <f>IF(ISNUMBER(F381),E381*F381,"")</f>
        <v/>
      </c>
      <c r="H381" s="28"/>
      <c r="I381" s="29"/>
      <c r="J381" s="152">
        <v>0</v>
      </c>
    </row>
    <row r="382" spans="1:10" ht="15.75" hidden="1" thickBot="1" x14ac:dyDescent="0.3">
      <c r="A382" s="176"/>
      <c r="B382" s="174"/>
      <c r="C382" s="31"/>
      <c r="D382" s="31"/>
      <c r="E382" s="32"/>
      <c r="F382" s="42" t="s">
        <v>416</v>
      </c>
      <c r="G382" s="30" t="str">
        <f>IF(ISNUMBER(F382),E382*F382,"")</f>
        <v/>
      </c>
      <c r="H382" s="34"/>
      <c r="I382" s="30"/>
      <c r="J382" s="152">
        <v>0</v>
      </c>
    </row>
    <row r="383" spans="1:10" ht="26.25" hidden="1" thickBot="1" x14ac:dyDescent="0.3">
      <c r="A383" s="176"/>
      <c r="B383" s="174"/>
      <c r="C383" s="35" t="s">
        <v>8319</v>
      </c>
      <c r="D383" s="35" t="s">
        <v>1102</v>
      </c>
      <c r="E383" s="36">
        <v>2.4299999999999999E-2</v>
      </c>
      <c r="F383" s="33">
        <v>44.564499999999995</v>
      </c>
      <c r="G383" s="33">
        <f>IF(ISNUMBER(F383),E383*F383,"")</f>
        <v>1.0829173499999998</v>
      </c>
      <c r="H383" s="38">
        <f>SUM(G383:G393)</f>
        <v>57.077645399999994</v>
      </c>
      <c r="I383" s="39"/>
      <c r="J383" s="152">
        <v>0</v>
      </c>
    </row>
    <row r="384" spans="1:10" ht="26.25" hidden="1" thickBot="1" x14ac:dyDescent="0.3">
      <c r="A384" s="176"/>
      <c r="B384" s="174"/>
      <c r="C384" s="35" t="s">
        <v>3231</v>
      </c>
      <c r="D384" s="35" t="s">
        <v>861</v>
      </c>
      <c r="E384" s="36">
        <v>1.0529999999999999</v>
      </c>
      <c r="F384" s="33">
        <v>17.574999999999999</v>
      </c>
      <c r="G384" s="33">
        <f>IF(ISNUMBER(F384),E384*F384,"")</f>
        <v>18.506474999999998</v>
      </c>
      <c r="H384" s="44"/>
      <c r="I384" s="45"/>
      <c r="J384" s="152">
        <v>0</v>
      </c>
    </row>
    <row r="385" spans="1:10" ht="26.25" hidden="1" thickBot="1" x14ac:dyDescent="0.3">
      <c r="A385" s="176"/>
      <c r="B385" s="174"/>
      <c r="C385" s="35" t="s">
        <v>8315</v>
      </c>
      <c r="D385" s="35" t="s">
        <v>385</v>
      </c>
      <c r="E385" s="36">
        <v>0.76039999999999996</v>
      </c>
      <c r="F385" s="33">
        <v>7.6665000000000001</v>
      </c>
      <c r="G385" s="33">
        <f>IF(ISNUMBER(F385),E385*F385,"")</f>
        <v>5.8296066</v>
      </c>
      <c r="H385" s="44"/>
      <c r="I385" s="45"/>
      <c r="J385" s="152">
        <v>0</v>
      </c>
    </row>
    <row r="386" spans="1:10" ht="26.25" hidden="1" thickBot="1" x14ac:dyDescent="0.3">
      <c r="A386" s="176"/>
      <c r="B386" s="174"/>
      <c r="C386" s="35" t="s">
        <v>8316</v>
      </c>
      <c r="D386" s="35" t="s">
        <v>385</v>
      </c>
      <c r="E386" s="36">
        <v>1.9910000000000001</v>
      </c>
      <c r="F386" s="33">
        <v>8.702</v>
      </c>
      <c r="G386" s="33">
        <f>IF(ISNUMBER(F386),E386*F386,"")</f>
        <v>17.325682</v>
      </c>
      <c r="H386" s="44"/>
      <c r="I386" s="45"/>
      <c r="J386" s="152">
        <v>0</v>
      </c>
    </row>
    <row r="387" spans="1:10" ht="26.25" hidden="1" thickBot="1" x14ac:dyDescent="0.3">
      <c r="A387" s="176"/>
      <c r="B387" s="174"/>
      <c r="C387" s="35" t="s">
        <v>8167</v>
      </c>
      <c r="D387" s="35" t="s">
        <v>385</v>
      </c>
      <c r="E387" s="36">
        <v>1.2513000000000001</v>
      </c>
      <c r="F387" s="33">
        <v>0.27549999999999997</v>
      </c>
      <c r="G387" s="33">
        <f>IF(ISNUMBER(F387),E387*F387,"")</f>
        <v>0.34473314999999999</v>
      </c>
      <c r="H387" s="44"/>
      <c r="I387" s="45"/>
      <c r="J387" s="152">
        <v>0</v>
      </c>
    </row>
    <row r="388" spans="1:10" ht="26.25" hidden="1" thickBot="1" x14ac:dyDescent="0.3">
      <c r="A388" s="176"/>
      <c r="B388" s="174"/>
      <c r="C388" s="35" t="s">
        <v>8168</v>
      </c>
      <c r="D388" s="35" t="s">
        <v>385</v>
      </c>
      <c r="E388" s="36">
        <v>0.74070000000000003</v>
      </c>
      <c r="F388" s="33">
        <v>2.4319999999999999</v>
      </c>
      <c r="G388" s="33">
        <f>IF(ISNUMBER(F388),E388*F388,"")</f>
        <v>1.8013824000000001</v>
      </c>
      <c r="H388" s="44"/>
      <c r="I388" s="45"/>
      <c r="J388" s="152">
        <v>0</v>
      </c>
    </row>
    <row r="389" spans="1:10" ht="39" hidden="1" thickBot="1" x14ac:dyDescent="0.3">
      <c r="A389" s="176"/>
      <c r="B389" s="174"/>
      <c r="C389" s="35" t="s">
        <v>3229</v>
      </c>
      <c r="D389" s="35" t="s">
        <v>773</v>
      </c>
      <c r="E389" s="36">
        <v>0.51639999999999997</v>
      </c>
      <c r="F389" s="33">
        <v>3.04</v>
      </c>
      <c r="G389" s="33">
        <f>IF(ISNUMBER(F389),E389*F389,"")</f>
        <v>1.5698559999999999</v>
      </c>
      <c r="H389" s="44"/>
      <c r="I389" s="45"/>
      <c r="J389" s="152">
        <v>0</v>
      </c>
    </row>
    <row r="390" spans="1:10" ht="26.25" hidden="1" thickBot="1" x14ac:dyDescent="0.3">
      <c r="A390" s="176"/>
      <c r="B390" s="174"/>
      <c r="C390" s="35" t="s">
        <v>8305</v>
      </c>
      <c r="D390" s="35" t="s">
        <v>213</v>
      </c>
      <c r="E390" s="36">
        <v>10.0039</v>
      </c>
      <c r="F390" s="33">
        <v>0.1045</v>
      </c>
      <c r="G390" s="33">
        <f>IF(ISNUMBER(F390),E390*F390,"")</f>
        <v>1.04540755</v>
      </c>
      <c r="H390" s="44"/>
      <c r="I390" s="45"/>
      <c r="J390" s="152">
        <v>0</v>
      </c>
    </row>
    <row r="391" spans="1:10" ht="26.25" hidden="1" thickBot="1" x14ac:dyDescent="0.3">
      <c r="A391" s="176"/>
      <c r="B391" s="174"/>
      <c r="C391" s="35" t="s">
        <v>8306</v>
      </c>
      <c r="D391" s="35" t="s">
        <v>213</v>
      </c>
      <c r="E391" s="36">
        <v>0.80759999999999998</v>
      </c>
      <c r="F391" s="33">
        <v>0.247</v>
      </c>
      <c r="G391" s="33">
        <f>IF(ISNUMBER(F391),E391*F391,"")</f>
        <v>0.19947719999999999</v>
      </c>
      <c r="H391" s="44"/>
      <c r="I391" s="45"/>
      <c r="J391" s="152">
        <v>0</v>
      </c>
    </row>
    <row r="392" spans="1:10" ht="26.25" hidden="1" thickBot="1" x14ac:dyDescent="0.3">
      <c r="A392" s="176"/>
      <c r="B392" s="174"/>
      <c r="C392" s="35" t="s">
        <v>854</v>
      </c>
      <c r="D392" s="35" t="s">
        <v>583</v>
      </c>
      <c r="E392" s="36">
        <v>0.36359999999999998</v>
      </c>
      <c r="F392" s="30">
        <v>20.719499999999996</v>
      </c>
      <c r="G392" s="33">
        <f>IF(ISNUMBER(F392),E392*F392,"")</f>
        <v>7.5336101999999983</v>
      </c>
      <c r="H392" s="44"/>
      <c r="I392" s="45"/>
      <c r="J392" s="152">
        <v>0</v>
      </c>
    </row>
    <row r="393" spans="1:10" ht="15.75" hidden="1" thickBot="1" x14ac:dyDescent="0.3">
      <c r="A393" s="176"/>
      <c r="B393" s="174"/>
      <c r="C393" s="35" t="s">
        <v>584</v>
      </c>
      <c r="D393" s="35" t="s">
        <v>583</v>
      </c>
      <c r="E393" s="36">
        <v>9.0899999999999995E-2</v>
      </c>
      <c r="F393" s="30">
        <v>20.225499999999997</v>
      </c>
      <c r="G393" s="33">
        <f>IF(ISNUMBER(F393),E393*F393,"")</f>
        <v>1.8384979499999996</v>
      </c>
      <c r="H393" s="44"/>
      <c r="I393" s="45"/>
      <c r="J393" s="152">
        <v>0</v>
      </c>
    </row>
    <row r="394" spans="1:10" ht="15.75" hidden="1" thickBot="1" x14ac:dyDescent="0.3">
      <c r="A394" s="177"/>
      <c r="B394" s="175"/>
      <c r="C394" s="35"/>
      <c r="D394" s="35"/>
      <c r="E394" s="36"/>
      <c r="F394" s="30" t="s">
        <v>416</v>
      </c>
      <c r="G394" s="30" t="str">
        <f>IF(ISNUMBER(F394),E394*F394,"")</f>
        <v/>
      </c>
      <c r="H394" s="34"/>
      <c r="I394" s="30"/>
      <c r="J394" s="152">
        <v>0</v>
      </c>
    </row>
    <row r="395" spans="1:10" ht="15.75" hidden="1" thickBot="1" x14ac:dyDescent="0.3">
      <c r="A395" s="170" t="s">
        <v>112</v>
      </c>
      <c r="B395" s="173" t="str">
        <f>INDEX(Orçamentária!A:B,MATCH(Composições!A395,Orçamentária!A:A,0),2)</f>
        <v>Fixação (encunhamento) de Alvenaria de Vedação</v>
      </c>
      <c r="C395" s="40"/>
      <c r="D395" s="25" t="s">
        <v>69</v>
      </c>
      <c r="E395" s="26"/>
      <c r="F395" s="41" t="s">
        <v>416</v>
      </c>
      <c r="G395" s="27" t="str">
        <f>IF(ISNUMBER(F395),E395*F395,"")</f>
        <v/>
      </c>
      <c r="H395" s="28"/>
      <c r="I395" s="29"/>
      <c r="J395" s="152">
        <v>0</v>
      </c>
    </row>
    <row r="396" spans="1:10" ht="15.75" hidden="1" thickBot="1" x14ac:dyDescent="0.3">
      <c r="A396" s="176"/>
      <c r="B396" s="174"/>
      <c r="C396" s="31"/>
      <c r="D396" s="31"/>
      <c r="E396" s="32"/>
      <c r="F396" s="42" t="s">
        <v>416</v>
      </c>
      <c r="G396" s="30" t="str">
        <f>IF(ISNUMBER(F396),E396*F396,"")</f>
        <v/>
      </c>
      <c r="H396" s="34"/>
      <c r="I396" s="30"/>
      <c r="J396" s="152">
        <v>0</v>
      </c>
    </row>
    <row r="397" spans="1:10" ht="15.75" hidden="1" thickBot="1" x14ac:dyDescent="0.3">
      <c r="A397" s="176"/>
      <c r="B397" s="174"/>
      <c r="C397" s="35" t="s">
        <v>3062</v>
      </c>
      <c r="D397" s="35" t="s">
        <v>213</v>
      </c>
      <c r="E397" s="36">
        <v>11.2</v>
      </c>
      <c r="F397" s="33">
        <v>0.56999999999999995</v>
      </c>
      <c r="G397" s="30">
        <f>IF(ISNUMBER(F397),E397*F397,"")</f>
        <v>6.3839999999999995</v>
      </c>
      <c r="H397" s="38">
        <f>SUM(G397:G400)</f>
        <v>26.602964775374797</v>
      </c>
      <c r="I397" s="39"/>
      <c r="J397" s="152">
        <v>0</v>
      </c>
    </row>
    <row r="398" spans="1:10" ht="51.75" hidden="1" thickBot="1" x14ac:dyDescent="0.3">
      <c r="A398" s="176"/>
      <c r="B398" s="174"/>
      <c r="C398" s="35" t="s">
        <v>113</v>
      </c>
      <c r="D398" s="46" t="s">
        <v>80</v>
      </c>
      <c r="E398" s="36">
        <v>5.1999999999999998E-3</v>
      </c>
      <c r="F398" s="33">
        <v>712.91486064900005</v>
      </c>
      <c r="G398" s="30">
        <f>IF(ISNUMBER(F398),E398*F398,"")</f>
        <v>3.7071572753747999</v>
      </c>
      <c r="H398" s="44"/>
      <c r="I398" s="45"/>
      <c r="J398" s="152">
        <v>0</v>
      </c>
    </row>
    <row r="399" spans="1:10" ht="15.75" hidden="1" thickBot="1" x14ac:dyDescent="0.3">
      <c r="A399" s="176"/>
      <c r="B399" s="174"/>
      <c r="C399" s="35" t="s">
        <v>591</v>
      </c>
      <c r="D399" s="35" t="s">
        <v>583</v>
      </c>
      <c r="E399" s="36">
        <v>0.52900000000000003</v>
      </c>
      <c r="F399" s="30">
        <v>27.160499999999999</v>
      </c>
      <c r="G399" s="30">
        <f>IF(ISNUMBER(F399),E399*F399,"")</f>
        <v>14.3679045</v>
      </c>
      <c r="H399" s="44"/>
      <c r="I399" s="45"/>
      <c r="J399" s="152">
        <v>0</v>
      </c>
    </row>
    <row r="400" spans="1:10" ht="15.75" hidden="1" thickBot="1" x14ac:dyDescent="0.3">
      <c r="A400" s="176"/>
      <c r="B400" s="174"/>
      <c r="C400" s="35" t="s">
        <v>584</v>
      </c>
      <c r="D400" s="35" t="s">
        <v>583</v>
      </c>
      <c r="E400" s="36">
        <v>0.106</v>
      </c>
      <c r="F400" s="30">
        <v>20.225499999999997</v>
      </c>
      <c r="G400" s="30">
        <f>IF(ISNUMBER(F400),E400*F400,"")</f>
        <v>2.1439029999999994</v>
      </c>
      <c r="H400" s="44"/>
      <c r="I400" s="45"/>
      <c r="J400" s="152">
        <v>0</v>
      </c>
    </row>
    <row r="401" spans="1:10" ht="15.75" hidden="1" thickBot="1" x14ac:dyDescent="0.3">
      <c r="A401" s="176"/>
      <c r="B401" s="174"/>
      <c r="C401" s="35"/>
      <c r="D401" s="46"/>
      <c r="E401" s="36"/>
      <c r="F401" s="33" t="s">
        <v>416</v>
      </c>
      <c r="G401" s="33" t="str">
        <f>IF(ISNUMBER(F401),E401*F401,"")</f>
        <v/>
      </c>
      <c r="H401" s="44"/>
      <c r="I401" s="45"/>
      <c r="J401" s="152">
        <v>0</v>
      </c>
    </row>
    <row r="402" spans="1:10" ht="15.75" hidden="1" thickBot="1" x14ac:dyDescent="0.3">
      <c r="A402" s="170" t="s">
        <v>114</v>
      </c>
      <c r="B402" s="173" t="str">
        <f>INDEX(Orçamentária!A:B,MATCH(Composições!A402,Orçamentária!A:A,0),2)</f>
        <v>Parede em gesso acartonado (drywall)</v>
      </c>
      <c r="C402" s="40"/>
      <c r="D402" s="25" t="s">
        <v>70</v>
      </c>
      <c r="E402" s="26"/>
      <c r="F402" s="41" t="s">
        <v>416</v>
      </c>
      <c r="G402" s="27" t="str">
        <f>IF(ISNUMBER(F402),E402*F402,"")</f>
        <v/>
      </c>
      <c r="H402" s="28"/>
      <c r="I402" s="29"/>
      <c r="J402" s="152">
        <v>0</v>
      </c>
    </row>
    <row r="403" spans="1:10" ht="15.75" hidden="1" thickBot="1" x14ac:dyDescent="0.3">
      <c r="A403" s="176"/>
      <c r="B403" s="174"/>
      <c r="C403" s="31"/>
      <c r="D403" s="31"/>
      <c r="E403" s="32"/>
      <c r="F403" s="42" t="s">
        <v>416</v>
      </c>
      <c r="G403" s="30" t="str">
        <f>IF(ISNUMBER(F403),E403*F403,"")</f>
        <v/>
      </c>
      <c r="H403" s="34"/>
      <c r="I403" s="30"/>
      <c r="J403" s="152">
        <v>0</v>
      </c>
    </row>
    <row r="404" spans="1:10" ht="26.25" hidden="1" thickBot="1" x14ac:dyDescent="0.3">
      <c r="A404" s="176"/>
      <c r="B404" s="174"/>
      <c r="C404" s="35" t="s">
        <v>8319</v>
      </c>
      <c r="D404" s="35" t="s">
        <v>1102</v>
      </c>
      <c r="E404" s="36">
        <v>2.4299999999999999E-2</v>
      </c>
      <c r="F404" s="33">
        <v>44.564499999999995</v>
      </c>
      <c r="G404" s="30">
        <f>IF(ISNUMBER(F404),E404*F404,"")</f>
        <v>1.0829173499999998</v>
      </c>
      <c r="H404" s="38">
        <f>SUM(G404:G414)</f>
        <v>83.216490700000008</v>
      </c>
      <c r="I404" s="39"/>
      <c r="J404" s="152">
        <v>0</v>
      </c>
    </row>
    <row r="405" spans="1:10" ht="26.25" hidden="1" thickBot="1" x14ac:dyDescent="0.3">
      <c r="A405" s="176"/>
      <c r="B405" s="174"/>
      <c r="C405" s="35" t="s">
        <v>3231</v>
      </c>
      <c r="D405" s="35" t="s">
        <v>861</v>
      </c>
      <c r="E405" s="36">
        <v>2.1059999999999999</v>
      </c>
      <c r="F405" s="33">
        <v>17.574999999999999</v>
      </c>
      <c r="G405" s="30">
        <f>IF(ISNUMBER(F405),E405*F405,"")</f>
        <v>37.012949999999996</v>
      </c>
      <c r="H405" s="34"/>
      <c r="I405" s="30"/>
      <c r="J405" s="152">
        <v>0</v>
      </c>
    </row>
    <row r="406" spans="1:10" ht="26.25" hidden="1" thickBot="1" x14ac:dyDescent="0.3">
      <c r="A406" s="176"/>
      <c r="B406" s="174"/>
      <c r="C406" s="35" t="s">
        <v>8315</v>
      </c>
      <c r="D406" s="35" t="s">
        <v>385</v>
      </c>
      <c r="E406" s="36">
        <v>0.76039999999999996</v>
      </c>
      <c r="F406" s="33">
        <v>7.6665000000000001</v>
      </c>
      <c r="G406" s="30">
        <f>IF(ISNUMBER(F406),E406*F406,"")</f>
        <v>5.8296066</v>
      </c>
      <c r="H406" s="34"/>
      <c r="I406" s="30"/>
      <c r="J406" s="152">
        <v>0</v>
      </c>
    </row>
    <row r="407" spans="1:10" ht="26.25" hidden="1" thickBot="1" x14ac:dyDescent="0.3">
      <c r="A407" s="176"/>
      <c r="B407" s="174"/>
      <c r="C407" s="35" t="s">
        <v>8316</v>
      </c>
      <c r="D407" s="35" t="s">
        <v>385</v>
      </c>
      <c r="E407" s="36">
        <v>1.9910000000000001</v>
      </c>
      <c r="F407" s="33">
        <v>8.702</v>
      </c>
      <c r="G407" s="30">
        <f>IF(ISNUMBER(F407),E407*F407,"")</f>
        <v>17.325682</v>
      </c>
      <c r="H407" s="34"/>
      <c r="I407" s="30"/>
      <c r="J407" s="152">
        <v>0</v>
      </c>
    </row>
    <row r="408" spans="1:10" ht="26.25" hidden="1" thickBot="1" x14ac:dyDescent="0.3">
      <c r="A408" s="176"/>
      <c r="B408" s="174"/>
      <c r="C408" s="35" t="s">
        <v>8167</v>
      </c>
      <c r="D408" s="35" t="s">
        <v>385</v>
      </c>
      <c r="E408" s="36">
        <v>2.5026999999999999</v>
      </c>
      <c r="F408" s="33">
        <v>0.27549999999999997</v>
      </c>
      <c r="G408" s="30">
        <f>IF(ISNUMBER(F408),E408*F408,"")</f>
        <v>0.68949384999999985</v>
      </c>
      <c r="H408" s="34"/>
      <c r="I408" s="30"/>
      <c r="J408" s="152">
        <v>0</v>
      </c>
    </row>
    <row r="409" spans="1:10" ht="26.25" hidden="1" thickBot="1" x14ac:dyDescent="0.3">
      <c r="A409" s="176"/>
      <c r="B409" s="174"/>
      <c r="C409" s="35" t="s">
        <v>8168</v>
      </c>
      <c r="D409" s="35" t="s">
        <v>385</v>
      </c>
      <c r="E409" s="36">
        <v>0.74070000000000003</v>
      </c>
      <c r="F409" s="33">
        <v>2.4319999999999999</v>
      </c>
      <c r="G409" s="30">
        <f>IF(ISNUMBER(F409),E409*F409,"")</f>
        <v>1.8013824000000001</v>
      </c>
      <c r="H409" s="34"/>
      <c r="I409" s="30"/>
      <c r="J409" s="152">
        <v>0</v>
      </c>
    </row>
    <row r="410" spans="1:10" ht="39" hidden="1" thickBot="1" x14ac:dyDescent="0.3">
      <c r="A410" s="176"/>
      <c r="B410" s="174"/>
      <c r="C410" s="35" t="s">
        <v>3229</v>
      </c>
      <c r="D410" s="35" t="s">
        <v>773</v>
      </c>
      <c r="E410" s="36">
        <v>1.0327</v>
      </c>
      <c r="F410" s="33">
        <v>3.04</v>
      </c>
      <c r="G410" s="30">
        <f>IF(ISNUMBER(F410),E410*F410,"")</f>
        <v>3.139408</v>
      </c>
      <c r="H410" s="34"/>
      <c r="I410" s="30"/>
      <c r="J410" s="152">
        <v>0</v>
      </c>
    </row>
    <row r="411" spans="1:10" ht="26.25" hidden="1" thickBot="1" x14ac:dyDescent="0.3">
      <c r="A411" s="176"/>
      <c r="B411" s="174"/>
      <c r="C411" s="35" t="s">
        <v>8305</v>
      </c>
      <c r="D411" s="35" t="s">
        <v>213</v>
      </c>
      <c r="E411" s="36">
        <v>20.0077</v>
      </c>
      <c r="F411" s="33">
        <v>0.1045</v>
      </c>
      <c r="G411" s="30">
        <f>IF(ISNUMBER(F411),E411*F411,"")</f>
        <v>2.0908046499999999</v>
      </c>
      <c r="H411" s="34"/>
      <c r="I411" s="30"/>
      <c r="J411" s="152">
        <v>0</v>
      </c>
    </row>
    <row r="412" spans="1:10" ht="26.25" hidden="1" thickBot="1" x14ac:dyDescent="0.3">
      <c r="A412" s="176"/>
      <c r="B412" s="174"/>
      <c r="C412" s="35" t="s">
        <v>8306</v>
      </c>
      <c r="D412" s="35" t="s">
        <v>213</v>
      </c>
      <c r="E412" s="36">
        <v>0.80759999999999998</v>
      </c>
      <c r="F412" s="33">
        <v>0.247</v>
      </c>
      <c r="G412" s="30">
        <f>IF(ISNUMBER(F412),E412*F412,"")</f>
        <v>0.19947719999999999</v>
      </c>
      <c r="H412" s="34"/>
      <c r="I412" s="30"/>
      <c r="J412" s="152">
        <v>0</v>
      </c>
    </row>
    <row r="413" spans="1:10" ht="26.25" hidden="1" thickBot="1" x14ac:dyDescent="0.3">
      <c r="A413" s="176"/>
      <c r="B413" s="174"/>
      <c r="C413" s="35" t="s">
        <v>854</v>
      </c>
      <c r="D413" s="35" t="s">
        <v>583</v>
      </c>
      <c r="E413" s="36">
        <v>0.54490000000000005</v>
      </c>
      <c r="F413" s="30">
        <v>20.719499999999996</v>
      </c>
      <c r="G413" s="30">
        <f>IF(ISNUMBER(F413),E413*F413,"")</f>
        <v>11.29005555</v>
      </c>
      <c r="H413" s="34"/>
      <c r="I413" s="30"/>
      <c r="J413" s="152">
        <v>0</v>
      </c>
    </row>
    <row r="414" spans="1:10" ht="15.75" hidden="1" thickBot="1" x14ac:dyDescent="0.3">
      <c r="A414" s="176"/>
      <c r="B414" s="174"/>
      <c r="C414" s="35" t="s">
        <v>584</v>
      </c>
      <c r="D414" s="35" t="s">
        <v>583</v>
      </c>
      <c r="E414" s="36">
        <v>0.13619999999999999</v>
      </c>
      <c r="F414" s="30">
        <v>20.225499999999997</v>
      </c>
      <c r="G414" s="30">
        <f>IF(ISNUMBER(F414),E414*F414,"")</f>
        <v>2.7547130999999991</v>
      </c>
      <c r="H414" s="34"/>
      <c r="I414" s="30"/>
      <c r="J414" s="152">
        <v>0</v>
      </c>
    </row>
    <row r="415" spans="1:10" ht="15.75" hidden="1" thickBot="1" x14ac:dyDescent="0.3">
      <c r="A415" s="177"/>
      <c r="B415" s="175"/>
      <c r="C415" s="35"/>
      <c r="D415" s="35"/>
      <c r="E415" s="36"/>
      <c r="F415" s="30" t="s">
        <v>416</v>
      </c>
      <c r="G415" s="30" t="str">
        <f>IF(ISNUMBER(F415),E415*F415,"")</f>
        <v/>
      </c>
      <c r="H415" s="34"/>
      <c r="I415" s="30"/>
      <c r="J415" s="152">
        <v>0</v>
      </c>
    </row>
    <row r="416" spans="1:10" ht="15.75" hidden="1" thickBot="1" x14ac:dyDescent="0.3">
      <c r="A416" s="170" t="s">
        <v>115</v>
      </c>
      <c r="B416" s="173" t="str">
        <f>INDEX(Orçamentária!A:B,MATCH(Composições!A416,Orçamentária!A:A,0),2)</f>
        <v>Reparos superficiais em painéis de gesso acartonado</v>
      </c>
      <c r="C416" s="40"/>
      <c r="D416" s="25" t="s">
        <v>70</v>
      </c>
      <c r="E416" s="26"/>
      <c r="F416" s="41" t="s">
        <v>416</v>
      </c>
      <c r="G416" s="27" t="str">
        <f>IF(ISNUMBER(F416),E416*F416,"")</f>
        <v/>
      </c>
      <c r="H416" s="28"/>
      <c r="I416" s="29"/>
      <c r="J416" s="152">
        <v>0</v>
      </c>
    </row>
    <row r="417" spans="1:10" ht="15.75" hidden="1" thickBot="1" x14ac:dyDescent="0.3">
      <c r="A417" s="176"/>
      <c r="B417" s="174"/>
      <c r="C417" s="31"/>
      <c r="D417" s="31"/>
      <c r="E417" s="32"/>
      <c r="F417" s="42" t="s">
        <v>416</v>
      </c>
      <c r="G417" s="30" t="str">
        <f>IF(ISNUMBER(F417),E417*F417,"")</f>
        <v/>
      </c>
      <c r="H417" s="34"/>
      <c r="I417" s="30"/>
      <c r="J417" s="152">
        <v>0</v>
      </c>
    </row>
    <row r="418" spans="1:10" ht="26.25" hidden="1" thickBot="1" x14ac:dyDescent="0.3">
      <c r="A418" s="176"/>
      <c r="B418" s="174"/>
      <c r="C418" s="35" t="s">
        <v>8167</v>
      </c>
      <c r="D418" s="35" t="s">
        <v>385</v>
      </c>
      <c r="E418" s="36">
        <v>1.2513000000000001</v>
      </c>
      <c r="F418" s="33">
        <v>0.27549999999999997</v>
      </c>
      <c r="G418" s="30">
        <f>IF(ISNUMBER(F418),E418*F418,"")</f>
        <v>0.34473314999999999</v>
      </c>
      <c r="H418" s="38">
        <f>SUM(G418:G421)</f>
        <v>5.7121343499999986</v>
      </c>
      <c r="I418" s="39"/>
      <c r="J418" s="152">
        <v>0</v>
      </c>
    </row>
    <row r="419" spans="1:10" ht="39" hidden="1" thickBot="1" x14ac:dyDescent="0.3">
      <c r="A419" s="176"/>
      <c r="B419" s="174"/>
      <c r="C419" s="35" t="s">
        <v>3229</v>
      </c>
      <c r="D419" s="35" t="s">
        <v>773</v>
      </c>
      <c r="E419" s="36">
        <v>0.51639999999999997</v>
      </c>
      <c r="F419" s="33">
        <v>3.04</v>
      </c>
      <c r="G419" s="30">
        <f>IF(ISNUMBER(F419),E419*F419,"")</f>
        <v>1.5698559999999999</v>
      </c>
      <c r="H419" s="44"/>
      <c r="I419" s="45"/>
      <c r="J419" s="152">
        <v>0</v>
      </c>
    </row>
    <row r="420" spans="1:10" ht="26.25" hidden="1" thickBot="1" x14ac:dyDescent="0.3">
      <c r="A420" s="176"/>
      <c r="B420" s="174"/>
      <c r="C420" s="35" t="s">
        <v>854</v>
      </c>
      <c r="D420" s="35" t="s">
        <v>583</v>
      </c>
      <c r="E420" s="36">
        <f>0.3636/3</f>
        <v>0.12119999999999999</v>
      </c>
      <c r="F420" s="30">
        <v>20.719499999999996</v>
      </c>
      <c r="G420" s="30">
        <f>IF(ISNUMBER(F420),E420*F420,"")</f>
        <v>2.5112033999999994</v>
      </c>
      <c r="H420" s="44"/>
      <c r="I420" s="45"/>
      <c r="J420" s="152">
        <v>0</v>
      </c>
    </row>
    <row r="421" spans="1:10" ht="15.75" hidden="1" thickBot="1" x14ac:dyDescent="0.3">
      <c r="A421" s="176"/>
      <c r="B421" s="174"/>
      <c r="C421" s="35" t="s">
        <v>584</v>
      </c>
      <c r="D421" s="35" t="s">
        <v>583</v>
      </c>
      <c r="E421" s="36">
        <f>ROUND(0.0909*0.7,4)</f>
        <v>6.3600000000000004E-2</v>
      </c>
      <c r="F421" s="30">
        <v>20.225499999999997</v>
      </c>
      <c r="G421" s="30">
        <f>IF(ISNUMBER(F421),E421*F421,"")</f>
        <v>1.2863417999999998</v>
      </c>
      <c r="H421" s="44"/>
      <c r="I421" s="45"/>
      <c r="J421" s="152">
        <v>0</v>
      </c>
    </row>
    <row r="422" spans="1:10" ht="15.75" hidden="1" thickBot="1" x14ac:dyDescent="0.3">
      <c r="A422" s="176"/>
      <c r="B422" s="174"/>
      <c r="C422" s="35"/>
      <c r="D422" s="46"/>
      <c r="E422" s="36"/>
      <c r="F422" s="33" t="s">
        <v>416</v>
      </c>
      <c r="G422" s="33" t="str">
        <f>IF(ISNUMBER(F422),E422*F422,"")</f>
        <v/>
      </c>
      <c r="H422" s="44"/>
      <c r="I422" s="45"/>
      <c r="J422" s="152">
        <v>0</v>
      </c>
    </row>
    <row r="423" spans="1:10" ht="15.75" hidden="1" thickBot="1" x14ac:dyDescent="0.3">
      <c r="A423" s="170" t="s">
        <v>116</v>
      </c>
      <c r="B423" s="173" t="str">
        <f>INDEX(Orçamentária!A:B,MATCH(Composições!A423,Orçamentária!A:A,0),2)</f>
        <v>Sóculo h=10 cm</v>
      </c>
      <c r="C423" s="40"/>
      <c r="D423" s="25" t="s">
        <v>70</v>
      </c>
      <c r="E423" s="26"/>
      <c r="F423" s="41" t="s">
        <v>416</v>
      </c>
      <c r="G423" s="27" t="str">
        <f>IF(ISNUMBER(F423),E423*F423,"")</f>
        <v/>
      </c>
      <c r="H423" s="28"/>
      <c r="I423" s="29"/>
      <c r="J423" s="152">
        <v>0</v>
      </c>
    </row>
    <row r="424" spans="1:10" ht="15.75" hidden="1" thickBot="1" x14ac:dyDescent="0.3">
      <c r="A424" s="176"/>
      <c r="B424" s="174"/>
      <c r="C424" s="31"/>
      <c r="D424" s="31"/>
      <c r="E424" s="32"/>
      <c r="F424" s="42" t="s">
        <v>416</v>
      </c>
      <c r="G424" s="30" t="str">
        <f>IF(ISNUMBER(F424),E424*F424,"")</f>
        <v/>
      </c>
      <c r="H424" s="34"/>
      <c r="I424" s="30"/>
      <c r="J424" s="152">
        <v>0</v>
      </c>
    </row>
    <row r="425" spans="1:10" ht="26.25" hidden="1" thickBot="1" x14ac:dyDescent="0.3">
      <c r="A425" s="176"/>
      <c r="B425" s="174"/>
      <c r="C425" s="35" t="s">
        <v>8423</v>
      </c>
      <c r="D425" s="35" t="s">
        <v>385</v>
      </c>
      <c r="E425" s="36">
        <v>0.42</v>
      </c>
      <c r="F425" s="33">
        <v>2.3939999999999997</v>
      </c>
      <c r="G425" s="33">
        <f>IF(ISNUMBER(F425),E425*F425,"")</f>
        <v>1.0054799999999999</v>
      </c>
      <c r="H425" s="38">
        <f>SUM(G425:G433)</f>
        <v>85.735808613224592</v>
      </c>
      <c r="I425" s="39"/>
      <c r="J425" s="152">
        <v>0</v>
      </c>
    </row>
    <row r="426" spans="1:10" ht="15.75" hidden="1" thickBot="1" x14ac:dyDescent="0.3">
      <c r="A426" s="176"/>
      <c r="B426" s="174"/>
      <c r="C426" s="35" t="s">
        <v>8320</v>
      </c>
      <c r="D426" s="35" t="s">
        <v>1102</v>
      </c>
      <c r="E426" s="36">
        <v>5.0000000000000001E-3</v>
      </c>
      <c r="F426" s="33">
        <v>38.313499999999998</v>
      </c>
      <c r="G426" s="33">
        <f>IF(ISNUMBER(F426),E426*F426,"")</f>
        <v>0.1915675</v>
      </c>
      <c r="H426" s="34"/>
      <c r="I426" s="30"/>
      <c r="J426" s="152">
        <v>0</v>
      </c>
    </row>
    <row r="427" spans="1:10" ht="26.25" hidden="1" thickBot="1" x14ac:dyDescent="0.3">
      <c r="A427" s="176"/>
      <c r="B427" s="174"/>
      <c r="C427" s="35" t="s">
        <v>7999</v>
      </c>
      <c r="D427" s="35" t="s">
        <v>213</v>
      </c>
      <c r="E427" s="36">
        <v>13.6</v>
      </c>
      <c r="F427" s="33">
        <v>1.7195</v>
      </c>
      <c r="G427" s="33">
        <f>IF(ISNUMBER(F427),E427*F427,"")</f>
        <v>23.385200000000001</v>
      </c>
      <c r="H427" s="34"/>
      <c r="I427" s="30"/>
      <c r="J427" s="152">
        <v>0</v>
      </c>
    </row>
    <row r="428" spans="1:10" ht="51.75" hidden="1" thickBot="1" x14ac:dyDescent="0.3">
      <c r="A428" s="176"/>
      <c r="B428" s="174"/>
      <c r="C428" s="35" t="s">
        <v>110</v>
      </c>
      <c r="D428" s="46" t="s">
        <v>87</v>
      </c>
      <c r="E428" s="36">
        <v>1.04E-2</v>
      </c>
      <c r="F428" s="33">
        <v>734.72729063799989</v>
      </c>
      <c r="G428" s="33">
        <f>IF(ISNUMBER(F428),E428*F428,"")</f>
        <v>7.6411638226351988</v>
      </c>
      <c r="H428" s="34"/>
      <c r="I428" s="30"/>
      <c r="J428" s="152">
        <v>0</v>
      </c>
    </row>
    <row r="429" spans="1:10" ht="15.75" hidden="1" thickBot="1" x14ac:dyDescent="0.3">
      <c r="A429" s="176"/>
      <c r="B429" s="174"/>
      <c r="C429" s="35" t="s">
        <v>591</v>
      </c>
      <c r="D429" s="35" t="s">
        <v>583</v>
      </c>
      <c r="E429" s="36">
        <v>0.59</v>
      </c>
      <c r="F429" s="30">
        <v>27.160499999999999</v>
      </c>
      <c r="G429" s="33">
        <f>IF(ISNUMBER(F429),E429*F429,"")</f>
        <v>16.024694999999998</v>
      </c>
      <c r="H429" s="34"/>
      <c r="I429" s="30"/>
      <c r="J429" s="152">
        <v>0</v>
      </c>
    </row>
    <row r="430" spans="1:10" ht="15.75" hidden="1" thickBot="1" x14ac:dyDescent="0.3">
      <c r="A430" s="176"/>
      <c r="B430" s="174"/>
      <c r="C430" s="35" t="s">
        <v>584</v>
      </c>
      <c r="D430" s="35" t="s">
        <v>583</v>
      </c>
      <c r="E430" s="36">
        <v>0.29499999999999998</v>
      </c>
      <c r="F430" s="30">
        <v>20.225499999999997</v>
      </c>
      <c r="G430" s="33">
        <f>IF(ISNUMBER(F430),E430*F430,"")</f>
        <v>5.9665224999999991</v>
      </c>
      <c r="H430" s="34"/>
      <c r="I430" s="30"/>
      <c r="J430" s="152">
        <v>0</v>
      </c>
    </row>
    <row r="431" spans="1:10" ht="51.75" hidden="1" thickBot="1" x14ac:dyDescent="0.3">
      <c r="A431" s="176"/>
      <c r="B431" s="174"/>
      <c r="C431" s="35" t="s">
        <v>110</v>
      </c>
      <c r="D431" s="46" t="s">
        <v>80</v>
      </c>
      <c r="E431" s="36">
        <v>2.1299999999999999E-2</v>
      </c>
      <c r="F431" s="33">
        <v>734.72729063799989</v>
      </c>
      <c r="G431" s="33">
        <f>IF(ISNUMBER(F431),E431*F431,"")</f>
        <v>15.649691290589397</v>
      </c>
      <c r="H431" s="34"/>
      <c r="I431" s="30"/>
      <c r="J431" s="152">
        <v>0</v>
      </c>
    </row>
    <row r="432" spans="1:10" ht="15.75" hidden="1" thickBot="1" x14ac:dyDescent="0.3">
      <c r="A432" s="176"/>
      <c r="B432" s="174"/>
      <c r="C432" s="35" t="s">
        <v>591</v>
      </c>
      <c r="D432" s="35" t="s">
        <v>583</v>
      </c>
      <c r="E432" s="36">
        <v>0.46</v>
      </c>
      <c r="F432" s="30">
        <v>27.160499999999999</v>
      </c>
      <c r="G432" s="33">
        <f>IF(ISNUMBER(F432),E432*F432,"")</f>
        <v>12.493830000000001</v>
      </c>
      <c r="H432" s="34"/>
      <c r="I432" s="30"/>
      <c r="J432" s="152">
        <v>0</v>
      </c>
    </row>
    <row r="433" spans="1:10" ht="15.75" hidden="1" thickBot="1" x14ac:dyDescent="0.3">
      <c r="A433" s="176"/>
      <c r="B433" s="174"/>
      <c r="C433" s="35" t="s">
        <v>584</v>
      </c>
      <c r="D433" s="35" t="s">
        <v>583</v>
      </c>
      <c r="E433" s="36">
        <v>0.16700000000000001</v>
      </c>
      <c r="F433" s="30">
        <v>20.225499999999997</v>
      </c>
      <c r="G433" s="33">
        <f>IF(ISNUMBER(F433),E433*F433,"")</f>
        <v>3.3776584999999995</v>
      </c>
      <c r="H433" s="34"/>
      <c r="I433" s="30"/>
      <c r="J433" s="152">
        <v>0</v>
      </c>
    </row>
    <row r="434" spans="1:10" ht="15.75" hidden="1" thickBot="1" x14ac:dyDescent="0.3">
      <c r="A434" s="177"/>
      <c r="B434" s="175"/>
      <c r="C434" s="35"/>
      <c r="D434" s="35"/>
      <c r="E434" s="36"/>
      <c r="F434" s="30" t="s">
        <v>416</v>
      </c>
      <c r="G434" s="30" t="str">
        <f>IF(ISNUMBER(F434),E434*F434,"")</f>
        <v/>
      </c>
      <c r="H434" s="34"/>
      <c r="I434" s="30"/>
      <c r="J434" s="152">
        <v>0</v>
      </c>
    </row>
    <row r="435" spans="1:10" ht="15.75" hidden="1" thickBot="1" x14ac:dyDescent="0.3">
      <c r="A435" s="170" t="s">
        <v>117</v>
      </c>
      <c r="B435" s="173" t="str">
        <f>INDEX(Orçamentária!A:B,MATCH(Composições!A435,Orçamentária!A:A,0),2)</f>
        <v>Chapisco colante industrializado em vigas e pilares</v>
      </c>
      <c r="C435" s="40"/>
      <c r="D435" s="25" t="s">
        <v>70</v>
      </c>
      <c r="E435" s="26"/>
      <c r="F435" s="41" t="s">
        <v>416</v>
      </c>
      <c r="G435" s="27" t="str">
        <f>IF(ISNUMBER(F435),E435*F435,"")</f>
        <v/>
      </c>
      <c r="H435" s="28"/>
      <c r="I435" s="29"/>
      <c r="J435" s="152">
        <v>0</v>
      </c>
    </row>
    <row r="436" spans="1:10" ht="15.75" hidden="1" thickBot="1" x14ac:dyDescent="0.3">
      <c r="A436" s="176"/>
      <c r="B436" s="174"/>
      <c r="C436" s="31"/>
      <c r="D436" s="31"/>
      <c r="E436" s="32"/>
      <c r="F436" s="42" t="s">
        <v>416</v>
      </c>
      <c r="G436" s="30" t="str">
        <f>IF(ISNUMBER(F436),E436*F436,"")</f>
        <v/>
      </c>
      <c r="H436" s="34"/>
      <c r="I436" s="30"/>
      <c r="J436" s="152">
        <v>0</v>
      </c>
    </row>
    <row r="437" spans="1:10" ht="39" hidden="1" thickBot="1" x14ac:dyDescent="0.3">
      <c r="A437" s="176"/>
      <c r="B437" s="174"/>
      <c r="C437" s="35" t="s">
        <v>118</v>
      </c>
      <c r="D437" s="35" t="s">
        <v>80</v>
      </c>
      <c r="E437" s="36">
        <v>3.2000000000000002E-3</v>
      </c>
      <c r="F437" s="33">
        <v>2476.2639199999999</v>
      </c>
      <c r="G437" s="33">
        <f>IF(ISNUMBER(F437),E437*F437,"")</f>
        <v>7.924044544</v>
      </c>
      <c r="H437" s="38">
        <f>SUM(G437:G439)</f>
        <v>19.130335744</v>
      </c>
      <c r="I437" s="39"/>
      <c r="J437" s="152">
        <v>0</v>
      </c>
    </row>
    <row r="438" spans="1:10" ht="15.75" hidden="1" thickBot="1" x14ac:dyDescent="0.3">
      <c r="A438" s="176"/>
      <c r="B438" s="174"/>
      <c r="C438" s="35" t="s">
        <v>591</v>
      </c>
      <c r="D438" s="35" t="s">
        <v>583</v>
      </c>
      <c r="E438" s="36">
        <v>0.38400000000000001</v>
      </c>
      <c r="F438" s="30">
        <v>27.160499999999999</v>
      </c>
      <c r="G438" s="33">
        <f>IF(ISNUMBER(F438),E438*F438,"")</f>
        <v>10.429632</v>
      </c>
      <c r="H438" s="34"/>
      <c r="I438" s="30"/>
      <c r="J438" s="152">
        <v>0</v>
      </c>
    </row>
    <row r="439" spans="1:10" ht="15.75" hidden="1" thickBot="1" x14ac:dyDescent="0.3">
      <c r="A439" s="176"/>
      <c r="B439" s="174"/>
      <c r="C439" s="35" t="s">
        <v>584</v>
      </c>
      <c r="D439" s="35" t="s">
        <v>583</v>
      </c>
      <c r="E439" s="36">
        <v>3.8399999999999997E-2</v>
      </c>
      <c r="F439" s="30">
        <v>20.225499999999997</v>
      </c>
      <c r="G439" s="33">
        <f>IF(ISNUMBER(F439),E439*F439,"")</f>
        <v>0.77665919999999977</v>
      </c>
      <c r="H439" s="34"/>
      <c r="I439" s="30"/>
      <c r="J439" s="152">
        <v>0</v>
      </c>
    </row>
    <row r="440" spans="1:10" ht="15.75" hidden="1" thickBot="1" x14ac:dyDescent="0.3">
      <c r="A440" s="177"/>
      <c r="B440" s="175"/>
      <c r="C440" s="35"/>
      <c r="D440" s="35"/>
      <c r="E440" s="36"/>
      <c r="F440" s="30" t="s">
        <v>416</v>
      </c>
      <c r="G440" s="30" t="str">
        <f>IF(ISNUMBER(F440),E440*F440,"")</f>
        <v/>
      </c>
      <c r="H440" s="34"/>
      <c r="I440" s="30"/>
      <c r="J440" s="152">
        <v>0</v>
      </c>
    </row>
    <row r="441" spans="1:10" ht="15.75" hidden="1" thickBot="1" x14ac:dyDescent="0.3">
      <c r="A441" s="170" t="s">
        <v>119</v>
      </c>
      <c r="B441" s="173" t="str">
        <f>INDEX(Orçamentária!A:B,MATCH(Composições!A441,Orçamentária!A:A,0),2)</f>
        <v>Chapisco com argamassa traço 1:3</v>
      </c>
      <c r="C441" s="40"/>
      <c r="D441" s="25" t="s">
        <v>70</v>
      </c>
      <c r="E441" s="26"/>
      <c r="F441" s="41" t="s">
        <v>416</v>
      </c>
      <c r="G441" s="27" t="str">
        <f>IF(ISNUMBER(F441),E441*F441,"")</f>
        <v/>
      </c>
      <c r="H441" s="28"/>
      <c r="I441" s="29"/>
      <c r="J441" s="152">
        <v>0</v>
      </c>
    </row>
    <row r="442" spans="1:10" ht="15.75" hidden="1" thickBot="1" x14ac:dyDescent="0.3">
      <c r="A442" s="176"/>
      <c r="B442" s="174"/>
      <c r="C442" s="31"/>
      <c r="D442" s="31"/>
      <c r="E442" s="32"/>
      <c r="F442" s="42" t="s">
        <v>416</v>
      </c>
      <c r="G442" s="30" t="str">
        <f>IF(ISNUMBER(F442),E442*F442,"")</f>
        <v/>
      </c>
      <c r="H442" s="34"/>
      <c r="I442" s="30"/>
      <c r="J442" s="152">
        <v>0</v>
      </c>
    </row>
    <row r="443" spans="1:10" ht="39" hidden="1" thickBot="1" x14ac:dyDescent="0.3">
      <c r="A443" s="176"/>
      <c r="B443" s="174"/>
      <c r="C443" s="35" t="s">
        <v>120</v>
      </c>
      <c r="D443" s="35" t="s">
        <v>80</v>
      </c>
      <c r="E443" s="36">
        <v>4.1999999999999997E-3</v>
      </c>
      <c r="F443" s="33">
        <v>738.08134051699983</v>
      </c>
      <c r="G443" s="33">
        <f>IF(ISNUMBER(F443),E443*F443,"")</f>
        <v>3.0999416301713989</v>
      </c>
      <c r="H443" s="38">
        <f>SUM(G443:G445)</f>
        <v>5.1427551301713983</v>
      </c>
      <c r="I443" s="39"/>
      <c r="J443" s="152">
        <v>0</v>
      </c>
    </row>
    <row r="444" spans="1:10" ht="15.75" hidden="1" thickBot="1" x14ac:dyDescent="0.3">
      <c r="A444" s="176"/>
      <c r="B444" s="174"/>
      <c r="C444" s="35" t="s">
        <v>591</v>
      </c>
      <c r="D444" s="35" t="s">
        <v>583</v>
      </c>
      <c r="E444" s="36">
        <v>7.0000000000000007E-2</v>
      </c>
      <c r="F444" s="30">
        <v>27.160499999999999</v>
      </c>
      <c r="G444" s="30">
        <f>IF(ISNUMBER(F444),E444*F444,"")</f>
        <v>1.901235</v>
      </c>
      <c r="H444" s="34"/>
      <c r="I444" s="30"/>
      <c r="J444" s="152">
        <v>0</v>
      </c>
    </row>
    <row r="445" spans="1:10" ht="15.75" hidden="1" thickBot="1" x14ac:dyDescent="0.3">
      <c r="A445" s="176"/>
      <c r="B445" s="174"/>
      <c r="C445" s="35" t="s">
        <v>584</v>
      </c>
      <c r="D445" s="35" t="s">
        <v>583</v>
      </c>
      <c r="E445" s="36">
        <v>7.0000000000000001E-3</v>
      </c>
      <c r="F445" s="30">
        <v>20.225499999999997</v>
      </c>
      <c r="G445" s="30">
        <f>IF(ISNUMBER(F445),E445*F445,"")</f>
        <v>0.14157849999999997</v>
      </c>
      <c r="H445" s="34"/>
      <c r="I445" s="30"/>
      <c r="J445" s="152">
        <v>0</v>
      </c>
    </row>
    <row r="446" spans="1:10" ht="15.75" hidden="1" thickBot="1" x14ac:dyDescent="0.3">
      <c r="A446" s="177"/>
      <c r="B446" s="175"/>
      <c r="C446" s="35"/>
      <c r="D446" s="35"/>
      <c r="E446" s="36"/>
      <c r="F446" s="30" t="s">
        <v>416</v>
      </c>
      <c r="G446" s="30" t="str">
        <f>IF(ISNUMBER(F446),E446*F446,"")</f>
        <v/>
      </c>
      <c r="H446" s="34"/>
      <c r="I446" s="30"/>
      <c r="J446" s="152">
        <v>0</v>
      </c>
    </row>
    <row r="447" spans="1:10" ht="15.75" hidden="1" thickBot="1" x14ac:dyDescent="0.3">
      <c r="A447" s="170" t="s">
        <v>121</v>
      </c>
      <c r="B447" s="173" t="str">
        <f>INDEX(Orçamentária!A:B,MATCH(Composições!A447,Orçamentária!A:A,0),2)</f>
        <v>Gesso cola</v>
      </c>
      <c r="C447" s="40"/>
      <c r="D447" s="25" t="s">
        <v>70</v>
      </c>
      <c r="E447" s="26"/>
      <c r="F447" s="41" t="s">
        <v>416</v>
      </c>
      <c r="G447" s="27" t="str">
        <f>IF(ISNUMBER(F447),E447*F447,"")</f>
        <v/>
      </c>
      <c r="H447" s="28"/>
      <c r="I447" s="29"/>
      <c r="J447" s="152">
        <v>0</v>
      </c>
    </row>
    <row r="448" spans="1:10" ht="15.75" hidden="1" thickBot="1" x14ac:dyDescent="0.3">
      <c r="A448" s="171"/>
      <c r="B448" s="174"/>
      <c r="C448" s="31"/>
      <c r="D448" s="31"/>
      <c r="E448" s="32"/>
      <c r="F448" s="42" t="s">
        <v>416</v>
      </c>
      <c r="G448" s="30" t="str">
        <f>IF(ISNUMBER(F448),E448*F448,"")</f>
        <v/>
      </c>
      <c r="H448" s="34"/>
      <c r="I448" s="30"/>
      <c r="J448" s="152">
        <v>0</v>
      </c>
    </row>
    <row r="449" spans="1:10" ht="15.75" hidden="1" thickBot="1" x14ac:dyDescent="0.3">
      <c r="A449" s="171"/>
      <c r="B449" s="174"/>
      <c r="C449" s="35" t="s">
        <v>1103</v>
      </c>
      <c r="D449" s="35" t="s">
        <v>583</v>
      </c>
      <c r="E449" s="36">
        <v>0.4</v>
      </c>
      <c r="F449" s="30">
        <v>26.970499999999998</v>
      </c>
      <c r="G449" s="30">
        <f>IF(ISNUMBER(F449),E449*F449,"")</f>
        <v>10.7882</v>
      </c>
      <c r="H449" s="38">
        <f>SUM(G449:G451)</f>
        <v>12.40624</v>
      </c>
      <c r="I449" s="39"/>
      <c r="J449" s="152">
        <v>0</v>
      </c>
    </row>
    <row r="450" spans="1:10" ht="15.75" hidden="1" thickBot="1" x14ac:dyDescent="0.3">
      <c r="A450" s="171"/>
      <c r="B450" s="174"/>
      <c r="C450" s="35" t="s">
        <v>584</v>
      </c>
      <c r="D450" s="35" t="s">
        <v>583</v>
      </c>
      <c r="E450" s="36">
        <v>0.08</v>
      </c>
      <c r="F450" s="30">
        <v>20.225499999999997</v>
      </c>
      <c r="G450" s="30">
        <f>IF(ISNUMBER(F450),E450*F450,"")</f>
        <v>1.6180399999999997</v>
      </c>
      <c r="H450" s="34"/>
      <c r="I450" s="30"/>
      <c r="J450" s="152">
        <v>0</v>
      </c>
    </row>
    <row r="451" spans="1:10" ht="15.75" hidden="1" thickBot="1" x14ac:dyDescent="0.3">
      <c r="A451" s="171"/>
      <c r="B451" s="174"/>
      <c r="C451" s="35" t="s">
        <v>122</v>
      </c>
      <c r="D451" s="35" t="s">
        <v>28</v>
      </c>
      <c r="E451" s="36">
        <v>0.75</v>
      </c>
      <c r="F451" s="30" t="s">
        <v>416</v>
      </c>
      <c r="G451" s="30" t="str">
        <f>IF(ISNUMBER(F451),E451*F451,"")</f>
        <v/>
      </c>
      <c r="H451" s="34"/>
      <c r="I451" s="30"/>
      <c r="J451" s="152">
        <v>0</v>
      </c>
    </row>
    <row r="452" spans="1:10" ht="15.75" hidden="1" thickBot="1" x14ac:dyDescent="0.3">
      <c r="A452" s="171"/>
      <c r="B452" s="174"/>
      <c r="C452" s="35"/>
      <c r="D452" s="35"/>
      <c r="E452" s="36"/>
      <c r="F452" s="30" t="s">
        <v>416</v>
      </c>
      <c r="G452" s="30" t="str">
        <f>IF(ISNUMBER(F452),E452*F452,"")</f>
        <v/>
      </c>
      <c r="H452" s="34"/>
      <c r="I452" s="30"/>
      <c r="J452" s="152">
        <v>0</v>
      </c>
    </row>
    <row r="453" spans="1:10" ht="26.25" hidden="1" thickBot="1" x14ac:dyDescent="0.3">
      <c r="A453" s="171"/>
      <c r="B453" s="174"/>
      <c r="C453" s="51" t="s">
        <v>123</v>
      </c>
      <c r="D453" s="51"/>
      <c r="E453" s="52"/>
      <c r="F453" s="33" t="s">
        <v>416</v>
      </c>
      <c r="G453" s="30" t="str">
        <f>IF(ISNUMBER(F453),E453*F453,"")</f>
        <v/>
      </c>
      <c r="H453" s="34"/>
      <c r="I453" s="30"/>
      <c r="J453" s="152">
        <v>0</v>
      </c>
    </row>
    <row r="454" spans="1:10" ht="15.75" hidden="1" thickBot="1" x14ac:dyDescent="0.3">
      <c r="A454" s="172"/>
      <c r="B454" s="175"/>
      <c r="C454" s="35"/>
      <c r="D454" s="35"/>
      <c r="E454" s="36"/>
      <c r="F454" s="30" t="s">
        <v>416</v>
      </c>
      <c r="G454" s="30" t="str">
        <f>IF(ISNUMBER(F454),E454*F454,"")</f>
        <v/>
      </c>
      <c r="H454" s="34"/>
      <c r="I454" s="30"/>
      <c r="J454" s="152">
        <v>0</v>
      </c>
    </row>
    <row r="455" spans="1:10" ht="15.75" hidden="1" thickBot="1" x14ac:dyDescent="0.3">
      <c r="A455" s="170" t="s">
        <v>124</v>
      </c>
      <c r="B455" s="173" t="str">
        <f>INDEX(Orçamentária!A:B,MATCH(Composições!A455,Orçamentária!A:A,0),2)</f>
        <v>Reboco com argamassa industrializada e = 2,0 cm</v>
      </c>
      <c r="C455" s="40"/>
      <c r="D455" s="25" t="s">
        <v>70</v>
      </c>
      <c r="E455" s="26"/>
      <c r="F455" s="41" t="s">
        <v>416</v>
      </c>
      <c r="G455" s="27" t="str">
        <f>IF(ISNUMBER(F455),E455*F455,"")</f>
        <v/>
      </c>
      <c r="H455" s="28"/>
      <c r="I455" s="29"/>
      <c r="J455" s="152">
        <v>0</v>
      </c>
    </row>
    <row r="456" spans="1:10" ht="15.75" hidden="1" thickBot="1" x14ac:dyDescent="0.3">
      <c r="A456" s="176"/>
      <c r="B456" s="174"/>
      <c r="C456" s="31"/>
      <c r="D456" s="31"/>
      <c r="E456" s="32"/>
      <c r="F456" s="42" t="s">
        <v>416</v>
      </c>
      <c r="G456" s="30" t="str">
        <f>IF(ISNUMBER(F456),E456*F456,"")</f>
        <v/>
      </c>
      <c r="H456" s="34"/>
      <c r="I456" s="30"/>
      <c r="J456" s="152">
        <v>0</v>
      </c>
    </row>
    <row r="457" spans="1:10" ht="26.25" hidden="1" thickBot="1" x14ac:dyDescent="0.3">
      <c r="A457" s="176"/>
      <c r="B457" s="174"/>
      <c r="C457" s="35" t="s">
        <v>7989</v>
      </c>
      <c r="D457" s="35" t="s">
        <v>773</v>
      </c>
      <c r="E457" s="36">
        <f>1890*0.02</f>
        <v>37.800000000000004</v>
      </c>
      <c r="F457" s="33">
        <v>0.63649999999999995</v>
      </c>
      <c r="G457" s="30">
        <f>IF(ISNUMBER(F457),E457*F457,"")</f>
        <v>24.059699999999999</v>
      </c>
      <c r="H457" s="38">
        <f>SUM(G457:G460)</f>
        <v>44.027124899999997</v>
      </c>
      <c r="I457" s="39"/>
      <c r="J457" s="152">
        <v>0</v>
      </c>
    </row>
    <row r="458" spans="1:10" ht="15.75" hidden="1" thickBot="1" x14ac:dyDescent="0.3">
      <c r="A458" s="176"/>
      <c r="B458" s="174"/>
      <c r="C458" s="35" t="s">
        <v>584</v>
      </c>
      <c r="D458" s="35" t="s">
        <v>583</v>
      </c>
      <c r="E458" s="36">
        <f>12.59*0.02</f>
        <v>0.25180000000000002</v>
      </c>
      <c r="F458" s="30">
        <v>20.225499999999997</v>
      </c>
      <c r="G458" s="30">
        <f>IF(ISNUMBER(F458),E458*F458,"")</f>
        <v>5.0927808999999993</v>
      </c>
      <c r="H458" s="44"/>
      <c r="I458" s="45"/>
      <c r="J458" s="152">
        <v>0</v>
      </c>
    </row>
    <row r="459" spans="1:10" ht="15.75" hidden="1" thickBot="1" x14ac:dyDescent="0.3">
      <c r="A459" s="176"/>
      <c r="B459" s="174"/>
      <c r="C459" s="35" t="s">
        <v>591</v>
      </c>
      <c r="D459" s="35" t="s">
        <v>583</v>
      </c>
      <c r="E459" s="36">
        <v>0.43</v>
      </c>
      <c r="F459" s="30">
        <v>27.160499999999999</v>
      </c>
      <c r="G459" s="30">
        <f>IF(ISNUMBER(F459),E459*F459,"")</f>
        <v>11.679015</v>
      </c>
      <c r="H459" s="34"/>
      <c r="I459" s="30"/>
      <c r="J459" s="152">
        <v>0</v>
      </c>
    </row>
    <row r="460" spans="1:10" ht="15.75" hidden="1" thickBot="1" x14ac:dyDescent="0.3">
      <c r="A460" s="176"/>
      <c r="B460" s="174"/>
      <c r="C460" s="35" t="s">
        <v>584</v>
      </c>
      <c r="D460" s="35" t="s">
        <v>583</v>
      </c>
      <c r="E460" s="36">
        <f>0.158</f>
        <v>0.158</v>
      </c>
      <c r="F460" s="30">
        <v>20.225499999999997</v>
      </c>
      <c r="G460" s="30">
        <f>IF(ISNUMBER(F460),E460*F460,"")</f>
        <v>3.1956289999999994</v>
      </c>
      <c r="H460" s="34"/>
      <c r="I460" s="30"/>
      <c r="J460" s="152">
        <v>0</v>
      </c>
    </row>
    <row r="461" spans="1:10" ht="15.75" hidden="1" thickBot="1" x14ac:dyDescent="0.3">
      <c r="A461" s="176"/>
      <c r="B461" s="174"/>
      <c r="C461" s="35"/>
      <c r="D461" s="35"/>
      <c r="E461" s="36"/>
      <c r="F461" s="30" t="s">
        <v>416</v>
      </c>
      <c r="G461" s="30" t="str">
        <f>IF(ISNUMBER(F461),E461*F461,"")</f>
        <v/>
      </c>
      <c r="H461" s="34"/>
      <c r="I461" s="30"/>
      <c r="J461" s="152">
        <v>0</v>
      </c>
    </row>
    <row r="462" spans="1:10" ht="51.75" hidden="1" thickBot="1" x14ac:dyDescent="0.3">
      <c r="A462" s="176"/>
      <c r="B462" s="174"/>
      <c r="C462" s="51" t="s">
        <v>125</v>
      </c>
      <c r="D462" s="35"/>
      <c r="E462" s="36"/>
      <c r="F462" s="30" t="s">
        <v>416</v>
      </c>
      <c r="G462" s="30" t="str">
        <f>IF(ISNUMBER(F462),E462*F462,"")</f>
        <v/>
      </c>
      <c r="H462" s="34"/>
      <c r="I462" s="30"/>
      <c r="J462" s="152">
        <v>0</v>
      </c>
    </row>
    <row r="463" spans="1:10" ht="30.75" hidden="1" thickBot="1" x14ac:dyDescent="0.3">
      <c r="A463" s="176"/>
      <c r="B463" s="174"/>
      <c r="C463" s="143" t="s">
        <v>126</v>
      </c>
      <c r="D463" s="35"/>
      <c r="E463" s="36"/>
      <c r="F463" s="30" t="s">
        <v>416</v>
      </c>
      <c r="G463" s="30" t="str">
        <f>IF(ISNUMBER(F463),E463*F463,"")</f>
        <v/>
      </c>
      <c r="H463" s="34"/>
      <c r="I463" s="30"/>
      <c r="J463" s="152">
        <v>0</v>
      </c>
    </row>
    <row r="464" spans="1:10" ht="15.75" hidden="1" thickBot="1" x14ac:dyDescent="0.3">
      <c r="A464" s="177"/>
      <c r="B464" s="175"/>
      <c r="C464" s="35"/>
      <c r="D464" s="35"/>
      <c r="E464" s="36"/>
      <c r="F464" s="30" t="s">
        <v>416</v>
      </c>
      <c r="G464" s="30" t="str">
        <f>IF(ISNUMBER(F464),E464*F464,"")</f>
        <v/>
      </c>
      <c r="H464" s="34"/>
      <c r="I464" s="30"/>
      <c r="J464" s="152">
        <v>0</v>
      </c>
    </row>
    <row r="465" spans="1:10" ht="15.75" hidden="1" thickBot="1" x14ac:dyDescent="0.3">
      <c r="A465" s="170" t="s">
        <v>127</v>
      </c>
      <c r="B465" s="173" t="str">
        <f>INDEX(Orçamentária!A:B,MATCH(Composições!A465,Orçamentária!A:A,0),2)</f>
        <v>Regularização com argamassa industrializada e = 0,5 cm</v>
      </c>
      <c r="C465" s="40"/>
      <c r="D465" s="25" t="s">
        <v>70</v>
      </c>
      <c r="E465" s="26"/>
      <c r="F465" s="41" t="s">
        <v>416</v>
      </c>
      <c r="G465" s="27" t="str">
        <f>IF(ISNUMBER(F465),E465*F465,"")</f>
        <v/>
      </c>
      <c r="H465" s="28"/>
      <c r="I465" s="29"/>
      <c r="J465" s="152">
        <v>0</v>
      </c>
    </row>
    <row r="466" spans="1:10" ht="15.75" hidden="1" thickBot="1" x14ac:dyDescent="0.3">
      <c r="A466" s="176"/>
      <c r="B466" s="174"/>
      <c r="C466" s="31"/>
      <c r="D466" s="31"/>
      <c r="E466" s="32"/>
      <c r="F466" s="42" t="s">
        <v>416</v>
      </c>
      <c r="G466" s="30" t="str">
        <f>IF(ISNUMBER(F466),E466*F466,"")</f>
        <v/>
      </c>
      <c r="H466" s="34"/>
      <c r="I466" s="30"/>
      <c r="J466" s="152">
        <v>0</v>
      </c>
    </row>
    <row r="467" spans="1:10" ht="26.25" hidden="1" thickBot="1" x14ac:dyDescent="0.3">
      <c r="A467" s="176"/>
      <c r="B467" s="174"/>
      <c r="C467" s="35" t="s">
        <v>7989</v>
      </c>
      <c r="D467" s="35" t="s">
        <v>773</v>
      </c>
      <c r="E467" s="36">
        <f>1890*0.005</f>
        <v>9.4500000000000011</v>
      </c>
      <c r="F467" s="33">
        <v>0.63649999999999995</v>
      </c>
      <c r="G467" s="30">
        <f>IF(ISNUMBER(F467),E467*F467,"")</f>
        <v>6.0149249999999999</v>
      </c>
      <c r="H467" s="38">
        <f>SUM(G467:G470)</f>
        <v>14.795943625</v>
      </c>
      <c r="I467" s="39"/>
      <c r="J467" s="152">
        <v>0</v>
      </c>
    </row>
    <row r="468" spans="1:10" ht="15.75" hidden="1" thickBot="1" x14ac:dyDescent="0.3">
      <c r="A468" s="176"/>
      <c r="B468" s="174"/>
      <c r="C468" s="35" t="s">
        <v>584</v>
      </c>
      <c r="D468" s="35" t="s">
        <v>583</v>
      </c>
      <c r="E468" s="36">
        <f>12.59*0.005</f>
        <v>6.2950000000000006E-2</v>
      </c>
      <c r="F468" s="30">
        <v>20.225499999999997</v>
      </c>
      <c r="G468" s="30">
        <f>IF(ISNUMBER(F468),E468*F468,"")</f>
        <v>1.2731952249999998</v>
      </c>
      <c r="H468" s="34"/>
      <c r="I468" s="30"/>
      <c r="J468" s="152">
        <v>0</v>
      </c>
    </row>
    <row r="469" spans="1:10" ht="15.75" hidden="1" thickBot="1" x14ac:dyDescent="0.3">
      <c r="A469" s="176"/>
      <c r="B469" s="174"/>
      <c r="C469" s="35" t="s">
        <v>591</v>
      </c>
      <c r="D469" s="35" t="s">
        <v>583</v>
      </c>
      <c r="E469" s="36">
        <f>0.31*0.7</f>
        <v>0.217</v>
      </c>
      <c r="F469" s="30">
        <v>27.160499999999999</v>
      </c>
      <c r="G469" s="30">
        <f>IF(ISNUMBER(F469),E469*F469,"")</f>
        <v>5.8938284999999997</v>
      </c>
      <c r="H469" s="34"/>
      <c r="I469" s="30"/>
      <c r="J469" s="152">
        <v>0</v>
      </c>
    </row>
    <row r="470" spans="1:10" ht="15.75" hidden="1" thickBot="1" x14ac:dyDescent="0.3">
      <c r="A470" s="176"/>
      <c r="B470" s="174"/>
      <c r="C470" s="35" t="s">
        <v>584</v>
      </c>
      <c r="D470" s="35" t="s">
        <v>583</v>
      </c>
      <c r="E470" s="36">
        <f>0.114*0.7</f>
        <v>7.9799999999999996E-2</v>
      </c>
      <c r="F470" s="30">
        <v>20.225499999999997</v>
      </c>
      <c r="G470" s="30">
        <f>IF(ISNUMBER(F470),E470*F470,"")</f>
        <v>1.6139948999999996</v>
      </c>
      <c r="H470" s="34"/>
      <c r="I470" s="30"/>
      <c r="J470" s="152">
        <v>0</v>
      </c>
    </row>
    <row r="471" spans="1:10" ht="15.75" hidden="1" thickBot="1" x14ac:dyDescent="0.3">
      <c r="A471" s="177"/>
      <c r="B471" s="175"/>
      <c r="C471" s="35"/>
      <c r="D471" s="35"/>
      <c r="E471" s="36"/>
      <c r="F471" s="30" t="s">
        <v>416</v>
      </c>
      <c r="G471" s="30" t="str">
        <f>IF(ISNUMBER(F471),E471*F471,"")</f>
        <v/>
      </c>
      <c r="H471" s="34"/>
      <c r="I471" s="30"/>
      <c r="J471" s="152">
        <v>0</v>
      </c>
    </row>
    <row r="472" spans="1:10" ht="15.75" hidden="1" thickBot="1" x14ac:dyDescent="0.3">
      <c r="A472" s="170" t="s">
        <v>128</v>
      </c>
      <c r="B472" s="173" t="str">
        <f>INDEX(Orçamentária!A:B,MATCH(Composições!A472,Orçamentária!A:A,0),2)</f>
        <v>Tratamento de trincas superficiais</v>
      </c>
      <c r="C472" s="40"/>
      <c r="D472" s="25" t="s">
        <v>69</v>
      </c>
      <c r="E472" s="26"/>
      <c r="F472" s="41" t="s">
        <v>416</v>
      </c>
      <c r="G472" s="27" t="str">
        <f>IF(ISNUMBER(F472),E472*F472,"")</f>
        <v/>
      </c>
      <c r="H472" s="28"/>
      <c r="I472" s="29"/>
      <c r="J472" s="152">
        <v>0</v>
      </c>
    </row>
    <row r="473" spans="1:10" ht="15.75" hidden="1" thickBot="1" x14ac:dyDescent="0.3">
      <c r="A473" s="176"/>
      <c r="B473" s="174"/>
      <c r="C473" s="31"/>
      <c r="D473" s="31"/>
      <c r="E473" s="32"/>
      <c r="F473" s="42" t="s">
        <v>416</v>
      </c>
      <c r="G473" s="30" t="str">
        <f>IF(ISNUMBER(F473),E473*F473,"")</f>
        <v/>
      </c>
      <c r="H473" s="34"/>
      <c r="I473" s="30"/>
      <c r="J473" s="152">
        <v>0</v>
      </c>
    </row>
    <row r="474" spans="1:10" ht="15.75" hidden="1" thickBot="1" x14ac:dyDescent="0.3">
      <c r="A474" s="176"/>
      <c r="B474" s="174"/>
      <c r="C474" s="35" t="s">
        <v>584</v>
      </c>
      <c r="D474" s="35" t="s">
        <v>583</v>
      </c>
      <c r="E474" s="36">
        <v>0.6</v>
      </c>
      <c r="F474" s="30">
        <v>20.225499999999997</v>
      </c>
      <c r="G474" s="33">
        <f>IF(ISNUMBER(F474),E474*F474,"")</f>
        <v>12.135299999999997</v>
      </c>
      <c r="H474" s="38">
        <f>SUM(G474:G478)</f>
        <v>16.8428027</v>
      </c>
      <c r="I474" s="39"/>
      <c r="J474" s="152">
        <v>0</v>
      </c>
    </row>
    <row r="475" spans="1:10" ht="15.75" hidden="1" thickBot="1" x14ac:dyDescent="0.3">
      <c r="A475" s="176"/>
      <c r="B475" s="174"/>
      <c r="C475" s="35" t="s">
        <v>591</v>
      </c>
      <c r="D475" s="35" t="s">
        <v>583</v>
      </c>
      <c r="E475" s="36">
        <v>0.155</v>
      </c>
      <c r="F475" s="30">
        <v>27.160499999999999</v>
      </c>
      <c r="G475" s="33">
        <f>IF(ISNUMBER(F475),E475*F475,"")</f>
        <v>4.2098775000000002</v>
      </c>
      <c r="H475" s="34"/>
      <c r="I475" s="30"/>
      <c r="J475" s="152">
        <v>0</v>
      </c>
    </row>
    <row r="476" spans="1:10" ht="15.75" hidden="1" thickBot="1" x14ac:dyDescent="0.3">
      <c r="A476" s="176"/>
      <c r="B476" s="174"/>
      <c r="C476" s="35" t="s">
        <v>129</v>
      </c>
      <c r="D476" s="46" t="s">
        <v>69</v>
      </c>
      <c r="E476" s="36">
        <v>1.05</v>
      </c>
      <c r="F476" s="33">
        <v>0</v>
      </c>
      <c r="G476" s="33">
        <f>IF(ISNUMBER(F476),E476*F476,"")</f>
        <v>0</v>
      </c>
      <c r="H476" s="34"/>
      <c r="I476" s="30"/>
      <c r="J476" s="152">
        <v>0</v>
      </c>
    </row>
    <row r="477" spans="1:10" ht="15.75" hidden="1" thickBot="1" x14ac:dyDescent="0.3">
      <c r="A477" s="176"/>
      <c r="B477" s="174"/>
      <c r="C477" s="35" t="s">
        <v>8368</v>
      </c>
      <c r="D477" s="35" t="s">
        <v>75</v>
      </c>
      <c r="E477" s="36">
        <f>ROUND(1*0.15/(165/18),4)</f>
        <v>1.6400000000000001E-2</v>
      </c>
      <c r="F477" s="33">
        <v>30.343</v>
      </c>
      <c r="G477" s="33">
        <f>IF(ISNUMBER(F477),E477*F477,"")</f>
        <v>0.49762520000000005</v>
      </c>
      <c r="H477" s="34"/>
      <c r="I477" s="30"/>
      <c r="J477" s="152">
        <v>0</v>
      </c>
    </row>
    <row r="478" spans="1:10" ht="15.75" hidden="1" thickBot="1" x14ac:dyDescent="0.3">
      <c r="A478" s="176"/>
      <c r="B478" s="174"/>
      <c r="C478" s="35" t="s">
        <v>130</v>
      </c>
      <c r="D478" s="46" t="s">
        <v>5783</v>
      </c>
      <c r="E478" s="36">
        <v>0.4</v>
      </c>
      <c r="F478" s="33" t="s">
        <v>416</v>
      </c>
      <c r="G478" s="33" t="str">
        <f>IF(ISNUMBER(F478),E478*F478,"")</f>
        <v/>
      </c>
      <c r="H478" s="34"/>
      <c r="I478" s="30"/>
      <c r="J478" s="152">
        <v>0</v>
      </c>
    </row>
    <row r="479" spans="1:10" ht="15.75" hidden="1" thickBot="1" x14ac:dyDescent="0.3">
      <c r="A479" s="176"/>
      <c r="B479" s="174"/>
      <c r="C479" s="35"/>
      <c r="D479" s="46"/>
      <c r="E479" s="36"/>
      <c r="F479" s="33" t="s">
        <v>416</v>
      </c>
      <c r="G479" s="33" t="str">
        <f>IF(ISNUMBER(F479),E479*F479,"")</f>
        <v/>
      </c>
      <c r="H479" s="34"/>
      <c r="I479" s="30"/>
      <c r="J479" s="152">
        <v>0</v>
      </c>
    </row>
    <row r="480" spans="1:10" ht="51.75" hidden="1" thickBot="1" x14ac:dyDescent="0.3">
      <c r="A480" s="176"/>
      <c r="B480" s="174"/>
      <c r="C480" s="51" t="s">
        <v>5784</v>
      </c>
      <c r="D480" s="46"/>
      <c r="E480" s="36"/>
      <c r="F480" s="33" t="s">
        <v>416</v>
      </c>
      <c r="G480" s="33" t="str">
        <f>IF(ISNUMBER(F480),E480*F480,"")</f>
        <v/>
      </c>
      <c r="H480" s="34"/>
      <c r="I480" s="30"/>
      <c r="J480" s="152">
        <v>0</v>
      </c>
    </row>
    <row r="481" spans="1:10" ht="30.75" hidden="1" thickBot="1" x14ac:dyDescent="0.3">
      <c r="A481" s="176"/>
      <c r="B481" s="174"/>
      <c r="C481" s="144" t="s">
        <v>5785</v>
      </c>
      <c r="D481" s="46"/>
      <c r="E481" s="36"/>
      <c r="F481" s="33" t="s">
        <v>416</v>
      </c>
      <c r="G481" s="33" t="str">
        <f>IF(ISNUMBER(F481),E481*F481,"")</f>
        <v/>
      </c>
      <c r="H481" s="34"/>
      <c r="I481" s="30"/>
      <c r="J481" s="152">
        <v>0</v>
      </c>
    </row>
    <row r="482" spans="1:10" ht="30.75" hidden="1" thickBot="1" x14ac:dyDescent="0.3">
      <c r="A482" s="176"/>
      <c r="B482" s="174"/>
      <c r="C482" s="144" t="s">
        <v>131</v>
      </c>
      <c r="D482" s="46"/>
      <c r="E482" s="36"/>
      <c r="F482" s="33" t="s">
        <v>416</v>
      </c>
      <c r="G482" s="33" t="str">
        <f>IF(ISNUMBER(F482),E482*F482,"")</f>
        <v/>
      </c>
      <c r="H482" s="34"/>
      <c r="I482" s="30"/>
      <c r="J482" s="152">
        <v>0</v>
      </c>
    </row>
    <row r="483" spans="1:10" ht="15.75" hidden="1" thickBot="1" x14ac:dyDescent="0.3">
      <c r="A483" s="177"/>
      <c r="B483" s="175"/>
      <c r="C483" s="35"/>
      <c r="D483" s="35"/>
      <c r="E483" s="36"/>
      <c r="F483" s="30" t="s">
        <v>416</v>
      </c>
      <c r="G483" s="30" t="str">
        <f>IF(ISNUMBER(F483),E483*F483,"")</f>
        <v/>
      </c>
      <c r="H483" s="34"/>
      <c r="I483" s="30"/>
      <c r="J483" s="152">
        <v>0</v>
      </c>
    </row>
    <row r="484" spans="1:10" ht="15.75" hidden="1" thickBot="1" x14ac:dyDescent="0.3">
      <c r="A484" s="170" t="s">
        <v>132</v>
      </c>
      <c r="B484" s="173" t="str">
        <f>INDEX(Orçamentária!A:B,MATCH(Composições!A484,Orçamentária!A:A,0),2)</f>
        <v>Aplicação de fundo selador base água</v>
      </c>
      <c r="C484" s="40"/>
      <c r="D484" s="25" t="s">
        <v>70</v>
      </c>
      <c r="E484" s="26"/>
      <c r="F484" s="41" t="s">
        <v>416</v>
      </c>
      <c r="G484" s="27" t="str">
        <f>IF(ISNUMBER(F484),E484*F484,"")</f>
        <v/>
      </c>
      <c r="H484" s="28"/>
      <c r="I484" s="29"/>
      <c r="J484" s="152">
        <v>0</v>
      </c>
    </row>
    <row r="485" spans="1:10" ht="15.75" hidden="1" thickBot="1" x14ac:dyDescent="0.3">
      <c r="A485" s="176"/>
      <c r="B485" s="174"/>
      <c r="C485" s="31"/>
      <c r="D485" s="31"/>
      <c r="E485" s="32"/>
      <c r="F485" s="42" t="s">
        <v>416</v>
      </c>
      <c r="G485" s="30" t="str">
        <f>IF(ISNUMBER(F485),E485*F485,"")</f>
        <v/>
      </c>
      <c r="H485" s="34"/>
      <c r="I485" s="30"/>
      <c r="J485" s="152">
        <v>0</v>
      </c>
    </row>
    <row r="486" spans="1:10" ht="15.75" hidden="1" thickBot="1" x14ac:dyDescent="0.3">
      <c r="A486" s="176"/>
      <c r="B486" s="174"/>
      <c r="C486" s="35" t="s">
        <v>956</v>
      </c>
      <c r="D486" s="35" t="s">
        <v>583</v>
      </c>
      <c r="E486" s="36">
        <v>0.106</v>
      </c>
      <c r="F486" s="30">
        <v>28.6615</v>
      </c>
      <c r="G486" s="33">
        <f>IF(ISNUMBER(F486),E486*F486,"")</f>
        <v>3.038119</v>
      </c>
      <c r="H486" s="38">
        <f>SUM(G486:G488)</f>
        <v>3.5842074999999998</v>
      </c>
      <c r="I486" s="39"/>
      <c r="J486" s="152">
        <v>0</v>
      </c>
    </row>
    <row r="487" spans="1:10" ht="15.75" hidden="1" thickBot="1" x14ac:dyDescent="0.3">
      <c r="A487" s="176"/>
      <c r="B487" s="174"/>
      <c r="C487" s="35" t="s">
        <v>584</v>
      </c>
      <c r="D487" s="35" t="s">
        <v>583</v>
      </c>
      <c r="E487" s="36">
        <v>2.7E-2</v>
      </c>
      <c r="F487" s="30">
        <v>20.225499999999997</v>
      </c>
      <c r="G487" s="33">
        <f>IF(ISNUMBER(F487),E487*F487,"")</f>
        <v>0.54608849999999987</v>
      </c>
      <c r="H487" s="34"/>
      <c r="I487" s="30"/>
      <c r="J487" s="152">
        <v>0</v>
      </c>
    </row>
    <row r="488" spans="1:10" ht="15.75" hidden="1" thickBot="1" x14ac:dyDescent="0.3">
      <c r="A488" s="176"/>
      <c r="B488" s="174"/>
      <c r="C488" s="35" t="s">
        <v>133</v>
      </c>
      <c r="D488" s="49" t="s">
        <v>75</v>
      </c>
      <c r="E488" s="36">
        <v>0.16</v>
      </c>
      <c r="F488" s="33" t="s">
        <v>416</v>
      </c>
      <c r="G488" s="33" t="str">
        <f>IF(ISNUMBER(F488),E488*F488,"")</f>
        <v/>
      </c>
      <c r="H488" s="34"/>
      <c r="I488" s="30"/>
      <c r="J488" s="152">
        <v>0</v>
      </c>
    </row>
    <row r="489" spans="1:10" ht="15.75" hidden="1" thickBot="1" x14ac:dyDescent="0.3">
      <c r="A489" s="177"/>
      <c r="B489" s="175"/>
      <c r="C489" s="35"/>
      <c r="D489" s="35"/>
      <c r="E489" s="36"/>
      <c r="F489" s="30" t="s">
        <v>416</v>
      </c>
      <c r="G489" s="30" t="str">
        <f>IF(ISNUMBER(F489),E489*F489,"")</f>
        <v/>
      </c>
      <c r="H489" s="34"/>
      <c r="I489" s="30"/>
      <c r="J489" s="152">
        <v>0</v>
      </c>
    </row>
    <row r="490" spans="1:10" ht="15.75" hidden="1" thickBot="1" x14ac:dyDescent="0.3">
      <c r="A490" s="170" t="s">
        <v>134</v>
      </c>
      <c r="B490" s="173" t="str">
        <f>INDEX(Orçamentária!A:B,MATCH(Composições!A490,Orçamentária!A:A,0),2)</f>
        <v>Fundo anticorrosivo e de aderência</v>
      </c>
      <c r="C490" s="40"/>
      <c r="D490" s="25" t="s">
        <v>70</v>
      </c>
      <c r="E490" s="26"/>
      <c r="F490" s="41" t="s">
        <v>416</v>
      </c>
      <c r="G490" s="27" t="str">
        <f>IF(ISNUMBER(F490),E490*F490,"")</f>
        <v/>
      </c>
      <c r="H490" s="28"/>
      <c r="I490" s="29"/>
      <c r="J490" s="152">
        <v>0</v>
      </c>
    </row>
    <row r="491" spans="1:10" ht="15.75" hidden="1" thickBot="1" x14ac:dyDescent="0.3">
      <c r="A491" s="176"/>
      <c r="B491" s="174"/>
      <c r="C491" s="31"/>
      <c r="D491" s="31"/>
      <c r="E491" s="32"/>
      <c r="F491" s="42" t="s">
        <v>416</v>
      </c>
      <c r="G491" s="30" t="str">
        <f>IF(ISNUMBER(F491),E491*F491,"")</f>
        <v/>
      </c>
      <c r="H491" s="34"/>
      <c r="I491" s="30"/>
      <c r="J491" s="152">
        <v>0</v>
      </c>
    </row>
    <row r="492" spans="1:10" ht="15.75" hidden="1" thickBot="1" x14ac:dyDescent="0.3">
      <c r="A492" s="176"/>
      <c r="B492" s="174"/>
      <c r="C492" s="35" t="s">
        <v>956</v>
      </c>
      <c r="D492" s="35" t="s">
        <v>583</v>
      </c>
      <c r="E492" s="36">
        <f>2*0.2149</f>
        <v>0.42980000000000002</v>
      </c>
      <c r="F492" s="30">
        <v>28.6615</v>
      </c>
      <c r="G492" s="33">
        <f>IF(ISNUMBER(F492),E492*F492,"")</f>
        <v>12.318712700000001</v>
      </c>
      <c r="H492" s="38">
        <f>SUM(G492:G493)</f>
        <v>12.318712700000001</v>
      </c>
      <c r="I492" s="39"/>
      <c r="J492" s="152">
        <v>0</v>
      </c>
    </row>
    <row r="493" spans="1:10" ht="15.75" hidden="1" thickBot="1" x14ac:dyDescent="0.3">
      <c r="A493" s="176"/>
      <c r="B493" s="174"/>
      <c r="C493" s="35" t="s">
        <v>135</v>
      </c>
      <c r="D493" s="49" t="s">
        <v>75</v>
      </c>
      <c r="E493" s="36">
        <f>2*(3.6/45)</f>
        <v>0.16</v>
      </c>
      <c r="F493" s="33" t="s">
        <v>416</v>
      </c>
      <c r="G493" s="33" t="str">
        <f>IF(ISNUMBER(F493),E493*F493,"")</f>
        <v/>
      </c>
      <c r="H493" s="34"/>
      <c r="I493" s="30"/>
      <c r="J493" s="152">
        <v>0</v>
      </c>
    </row>
    <row r="494" spans="1:10" ht="15.75" hidden="1" thickBot="1" x14ac:dyDescent="0.3">
      <c r="A494" s="176"/>
      <c r="B494" s="174"/>
      <c r="C494" s="35"/>
      <c r="D494" s="46"/>
      <c r="E494" s="36"/>
      <c r="F494" s="33" t="s">
        <v>416</v>
      </c>
      <c r="G494" s="33" t="str">
        <f>IF(ISNUMBER(F494),E494*F494,"")</f>
        <v/>
      </c>
      <c r="H494" s="34"/>
      <c r="I494" s="30"/>
      <c r="J494" s="152">
        <v>0</v>
      </c>
    </row>
    <row r="495" spans="1:10" ht="26.25" hidden="1" thickBot="1" x14ac:dyDescent="0.3">
      <c r="A495" s="176"/>
      <c r="B495" s="174"/>
      <c r="C495" s="51" t="s">
        <v>136</v>
      </c>
      <c r="D495" s="46"/>
      <c r="E495" s="36"/>
      <c r="F495" s="33" t="s">
        <v>416</v>
      </c>
      <c r="G495" s="33" t="str">
        <f>IF(ISNUMBER(F495),E495*F495,"")</f>
        <v/>
      </c>
      <c r="H495" s="34"/>
      <c r="I495" s="30"/>
      <c r="J495" s="152">
        <v>0</v>
      </c>
    </row>
    <row r="496" spans="1:10" ht="30.75" hidden="1" thickBot="1" x14ac:dyDescent="0.3">
      <c r="A496" s="176"/>
      <c r="B496" s="174"/>
      <c r="C496" s="144" t="s">
        <v>137</v>
      </c>
      <c r="D496" s="46"/>
      <c r="E496" s="36"/>
      <c r="F496" s="33" t="s">
        <v>416</v>
      </c>
      <c r="G496" s="33" t="str">
        <f>IF(ISNUMBER(F496),E496*F496,"")</f>
        <v/>
      </c>
      <c r="H496" s="34"/>
      <c r="I496" s="30"/>
      <c r="J496" s="152">
        <v>0</v>
      </c>
    </row>
    <row r="497" spans="1:10" ht="30.75" hidden="1" thickBot="1" x14ac:dyDescent="0.3">
      <c r="A497" s="177"/>
      <c r="B497" s="175"/>
      <c r="C497" s="144" t="s">
        <v>138</v>
      </c>
      <c r="D497" s="35"/>
      <c r="E497" s="36"/>
      <c r="F497" s="30" t="s">
        <v>416</v>
      </c>
      <c r="G497" s="30" t="str">
        <f>IF(ISNUMBER(F497),E497*F497,"")</f>
        <v/>
      </c>
      <c r="H497" s="34"/>
      <c r="I497" s="30"/>
      <c r="J497" s="152">
        <v>0</v>
      </c>
    </row>
    <row r="498" spans="1:10" ht="15.75" hidden="1" thickBot="1" x14ac:dyDescent="0.3">
      <c r="A498" s="170" t="s">
        <v>139</v>
      </c>
      <c r="B498" s="173" t="str">
        <f>INDEX(Orçamentária!A:B,MATCH(Composições!A498,Orçamentária!A:A,0),2)</f>
        <v>Massa acrílica</v>
      </c>
      <c r="C498" s="40"/>
      <c r="D498" s="25" t="s">
        <v>70</v>
      </c>
      <c r="E498" s="26"/>
      <c r="F498" s="41" t="s">
        <v>416</v>
      </c>
      <c r="G498" s="27" t="str">
        <f>IF(ISNUMBER(F498),E498*F498,"")</f>
        <v/>
      </c>
      <c r="H498" s="28"/>
      <c r="I498" s="29"/>
      <c r="J498" s="152">
        <v>0</v>
      </c>
    </row>
    <row r="499" spans="1:10" ht="15.75" hidden="1" thickBot="1" x14ac:dyDescent="0.3">
      <c r="A499" s="176"/>
      <c r="B499" s="174"/>
      <c r="C499" s="31"/>
      <c r="D499" s="31"/>
      <c r="E499" s="32"/>
      <c r="F499" s="42" t="s">
        <v>416</v>
      </c>
      <c r="G499" s="30" t="str">
        <f>IF(ISNUMBER(F499),E499*F499,"")</f>
        <v/>
      </c>
      <c r="H499" s="34"/>
      <c r="I499" s="30"/>
      <c r="J499" s="152">
        <v>0</v>
      </c>
    </row>
    <row r="500" spans="1:10" ht="26.25" hidden="1" thickBot="1" x14ac:dyDescent="0.3">
      <c r="A500" s="176"/>
      <c r="B500" s="174"/>
      <c r="C500" s="35" t="s">
        <v>8221</v>
      </c>
      <c r="D500" s="35" t="s">
        <v>213</v>
      </c>
      <c r="E500" s="36">
        <v>0.1</v>
      </c>
      <c r="F500" s="33">
        <v>1.292</v>
      </c>
      <c r="G500" s="33">
        <f>IF(ISNUMBER(F500),E500*F500,"")</f>
        <v>0.12920000000000001</v>
      </c>
      <c r="H500" s="38">
        <f>SUM(G500:G503)</f>
        <v>22.098640459999999</v>
      </c>
      <c r="I500" s="39"/>
      <c r="J500" s="152">
        <v>0</v>
      </c>
    </row>
    <row r="501" spans="1:10" ht="15.75" hidden="1" thickBot="1" x14ac:dyDescent="0.3">
      <c r="A501" s="176"/>
      <c r="B501" s="174"/>
      <c r="C501" s="35" t="s">
        <v>8288</v>
      </c>
      <c r="D501" s="35" t="s">
        <v>773</v>
      </c>
      <c r="E501" s="36">
        <v>1.5518400000000001</v>
      </c>
      <c r="F501" s="33">
        <v>6.9064999999999994</v>
      </c>
      <c r="G501" s="33">
        <f>IF(ISNUMBER(F501),E501*F501,"")</f>
        <v>10.717782959999999</v>
      </c>
      <c r="H501" s="34"/>
      <c r="I501" s="30"/>
      <c r="J501" s="152">
        <v>0</v>
      </c>
    </row>
    <row r="502" spans="1:10" ht="15.75" hidden="1" thickBot="1" x14ac:dyDescent="0.3">
      <c r="A502" s="176"/>
      <c r="B502" s="174"/>
      <c r="C502" s="35" t="s">
        <v>956</v>
      </c>
      <c r="D502" s="35" t="s">
        <v>583</v>
      </c>
      <c r="E502" s="36">
        <v>0.33400000000000002</v>
      </c>
      <c r="F502" s="30">
        <v>28.6615</v>
      </c>
      <c r="G502" s="33">
        <f>IF(ISNUMBER(F502),E502*F502,"")</f>
        <v>9.5729410000000001</v>
      </c>
      <c r="H502" s="34"/>
      <c r="I502" s="30"/>
      <c r="J502" s="152">
        <v>0</v>
      </c>
    </row>
    <row r="503" spans="1:10" ht="15.75" hidden="1" thickBot="1" x14ac:dyDescent="0.3">
      <c r="A503" s="176"/>
      <c r="B503" s="174"/>
      <c r="C503" s="35" t="s">
        <v>584</v>
      </c>
      <c r="D503" s="35" t="s">
        <v>583</v>
      </c>
      <c r="E503" s="36">
        <v>8.3000000000000004E-2</v>
      </c>
      <c r="F503" s="30">
        <v>20.225499999999997</v>
      </c>
      <c r="G503" s="33">
        <f>IF(ISNUMBER(F503),E503*F503,"")</f>
        <v>1.6787164999999997</v>
      </c>
      <c r="H503" s="34"/>
      <c r="I503" s="30"/>
      <c r="J503" s="152">
        <v>0</v>
      </c>
    </row>
    <row r="504" spans="1:10" ht="15.75" hidden="1" thickBot="1" x14ac:dyDescent="0.3">
      <c r="A504" s="177"/>
      <c r="B504" s="175"/>
      <c r="C504" s="35"/>
      <c r="D504" s="35"/>
      <c r="E504" s="36"/>
      <c r="F504" s="30" t="s">
        <v>416</v>
      </c>
      <c r="G504" s="30" t="str">
        <f>IF(ISNUMBER(F504),E504*F504,"")</f>
        <v/>
      </c>
      <c r="H504" s="34"/>
      <c r="I504" s="30"/>
      <c r="J504" s="152">
        <v>0</v>
      </c>
    </row>
    <row r="505" spans="1:10" ht="15.75" thickBot="1" x14ac:dyDescent="0.3">
      <c r="A505" s="170" t="s">
        <v>140</v>
      </c>
      <c r="B505" s="173" t="str">
        <f>INDEX(Orçamentária!A:B,MATCH(Composições!A505,Orçamentária!A:A,0),2)</f>
        <v>Massa corrida</v>
      </c>
      <c r="C505" s="40"/>
      <c r="D505" s="25" t="s">
        <v>70</v>
      </c>
      <c r="E505" s="26"/>
      <c r="F505" s="41" t="s">
        <v>416</v>
      </c>
      <c r="G505" s="27" t="str">
        <f>IF(ISNUMBER(F505),E505*F505,"")</f>
        <v/>
      </c>
      <c r="H505" s="28"/>
      <c r="I505" s="29"/>
      <c r="J505" s="152">
        <v>71</v>
      </c>
    </row>
    <row r="506" spans="1:10" x14ac:dyDescent="0.25">
      <c r="A506" s="176"/>
      <c r="B506" s="174"/>
      <c r="C506" s="31"/>
      <c r="D506" s="31"/>
      <c r="E506" s="32"/>
      <c r="F506" s="42" t="s">
        <v>416</v>
      </c>
      <c r="G506" s="30" t="str">
        <f>IF(ISNUMBER(F506),E506*F506,"")</f>
        <v/>
      </c>
      <c r="H506" s="34"/>
      <c r="I506" s="30"/>
      <c r="J506" s="152">
        <v>71</v>
      </c>
    </row>
    <row r="507" spans="1:10" ht="25.5" x14ac:dyDescent="0.25">
      <c r="A507" s="176"/>
      <c r="B507" s="174"/>
      <c r="C507" s="35" t="s">
        <v>8221</v>
      </c>
      <c r="D507" s="35" t="s">
        <v>213</v>
      </c>
      <c r="E507" s="36">
        <v>0.1</v>
      </c>
      <c r="F507" s="33">
        <v>1.292</v>
      </c>
      <c r="G507" s="33">
        <f>IF(ISNUMBER(F507),E507*F507,"")</f>
        <v>0.12920000000000001</v>
      </c>
      <c r="H507" s="38">
        <f>SUM(G507:G510)</f>
        <v>17.345461759999999</v>
      </c>
      <c r="I507" s="39"/>
      <c r="J507" s="152">
        <v>71</v>
      </c>
    </row>
    <row r="508" spans="1:10" x14ac:dyDescent="0.25">
      <c r="A508" s="176"/>
      <c r="B508" s="174"/>
      <c r="C508" s="35" t="s">
        <v>8289</v>
      </c>
      <c r="D508" s="35" t="s">
        <v>773</v>
      </c>
      <c r="E508" s="36">
        <v>1.5550200000000001</v>
      </c>
      <c r="F508" s="33">
        <v>3.8379999999999996</v>
      </c>
      <c r="G508" s="33">
        <f>IF(ISNUMBER(F508),E508*F508,"")</f>
        <v>5.9681667599999999</v>
      </c>
      <c r="H508" s="34"/>
      <c r="I508" s="30"/>
      <c r="J508" s="152">
        <v>71</v>
      </c>
    </row>
    <row r="509" spans="1:10" x14ac:dyDescent="0.25">
      <c r="A509" s="176"/>
      <c r="B509" s="174"/>
      <c r="C509" s="35" t="s">
        <v>956</v>
      </c>
      <c r="D509" s="35" t="s">
        <v>583</v>
      </c>
      <c r="E509" s="36">
        <v>0.312</v>
      </c>
      <c r="F509" s="30">
        <v>28.6615</v>
      </c>
      <c r="G509" s="33">
        <f>IF(ISNUMBER(F509),E509*F509,"")</f>
        <v>8.9423879999999993</v>
      </c>
      <c r="H509" s="34"/>
      <c r="I509" s="30"/>
      <c r="J509" s="152">
        <v>71</v>
      </c>
    </row>
    <row r="510" spans="1:10" x14ac:dyDescent="0.25">
      <c r="A510" s="176"/>
      <c r="B510" s="174"/>
      <c r="C510" s="35" t="s">
        <v>584</v>
      </c>
      <c r="D510" s="35" t="s">
        <v>583</v>
      </c>
      <c r="E510" s="36">
        <v>0.114</v>
      </c>
      <c r="F510" s="30">
        <v>20.225499999999997</v>
      </c>
      <c r="G510" s="33">
        <f>IF(ISNUMBER(F510),E510*F510,"")</f>
        <v>2.3057069999999995</v>
      </c>
      <c r="H510" s="34"/>
      <c r="I510" s="30"/>
      <c r="J510" s="152">
        <v>71</v>
      </c>
    </row>
    <row r="511" spans="1:10" ht="15.75" thickBot="1" x14ac:dyDescent="0.3">
      <c r="A511" s="177"/>
      <c r="B511" s="175"/>
      <c r="C511" s="35"/>
      <c r="D511" s="35"/>
      <c r="E511" s="36"/>
      <c r="F511" s="30" t="s">
        <v>416</v>
      </c>
      <c r="G511" s="30" t="str">
        <f>IF(ISNUMBER(F511),E511*F511,"")</f>
        <v/>
      </c>
      <c r="H511" s="34"/>
      <c r="I511" s="30"/>
      <c r="J511" s="152">
        <v>71</v>
      </c>
    </row>
    <row r="512" spans="1:10" ht="15.75" hidden="1" thickBot="1" x14ac:dyDescent="0.3">
      <c r="A512" s="170" t="s">
        <v>141</v>
      </c>
      <c r="B512" s="173" t="str">
        <f>INDEX(Orçamentária!A:B,MATCH(Composições!A512,Orçamentária!A:A,0),2)</f>
        <v>Pintura com tinta látex acrílica Premium (paredes)</v>
      </c>
      <c r="C512" s="40"/>
      <c r="D512" s="25" t="s">
        <v>70</v>
      </c>
      <c r="E512" s="26"/>
      <c r="F512" s="41" t="s">
        <v>416</v>
      </c>
      <c r="G512" s="27" t="str">
        <f>IF(ISNUMBER(F512),E512*F512,"")</f>
        <v/>
      </c>
      <c r="H512" s="28"/>
      <c r="I512" s="29"/>
      <c r="J512" s="152">
        <v>0</v>
      </c>
    </row>
    <row r="513" spans="1:10" ht="15.75" hidden="1" thickBot="1" x14ac:dyDescent="0.3">
      <c r="A513" s="176"/>
      <c r="B513" s="174"/>
      <c r="C513" s="31"/>
      <c r="D513" s="31"/>
      <c r="E513" s="32"/>
      <c r="F513" s="42" t="s">
        <v>416</v>
      </c>
      <c r="G513" s="30" t="str">
        <f>IF(ISNUMBER(F513),E513*F513,"")</f>
        <v/>
      </c>
      <c r="H513" s="34"/>
      <c r="I513" s="30"/>
      <c r="J513" s="152">
        <v>0</v>
      </c>
    </row>
    <row r="514" spans="1:10" ht="15.75" hidden="1" thickBot="1" x14ac:dyDescent="0.3">
      <c r="A514" s="176"/>
      <c r="B514" s="174"/>
      <c r="C514" s="35" t="s">
        <v>956</v>
      </c>
      <c r="D514" s="35" t="s">
        <v>583</v>
      </c>
      <c r="E514" s="36">
        <v>0.187</v>
      </c>
      <c r="F514" s="30">
        <v>28.6615</v>
      </c>
      <c r="G514" s="33">
        <f>IF(ISNUMBER(F514),E514*F514,"")</f>
        <v>5.3597004999999998</v>
      </c>
      <c r="H514" s="38">
        <f>SUM(G514:G516)</f>
        <v>15.793464999999999</v>
      </c>
      <c r="I514" s="39"/>
      <c r="J514" s="152">
        <v>0</v>
      </c>
    </row>
    <row r="515" spans="1:10" ht="15.75" hidden="1" thickBot="1" x14ac:dyDescent="0.3">
      <c r="A515" s="176"/>
      <c r="B515" s="174"/>
      <c r="C515" s="35" t="s">
        <v>584</v>
      </c>
      <c r="D515" s="35" t="s">
        <v>583</v>
      </c>
      <c r="E515" s="36">
        <v>6.9000000000000006E-2</v>
      </c>
      <c r="F515" s="30">
        <v>20.225499999999997</v>
      </c>
      <c r="G515" s="33">
        <f>IF(ISNUMBER(F515),E515*F515,"")</f>
        <v>1.3955594999999998</v>
      </c>
      <c r="H515" s="34"/>
      <c r="I515" s="30"/>
      <c r="J515" s="152">
        <v>0</v>
      </c>
    </row>
    <row r="516" spans="1:10" ht="15.75" hidden="1" thickBot="1" x14ac:dyDescent="0.3">
      <c r="A516" s="176"/>
      <c r="B516" s="174"/>
      <c r="C516" s="35" t="s">
        <v>8442</v>
      </c>
      <c r="D516" s="35" t="s">
        <v>75</v>
      </c>
      <c r="E516" s="36">
        <v>0.33</v>
      </c>
      <c r="F516" s="33">
        <v>27.388499999999997</v>
      </c>
      <c r="G516" s="33">
        <f>IF(ISNUMBER(F516),E516*F516,"")</f>
        <v>9.0382049999999996</v>
      </c>
      <c r="H516" s="34"/>
      <c r="I516" s="30"/>
      <c r="J516" s="152">
        <v>0</v>
      </c>
    </row>
    <row r="517" spans="1:10" ht="15.75" hidden="1" thickBot="1" x14ac:dyDescent="0.3">
      <c r="A517" s="177"/>
      <c r="B517" s="175"/>
      <c r="C517" s="35"/>
      <c r="D517" s="35"/>
      <c r="E517" s="36"/>
      <c r="F517" s="30" t="s">
        <v>416</v>
      </c>
      <c r="G517" s="30" t="str">
        <f>IF(ISNUMBER(F517),E517*F517,"")</f>
        <v/>
      </c>
      <c r="H517" s="34"/>
      <c r="I517" s="30"/>
      <c r="J517" s="152">
        <v>0</v>
      </c>
    </row>
    <row r="518" spans="1:10" ht="15.75" hidden="1" thickBot="1" x14ac:dyDescent="0.3">
      <c r="A518" s="170" t="s">
        <v>142</v>
      </c>
      <c r="B518" s="173" t="str">
        <f>INDEX(Orçamentária!A:B,MATCH(Composições!A518,Orçamentária!A:A,0),2)</f>
        <v>Pintura em verniz sintético</v>
      </c>
      <c r="C518" s="40"/>
      <c r="D518" s="25" t="s">
        <v>70</v>
      </c>
      <c r="E518" s="26"/>
      <c r="F518" s="41" t="s">
        <v>416</v>
      </c>
      <c r="G518" s="27" t="str">
        <f>IF(ISNUMBER(F518),E518*F518,"")</f>
        <v/>
      </c>
      <c r="H518" s="28"/>
      <c r="I518" s="29"/>
      <c r="J518" s="152">
        <v>0</v>
      </c>
    </row>
    <row r="519" spans="1:10" ht="15.75" hidden="1" thickBot="1" x14ac:dyDescent="0.3">
      <c r="A519" s="176"/>
      <c r="B519" s="174"/>
      <c r="C519" s="31"/>
      <c r="D519" s="31"/>
      <c r="E519" s="32"/>
      <c r="F519" s="42" t="s">
        <v>416</v>
      </c>
      <c r="G519" s="30" t="str">
        <f>IF(ISNUMBER(F519),E519*F519,"")</f>
        <v/>
      </c>
      <c r="H519" s="34"/>
      <c r="I519" s="30"/>
      <c r="J519" s="152">
        <v>0</v>
      </c>
    </row>
    <row r="520" spans="1:10" ht="15.75" hidden="1" thickBot="1" x14ac:dyDescent="0.3">
      <c r="A520" s="176"/>
      <c r="B520" s="174"/>
      <c r="C520" s="35" t="s">
        <v>143</v>
      </c>
      <c r="D520" s="49" t="s">
        <v>75</v>
      </c>
      <c r="E520" s="36">
        <f>ROUND(3*3.6/100,4)</f>
        <v>0.108</v>
      </c>
      <c r="F520" s="33" t="s">
        <v>416</v>
      </c>
      <c r="G520" s="30" t="str">
        <f>IF(ISNUMBER(F520),E520*F520,"")</f>
        <v/>
      </c>
      <c r="H520" s="38">
        <f>SUM(G520:G521)</f>
        <v>20.280877400000001</v>
      </c>
      <c r="I520" s="39"/>
      <c r="J520" s="152">
        <v>0</v>
      </c>
    </row>
    <row r="521" spans="1:10" ht="15.75" hidden="1" thickBot="1" x14ac:dyDescent="0.3">
      <c r="A521" s="176"/>
      <c r="B521" s="174"/>
      <c r="C521" s="35" t="s">
        <v>956</v>
      </c>
      <c r="D521" s="35" t="s">
        <v>583</v>
      </c>
      <c r="E521" s="36">
        <v>0.70760000000000001</v>
      </c>
      <c r="F521" s="30">
        <v>28.6615</v>
      </c>
      <c r="G521" s="30">
        <f>IF(ISNUMBER(F521),E521*F521,"")</f>
        <v>20.280877400000001</v>
      </c>
      <c r="H521" s="34"/>
      <c r="I521" s="30"/>
      <c r="J521" s="152">
        <v>0</v>
      </c>
    </row>
    <row r="522" spans="1:10" ht="15.75" hidden="1" thickBot="1" x14ac:dyDescent="0.3">
      <c r="A522" s="176"/>
      <c r="B522" s="174"/>
      <c r="C522" s="35"/>
      <c r="D522" s="35"/>
      <c r="E522" s="36"/>
      <c r="F522" s="30" t="s">
        <v>416</v>
      </c>
      <c r="G522" s="30"/>
      <c r="H522" s="34"/>
      <c r="I522" s="30"/>
      <c r="J522" s="152">
        <v>0</v>
      </c>
    </row>
    <row r="523" spans="1:10" ht="39" hidden="1" thickBot="1" x14ac:dyDescent="0.3">
      <c r="A523" s="176"/>
      <c r="B523" s="174"/>
      <c r="C523" s="51" t="s">
        <v>2954</v>
      </c>
      <c r="D523" s="35"/>
      <c r="E523" s="36"/>
      <c r="F523" s="30" t="s">
        <v>416</v>
      </c>
      <c r="G523" s="30"/>
      <c r="H523" s="34"/>
      <c r="I523" s="30"/>
      <c r="J523" s="152">
        <v>0</v>
      </c>
    </row>
    <row r="524" spans="1:10" ht="15.75" hidden="1" thickBot="1" x14ac:dyDescent="0.3">
      <c r="A524" s="177"/>
      <c r="B524" s="175"/>
      <c r="C524" s="35"/>
      <c r="D524" s="35"/>
      <c r="E524" s="36"/>
      <c r="F524" s="30" t="s">
        <v>416</v>
      </c>
      <c r="G524" s="30" t="str">
        <f>IF(ISNUMBER(F524),E524*F524,"")</f>
        <v/>
      </c>
      <c r="H524" s="34"/>
      <c r="I524" s="30"/>
      <c r="J524" s="152">
        <v>0</v>
      </c>
    </row>
    <row r="525" spans="1:10" ht="15.75" hidden="1" thickBot="1" x14ac:dyDescent="0.3">
      <c r="A525" s="170" t="s">
        <v>144</v>
      </c>
      <c r="B525" s="173" t="str">
        <f>INDEX(Orçamentária!A:B,MATCH(Composições!A525,Orçamentária!A:A,0),2)</f>
        <v>Pintura esmalte acetinado (metais e madeiras)</v>
      </c>
      <c r="C525" s="40"/>
      <c r="D525" s="25" t="s">
        <v>70</v>
      </c>
      <c r="E525" s="26"/>
      <c r="F525" s="41" t="s">
        <v>416</v>
      </c>
      <c r="G525" s="27" t="str">
        <f>IF(ISNUMBER(F525),E525*F525,"")</f>
        <v/>
      </c>
      <c r="H525" s="28"/>
      <c r="I525" s="29"/>
      <c r="J525" s="152">
        <v>0</v>
      </c>
    </row>
    <row r="526" spans="1:10" ht="15.75" hidden="1" thickBot="1" x14ac:dyDescent="0.3">
      <c r="A526" s="176"/>
      <c r="B526" s="174"/>
      <c r="C526" s="31"/>
      <c r="D526" s="31"/>
      <c r="E526" s="32"/>
      <c r="F526" s="42" t="s">
        <v>416</v>
      </c>
      <c r="G526" s="30" t="str">
        <f>IF(ISNUMBER(F526),E526*F526,"")</f>
        <v/>
      </c>
      <c r="H526" s="34"/>
      <c r="I526" s="30"/>
      <c r="J526" s="152">
        <v>0</v>
      </c>
    </row>
    <row r="527" spans="1:10" ht="15.75" hidden="1" thickBot="1" x14ac:dyDescent="0.3">
      <c r="A527" s="176"/>
      <c r="B527" s="174"/>
      <c r="C527" s="35" t="s">
        <v>956</v>
      </c>
      <c r="D527" s="35" t="s">
        <v>583</v>
      </c>
      <c r="E527" s="36">
        <v>0.57079999999999997</v>
      </c>
      <c r="F527" s="30">
        <v>28.6615</v>
      </c>
      <c r="G527" s="33">
        <f>IF(ISNUMBER(F527),E527*F527,"")</f>
        <v>16.3599842</v>
      </c>
      <c r="H527" s="38">
        <f>SUM(G527:G528)</f>
        <v>16.3599842</v>
      </c>
      <c r="I527" s="39"/>
      <c r="J527" s="152">
        <v>0</v>
      </c>
    </row>
    <row r="528" spans="1:10" ht="15.75" hidden="1" thickBot="1" x14ac:dyDescent="0.3">
      <c r="A528" s="176"/>
      <c r="B528" s="174"/>
      <c r="C528" s="35" t="s">
        <v>145</v>
      </c>
      <c r="D528" s="49" t="s">
        <v>75</v>
      </c>
      <c r="E528" s="36">
        <f>ROUND(3*3.6/75,4)</f>
        <v>0.14399999999999999</v>
      </c>
      <c r="F528" s="33" t="s">
        <v>416</v>
      </c>
      <c r="G528" s="33" t="str">
        <f>IF(ISNUMBER(F528),E528*F528,"")</f>
        <v/>
      </c>
      <c r="H528" s="34"/>
      <c r="I528" s="30"/>
      <c r="J528" s="152">
        <v>0</v>
      </c>
    </row>
    <row r="529" spans="1:10" ht="15.75" hidden="1" thickBot="1" x14ac:dyDescent="0.3">
      <c r="A529" s="176"/>
      <c r="B529" s="174"/>
      <c r="C529" s="35"/>
      <c r="D529" s="49"/>
      <c r="E529" s="36"/>
      <c r="F529" s="33" t="s">
        <v>416</v>
      </c>
      <c r="G529" s="33"/>
      <c r="H529" s="34"/>
      <c r="I529" s="30"/>
      <c r="J529" s="152">
        <v>0</v>
      </c>
    </row>
    <row r="530" spans="1:10" ht="39" hidden="1" thickBot="1" x14ac:dyDescent="0.3">
      <c r="A530" s="176"/>
      <c r="B530" s="174"/>
      <c r="C530" s="51" t="s">
        <v>2953</v>
      </c>
      <c r="D530" s="49"/>
      <c r="E530" s="36"/>
      <c r="F530" s="33" t="s">
        <v>416</v>
      </c>
      <c r="G530" s="33"/>
      <c r="H530" s="34"/>
      <c r="I530" s="30"/>
      <c r="J530" s="152">
        <v>0</v>
      </c>
    </row>
    <row r="531" spans="1:10" ht="15.75" hidden="1" thickBot="1" x14ac:dyDescent="0.3">
      <c r="A531" s="177"/>
      <c r="B531" s="175"/>
      <c r="C531" s="35"/>
      <c r="D531" s="35"/>
      <c r="E531" s="36"/>
      <c r="F531" s="30" t="s">
        <v>416</v>
      </c>
      <c r="G531" s="30" t="str">
        <f>IF(ISNUMBER(F531),E531*F531,"")</f>
        <v/>
      </c>
      <c r="H531" s="34"/>
      <c r="I531" s="30"/>
      <c r="J531" s="152">
        <v>0</v>
      </c>
    </row>
    <row r="532" spans="1:10" ht="15.75" thickBot="1" x14ac:dyDescent="0.3">
      <c r="A532" s="170" t="s">
        <v>146</v>
      </c>
      <c r="B532" s="173" t="str">
        <f>INDEX(Orçamentária!A:B,MATCH(Composições!A532,Orçamentária!A:A,0),2)</f>
        <v>Pintura tinta látex acrílica standard (tetos)</v>
      </c>
      <c r="C532" s="40"/>
      <c r="D532" s="25" t="s">
        <v>70</v>
      </c>
      <c r="E532" s="26"/>
      <c r="F532" s="41" t="s">
        <v>416</v>
      </c>
      <c r="G532" s="27" t="str">
        <f>IF(ISNUMBER(F532),E532*F532,"")</f>
        <v/>
      </c>
      <c r="H532" s="28"/>
      <c r="I532" s="29"/>
      <c r="J532" s="152">
        <v>356</v>
      </c>
    </row>
    <row r="533" spans="1:10" x14ac:dyDescent="0.25">
      <c r="A533" s="176"/>
      <c r="B533" s="174"/>
      <c r="C533" s="31"/>
      <c r="D533" s="31"/>
      <c r="E533" s="32"/>
      <c r="F533" s="42" t="s">
        <v>416</v>
      </c>
      <c r="G533" s="30" t="str">
        <f>IF(ISNUMBER(F533),E533*F533,"")</f>
        <v/>
      </c>
      <c r="H533" s="34"/>
      <c r="I533" s="30"/>
      <c r="J533" s="152">
        <v>356</v>
      </c>
    </row>
    <row r="534" spans="1:10" x14ac:dyDescent="0.25">
      <c r="A534" s="176"/>
      <c r="B534" s="174"/>
      <c r="C534" s="35" t="s">
        <v>956</v>
      </c>
      <c r="D534" s="35" t="s">
        <v>583</v>
      </c>
      <c r="E534" s="36">
        <v>0.24399999999999999</v>
      </c>
      <c r="F534" s="30">
        <v>28.6615</v>
      </c>
      <c r="G534" s="33">
        <f>IF(ISNUMBER(F534),E534*F534,"")</f>
        <v>6.9934060000000002</v>
      </c>
      <c r="H534" s="38">
        <f>SUM(G534:G536)</f>
        <v>17.831680499999997</v>
      </c>
      <c r="I534" s="39"/>
      <c r="J534" s="152">
        <v>356</v>
      </c>
    </row>
    <row r="535" spans="1:10" x14ac:dyDescent="0.25">
      <c r="A535" s="176"/>
      <c r="B535" s="174"/>
      <c r="C535" s="35" t="s">
        <v>584</v>
      </c>
      <c r="D535" s="35" t="s">
        <v>583</v>
      </c>
      <c r="E535" s="36">
        <v>8.8999999999999996E-2</v>
      </c>
      <c r="F535" s="30">
        <v>20.225499999999997</v>
      </c>
      <c r="G535" s="33">
        <f>IF(ISNUMBER(F535),E535*F535,"")</f>
        <v>1.8000694999999995</v>
      </c>
      <c r="H535" s="34"/>
      <c r="I535" s="30"/>
      <c r="J535" s="152">
        <v>356</v>
      </c>
    </row>
    <row r="536" spans="1:10" x14ac:dyDescent="0.25">
      <c r="A536" s="176"/>
      <c r="B536" s="174"/>
      <c r="C536" s="35" t="s">
        <v>8442</v>
      </c>
      <c r="D536" s="35" t="s">
        <v>75</v>
      </c>
      <c r="E536" s="36">
        <v>0.33</v>
      </c>
      <c r="F536" s="33">
        <v>27.388499999999997</v>
      </c>
      <c r="G536" s="33">
        <f>IF(ISNUMBER(F536),E536*F536,"")</f>
        <v>9.0382049999999996</v>
      </c>
      <c r="H536" s="34"/>
      <c r="I536" s="30"/>
      <c r="J536" s="152">
        <v>356</v>
      </c>
    </row>
    <row r="537" spans="1:10" ht="15.75" thickBot="1" x14ac:dyDescent="0.3">
      <c r="A537" s="177"/>
      <c r="B537" s="175"/>
      <c r="C537" s="35"/>
      <c r="D537" s="35"/>
      <c r="E537" s="36"/>
      <c r="F537" s="30" t="s">
        <v>416</v>
      </c>
      <c r="G537" s="30" t="str">
        <f>IF(ISNUMBER(F537),E537*F537,"")</f>
        <v/>
      </c>
      <c r="H537" s="34"/>
      <c r="I537" s="30"/>
      <c r="J537" s="152">
        <v>356</v>
      </c>
    </row>
    <row r="538" spans="1:10" ht="15.75" hidden="1" thickBot="1" x14ac:dyDescent="0.3">
      <c r="A538" s="170" t="s">
        <v>147</v>
      </c>
      <c r="B538" s="173" t="str">
        <f>INDEX(Orçamentária!A:B,MATCH(Composições!A538,Orçamentária!A:A,0),2)</f>
        <v>Cerâmica para revestimento de superfícies internas ou externas – Linha Administrativa</v>
      </c>
      <c r="C538" s="40"/>
      <c r="D538" s="25" t="s">
        <v>70</v>
      </c>
      <c r="E538" s="26"/>
      <c r="F538" s="41" t="s">
        <v>416</v>
      </c>
      <c r="G538" s="27" t="str">
        <f>IF(ISNUMBER(F538),E538*F538,"")</f>
        <v/>
      </c>
      <c r="H538" s="28"/>
      <c r="I538" s="29"/>
      <c r="J538" s="152">
        <v>0</v>
      </c>
    </row>
    <row r="539" spans="1:10" ht="15.75" hidden="1" thickBot="1" x14ac:dyDescent="0.3">
      <c r="A539" s="176"/>
      <c r="B539" s="174"/>
      <c r="C539" s="31"/>
      <c r="D539" s="31"/>
      <c r="E539" s="32"/>
      <c r="F539" s="42" t="s">
        <v>416</v>
      </c>
      <c r="G539" s="30" t="str">
        <f>IF(ISNUMBER(F539),E539*F539,"")</f>
        <v/>
      </c>
      <c r="H539" s="34"/>
      <c r="I539" s="30"/>
      <c r="J539" s="152">
        <v>0</v>
      </c>
    </row>
    <row r="540" spans="1:10" ht="26.25" hidden="1" thickBot="1" x14ac:dyDescent="0.3">
      <c r="A540" s="176"/>
      <c r="B540" s="174"/>
      <c r="C540" s="35" t="s">
        <v>148</v>
      </c>
      <c r="D540" s="35" t="s">
        <v>861</v>
      </c>
      <c r="E540" s="36">
        <v>1.08</v>
      </c>
      <c r="F540" s="33">
        <v>42.294000000000004</v>
      </c>
      <c r="G540" s="33">
        <f>IF(ISNUMBER(F540),E540*F540,"")</f>
        <v>45.677520000000008</v>
      </c>
      <c r="H540" s="38">
        <f>SUM(G540:G544)</f>
        <v>78.271829999999994</v>
      </c>
      <c r="I540" s="39"/>
      <c r="J540" s="152">
        <v>0</v>
      </c>
    </row>
    <row r="541" spans="1:10" ht="15.75" hidden="1" thickBot="1" x14ac:dyDescent="0.3">
      <c r="A541" s="176"/>
      <c r="B541" s="174"/>
      <c r="C541" s="35" t="s">
        <v>7986</v>
      </c>
      <c r="D541" s="35" t="s">
        <v>773</v>
      </c>
      <c r="E541" s="36">
        <v>6.14</v>
      </c>
      <c r="F541" s="33">
        <v>1.0924999999999998</v>
      </c>
      <c r="G541" s="33">
        <f>IF(ISNUMBER(F541),E541*F541,"")</f>
        <v>6.7079499999999985</v>
      </c>
      <c r="H541" s="34"/>
      <c r="I541" s="30"/>
      <c r="J541" s="152">
        <v>0</v>
      </c>
    </row>
    <row r="542" spans="1:10" ht="15.75" hidden="1" thickBot="1" x14ac:dyDescent="0.3">
      <c r="A542" s="176"/>
      <c r="B542" s="174"/>
      <c r="C542" s="35" t="s">
        <v>8367</v>
      </c>
      <c r="D542" s="35" t="s">
        <v>773</v>
      </c>
      <c r="E542" s="36">
        <v>0.22</v>
      </c>
      <c r="F542" s="33">
        <v>3.4579999999999997</v>
      </c>
      <c r="G542" s="33">
        <f>IF(ISNUMBER(F542),E542*F542,"")</f>
        <v>0.76075999999999999</v>
      </c>
      <c r="H542" s="34"/>
      <c r="I542" s="30"/>
      <c r="J542" s="152">
        <v>0</v>
      </c>
    </row>
    <row r="543" spans="1:10" ht="15.75" hidden="1" thickBot="1" x14ac:dyDescent="0.3">
      <c r="A543" s="176"/>
      <c r="B543" s="174"/>
      <c r="C543" s="35" t="s">
        <v>1079</v>
      </c>
      <c r="D543" s="35" t="s">
        <v>583</v>
      </c>
      <c r="E543" s="36">
        <v>0.66</v>
      </c>
      <c r="F543" s="30">
        <v>27.036999999999999</v>
      </c>
      <c r="G543" s="33">
        <f>IF(ISNUMBER(F543),E543*F543,"")</f>
        <v>17.84442</v>
      </c>
      <c r="H543" s="34"/>
      <c r="I543" s="30"/>
      <c r="J543" s="152">
        <v>0</v>
      </c>
    </row>
    <row r="544" spans="1:10" ht="15.75" hidden="1" thickBot="1" x14ac:dyDescent="0.3">
      <c r="A544" s="176"/>
      <c r="B544" s="174"/>
      <c r="C544" s="35" t="s">
        <v>584</v>
      </c>
      <c r="D544" s="35" t="s">
        <v>583</v>
      </c>
      <c r="E544" s="36">
        <v>0.36</v>
      </c>
      <c r="F544" s="30">
        <v>20.225499999999997</v>
      </c>
      <c r="G544" s="33">
        <f>IF(ISNUMBER(F544),E544*F544,"")</f>
        <v>7.2811799999999982</v>
      </c>
      <c r="H544" s="34"/>
      <c r="I544" s="30"/>
      <c r="J544" s="152">
        <v>0</v>
      </c>
    </row>
    <row r="545" spans="1:10" ht="15.75" hidden="1" thickBot="1" x14ac:dyDescent="0.3">
      <c r="A545" s="177"/>
      <c r="B545" s="175"/>
      <c r="C545" s="35"/>
      <c r="D545" s="35"/>
      <c r="E545" s="36"/>
      <c r="F545" s="30" t="s">
        <v>416</v>
      </c>
      <c r="G545" s="30" t="str">
        <f>IF(ISNUMBER(F545),E545*F545,"")</f>
        <v/>
      </c>
      <c r="H545" s="34"/>
      <c r="I545" s="30"/>
      <c r="J545" s="152">
        <v>0</v>
      </c>
    </row>
    <row r="546" spans="1:10" ht="15.75" hidden="1" thickBot="1" x14ac:dyDescent="0.3">
      <c r="A546" s="170" t="s">
        <v>149</v>
      </c>
      <c r="B546" s="173" t="str">
        <f>INDEX(Orçamentária!A:B,MATCH(Composições!A546,Orçamentária!A:A,0),2)</f>
        <v>Contrapiso em argamassa</v>
      </c>
      <c r="C546" s="40"/>
      <c r="D546" s="25" t="s">
        <v>70</v>
      </c>
      <c r="E546" s="26"/>
      <c r="F546" s="41" t="s">
        <v>416</v>
      </c>
      <c r="G546" s="27" t="str">
        <f>IF(ISNUMBER(F546),E546*F546,"")</f>
        <v/>
      </c>
      <c r="H546" s="28"/>
      <c r="I546" s="29"/>
      <c r="J546" s="152">
        <v>0</v>
      </c>
    </row>
    <row r="547" spans="1:10" ht="15.75" hidden="1" thickBot="1" x14ac:dyDescent="0.3">
      <c r="A547" s="176"/>
      <c r="B547" s="174"/>
      <c r="C547" s="31"/>
      <c r="D547" s="31"/>
      <c r="E547" s="32"/>
      <c r="F547" s="42" t="s">
        <v>416</v>
      </c>
      <c r="G547" s="30" t="str">
        <f>IF(ISNUMBER(F547),E547*F547,"")</f>
        <v/>
      </c>
      <c r="H547" s="34"/>
      <c r="I547" s="30"/>
      <c r="J547" s="152">
        <v>0</v>
      </c>
    </row>
    <row r="548" spans="1:10" ht="26.25" hidden="1" thickBot="1" x14ac:dyDescent="0.3">
      <c r="A548" s="176"/>
      <c r="B548" s="174"/>
      <c r="C548" s="35" t="s">
        <v>150</v>
      </c>
      <c r="D548" s="35" t="s">
        <v>80</v>
      </c>
      <c r="E548" s="36">
        <v>5.2999999999999999E-2</v>
      </c>
      <c r="F548" s="33">
        <v>863.68162074250006</v>
      </c>
      <c r="G548" s="33">
        <f>IF(ISNUMBER(F548),E548*F548,"")</f>
        <v>45.775125899352503</v>
      </c>
      <c r="H548" s="38">
        <f>SUM(G548:G552)</f>
        <v>59.467599399352494</v>
      </c>
      <c r="I548" s="39"/>
      <c r="J548" s="152">
        <v>0</v>
      </c>
    </row>
    <row r="549" spans="1:10" ht="15.75" hidden="1" thickBot="1" x14ac:dyDescent="0.3">
      <c r="A549" s="176"/>
      <c r="B549" s="174"/>
      <c r="C549" s="35" t="s">
        <v>591</v>
      </c>
      <c r="D549" s="35" t="s">
        <v>583</v>
      </c>
      <c r="E549" s="36">
        <v>0.27100000000000002</v>
      </c>
      <c r="F549" s="30">
        <v>27.160499999999999</v>
      </c>
      <c r="G549" s="33">
        <f>IF(ISNUMBER(F549),E549*F549,"")</f>
        <v>7.3604954999999999</v>
      </c>
      <c r="H549" s="34"/>
      <c r="I549" s="30"/>
      <c r="J549" s="152">
        <v>0</v>
      </c>
    </row>
    <row r="550" spans="1:10" ht="15.75" hidden="1" thickBot="1" x14ac:dyDescent="0.3">
      <c r="A550" s="176"/>
      <c r="B550" s="174"/>
      <c r="C550" s="35" t="s">
        <v>584</v>
      </c>
      <c r="D550" s="35" t="s">
        <v>583</v>
      </c>
      <c r="E550" s="36">
        <v>0.13600000000000001</v>
      </c>
      <c r="F550" s="30">
        <v>20.225499999999997</v>
      </c>
      <c r="G550" s="33">
        <f>IF(ISNUMBER(F550),E550*F550,"")</f>
        <v>2.7506679999999997</v>
      </c>
      <c r="H550" s="34"/>
      <c r="I550" s="30"/>
      <c r="J550" s="152">
        <v>0</v>
      </c>
    </row>
    <row r="551" spans="1:10" ht="15.75" hidden="1" thickBot="1" x14ac:dyDescent="0.3">
      <c r="A551" s="176"/>
      <c r="B551" s="174"/>
      <c r="C551" s="35" t="s">
        <v>8065</v>
      </c>
      <c r="D551" s="35" t="s">
        <v>773</v>
      </c>
      <c r="E551" s="36">
        <v>0.5</v>
      </c>
      <c r="F551" s="33">
        <v>0.627</v>
      </c>
      <c r="G551" s="33">
        <f>IF(ISNUMBER(F551),E551*F551,"")</f>
        <v>0.3135</v>
      </c>
      <c r="H551" s="34"/>
      <c r="I551" s="30"/>
      <c r="J551" s="152">
        <v>0</v>
      </c>
    </row>
    <row r="552" spans="1:10" ht="26.25" hidden="1" thickBot="1" x14ac:dyDescent="0.3">
      <c r="A552" s="176"/>
      <c r="B552" s="174"/>
      <c r="C552" s="35" t="s">
        <v>7976</v>
      </c>
      <c r="D552" s="35" t="s">
        <v>75</v>
      </c>
      <c r="E552" s="36">
        <v>0.21</v>
      </c>
      <c r="F552" s="33">
        <v>15.560999999999998</v>
      </c>
      <c r="G552" s="33">
        <f>IF(ISNUMBER(F552),E552*F552,"")</f>
        <v>3.2678099999999994</v>
      </c>
      <c r="H552" s="34"/>
      <c r="I552" s="30"/>
      <c r="J552" s="152">
        <v>0</v>
      </c>
    </row>
    <row r="553" spans="1:10" ht="15.75" hidden="1" thickBot="1" x14ac:dyDescent="0.3">
      <c r="A553" s="177"/>
      <c r="B553" s="175"/>
      <c r="C553" s="35"/>
      <c r="D553" s="35"/>
      <c r="E553" s="36"/>
      <c r="F553" s="30" t="s">
        <v>416</v>
      </c>
      <c r="G553" s="30" t="str">
        <f>IF(ISNUMBER(F553),E553*F553,"")</f>
        <v/>
      </c>
      <c r="H553" s="34"/>
      <c r="I553" s="30"/>
      <c r="J553" s="152">
        <v>0</v>
      </c>
    </row>
    <row r="554" spans="1:10" ht="15.75" hidden="1" thickBot="1" x14ac:dyDescent="0.3">
      <c r="A554" s="170" t="s">
        <v>151</v>
      </c>
      <c r="B554" s="173" t="str">
        <f>INDEX(Orçamentária!A:B,MATCH(Composições!A554,Orçamentária!A:A,0),2)</f>
        <v>Contrapiso em argamassa (e = 2 cm) ou Regularização de contrapiso existente</v>
      </c>
      <c r="C554" s="40"/>
      <c r="D554" s="25" t="s">
        <v>70</v>
      </c>
      <c r="E554" s="26"/>
      <c r="F554" s="41" t="s">
        <v>416</v>
      </c>
      <c r="G554" s="27" t="str">
        <f>IF(ISNUMBER(F554),E554*F554,"")</f>
        <v/>
      </c>
      <c r="H554" s="28"/>
      <c r="I554" s="29"/>
      <c r="J554" s="152">
        <v>0</v>
      </c>
    </row>
    <row r="555" spans="1:10" ht="15.75" hidden="1" thickBot="1" x14ac:dyDescent="0.3">
      <c r="A555" s="176"/>
      <c r="B555" s="174"/>
      <c r="C555" s="31"/>
      <c r="D555" s="31"/>
      <c r="E555" s="32"/>
      <c r="F555" s="42" t="s">
        <v>416</v>
      </c>
      <c r="G555" s="30" t="str">
        <f>IF(ISNUMBER(F555),E555*F555,"")</f>
        <v/>
      </c>
      <c r="H555" s="34"/>
      <c r="I555" s="30"/>
      <c r="J555" s="152">
        <v>0</v>
      </c>
    </row>
    <row r="556" spans="1:10" ht="15.75" hidden="1" thickBot="1" x14ac:dyDescent="0.3">
      <c r="A556" s="176"/>
      <c r="B556" s="174"/>
      <c r="C556" s="35" t="s">
        <v>8065</v>
      </c>
      <c r="D556" s="35" t="s">
        <v>773</v>
      </c>
      <c r="E556" s="36">
        <v>0.5</v>
      </c>
      <c r="F556" s="33">
        <v>0.627</v>
      </c>
      <c r="G556" s="33">
        <f>IF(ISNUMBER(F556),E556*F556,"")</f>
        <v>0.3135</v>
      </c>
      <c r="H556" s="38">
        <f>SUM(G556:G560)</f>
        <v>38.331915743017497</v>
      </c>
      <c r="I556" s="39"/>
      <c r="J556" s="152">
        <v>0</v>
      </c>
    </row>
    <row r="557" spans="1:10" ht="26.25" hidden="1" thickBot="1" x14ac:dyDescent="0.3">
      <c r="A557" s="176"/>
      <c r="B557" s="174"/>
      <c r="C557" s="35" t="s">
        <v>7976</v>
      </c>
      <c r="D557" s="35" t="s">
        <v>75</v>
      </c>
      <c r="E557" s="36">
        <v>0.21</v>
      </c>
      <c r="F557" s="33">
        <v>15.560999999999998</v>
      </c>
      <c r="G557" s="33">
        <f>IF(ISNUMBER(F557),E557*F557,"")</f>
        <v>3.2678099999999994</v>
      </c>
      <c r="H557" s="34"/>
      <c r="I557" s="30"/>
      <c r="J557" s="152">
        <v>0</v>
      </c>
    </row>
    <row r="558" spans="1:10" ht="26.25" hidden="1" thickBot="1" x14ac:dyDescent="0.3">
      <c r="A558" s="176"/>
      <c r="B558" s="174"/>
      <c r="C558" s="35" t="s">
        <v>150</v>
      </c>
      <c r="D558" s="35" t="s">
        <v>80</v>
      </c>
      <c r="E558" s="36">
        <v>3.1E-2</v>
      </c>
      <c r="F558" s="33">
        <v>863.68162074250006</v>
      </c>
      <c r="G558" s="33">
        <f>IF(ISNUMBER(F558),E558*F558,"")</f>
        <v>26.774130243017503</v>
      </c>
      <c r="H558" s="34"/>
      <c r="I558" s="30"/>
      <c r="J558" s="152">
        <v>0</v>
      </c>
    </row>
    <row r="559" spans="1:10" ht="15.75" hidden="1" thickBot="1" x14ac:dyDescent="0.3">
      <c r="A559" s="176"/>
      <c r="B559" s="174"/>
      <c r="C559" s="35" t="s">
        <v>591</v>
      </c>
      <c r="D559" s="35" t="s">
        <v>583</v>
      </c>
      <c r="E559" s="36">
        <v>0.214</v>
      </c>
      <c r="F559" s="30">
        <v>27.160499999999999</v>
      </c>
      <c r="G559" s="33">
        <f>IF(ISNUMBER(F559),E559*F559,"")</f>
        <v>5.8123469999999999</v>
      </c>
      <c r="H559" s="34"/>
      <c r="I559" s="30"/>
      <c r="J559" s="152">
        <v>0</v>
      </c>
    </row>
    <row r="560" spans="1:10" ht="15.75" hidden="1" thickBot="1" x14ac:dyDescent="0.3">
      <c r="A560" s="176"/>
      <c r="B560" s="174"/>
      <c r="C560" s="35" t="s">
        <v>584</v>
      </c>
      <c r="D560" s="35" t="s">
        <v>583</v>
      </c>
      <c r="E560" s="36">
        <v>0.107</v>
      </c>
      <c r="F560" s="30">
        <v>20.225499999999997</v>
      </c>
      <c r="G560" s="33">
        <f>IF(ISNUMBER(F560),E560*F560,"")</f>
        <v>2.1641284999999995</v>
      </c>
      <c r="H560" s="34"/>
      <c r="I560" s="30"/>
      <c r="J560" s="152">
        <v>0</v>
      </c>
    </row>
    <row r="561" spans="1:10" ht="15.75" hidden="1" thickBot="1" x14ac:dyDescent="0.3">
      <c r="A561" s="177"/>
      <c r="B561" s="175"/>
      <c r="C561" s="35"/>
      <c r="D561" s="35"/>
      <c r="E561" s="36"/>
      <c r="F561" s="30" t="s">
        <v>416</v>
      </c>
      <c r="G561" s="30" t="str">
        <f>IF(ISNUMBER(F561),E561*F561,"")</f>
        <v/>
      </c>
      <c r="H561" s="34"/>
      <c r="I561" s="30"/>
      <c r="J561" s="152">
        <v>0</v>
      </c>
    </row>
    <row r="562" spans="1:10" ht="15.75" hidden="1" thickBot="1" x14ac:dyDescent="0.3">
      <c r="A562" s="170" t="s">
        <v>152</v>
      </c>
      <c r="B562" s="173" t="str">
        <f>INDEX(Orçamentária!A:B,MATCH(Composições!A562,Orçamentária!A:A,0),2)</f>
        <v>Granito cinza andorinha para piso</v>
      </c>
      <c r="C562" s="40"/>
      <c r="D562" s="25" t="s">
        <v>70</v>
      </c>
      <c r="E562" s="26"/>
      <c r="F562" s="41" t="s">
        <v>416</v>
      </c>
      <c r="G562" s="27" t="str">
        <f>IF(ISNUMBER(F562),E562*F562,"")</f>
        <v/>
      </c>
      <c r="H562" s="28"/>
      <c r="I562" s="29"/>
      <c r="J562" s="152">
        <v>0</v>
      </c>
    </row>
    <row r="563" spans="1:10" ht="15.75" hidden="1" thickBot="1" x14ac:dyDescent="0.3">
      <c r="A563" s="176"/>
      <c r="B563" s="174"/>
      <c r="C563" s="31"/>
      <c r="D563" s="31"/>
      <c r="E563" s="32"/>
      <c r="F563" s="42" t="s">
        <v>416</v>
      </c>
      <c r="G563" s="30" t="str">
        <f>IF(ISNUMBER(F563),E563*F563,"")</f>
        <v/>
      </c>
      <c r="H563" s="34"/>
      <c r="I563" s="30"/>
      <c r="J563" s="152">
        <v>0</v>
      </c>
    </row>
    <row r="564" spans="1:10" ht="15.75" hidden="1" thickBot="1" x14ac:dyDescent="0.3">
      <c r="A564" s="176"/>
      <c r="B564" s="174"/>
      <c r="C564" s="35" t="s">
        <v>7987</v>
      </c>
      <c r="D564" s="35" t="s">
        <v>773</v>
      </c>
      <c r="E564" s="36">
        <v>8.6199999999999992</v>
      </c>
      <c r="F564" s="33">
        <v>1.8049999999999999</v>
      </c>
      <c r="G564" s="33">
        <f>IF(ISNUMBER(F564),E564*F564,"")</f>
        <v>15.559099999999997</v>
      </c>
      <c r="H564" s="38">
        <f>SUM(G564:G568)</f>
        <v>60.177122999999987</v>
      </c>
      <c r="I564" s="39"/>
      <c r="J564" s="152">
        <v>0</v>
      </c>
    </row>
    <row r="565" spans="1:10" ht="15.75" hidden="1" thickBot="1" x14ac:dyDescent="0.3">
      <c r="A565" s="176"/>
      <c r="B565" s="174"/>
      <c r="C565" s="35" t="s">
        <v>2906</v>
      </c>
      <c r="D565" s="35" t="s">
        <v>583</v>
      </c>
      <c r="E565" s="36">
        <v>1.1879999999999999</v>
      </c>
      <c r="F565" s="30">
        <v>27.036999999999999</v>
      </c>
      <c r="G565" s="33">
        <f>IF(ISNUMBER(F565),E565*F565,"")</f>
        <v>32.119955999999995</v>
      </c>
      <c r="H565" s="34"/>
      <c r="I565" s="30"/>
      <c r="J565" s="152">
        <v>0</v>
      </c>
    </row>
    <row r="566" spans="1:10" ht="15.75" hidden="1" thickBot="1" x14ac:dyDescent="0.3">
      <c r="A566" s="176"/>
      <c r="B566" s="174"/>
      <c r="C566" s="35" t="s">
        <v>584</v>
      </c>
      <c r="D566" s="35" t="s">
        <v>583</v>
      </c>
      <c r="E566" s="36">
        <v>0.59399999999999997</v>
      </c>
      <c r="F566" s="30">
        <v>20.225499999999997</v>
      </c>
      <c r="G566" s="33">
        <f>IF(ISNUMBER(F566),E566*F566,"")</f>
        <v>12.013946999999998</v>
      </c>
      <c r="H566" s="34"/>
      <c r="I566" s="30"/>
      <c r="J566" s="152">
        <v>0</v>
      </c>
    </row>
    <row r="567" spans="1:10" ht="15.75" hidden="1" thickBot="1" x14ac:dyDescent="0.3">
      <c r="A567" s="176"/>
      <c r="B567" s="174"/>
      <c r="C567" s="35" t="s">
        <v>8367</v>
      </c>
      <c r="D567" s="35" t="s">
        <v>773</v>
      </c>
      <c r="E567" s="36">
        <v>0.14000000000000001</v>
      </c>
      <c r="F567" s="33">
        <v>3.4579999999999997</v>
      </c>
      <c r="G567" s="33">
        <f>IF(ISNUMBER(F567),E567*F567,"")</f>
        <v>0.48411999999999999</v>
      </c>
      <c r="H567" s="34"/>
      <c r="I567" s="30"/>
      <c r="J567" s="152">
        <v>0</v>
      </c>
    </row>
    <row r="568" spans="1:10" ht="15.75" hidden="1" thickBot="1" x14ac:dyDescent="0.3">
      <c r="A568" s="176"/>
      <c r="B568" s="174"/>
      <c r="C568" s="35" t="s">
        <v>153</v>
      </c>
      <c r="D568" s="35" t="s">
        <v>70</v>
      </c>
      <c r="E568" s="36">
        <v>1.1599999999999999</v>
      </c>
      <c r="F568" s="33" t="s">
        <v>416</v>
      </c>
      <c r="G568" s="53" t="str">
        <f>IF(ISNUMBER(F568),E568*F568,"")</f>
        <v/>
      </c>
      <c r="H568" s="34"/>
      <c r="I568" s="30"/>
      <c r="J568" s="152">
        <v>0</v>
      </c>
    </row>
    <row r="569" spans="1:10" ht="15.75" hidden="1" thickBot="1" x14ac:dyDescent="0.3">
      <c r="A569" s="177"/>
      <c r="B569" s="175"/>
      <c r="C569" s="35"/>
      <c r="D569" s="35"/>
      <c r="E569" s="36"/>
      <c r="F569" s="30" t="s">
        <v>416</v>
      </c>
      <c r="G569" s="30" t="str">
        <f>IF(ISNUMBER(F569),E569*F569,"")</f>
        <v/>
      </c>
      <c r="H569" s="34"/>
      <c r="I569" s="30"/>
      <c r="J569" s="152">
        <v>0</v>
      </c>
    </row>
    <row r="570" spans="1:10" ht="15.75" hidden="1" thickBot="1" x14ac:dyDescent="0.3">
      <c r="A570" s="170" t="s">
        <v>154</v>
      </c>
      <c r="B570" s="173" t="str">
        <f>INDEX(Orçamentária!A:B,MATCH(Composições!A570,Orçamentária!A:A,0),2)</f>
        <v>Granito Cinza Andorinha para rodapé</v>
      </c>
      <c r="C570" s="40"/>
      <c r="D570" s="25" t="s">
        <v>70</v>
      </c>
      <c r="E570" s="26"/>
      <c r="F570" s="41" t="s">
        <v>416</v>
      </c>
      <c r="G570" s="27" t="str">
        <f>IF(ISNUMBER(F570),E570*F570,"")</f>
        <v/>
      </c>
      <c r="H570" s="28"/>
      <c r="I570" s="29"/>
      <c r="J570" s="152">
        <v>0</v>
      </c>
    </row>
    <row r="571" spans="1:10" ht="15.75" hidden="1" thickBot="1" x14ac:dyDescent="0.3">
      <c r="A571" s="176"/>
      <c r="B571" s="174"/>
      <c r="C571" s="31"/>
      <c r="D571" s="31"/>
      <c r="E571" s="32"/>
      <c r="F571" s="42" t="s">
        <v>416</v>
      </c>
      <c r="G571" s="30" t="str">
        <f>IF(ISNUMBER(F571),E571*F571,"")</f>
        <v/>
      </c>
      <c r="H571" s="34"/>
      <c r="I571" s="30"/>
      <c r="J571" s="152">
        <v>0</v>
      </c>
    </row>
    <row r="572" spans="1:10" ht="26.25" hidden="1" thickBot="1" x14ac:dyDescent="0.3">
      <c r="A572" s="176"/>
      <c r="B572" s="174"/>
      <c r="C572" s="35" t="s">
        <v>155</v>
      </c>
      <c r="D572" s="35" t="s">
        <v>69</v>
      </c>
      <c r="E572" s="36">
        <f>ROUND(1.04/0.07,4)</f>
        <v>14.857100000000001</v>
      </c>
      <c r="F572" s="33" t="s">
        <v>416</v>
      </c>
      <c r="G572" s="33" t="str">
        <f>IF(ISNUMBER(F572),E572*F572,"")</f>
        <v/>
      </c>
      <c r="H572" s="38">
        <f>SUM(G572:G576)</f>
        <v>130.87674999999999</v>
      </c>
      <c r="I572" s="39"/>
      <c r="J572" s="152">
        <v>0</v>
      </c>
    </row>
    <row r="573" spans="1:10" ht="15.75" hidden="1" thickBot="1" x14ac:dyDescent="0.3">
      <c r="A573" s="176"/>
      <c r="B573" s="174"/>
      <c r="C573" s="35" t="s">
        <v>7987</v>
      </c>
      <c r="D573" s="35" t="s">
        <v>773</v>
      </c>
      <c r="E573" s="36">
        <f>ROUND(0.8614/0.1,4)</f>
        <v>8.6140000000000008</v>
      </c>
      <c r="F573" s="33">
        <v>1.8049999999999999</v>
      </c>
      <c r="G573" s="33">
        <f>IF(ISNUMBER(F573),E573*F573,"")</f>
        <v>15.54827</v>
      </c>
      <c r="H573" s="44"/>
      <c r="I573" s="45"/>
      <c r="J573" s="152">
        <v>0</v>
      </c>
    </row>
    <row r="574" spans="1:10" ht="15.75" hidden="1" thickBot="1" x14ac:dyDescent="0.3">
      <c r="A574" s="176"/>
      <c r="B574" s="174"/>
      <c r="C574" s="35" t="s">
        <v>2906</v>
      </c>
      <c r="D574" s="35" t="s">
        <v>583</v>
      </c>
      <c r="E574" s="36">
        <f>0.299/0.1</f>
        <v>2.9899999999999998</v>
      </c>
      <c r="F574" s="30">
        <v>27.036999999999999</v>
      </c>
      <c r="G574" s="33">
        <f>IF(ISNUMBER(F574),E574*F574,"")</f>
        <v>80.84062999999999</v>
      </c>
      <c r="H574" s="34"/>
      <c r="I574" s="30"/>
      <c r="J574" s="152">
        <v>0</v>
      </c>
    </row>
    <row r="575" spans="1:10" ht="15.75" hidden="1" thickBot="1" x14ac:dyDescent="0.3">
      <c r="A575" s="176"/>
      <c r="B575" s="174"/>
      <c r="C575" s="35" t="s">
        <v>584</v>
      </c>
      <c r="D575" s="35" t="s">
        <v>583</v>
      </c>
      <c r="E575" s="36">
        <f>0.15/0.1</f>
        <v>1.4999999999999998</v>
      </c>
      <c r="F575" s="30">
        <v>20.225499999999997</v>
      </c>
      <c r="G575" s="33">
        <f>IF(ISNUMBER(F575),E575*F575,"")</f>
        <v>30.338249999999992</v>
      </c>
      <c r="H575" s="34"/>
      <c r="I575" s="30"/>
      <c r="J575" s="152">
        <v>0</v>
      </c>
    </row>
    <row r="576" spans="1:10" ht="15.75" hidden="1" thickBot="1" x14ac:dyDescent="0.3">
      <c r="A576" s="176"/>
      <c r="B576" s="174"/>
      <c r="C576" s="35" t="s">
        <v>8367</v>
      </c>
      <c r="D576" s="35" t="s">
        <v>773</v>
      </c>
      <c r="E576" s="36">
        <f>0.12/0.1</f>
        <v>1.2</v>
      </c>
      <c r="F576" s="33">
        <v>3.4579999999999997</v>
      </c>
      <c r="G576" s="33">
        <f>IF(ISNUMBER(F576),E576*F576,"")</f>
        <v>4.1495999999999995</v>
      </c>
      <c r="H576" s="34"/>
      <c r="I576" s="30"/>
      <c r="J576" s="152">
        <v>0</v>
      </c>
    </row>
    <row r="577" spans="1:10" ht="15.75" hidden="1" thickBot="1" x14ac:dyDescent="0.3">
      <c r="A577" s="176"/>
      <c r="B577" s="174"/>
      <c r="C577" s="35"/>
      <c r="D577" s="35"/>
      <c r="E577" s="36"/>
      <c r="F577" s="33" t="s">
        <v>416</v>
      </c>
      <c r="G577" s="33" t="str">
        <f>IF(ISNUMBER(F577),E577*F577,"")</f>
        <v/>
      </c>
      <c r="H577" s="34"/>
      <c r="I577" s="30"/>
      <c r="J577" s="152">
        <v>0</v>
      </c>
    </row>
    <row r="578" spans="1:10" ht="26.25" hidden="1" thickBot="1" x14ac:dyDescent="0.3">
      <c r="A578" s="176"/>
      <c r="B578" s="174"/>
      <c r="C578" s="47" t="s">
        <v>156</v>
      </c>
      <c r="D578" s="35"/>
      <c r="E578" s="36"/>
      <c r="F578" s="33" t="s">
        <v>416</v>
      </c>
      <c r="G578" s="33" t="str">
        <f>IF(ISNUMBER(F578),E578*F578,"")</f>
        <v/>
      </c>
      <c r="H578" s="34"/>
      <c r="I578" s="30"/>
      <c r="J578" s="152">
        <v>0</v>
      </c>
    </row>
    <row r="579" spans="1:10" ht="15.75" hidden="1" thickBot="1" x14ac:dyDescent="0.3">
      <c r="A579" s="177"/>
      <c r="B579" s="175"/>
      <c r="C579" s="35"/>
      <c r="D579" s="35"/>
      <c r="E579" s="36"/>
      <c r="F579" s="30" t="s">
        <v>416</v>
      </c>
      <c r="G579" s="30" t="str">
        <f>IF(ISNUMBER(F579),E579*F579,"")</f>
        <v/>
      </c>
      <c r="H579" s="34"/>
      <c r="I579" s="30"/>
      <c r="J579" s="152">
        <v>0</v>
      </c>
    </row>
    <row r="580" spans="1:10" ht="15.75" hidden="1" thickBot="1" x14ac:dyDescent="0.3">
      <c r="A580" s="170" t="s">
        <v>157</v>
      </c>
      <c r="B580" s="173" t="str">
        <f>INDEX(Orçamentária!A:B,MATCH(Composições!A580,Orçamentária!A:A,0),2)</f>
        <v>Granito Cinza Andorinha para soleira e peitoril</v>
      </c>
      <c r="C580" s="40"/>
      <c r="D580" s="25" t="s">
        <v>70</v>
      </c>
      <c r="E580" s="26"/>
      <c r="F580" s="41" t="s">
        <v>416</v>
      </c>
      <c r="G580" s="27" t="str">
        <f>IF(ISNUMBER(F580),E580*F580,"")</f>
        <v/>
      </c>
      <c r="H580" s="28"/>
      <c r="I580" s="29"/>
      <c r="J580" s="152">
        <v>0</v>
      </c>
    </row>
    <row r="581" spans="1:10" ht="15.75" hidden="1" thickBot="1" x14ac:dyDescent="0.3">
      <c r="A581" s="176"/>
      <c r="B581" s="174"/>
      <c r="C581" s="31"/>
      <c r="D581" s="31"/>
      <c r="E581" s="32"/>
      <c r="F581" s="42" t="s">
        <v>416</v>
      </c>
      <c r="G581" s="30" t="str">
        <f>IF(ISNUMBER(F581),E581*F581,"")</f>
        <v/>
      </c>
      <c r="H581" s="34"/>
      <c r="I581" s="30"/>
      <c r="J581" s="152">
        <v>0</v>
      </c>
    </row>
    <row r="582" spans="1:10" ht="26.25" hidden="1" thickBot="1" x14ac:dyDescent="0.3">
      <c r="A582" s="176"/>
      <c r="B582" s="174"/>
      <c r="C582" s="35" t="s">
        <v>158</v>
      </c>
      <c r="D582" s="35" t="s">
        <v>69</v>
      </c>
      <c r="E582" s="36">
        <f>ROUND(1/0.15,4)</f>
        <v>6.6666999999999996</v>
      </c>
      <c r="F582" s="33" t="s">
        <v>416</v>
      </c>
      <c r="G582" s="33" t="str">
        <f>IF(ISNUMBER(F582),E582*F582,"")</f>
        <v/>
      </c>
      <c r="H582" s="38">
        <f>SUM(G582:G585)</f>
        <v>150.9292379</v>
      </c>
      <c r="I582" s="39"/>
      <c r="J582" s="152">
        <v>0</v>
      </c>
    </row>
    <row r="583" spans="1:10" ht="15.75" hidden="1" thickBot="1" x14ac:dyDescent="0.3">
      <c r="A583" s="176"/>
      <c r="B583" s="174"/>
      <c r="C583" s="35" t="s">
        <v>7987</v>
      </c>
      <c r="D583" s="35" t="s">
        <v>773</v>
      </c>
      <c r="E583" s="36">
        <f>1.29/0.15</f>
        <v>8.6000000000000014</v>
      </c>
      <c r="F583" s="33">
        <v>1.8049999999999999</v>
      </c>
      <c r="G583" s="33">
        <f>IF(ISNUMBER(F583),E583*F583,"")</f>
        <v>15.523000000000001</v>
      </c>
      <c r="H583" s="34"/>
      <c r="I583" s="30"/>
      <c r="J583" s="152">
        <v>0</v>
      </c>
    </row>
    <row r="584" spans="1:10" ht="15.75" hidden="1" thickBot="1" x14ac:dyDescent="0.3">
      <c r="A584" s="176"/>
      <c r="B584" s="174"/>
      <c r="C584" s="35" t="s">
        <v>2906</v>
      </c>
      <c r="D584" s="35" t="s">
        <v>583</v>
      </c>
      <c r="E584" s="36">
        <f>ROUND(0.547/0.15,4)</f>
        <v>3.6467000000000001</v>
      </c>
      <c r="F584" s="30">
        <v>27.036999999999999</v>
      </c>
      <c r="G584" s="33">
        <f>IF(ISNUMBER(F584),E584*F584,"")</f>
        <v>98.595827900000003</v>
      </c>
      <c r="H584" s="34"/>
      <c r="I584" s="30"/>
      <c r="J584" s="152">
        <v>0</v>
      </c>
    </row>
    <row r="585" spans="1:10" ht="15.75" hidden="1" thickBot="1" x14ac:dyDescent="0.3">
      <c r="A585" s="176"/>
      <c r="B585" s="174"/>
      <c r="C585" s="35" t="s">
        <v>584</v>
      </c>
      <c r="D585" s="35" t="s">
        <v>583</v>
      </c>
      <c r="E585" s="36">
        <f>ROUND(0.273/0.15,4)</f>
        <v>1.82</v>
      </c>
      <c r="F585" s="30">
        <v>20.225499999999997</v>
      </c>
      <c r="G585" s="33">
        <f>IF(ISNUMBER(F585),E585*F585,"")</f>
        <v>36.810409999999997</v>
      </c>
      <c r="H585" s="34"/>
      <c r="I585" s="30"/>
      <c r="J585" s="152">
        <v>0</v>
      </c>
    </row>
    <row r="586" spans="1:10" ht="15.75" hidden="1" thickBot="1" x14ac:dyDescent="0.3">
      <c r="A586" s="176"/>
      <c r="B586" s="174"/>
      <c r="C586" s="35"/>
      <c r="D586" s="35"/>
      <c r="E586" s="36"/>
      <c r="F586" s="30" t="s">
        <v>416</v>
      </c>
      <c r="G586" s="33" t="str">
        <f>IF(ISNUMBER(F586),E586*F586,"")</f>
        <v/>
      </c>
      <c r="H586" s="34"/>
      <c r="I586" s="30"/>
      <c r="J586" s="152">
        <v>0</v>
      </c>
    </row>
    <row r="587" spans="1:10" ht="26.25" hidden="1" thickBot="1" x14ac:dyDescent="0.3">
      <c r="A587" s="176"/>
      <c r="B587" s="174"/>
      <c r="C587" s="47" t="s">
        <v>159</v>
      </c>
      <c r="D587" s="35"/>
      <c r="E587" s="36"/>
      <c r="F587" s="30" t="s">
        <v>416</v>
      </c>
      <c r="G587" s="33" t="str">
        <f>IF(ISNUMBER(F587),E587*F587,"")</f>
        <v/>
      </c>
      <c r="H587" s="34"/>
      <c r="I587" s="30"/>
      <c r="J587" s="152">
        <v>0</v>
      </c>
    </row>
    <row r="588" spans="1:10" ht="15.75" hidden="1" thickBot="1" x14ac:dyDescent="0.3">
      <c r="A588" s="177"/>
      <c r="B588" s="175"/>
      <c r="C588" s="35"/>
      <c r="D588" s="35"/>
      <c r="E588" s="36"/>
      <c r="F588" s="30" t="s">
        <v>416</v>
      </c>
      <c r="G588" s="30" t="str">
        <f>IF(ISNUMBER(F588),E588*F588,"")</f>
        <v/>
      </c>
      <c r="H588" s="34"/>
      <c r="I588" s="30"/>
      <c r="J588" s="152">
        <v>0</v>
      </c>
    </row>
    <row r="589" spans="1:10" ht="15.75" hidden="1" thickBot="1" x14ac:dyDescent="0.3">
      <c r="A589" s="170" t="s">
        <v>160</v>
      </c>
      <c r="B589" s="173" t="str">
        <f>INDEX(Orçamentária!A:B,MATCH(Composições!A589,Orçamentária!A:A,0),2)</f>
        <v>Granito Preto São Gabriel para piso</v>
      </c>
      <c r="C589" s="40"/>
      <c r="D589" s="25" t="s">
        <v>70</v>
      </c>
      <c r="E589" s="26"/>
      <c r="F589" s="41" t="s">
        <v>416</v>
      </c>
      <c r="G589" s="27" t="str">
        <f>IF(ISNUMBER(F589),E589*F589,"")</f>
        <v/>
      </c>
      <c r="H589" s="28"/>
      <c r="I589" s="29"/>
      <c r="J589" s="152">
        <v>0</v>
      </c>
    </row>
    <row r="590" spans="1:10" ht="15.75" hidden="1" thickBot="1" x14ac:dyDescent="0.3">
      <c r="A590" s="176"/>
      <c r="B590" s="174"/>
      <c r="C590" s="31"/>
      <c r="D590" s="31"/>
      <c r="E590" s="32"/>
      <c r="F590" s="42" t="s">
        <v>416</v>
      </c>
      <c r="G590" s="30" t="str">
        <f>IF(ISNUMBER(F590),E590*F590,"")</f>
        <v/>
      </c>
      <c r="H590" s="34"/>
      <c r="I590" s="30"/>
      <c r="J590" s="152">
        <v>0</v>
      </c>
    </row>
    <row r="591" spans="1:10" ht="15.75" hidden="1" thickBot="1" x14ac:dyDescent="0.3">
      <c r="A591" s="176"/>
      <c r="B591" s="174"/>
      <c r="C591" s="35" t="s">
        <v>7987</v>
      </c>
      <c r="D591" s="35" t="s">
        <v>773</v>
      </c>
      <c r="E591" s="36">
        <v>8.6199999999999992</v>
      </c>
      <c r="F591" s="33">
        <v>1.8049999999999999</v>
      </c>
      <c r="G591" s="33">
        <f>IF(ISNUMBER(F591),E591*F591,"")</f>
        <v>15.559099999999997</v>
      </c>
      <c r="H591" s="38">
        <f>SUM(G591:G595)</f>
        <v>60.177122999999987</v>
      </c>
      <c r="I591" s="39"/>
      <c r="J591" s="152">
        <v>0</v>
      </c>
    </row>
    <row r="592" spans="1:10" ht="15.75" hidden="1" thickBot="1" x14ac:dyDescent="0.3">
      <c r="A592" s="176"/>
      <c r="B592" s="174"/>
      <c r="C592" s="35" t="s">
        <v>2906</v>
      </c>
      <c r="D592" s="35" t="s">
        <v>583</v>
      </c>
      <c r="E592" s="36">
        <v>1.1879999999999999</v>
      </c>
      <c r="F592" s="30">
        <v>27.036999999999999</v>
      </c>
      <c r="G592" s="33">
        <f>IF(ISNUMBER(F592),E592*F592,"")</f>
        <v>32.119955999999995</v>
      </c>
      <c r="H592" s="34"/>
      <c r="I592" s="30"/>
      <c r="J592" s="152">
        <v>0</v>
      </c>
    </row>
    <row r="593" spans="1:10" ht="15.75" hidden="1" thickBot="1" x14ac:dyDescent="0.3">
      <c r="A593" s="176"/>
      <c r="B593" s="174"/>
      <c r="C593" s="35" t="s">
        <v>584</v>
      </c>
      <c r="D593" s="35" t="s">
        <v>583</v>
      </c>
      <c r="E593" s="36">
        <v>0.59399999999999997</v>
      </c>
      <c r="F593" s="30">
        <v>20.225499999999997</v>
      </c>
      <c r="G593" s="33">
        <f>IF(ISNUMBER(F593),E593*F593,"")</f>
        <v>12.013946999999998</v>
      </c>
      <c r="H593" s="34"/>
      <c r="I593" s="30"/>
      <c r="J593" s="152">
        <v>0</v>
      </c>
    </row>
    <row r="594" spans="1:10" ht="15.75" hidden="1" thickBot="1" x14ac:dyDescent="0.3">
      <c r="A594" s="176"/>
      <c r="B594" s="174"/>
      <c r="C594" s="35" t="s">
        <v>8367</v>
      </c>
      <c r="D594" s="35" t="s">
        <v>773</v>
      </c>
      <c r="E594" s="36">
        <v>0.14000000000000001</v>
      </c>
      <c r="F594" s="33">
        <v>3.4579999999999997</v>
      </c>
      <c r="G594" s="33">
        <f>IF(ISNUMBER(F594),E594*F594,"")</f>
        <v>0.48411999999999999</v>
      </c>
      <c r="H594" s="34"/>
      <c r="I594" s="30"/>
      <c r="J594" s="152">
        <v>0</v>
      </c>
    </row>
    <row r="595" spans="1:10" ht="15.75" hidden="1" thickBot="1" x14ac:dyDescent="0.3">
      <c r="A595" s="176"/>
      <c r="B595" s="174"/>
      <c r="C595" s="35" t="s">
        <v>161</v>
      </c>
      <c r="D595" s="35" t="s">
        <v>70</v>
      </c>
      <c r="E595" s="36">
        <v>1.1599999999999999</v>
      </c>
      <c r="F595" s="33" t="s">
        <v>416</v>
      </c>
      <c r="G595" s="53" t="str">
        <f>IF(ISNUMBER(F595),E595*F595,"")</f>
        <v/>
      </c>
      <c r="H595" s="34"/>
      <c r="I595" s="30"/>
      <c r="J595" s="152">
        <v>0</v>
      </c>
    </row>
    <row r="596" spans="1:10" ht="15.75" hidden="1" thickBot="1" x14ac:dyDescent="0.3">
      <c r="A596" s="177"/>
      <c r="B596" s="175"/>
      <c r="C596" s="35"/>
      <c r="D596" s="35"/>
      <c r="E596" s="36"/>
      <c r="F596" s="30" t="s">
        <v>416</v>
      </c>
      <c r="G596" s="30" t="str">
        <f>IF(ISNUMBER(F596),E596*F596,"")</f>
        <v/>
      </c>
      <c r="H596" s="34"/>
      <c r="I596" s="30"/>
      <c r="J596" s="152">
        <v>0</v>
      </c>
    </row>
    <row r="597" spans="1:10" ht="15.75" hidden="1" thickBot="1" x14ac:dyDescent="0.3">
      <c r="A597" s="170" t="s">
        <v>162</v>
      </c>
      <c r="B597" s="173" t="str">
        <f>INDEX(Orçamentária!A:B,MATCH(Composições!A597,Orçamentária!A:A,0),2)</f>
        <v>Granito Preto São Gabriel para rodapé</v>
      </c>
      <c r="C597" s="40"/>
      <c r="D597" s="25" t="s">
        <v>70</v>
      </c>
      <c r="E597" s="26"/>
      <c r="F597" s="41" t="s">
        <v>416</v>
      </c>
      <c r="G597" s="27" t="str">
        <f>IF(ISNUMBER(F597),E597*F597,"")</f>
        <v/>
      </c>
      <c r="H597" s="28"/>
      <c r="I597" s="29"/>
      <c r="J597" s="152">
        <v>0</v>
      </c>
    </row>
    <row r="598" spans="1:10" ht="15.75" hidden="1" thickBot="1" x14ac:dyDescent="0.3">
      <c r="A598" s="176"/>
      <c r="B598" s="174"/>
      <c r="C598" s="31"/>
      <c r="D598" s="31"/>
      <c r="E598" s="32"/>
      <c r="F598" s="42" t="s">
        <v>416</v>
      </c>
      <c r="G598" s="30" t="str">
        <f>IF(ISNUMBER(F598),E598*F598,"")</f>
        <v/>
      </c>
      <c r="H598" s="34"/>
      <c r="I598" s="30"/>
      <c r="J598" s="152">
        <v>0</v>
      </c>
    </row>
    <row r="599" spans="1:10" ht="26.25" hidden="1" thickBot="1" x14ac:dyDescent="0.3">
      <c r="A599" s="176"/>
      <c r="B599" s="174"/>
      <c r="C599" s="35" t="s">
        <v>163</v>
      </c>
      <c r="D599" s="35" t="s">
        <v>69</v>
      </c>
      <c r="E599" s="36">
        <f>ROUND(1.04/0.07,2)</f>
        <v>14.86</v>
      </c>
      <c r="F599" s="33" t="s">
        <v>416</v>
      </c>
      <c r="G599" s="33" t="str">
        <f>IF(ISNUMBER(F599),E599*F599,"")</f>
        <v/>
      </c>
      <c r="H599" s="38">
        <f>SUM(G599:G603)</f>
        <v>130.87674999999999</v>
      </c>
      <c r="I599" s="39"/>
      <c r="J599" s="152">
        <v>0</v>
      </c>
    </row>
    <row r="600" spans="1:10" ht="15.75" hidden="1" thickBot="1" x14ac:dyDescent="0.3">
      <c r="A600" s="176"/>
      <c r="B600" s="174"/>
      <c r="C600" s="35" t="s">
        <v>7987</v>
      </c>
      <c r="D600" s="35" t="s">
        <v>773</v>
      </c>
      <c r="E600" s="36">
        <f>ROUND(0.8614/0.1,4)</f>
        <v>8.6140000000000008</v>
      </c>
      <c r="F600" s="33">
        <v>1.8049999999999999</v>
      </c>
      <c r="G600" s="33">
        <f>IF(ISNUMBER(F600),E600*F600,"")</f>
        <v>15.54827</v>
      </c>
      <c r="H600" s="34"/>
      <c r="I600" s="30"/>
      <c r="J600" s="152">
        <v>0</v>
      </c>
    </row>
    <row r="601" spans="1:10" ht="15.75" hidden="1" thickBot="1" x14ac:dyDescent="0.3">
      <c r="A601" s="176"/>
      <c r="B601" s="174"/>
      <c r="C601" s="35" t="s">
        <v>2906</v>
      </c>
      <c r="D601" s="35" t="s">
        <v>583</v>
      </c>
      <c r="E601" s="36">
        <f>0.299/0.1</f>
        <v>2.9899999999999998</v>
      </c>
      <c r="F601" s="30">
        <v>27.036999999999999</v>
      </c>
      <c r="G601" s="33">
        <f>IF(ISNUMBER(F601),E601*F601,"")</f>
        <v>80.84062999999999</v>
      </c>
      <c r="H601" s="34"/>
      <c r="I601" s="30"/>
      <c r="J601" s="152">
        <v>0</v>
      </c>
    </row>
    <row r="602" spans="1:10" ht="15.75" hidden="1" thickBot="1" x14ac:dyDescent="0.3">
      <c r="A602" s="176"/>
      <c r="B602" s="174"/>
      <c r="C602" s="35" t="s">
        <v>584</v>
      </c>
      <c r="D602" s="35" t="s">
        <v>583</v>
      </c>
      <c r="E602" s="36">
        <f>0.15/0.1</f>
        <v>1.4999999999999998</v>
      </c>
      <c r="F602" s="30">
        <v>20.225499999999997</v>
      </c>
      <c r="G602" s="33">
        <f>IF(ISNUMBER(F602),E602*F602,"")</f>
        <v>30.338249999999992</v>
      </c>
      <c r="H602" s="34"/>
      <c r="I602" s="30"/>
      <c r="J602" s="152">
        <v>0</v>
      </c>
    </row>
    <row r="603" spans="1:10" ht="15.75" hidden="1" thickBot="1" x14ac:dyDescent="0.3">
      <c r="A603" s="176"/>
      <c r="B603" s="174"/>
      <c r="C603" s="35" t="s">
        <v>8367</v>
      </c>
      <c r="D603" s="35" t="s">
        <v>773</v>
      </c>
      <c r="E603" s="36">
        <f>0.12/0.1</f>
        <v>1.2</v>
      </c>
      <c r="F603" s="33">
        <v>3.4579999999999997</v>
      </c>
      <c r="G603" s="33">
        <f>IF(ISNUMBER(F603),E603*F603,"")</f>
        <v>4.1495999999999995</v>
      </c>
      <c r="H603" s="34"/>
      <c r="I603" s="30"/>
      <c r="J603" s="152">
        <v>0</v>
      </c>
    </row>
    <row r="604" spans="1:10" ht="15.75" hidden="1" thickBot="1" x14ac:dyDescent="0.3">
      <c r="A604" s="176"/>
      <c r="B604" s="174"/>
      <c r="C604" s="35"/>
      <c r="D604" s="35"/>
      <c r="E604" s="36"/>
      <c r="F604" s="33" t="s">
        <v>416</v>
      </c>
      <c r="G604" s="33" t="str">
        <f>IF(ISNUMBER(F604),E604*F604,"")</f>
        <v/>
      </c>
      <c r="H604" s="34"/>
      <c r="I604" s="30"/>
      <c r="J604" s="152">
        <v>0</v>
      </c>
    </row>
    <row r="605" spans="1:10" ht="26.25" hidden="1" thickBot="1" x14ac:dyDescent="0.3">
      <c r="A605" s="176"/>
      <c r="B605" s="174"/>
      <c r="C605" s="47" t="s">
        <v>156</v>
      </c>
      <c r="D605" s="35"/>
      <c r="E605" s="36"/>
      <c r="F605" s="33" t="s">
        <v>416</v>
      </c>
      <c r="G605" s="33" t="str">
        <f>IF(ISNUMBER(F605),E605*F605,"")</f>
        <v/>
      </c>
      <c r="H605" s="34"/>
      <c r="I605" s="30"/>
      <c r="J605" s="152">
        <v>0</v>
      </c>
    </row>
    <row r="606" spans="1:10" ht="15.75" hidden="1" thickBot="1" x14ac:dyDescent="0.3">
      <c r="A606" s="177"/>
      <c r="B606" s="175"/>
      <c r="C606" s="35"/>
      <c r="D606" s="35"/>
      <c r="E606" s="36"/>
      <c r="F606" s="30" t="s">
        <v>416</v>
      </c>
      <c r="G606" s="30" t="str">
        <f>IF(ISNUMBER(F606),E606*F606,"")</f>
        <v/>
      </c>
      <c r="H606" s="34"/>
      <c r="I606" s="30"/>
      <c r="J606" s="152">
        <v>0</v>
      </c>
    </row>
    <row r="607" spans="1:10" ht="15.75" hidden="1" thickBot="1" x14ac:dyDescent="0.3">
      <c r="A607" s="170" t="s">
        <v>164</v>
      </c>
      <c r="B607" s="173" t="str">
        <f>INDEX(Orçamentária!A:B,MATCH(Composições!A607,Orçamentária!A:A,0),2)</f>
        <v>Granito Preto São Gabriel para soleira e peitoril</v>
      </c>
      <c r="C607" s="40"/>
      <c r="D607" s="25" t="s">
        <v>70</v>
      </c>
      <c r="E607" s="26"/>
      <c r="F607" s="41" t="s">
        <v>416</v>
      </c>
      <c r="G607" s="27" t="str">
        <f>IF(ISNUMBER(F607),E607*F607,"")</f>
        <v/>
      </c>
      <c r="H607" s="28"/>
      <c r="I607" s="29"/>
      <c r="J607" s="152">
        <v>0</v>
      </c>
    </row>
    <row r="608" spans="1:10" ht="15.75" hidden="1" thickBot="1" x14ac:dyDescent="0.3">
      <c r="A608" s="176"/>
      <c r="B608" s="174"/>
      <c r="C608" s="31"/>
      <c r="D608" s="31"/>
      <c r="E608" s="32"/>
      <c r="F608" s="42" t="s">
        <v>416</v>
      </c>
      <c r="G608" s="30" t="str">
        <f>IF(ISNUMBER(F608),E608*F608,"")</f>
        <v/>
      </c>
      <c r="H608" s="34"/>
      <c r="I608" s="30"/>
      <c r="J608" s="152">
        <v>0</v>
      </c>
    </row>
    <row r="609" spans="1:10" ht="26.25" hidden="1" thickBot="1" x14ac:dyDescent="0.3">
      <c r="A609" s="176"/>
      <c r="B609" s="174"/>
      <c r="C609" s="35" t="s">
        <v>165</v>
      </c>
      <c r="D609" s="35" t="s">
        <v>69</v>
      </c>
      <c r="E609" s="36">
        <f>ROUND(1/0.15,4)</f>
        <v>6.6666999999999996</v>
      </c>
      <c r="F609" s="33" t="s">
        <v>416</v>
      </c>
      <c r="G609" s="33" t="str">
        <f>IF(ISNUMBER(F609),E609*F609,"")</f>
        <v/>
      </c>
      <c r="H609" s="38">
        <f>SUM(G609:G612)</f>
        <v>150.9292379</v>
      </c>
      <c r="I609" s="39"/>
      <c r="J609" s="152">
        <v>0</v>
      </c>
    </row>
    <row r="610" spans="1:10" ht="15.75" hidden="1" thickBot="1" x14ac:dyDescent="0.3">
      <c r="A610" s="176"/>
      <c r="B610" s="174"/>
      <c r="C610" s="35" t="s">
        <v>7987</v>
      </c>
      <c r="D610" s="35" t="s">
        <v>773</v>
      </c>
      <c r="E610" s="36">
        <f>ROUND(1.29/0.15,4)</f>
        <v>8.6</v>
      </c>
      <c r="F610" s="33">
        <v>1.8049999999999999</v>
      </c>
      <c r="G610" s="33">
        <f>IF(ISNUMBER(F610),E610*F610,"")</f>
        <v>15.523</v>
      </c>
      <c r="H610" s="34"/>
      <c r="I610" s="30"/>
      <c r="J610" s="152">
        <v>0</v>
      </c>
    </row>
    <row r="611" spans="1:10" ht="15.75" hidden="1" thickBot="1" x14ac:dyDescent="0.3">
      <c r="A611" s="176"/>
      <c r="B611" s="174"/>
      <c r="C611" s="35" t="s">
        <v>2906</v>
      </c>
      <c r="D611" s="35" t="s">
        <v>583</v>
      </c>
      <c r="E611" s="36">
        <f>ROUND(0.547/0.15,4)</f>
        <v>3.6467000000000001</v>
      </c>
      <c r="F611" s="30">
        <v>27.036999999999999</v>
      </c>
      <c r="G611" s="33">
        <f>IF(ISNUMBER(F611),E611*F611,"")</f>
        <v>98.595827900000003</v>
      </c>
      <c r="H611" s="34"/>
      <c r="I611" s="30"/>
      <c r="J611" s="152">
        <v>0</v>
      </c>
    </row>
    <row r="612" spans="1:10" ht="15.75" hidden="1" thickBot="1" x14ac:dyDescent="0.3">
      <c r="A612" s="176"/>
      <c r="B612" s="174"/>
      <c r="C612" s="35" t="s">
        <v>584</v>
      </c>
      <c r="D612" s="35" t="s">
        <v>583</v>
      </c>
      <c r="E612" s="36">
        <f>ROUND(0.273/0.15,4)</f>
        <v>1.82</v>
      </c>
      <c r="F612" s="30">
        <v>20.225499999999997</v>
      </c>
      <c r="G612" s="33">
        <f>IF(ISNUMBER(F612),E612*F612,"")</f>
        <v>36.810409999999997</v>
      </c>
      <c r="H612" s="34"/>
      <c r="I612" s="30"/>
      <c r="J612" s="152">
        <v>0</v>
      </c>
    </row>
    <row r="613" spans="1:10" ht="15.75" hidden="1" thickBot="1" x14ac:dyDescent="0.3">
      <c r="A613" s="176"/>
      <c r="B613" s="174"/>
      <c r="C613" s="35"/>
      <c r="D613" s="35"/>
      <c r="E613" s="36"/>
      <c r="F613" s="30" t="s">
        <v>416</v>
      </c>
      <c r="G613" s="33" t="str">
        <f>IF(ISNUMBER(F613),E613*F613,"")</f>
        <v/>
      </c>
      <c r="H613" s="34"/>
      <c r="I613" s="30"/>
      <c r="J613" s="152">
        <v>0</v>
      </c>
    </row>
    <row r="614" spans="1:10" ht="26.25" hidden="1" thickBot="1" x14ac:dyDescent="0.3">
      <c r="A614" s="176"/>
      <c r="B614" s="174"/>
      <c r="C614" s="47" t="s">
        <v>159</v>
      </c>
      <c r="D614" s="35"/>
      <c r="E614" s="36"/>
      <c r="F614" s="30" t="s">
        <v>416</v>
      </c>
      <c r="G614" s="33" t="str">
        <f>IF(ISNUMBER(F614),E614*F614,"")</f>
        <v/>
      </c>
      <c r="H614" s="34"/>
      <c r="I614" s="30"/>
      <c r="J614" s="152">
        <v>0</v>
      </c>
    </row>
    <row r="615" spans="1:10" ht="15.75" hidden="1" thickBot="1" x14ac:dyDescent="0.3">
      <c r="A615" s="177"/>
      <c r="B615" s="175"/>
      <c r="C615" s="35"/>
      <c r="D615" s="35"/>
      <c r="E615" s="36"/>
      <c r="F615" s="30" t="s">
        <v>416</v>
      </c>
      <c r="G615" s="30" t="str">
        <f>IF(ISNUMBER(F615),E615*F615,"")</f>
        <v/>
      </c>
      <c r="H615" s="34"/>
      <c r="I615" s="30"/>
      <c r="J615" s="152">
        <v>0</v>
      </c>
    </row>
    <row r="616" spans="1:10" ht="15.75" hidden="1" thickBot="1" x14ac:dyDescent="0.3">
      <c r="A616" s="170" t="s">
        <v>166</v>
      </c>
      <c r="B616" s="173" t="str">
        <f>INDEX(Orçamentária!A:B,MATCH(Composições!A616,Orçamentária!A:A,0),2)</f>
        <v>Instalação de rodapé de madeira reaproveitado</v>
      </c>
      <c r="C616" s="40"/>
      <c r="D616" s="25" t="s">
        <v>69</v>
      </c>
      <c r="E616" s="26"/>
      <c r="F616" s="41" t="s">
        <v>416</v>
      </c>
      <c r="G616" s="27" t="str">
        <f>IF(ISNUMBER(F616),E616*F616,"")</f>
        <v/>
      </c>
      <c r="H616" s="28"/>
      <c r="I616" s="29"/>
      <c r="J616" s="152">
        <v>0</v>
      </c>
    </row>
    <row r="617" spans="1:10" ht="15.75" hidden="1" thickBot="1" x14ac:dyDescent="0.3">
      <c r="A617" s="176"/>
      <c r="B617" s="174"/>
      <c r="C617" s="31"/>
      <c r="D617" s="31"/>
      <c r="E617" s="32"/>
      <c r="F617" s="42" t="s">
        <v>416</v>
      </c>
      <c r="G617" s="30" t="str">
        <f>IF(ISNUMBER(F617),E617*F617,"")</f>
        <v/>
      </c>
      <c r="H617" s="34"/>
      <c r="I617" s="30"/>
      <c r="J617" s="152">
        <v>0</v>
      </c>
    </row>
    <row r="618" spans="1:10" ht="15.75" hidden="1" thickBot="1" x14ac:dyDescent="0.3">
      <c r="A618" s="176"/>
      <c r="B618" s="174"/>
      <c r="C618" s="35" t="s">
        <v>1092</v>
      </c>
      <c r="D618" s="35" t="s">
        <v>773</v>
      </c>
      <c r="E618" s="36">
        <v>4.0300000000000002E-2</v>
      </c>
      <c r="F618" s="30">
        <v>42.730999999999995</v>
      </c>
      <c r="G618" s="33">
        <f>IF(ISNUMBER(F618),E618*F618,"")</f>
        <v>1.7220593</v>
      </c>
      <c r="H618" s="38">
        <f>SUM(G618:G620)</f>
        <v>14.525818249999997</v>
      </c>
      <c r="I618" s="39"/>
      <c r="J618" s="152">
        <v>0</v>
      </c>
    </row>
    <row r="619" spans="1:10" ht="15.75" hidden="1" thickBot="1" x14ac:dyDescent="0.3">
      <c r="A619" s="176"/>
      <c r="B619" s="174"/>
      <c r="C619" s="35" t="s">
        <v>584</v>
      </c>
      <c r="D619" s="35" t="s">
        <v>583</v>
      </c>
      <c r="E619" s="36">
        <v>0.15140000000000001</v>
      </c>
      <c r="F619" s="33">
        <v>20.225499999999997</v>
      </c>
      <c r="G619" s="33">
        <f>IF(ISNUMBER(F619),E619*F619,"")</f>
        <v>3.0621406999999996</v>
      </c>
      <c r="H619" s="34"/>
      <c r="I619" s="30"/>
      <c r="J619" s="152">
        <v>0</v>
      </c>
    </row>
    <row r="620" spans="1:10" ht="15.75" hidden="1" thickBot="1" x14ac:dyDescent="0.3">
      <c r="A620" s="176"/>
      <c r="B620" s="174"/>
      <c r="C620" s="35" t="s">
        <v>1071</v>
      </c>
      <c r="D620" s="35" t="s">
        <v>583</v>
      </c>
      <c r="E620" s="36">
        <v>0.36349999999999999</v>
      </c>
      <c r="F620" s="33">
        <v>26.799499999999998</v>
      </c>
      <c r="G620" s="33">
        <f>IF(ISNUMBER(F620),E620*F620,"")</f>
        <v>9.7416182499999984</v>
      </c>
      <c r="H620" s="34"/>
      <c r="I620" s="30"/>
      <c r="J620" s="152">
        <v>0</v>
      </c>
    </row>
    <row r="621" spans="1:10" ht="15.75" hidden="1" thickBot="1" x14ac:dyDescent="0.3">
      <c r="A621" s="176"/>
      <c r="B621" s="174"/>
      <c r="C621" s="35"/>
      <c r="D621" s="35"/>
      <c r="E621" s="36"/>
      <c r="F621" s="30" t="s">
        <v>416</v>
      </c>
      <c r="G621" s="30" t="str">
        <f>IF(ISNUMBER(F621),E621*F621,"")</f>
        <v/>
      </c>
      <c r="H621" s="34"/>
      <c r="I621" s="30"/>
      <c r="J621" s="152">
        <v>0</v>
      </c>
    </row>
    <row r="622" spans="1:10" ht="15.75" hidden="1" thickBot="1" x14ac:dyDescent="0.3">
      <c r="A622" s="170" t="s">
        <v>167</v>
      </c>
      <c r="B622" s="173" t="str">
        <f>INDEX(Orçamentária!A:B,MATCH(Composições!A622,Orçamentária!A:A,0),2)</f>
        <v>Mármore Bege Bahia para piso e parede</v>
      </c>
      <c r="C622" s="40"/>
      <c r="D622" s="25" t="s">
        <v>70</v>
      </c>
      <c r="E622" s="26"/>
      <c r="F622" s="41" t="s">
        <v>416</v>
      </c>
      <c r="G622" s="27" t="str">
        <f>IF(ISNUMBER(F622),E622*F622,"")</f>
        <v/>
      </c>
      <c r="H622" s="28"/>
      <c r="I622" s="29"/>
      <c r="J622" s="152">
        <v>0</v>
      </c>
    </row>
    <row r="623" spans="1:10" ht="15.75" hidden="1" thickBot="1" x14ac:dyDescent="0.3">
      <c r="A623" s="176"/>
      <c r="B623" s="174"/>
      <c r="C623" s="31"/>
      <c r="D623" s="31"/>
      <c r="E623" s="32"/>
      <c r="F623" s="42" t="s">
        <v>416</v>
      </c>
      <c r="G623" s="30" t="str">
        <f>IF(ISNUMBER(F623),E623*F623,"")</f>
        <v/>
      </c>
      <c r="H623" s="34"/>
      <c r="I623" s="30"/>
      <c r="J623" s="152">
        <v>0</v>
      </c>
    </row>
    <row r="624" spans="1:10" ht="15.75" hidden="1" thickBot="1" x14ac:dyDescent="0.3">
      <c r="A624" s="176"/>
      <c r="B624" s="174"/>
      <c r="C624" s="35" t="s">
        <v>7987</v>
      </c>
      <c r="D624" s="35" t="s">
        <v>773</v>
      </c>
      <c r="E624" s="36">
        <v>8.6199999999999992</v>
      </c>
      <c r="F624" s="33">
        <v>1.8049999999999999</v>
      </c>
      <c r="G624" s="33">
        <f>IF(ISNUMBER(F624),E624*F624,"")</f>
        <v>15.559099999999997</v>
      </c>
      <c r="H624" s="38">
        <f>SUM(G624:G628)</f>
        <v>60.177122999999987</v>
      </c>
      <c r="I624" s="39"/>
      <c r="J624" s="152">
        <v>0</v>
      </c>
    </row>
    <row r="625" spans="1:10" ht="15.75" hidden="1" thickBot="1" x14ac:dyDescent="0.3">
      <c r="A625" s="176"/>
      <c r="B625" s="174"/>
      <c r="C625" s="35" t="s">
        <v>2906</v>
      </c>
      <c r="D625" s="35" t="s">
        <v>583</v>
      </c>
      <c r="E625" s="36">
        <v>1.1879999999999999</v>
      </c>
      <c r="F625" s="30">
        <v>27.036999999999999</v>
      </c>
      <c r="G625" s="33">
        <f>IF(ISNUMBER(F625),E625*F625,"")</f>
        <v>32.119955999999995</v>
      </c>
      <c r="H625" s="34"/>
      <c r="I625" s="30"/>
      <c r="J625" s="152">
        <v>0</v>
      </c>
    </row>
    <row r="626" spans="1:10" ht="15.75" hidden="1" thickBot="1" x14ac:dyDescent="0.3">
      <c r="A626" s="176"/>
      <c r="B626" s="174"/>
      <c r="C626" s="35" t="s">
        <v>584</v>
      </c>
      <c r="D626" s="35" t="s">
        <v>583</v>
      </c>
      <c r="E626" s="36">
        <v>0.59399999999999997</v>
      </c>
      <c r="F626" s="30">
        <v>20.225499999999997</v>
      </c>
      <c r="G626" s="33">
        <f>IF(ISNUMBER(F626),E626*F626,"")</f>
        <v>12.013946999999998</v>
      </c>
      <c r="H626" s="34"/>
      <c r="I626" s="30"/>
      <c r="J626" s="152">
        <v>0</v>
      </c>
    </row>
    <row r="627" spans="1:10" ht="15.75" hidden="1" thickBot="1" x14ac:dyDescent="0.3">
      <c r="A627" s="176"/>
      <c r="B627" s="174"/>
      <c r="C627" s="35" t="s">
        <v>8367</v>
      </c>
      <c r="D627" s="35" t="s">
        <v>773</v>
      </c>
      <c r="E627" s="36">
        <v>0.14000000000000001</v>
      </c>
      <c r="F627" s="33">
        <v>3.4579999999999997</v>
      </c>
      <c r="G627" s="33">
        <f>IF(ISNUMBER(F627),E627*F627,"")</f>
        <v>0.48411999999999999</v>
      </c>
      <c r="H627" s="34"/>
      <c r="I627" s="30"/>
      <c r="J627" s="152">
        <v>0</v>
      </c>
    </row>
    <row r="628" spans="1:10" ht="15.75" hidden="1" thickBot="1" x14ac:dyDescent="0.3">
      <c r="A628" s="176"/>
      <c r="B628" s="174"/>
      <c r="C628" s="35" t="s">
        <v>168</v>
      </c>
      <c r="D628" s="35" t="s">
        <v>70</v>
      </c>
      <c r="E628" s="36">
        <v>1.1599999999999999</v>
      </c>
      <c r="F628" s="33" t="s">
        <v>416</v>
      </c>
      <c r="G628" s="53" t="str">
        <f>IF(ISNUMBER(F628),E628*F628,"")</f>
        <v/>
      </c>
      <c r="H628" s="34"/>
      <c r="I628" s="30"/>
      <c r="J628" s="152">
        <v>0</v>
      </c>
    </row>
    <row r="629" spans="1:10" ht="15.75" hidden="1" thickBot="1" x14ac:dyDescent="0.3">
      <c r="A629" s="177"/>
      <c r="B629" s="175"/>
      <c r="C629" s="35"/>
      <c r="D629" s="35"/>
      <c r="E629" s="36"/>
      <c r="F629" s="30" t="s">
        <v>416</v>
      </c>
      <c r="G629" s="30" t="str">
        <f>IF(ISNUMBER(F629),E629*F629,"")</f>
        <v/>
      </c>
      <c r="H629" s="34"/>
      <c r="I629" s="30"/>
      <c r="J629" s="152">
        <v>0</v>
      </c>
    </row>
    <row r="630" spans="1:10" ht="15.75" hidden="1" thickBot="1" x14ac:dyDescent="0.3">
      <c r="A630" s="170" t="s">
        <v>169</v>
      </c>
      <c r="B630" s="173" t="str">
        <f>INDEX(Orçamentária!A:B,MATCH(Composições!A630,Orçamentária!A:A,0),2)</f>
        <v>Mármore Branco Especial para piso e parede</v>
      </c>
      <c r="C630" s="40"/>
      <c r="D630" s="25" t="s">
        <v>70</v>
      </c>
      <c r="E630" s="26"/>
      <c r="F630" s="41" t="s">
        <v>416</v>
      </c>
      <c r="G630" s="27" t="str">
        <f>IF(ISNUMBER(F630),E630*F630,"")</f>
        <v/>
      </c>
      <c r="H630" s="28"/>
      <c r="I630" s="29"/>
      <c r="J630" s="152">
        <v>0</v>
      </c>
    </row>
    <row r="631" spans="1:10" ht="15.75" hidden="1" thickBot="1" x14ac:dyDescent="0.3">
      <c r="A631" s="176"/>
      <c r="B631" s="174"/>
      <c r="C631" s="31"/>
      <c r="D631" s="31"/>
      <c r="E631" s="32"/>
      <c r="F631" s="42" t="s">
        <v>416</v>
      </c>
      <c r="G631" s="30" t="str">
        <f>IF(ISNUMBER(F631),E631*F631,"")</f>
        <v/>
      </c>
      <c r="H631" s="34"/>
      <c r="I631" s="30"/>
      <c r="J631" s="152">
        <v>0</v>
      </c>
    </row>
    <row r="632" spans="1:10" ht="15.75" hidden="1" thickBot="1" x14ac:dyDescent="0.3">
      <c r="A632" s="176"/>
      <c r="B632" s="174"/>
      <c r="C632" s="35" t="s">
        <v>7987</v>
      </c>
      <c r="D632" s="35" t="s">
        <v>773</v>
      </c>
      <c r="E632" s="36">
        <v>8.6199999999999992</v>
      </c>
      <c r="F632" s="33">
        <v>1.8049999999999999</v>
      </c>
      <c r="G632" s="33">
        <f>IF(ISNUMBER(F632),E632*F632,"")</f>
        <v>15.559099999999997</v>
      </c>
      <c r="H632" s="38">
        <f>SUM(G632:G636)</f>
        <v>60.177122999999987</v>
      </c>
      <c r="I632" s="39"/>
      <c r="J632" s="152">
        <v>0</v>
      </c>
    </row>
    <row r="633" spans="1:10" ht="15.75" hidden="1" thickBot="1" x14ac:dyDescent="0.3">
      <c r="A633" s="176"/>
      <c r="B633" s="174"/>
      <c r="C633" s="35" t="s">
        <v>2906</v>
      </c>
      <c r="D633" s="35" t="s">
        <v>583</v>
      </c>
      <c r="E633" s="36">
        <v>1.1879999999999999</v>
      </c>
      <c r="F633" s="30">
        <v>27.036999999999999</v>
      </c>
      <c r="G633" s="33">
        <f>IF(ISNUMBER(F633),E633*F633,"")</f>
        <v>32.119955999999995</v>
      </c>
      <c r="H633" s="34"/>
      <c r="I633" s="30"/>
      <c r="J633" s="152">
        <v>0</v>
      </c>
    </row>
    <row r="634" spans="1:10" ht="15.75" hidden="1" thickBot="1" x14ac:dyDescent="0.3">
      <c r="A634" s="176"/>
      <c r="B634" s="174"/>
      <c r="C634" s="35" t="s">
        <v>584</v>
      </c>
      <c r="D634" s="35" t="s">
        <v>583</v>
      </c>
      <c r="E634" s="36">
        <v>0.59399999999999997</v>
      </c>
      <c r="F634" s="30">
        <v>20.225499999999997</v>
      </c>
      <c r="G634" s="33">
        <f>IF(ISNUMBER(F634),E634*F634,"")</f>
        <v>12.013946999999998</v>
      </c>
      <c r="H634" s="34"/>
      <c r="I634" s="30"/>
      <c r="J634" s="152">
        <v>0</v>
      </c>
    </row>
    <row r="635" spans="1:10" ht="15.75" hidden="1" thickBot="1" x14ac:dyDescent="0.3">
      <c r="A635" s="176"/>
      <c r="B635" s="174"/>
      <c r="C635" s="35" t="s">
        <v>8367</v>
      </c>
      <c r="D635" s="35" t="s">
        <v>773</v>
      </c>
      <c r="E635" s="36">
        <v>0.14000000000000001</v>
      </c>
      <c r="F635" s="33">
        <v>3.4579999999999997</v>
      </c>
      <c r="G635" s="33">
        <f>IF(ISNUMBER(F635),E635*F635,"")</f>
        <v>0.48411999999999999</v>
      </c>
      <c r="H635" s="34"/>
      <c r="I635" s="30"/>
      <c r="J635" s="152">
        <v>0</v>
      </c>
    </row>
    <row r="636" spans="1:10" ht="15.75" hidden="1" thickBot="1" x14ac:dyDescent="0.3">
      <c r="A636" s="176"/>
      <c r="B636" s="174"/>
      <c r="C636" s="35" t="s">
        <v>170</v>
      </c>
      <c r="D636" s="35" t="s">
        <v>70</v>
      </c>
      <c r="E636" s="36">
        <v>1.1599999999999999</v>
      </c>
      <c r="F636" s="33" t="s">
        <v>416</v>
      </c>
      <c r="G636" s="53" t="str">
        <f>IF(ISNUMBER(F636),E636*F636,"")</f>
        <v/>
      </c>
      <c r="H636" s="34"/>
      <c r="I636" s="30"/>
      <c r="J636" s="152">
        <v>0</v>
      </c>
    </row>
    <row r="637" spans="1:10" ht="15.75" hidden="1" thickBot="1" x14ac:dyDescent="0.3">
      <c r="A637" s="177"/>
      <c r="B637" s="175"/>
      <c r="C637" s="35"/>
      <c r="D637" s="35"/>
      <c r="E637" s="36"/>
      <c r="F637" s="30" t="s">
        <v>416</v>
      </c>
      <c r="G637" s="30" t="str">
        <f>IF(ISNUMBER(F637),E637*F637,"")</f>
        <v/>
      </c>
      <c r="H637" s="34"/>
      <c r="I637" s="30"/>
      <c r="J637" s="152">
        <v>0</v>
      </c>
    </row>
    <row r="638" spans="1:10" ht="15.75" hidden="1" thickBot="1" x14ac:dyDescent="0.3">
      <c r="A638" s="170" t="s">
        <v>171</v>
      </c>
      <c r="B638" s="173" t="str">
        <f>INDEX(Orçamentária!A:B,MATCH(Composições!A638,Orçamentária!A:A,0),2)</f>
        <v>Rodapé de madeira</v>
      </c>
      <c r="C638" s="40"/>
      <c r="D638" s="25" t="s">
        <v>69</v>
      </c>
      <c r="E638" s="26"/>
      <c r="F638" s="41" t="s">
        <v>416</v>
      </c>
      <c r="G638" s="27" t="str">
        <f>IF(ISNUMBER(F638),E638*F638,"")</f>
        <v/>
      </c>
      <c r="H638" s="28"/>
      <c r="I638" s="29"/>
      <c r="J638" s="152">
        <v>0</v>
      </c>
    </row>
    <row r="639" spans="1:10" ht="15.75" hidden="1" thickBot="1" x14ac:dyDescent="0.3">
      <c r="A639" s="176"/>
      <c r="B639" s="174"/>
      <c r="C639" s="31"/>
      <c r="D639" s="31"/>
      <c r="E639" s="32"/>
      <c r="F639" s="42" t="s">
        <v>416</v>
      </c>
      <c r="G639" s="30" t="str">
        <f>IF(ISNUMBER(F639),E639*F639,"")</f>
        <v/>
      </c>
      <c r="H639" s="34"/>
      <c r="I639" s="30"/>
      <c r="J639" s="152">
        <v>0</v>
      </c>
    </row>
    <row r="640" spans="1:10" ht="26.25" hidden="1" thickBot="1" x14ac:dyDescent="0.3">
      <c r="A640" s="176"/>
      <c r="B640" s="174"/>
      <c r="C640" s="35" t="s">
        <v>2940</v>
      </c>
      <c r="D640" s="35" t="s">
        <v>385</v>
      </c>
      <c r="E640" s="36">
        <v>1.0349999999999999</v>
      </c>
      <c r="F640" s="30">
        <v>16.881499999999999</v>
      </c>
      <c r="G640" s="33">
        <f>IF(ISNUMBER(F640),E640*F640,"")</f>
        <v>17.472352499999996</v>
      </c>
      <c r="H640" s="38">
        <f>SUM(G640:G643)</f>
        <v>31.998170749999996</v>
      </c>
      <c r="I640" s="39"/>
      <c r="J640" s="152">
        <v>0</v>
      </c>
    </row>
    <row r="641" spans="1:10" ht="15.75" hidden="1" thickBot="1" x14ac:dyDescent="0.3">
      <c r="A641" s="176"/>
      <c r="B641" s="174"/>
      <c r="C641" s="35" t="s">
        <v>1092</v>
      </c>
      <c r="D641" s="35" t="s">
        <v>773</v>
      </c>
      <c r="E641" s="36">
        <v>4.0300000000000002E-2</v>
      </c>
      <c r="F641" s="30">
        <v>42.730999999999995</v>
      </c>
      <c r="G641" s="33">
        <f>IF(ISNUMBER(F641),E641*F641,"")</f>
        <v>1.7220593</v>
      </c>
      <c r="H641" s="34"/>
      <c r="I641" s="30"/>
      <c r="J641" s="152">
        <v>0</v>
      </c>
    </row>
    <row r="642" spans="1:10" ht="15.75" hidden="1" thickBot="1" x14ac:dyDescent="0.3">
      <c r="A642" s="176"/>
      <c r="B642" s="174"/>
      <c r="C642" s="35" t="s">
        <v>584</v>
      </c>
      <c r="D642" s="35" t="s">
        <v>583</v>
      </c>
      <c r="E642" s="36">
        <v>0.15140000000000001</v>
      </c>
      <c r="F642" s="33">
        <v>20.225499999999997</v>
      </c>
      <c r="G642" s="33">
        <f>IF(ISNUMBER(F642),E642*F642,"")</f>
        <v>3.0621406999999996</v>
      </c>
      <c r="H642" s="34"/>
      <c r="I642" s="30"/>
      <c r="J642" s="152">
        <v>0</v>
      </c>
    </row>
    <row r="643" spans="1:10" ht="15.75" hidden="1" thickBot="1" x14ac:dyDescent="0.3">
      <c r="A643" s="176"/>
      <c r="B643" s="174"/>
      <c r="C643" s="35" t="s">
        <v>1071</v>
      </c>
      <c r="D643" s="35" t="s">
        <v>583</v>
      </c>
      <c r="E643" s="36">
        <v>0.36349999999999999</v>
      </c>
      <c r="F643" s="33">
        <v>26.799499999999998</v>
      </c>
      <c r="G643" s="33">
        <f>IF(ISNUMBER(F643),E643*F643,"")</f>
        <v>9.7416182499999984</v>
      </c>
      <c r="H643" s="34"/>
      <c r="I643" s="30"/>
      <c r="J643" s="152">
        <v>0</v>
      </c>
    </row>
    <row r="644" spans="1:10" ht="15.75" hidden="1" thickBot="1" x14ac:dyDescent="0.3">
      <c r="A644" s="177"/>
      <c r="B644" s="175"/>
      <c r="C644" s="35"/>
      <c r="D644" s="35"/>
      <c r="E644" s="36"/>
      <c r="F644" s="30" t="s">
        <v>416</v>
      </c>
      <c r="G644" s="30" t="str">
        <f>IF(ISNUMBER(F644),E644*F644,"")</f>
        <v/>
      </c>
      <c r="H644" s="34"/>
      <c r="I644" s="30"/>
      <c r="J644" s="152">
        <v>0</v>
      </c>
    </row>
    <row r="645" spans="1:10" ht="15.75" hidden="1" thickBot="1" x14ac:dyDescent="0.3">
      <c r="A645" s="170" t="s">
        <v>172</v>
      </c>
      <c r="B645" s="173" t="str">
        <f>INDEX(Orçamentária!A:B,MATCH(Composições!A645,Orçamentária!A:A,0),2)</f>
        <v>Acabamento abaulado em placas de granito ou mármore reaproveitadas</v>
      </c>
      <c r="C645" s="40"/>
      <c r="D645" s="25" t="s">
        <v>69</v>
      </c>
      <c r="E645" s="26"/>
      <c r="F645" s="41" t="s">
        <v>416</v>
      </c>
      <c r="G645" s="27" t="str">
        <f>IF(ISNUMBER(F645),E645*F645,"")</f>
        <v/>
      </c>
      <c r="H645" s="28"/>
      <c r="I645" s="29"/>
      <c r="J645" s="152">
        <v>0</v>
      </c>
    </row>
    <row r="646" spans="1:10" ht="15.75" hidden="1" thickBot="1" x14ac:dyDescent="0.3">
      <c r="A646" s="176"/>
      <c r="B646" s="174"/>
      <c r="C646" s="31"/>
      <c r="D646" s="31"/>
      <c r="E646" s="32"/>
      <c r="F646" s="42" t="s">
        <v>416</v>
      </c>
      <c r="G646" s="30" t="str">
        <f>IF(ISNUMBER(F646),E646*F646,"")</f>
        <v/>
      </c>
      <c r="H646" s="34"/>
      <c r="I646" s="30"/>
      <c r="J646" s="152">
        <v>0</v>
      </c>
    </row>
    <row r="647" spans="1:10" ht="15.75" hidden="1" thickBot="1" x14ac:dyDescent="0.3">
      <c r="A647" s="176"/>
      <c r="B647" s="174"/>
      <c r="C647" s="35" t="s">
        <v>2906</v>
      </c>
      <c r="D647" s="35" t="s">
        <v>583</v>
      </c>
      <c r="E647" s="36">
        <v>2</v>
      </c>
      <c r="F647" s="30">
        <v>27.036999999999999</v>
      </c>
      <c r="G647" s="33">
        <f>IF(ISNUMBER(F647),E647*F647,"")</f>
        <v>54.073999999999998</v>
      </c>
      <c r="H647" s="38">
        <f>SUM(G647:G647)</f>
        <v>54.073999999999998</v>
      </c>
      <c r="I647" s="39"/>
      <c r="J647" s="152">
        <v>0</v>
      </c>
    </row>
    <row r="648" spans="1:10" ht="15.75" hidden="1" thickBot="1" x14ac:dyDescent="0.3">
      <c r="A648" s="177"/>
      <c r="B648" s="175"/>
      <c r="C648" s="54"/>
      <c r="D648" s="35"/>
      <c r="E648" s="36"/>
      <c r="F648" s="30" t="s">
        <v>416</v>
      </c>
      <c r="G648" s="30" t="str">
        <f>IF(ISNUMBER(F648),E648*F648,"")</f>
        <v/>
      </c>
      <c r="H648" s="34"/>
      <c r="I648" s="30"/>
      <c r="J648" s="152">
        <v>0</v>
      </c>
    </row>
    <row r="649" spans="1:10" ht="15.75" hidden="1" thickBot="1" x14ac:dyDescent="0.3">
      <c r="A649" s="170" t="s">
        <v>173</v>
      </c>
      <c r="B649" s="173" t="str">
        <f>INDEX(Orçamentária!A:B,MATCH(Composições!A649,Orçamentária!A:A,0),2)</f>
        <v>Acabamento em meia esquadria em placas de granito ou mármore reaproveitadas</v>
      </c>
      <c r="C649" s="40"/>
      <c r="D649" s="25" t="s">
        <v>69</v>
      </c>
      <c r="E649" s="26"/>
      <c r="F649" s="41" t="s">
        <v>416</v>
      </c>
      <c r="G649" s="27" t="str">
        <f>IF(ISNUMBER(F649),E649*F649,"")</f>
        <v/>
      </c>
      <c r="H649" s="28"/>
      <c r="I649" s="29"/>
      <c r="J649" s="152">
        <v>0</v>
      </c>
    </row>
    <row r="650" spans="1:10" ht="15.75" hidden="1" thickBot="1" x14ac:dyDescent="0.3">
      <c r="A650" s="176"/>
      <c r="B650" s="174"/>
      <c r="C650" s="31"/>
      <c r="D650" s="31"/>
      <c r="E650" s="32"/>
      <c r="F650" s="42" t="s">
        <v>416</v>
      </c>
      <c r="G650" s="30" t="str">
        <f>IF(ISNUMBER(F650),E650*F650,"")</f>
        <v/>
      </c>
      <c r="H650" s="34"/>
      <c r="I650" s="30"/>
      <c r="J650" s="152">
        <v>0</v>
      </c>
    </row>
    <row r="651" spans="1:10" ht="15.75" hidden="1" thickBot="1" x14ac:dyDescent="0.3">
      <c r="A651" s="176"/>
      <c r="B651" s="174"/>
      <c r="C651" s="35" t="s">
        <v>2906</v>
      </c>
      <c r="D651" s="35" t="s">
        <v>583</v>
      </c>
      <c r="E651" s="36">
        <v>1.75</v>
      </c>
      <c r="F651" s="30">
        <v>27.036999999999999</v>
      </c>
      <c r="G651" s="33">
        <f>IF(ISNUMBER(F651),E651*F651,"")</f>
        <v>47.314749999999997</v>
      </c>
      <c r="H651" s="38">
        <f>SUM(G651:G651)</f>
        <v>47.314749999999997</v>
      </c>
      <c r="I651" s="39"/>
      <c r="J651" s="152">
        <v>0</v>
      </c>
    </row>
    <row r="652" spans="1:10" ht="15.75" hidden="1" thickBot="1" x14ac:dyDescent="0.3">
      <c r="A652" s="177"/>
      <c r="B652" s="175"/>
      <c r="C652" s="54"/>
      <c r="D652" s="35"/>
      <c r="E652" s="36"/>
      <c r="F652" s="30" t="s">
        <v>416</v>
      </c>
      <c r="G652" s="30" t="str">
        <f>IF(ISNUMBER(F652),E652*F652,"")</f>
        <v/>
      </c>
      <c r="H652" s="34"/>
      <c r="I652" s="30"/>
      <c r="J652" s="152">
        <v>0</v>
      </c>
    </row>
    <row r="653" spans="1:10" ht="15.75" hidden="1" thickBot="1" x14ac:dyDescent="0.3">
      <c r="A653" s="170" t="s">
        <v>174</v>
      </c>
      <c r="B653" s="173" t="str">
        <f>INDEX(Orçamentária!A:B,MATCH(Composições!A653,Orçamentária!A:A,0),2)</f>
        <v>Acabamento reto em placas de granito ou mármore reaproveitadas</v>
      </c>
      <c r="C653" s="40"/>
      <c r="D653" s="25" t="s">
        <v>69</v>
      </c>
      <c r="E653" s="26"/>
      <c r="F653" s="41" t="s">
        <v>416</v>
      </c>
      <c r="G653" s="27" t="str">
        <f>IF(ISNUMBER(F653),E653*F653,"")</f>
        <v/>
      </c>
      <c r="H653" s="28"/>
      <c r="I653" s="29"/>
      <c r="J653" s="152">
        <v>0</v>
      </c>
    </row>
    <row r="654" spans="1:10" ht="15.75" hidden="1" thickBot="1" x14ac:dyDescent="0.3">
      <c r="A654" s="176"/>
      <c r="B654" s="174"/>
      <c r="C654" s="31"/>
      <c r="D654" s="31"/>
      <c r="E654" s="32"/>
      <c r="F654" s="42" t="s">
        <v>416</v>
      </c>
      <c r="G654" s="30" t="str">
        <f>IF(ISNUMBER(F654),E654*F654,"")</f>
        <v/>
      </c>
      <c r="H654" s="34"/>
      <c r="I654" s="30"/>
      <c r="J654" s="152">
        <v>0</v>
      </c>
    </row>
    <row r="655" spans="1:10" ht="15.75" hidden="1" thickBot="1" x14ac:dyDescent="0.3">
      <c r="A655" s="176"/>
      <c r="B655" s="174"/>
      <c r="C655" s="35" t="s">
        <v>2906</v>
      </c>
      <c r="D655" s="35" t="s">
        <v>583</v>
      </c>
      <c r="E655" s="36">
        <v>1</v>
      </c>
      <c r="F655" s="30">
        <v>27.036999999999999</v>
      </c>
      <c r="G655" s="33">
        <f>IF(ISNUMBER(F655),E655*F655,"")</f>
        <v>27.036999999999999</v>
      </c>
      <c r="H655" s="38">
        <f>SUM(G655:G655)</f>
        <v>27.036999999999999</v>
      </c>
      <c r="I655" s="39"/>
      <c r="J655" s="152">
        <v>0</v>
      </c>
    </row>
    <row r="656" spans="1:10" ht="15.75" hidden="1" thickBot="1" x14ac:dyDescent="0.3">
      <c r="A656" s="177"/>
      <c r="B656" s="175"/>
      <c r="C656" s="54"/>
      <c r="D656" s="35"/>
      <c r="E656" s="36"/>
      <c r="F656" s="30" t="s">
        <v>416</v>
      </c>
      <c r="G656" s="30" t="str">
        <f>IF(ISNUMBER(F656),E656*F656,"")</f>
        <v/>
      </c>
      <c r="H656" s="34"/>
      <c r="I656" s="30"/>
      <c r="J656" s="152">
        <v>0</v>
      </c>
    </row>
    <row r="657" spans="1:10" ht="15.75" hidden="1" thickBot="1" x14ac:dyDescent="0.3">
      <c r="A657" s="170" t="s">
        <v>175</v>
      </c>
      <c r="B657" s="173" t="str">
        <f>INDEX(Orçamentária!A:B,MATCH(Composições!A657,Orçamentária!A:A,0),2)</f>
        <v>Corte de peça de granito ou mármore reaproveitada</v>
      </c>
      <c r="C657" s="40"/>
      <c r="D657" s="25" t="s">
        <v>69</v>
      </c>
      <c r="E657" s="26"/>
      <c r="F657" s="41" t="s">
        <v>416</v>
      </c>
      <c r="G657" s="27" t="str">
        <f>IF(ISNUMBER(F657),E657*F657,"")</f>
        <v/>
      </c>
      <c r="H657" s="28"/>
      <c r="I657" s="29"/>
      <c r="J657" s="152">
        <v>0</v>
      </c>
    </row>
    <row r="658" spans="1:10" ht="15.75" hidden="1" thickBot="1" x14ac:dyDescent="0.3">
      <c r="A658" s="176"/>
      <c r="B658" s="174"/>
      <c r="C658" s="31"/>
      <c r="D658" s="31"/>
      <c r="E658" s="32"/>
      <c r="F658" s="42" t="s">
        <v>416</v>
      </c>
      <c r="G658" s="30" t="str">
        <f>IF(ISNUMBER(F658),E658*F658,"")</f>
        <v/>
      </c>
      <c r="H658" s="34"/>
      <c r="I658" s="30"/>
      <c r="J658" s="152">
        <v>0</v>
      </c>
    </row>
    <row r="659" spans="1:10" ht="15.75" hidden="1" thickBot="1" x14ac:dyDescent="0.3">
      <c r="A659" s="176"/>
      <c r="B659" s="174"/>
      <c r="C659" s="35" t="s">
        <v>2906</v>
      </c>
      <c r="D659" s="35" t="s">
        <v>583</v>
      </c>
      <c r="E659" s="36">
        <v>1.25</v>
      </c>
      <c r="F659" s="30">
        <v>27.036999999999999</v>
      </c>
      <c r="G659" s="33">
        <f>IF(ISNUMBER(F659),E659*F659,"")</f>
        <v>33.796250000000001</v>
      </c>
      <c r="H659" s="38">
        <f>SUM(G659:G659)</f>
        <v>33.796250000000001</v>
      </c>
      <c r="I659" s="39"/>
      <c r="J659" s="152">
        <v>0</v>
      </c>
    </row>
    <row r="660" spans="1:10" ht="15.75" hidden="1" thickBot="1" x14ac:dyDescent="0.3">
      <c r="A660" s="177"/>
      <c r="B660" s="175"/>
      <c r="C660" s="54"/>
      <c r="D660" s="35"/>
      <c r="E660" s="36"/>
      <c r="F660" s="30" t="s">
        <v>416</v>
      </c>
      <c r="G660" s="30" t="str">
        <f>IF(ISNUMBER(F660),E660*F660,"")</f>
        <v/>
      </c>
      <c r="H660" s="34"/>
      <c r="I660" s="30"/>
      <c r="J660" s="152">
        <v>0</v>
      </c>
    </row>
    <row r="661" spans="1:10" ht="15.75" hidden="1" thickBot="1" x14ac:dyDescent="0.3">
      <c r="A661" s="170" t="s">
        <v>176</v>
      </c>
      <c r="B661" s="173" t="str">
        <f>INDEX(Orçamentária!A:B,MATCH(Composições!A661,Orçamentária!A:A,0),2)</f>
        <v>Corte em placas de granito ou mármore reaproveitadas, para instalação de cubas</v>
      </c>
      <c r="C661" s="40"/>
      <c r="D661" s="25" t="s">
        <v>16</v>
      </c>
      <c r="E661" s="26"/>
      <c r="F661" s="41" t="s">
        <v>416</v>
      </c>
      <c r="G661" s="27" t="str">
        <f>IF(ISNUMBER(F661),E661*F661,"")</f>
        <v/>
      </c>
      <c r="H661" s="28"/>
      <c r="I661" s="29"/>
      <c r="J661" s="152">
        <v>0</v>
      </c>
    </row>
    <row r="662" spans="1:10" ht="15.75" hidden="1" thickBot="1" x14ac:dyDescent="0.3">
      <c r="A662" s="176"/>
      <c r="B662" s="174"/>
      <c r="C662" s="31"/>
      <c r="D662" s="31"/>
      <c r="E662" s="32"/>
      <c r="F662" s="42" t="s">
        <v>416</v>
      </c>
      <c r="G662" s="30" t="str">
        <f>IF(ISNUMBER(F662),E662*F662,"")</f>
        <v/>
      </c>
      <c r="H662" s="34"/>
      <c r="I662" s="30"/>
      <c r="J662" s="152">
        <v>0</v>
      </c>
    </row>
    <row r="663" spans="1:10" ht="26.25" hidden="1" thickBot="1" x14ac:dyDescent="0.3">
      <c r="A663" s="176"/>
      <c r="B663" s="174"/>
      <c r="C663" s="35" t="s">
        <v>177</v>
      </c>
      <c r="D663" s="35" t="s">
        <v>213</v>
      </c>
      <c r="E663" s="36">
        <v>1</v>
      </c>
      <c r="F663" s="30">
        <v>113.715</v>
      </c>
      <c r="G663" s="33">
        <f>IF(ISNUMBER(F663),E663*F663,"")</f>
        <v>113.715</v>
      </c>
      <c r="H663" s="38">
        <f>SUM(G663:G663)</f>
        <v>113.715</v>
      </c>
      <c r="I663" s="39"/>
      <c r="J663" s="152">
        <v>0</v>
      </c>
    </row>
    <row r="664" spans="1:10" ht="15.75" hidden="1" thickBot="1" x14ac:dyDescent="0.3">
      <c r="A664" s="177"/>
      <c r="B664" s="175"/>
      <c r="C664" s="54"/>
      <c r="D664" s="35"/>
      <c r="E664" s="36"/>
      <c r="F664" s="30" t="s">
        <v>416</v>
      </c>
      <c r="G664" s="30" t="str">
        <f>IF(ISNUMBER(F664),E664*F664,"")</f>
        <v/>
      </c>
      <c r="H664" s="34"/>
      <c r="I664" s="30"/>
      <c r="J664" s="152">
        <v>0</v>
      </c>
    </row>
    <row r="665" spans="1:10" ht="15.75" hidden="1" thickBot="1" x14ac:dyDescent="0.3">
      <c r="A665" s="170" t="s">
        <v>178</v>
      </c>
      <c r="B665" s="173" t="str">
        <f>INDEX(Orçamentária!A:B,MATCH(Composições!A665,Orçamentária!A:A,0),2)</f>
        <v>Furo em placas de granito ou mármore reaproveitadas, para instalação de torneira ou misturador</v>
      </c>
      <c r="C665" s="156"/>
      <c r="D665" s="25" t="s">
        <v>16</v>
      </c>
      <c r="E665" s="26"/>
      <c r="F665" s="41" t="s">
        <v>416</v>
      </c>
      <c r="G665" s="27" t="str">
        <f>IF(ISNUMBER(F665),E665*F665,"")</f>
        <v/>
      </c>
      <c r="H665" s="28"/>
      <c r="I665" s="29"/>
      <c r="J665" s="152">
        <v>0</v>
      </c>
    </row>
    <row r="666" spans="1:10" ht="15.75" hidden="1" thickBot="1" x14ac:dyDescent="0.3">
      <c r="A666" s="176"/>
      <c r="B666" s="174"/>
      <c r="C666" s="31"/>
      <c r="D666" s="31"/>
      <c r="E666" s="32"/>
      <c r="F666" s="42" t="s">
        <v>416</v>
      </c>
      <c r="G666" s="30" t="str">
        <f>IF(ISNUMBER(F666),E666*F666,"")</f>
        <v/>
      </c>
      <c r="H666" s="34"/>
      <c r="I666" s="30"/>
      <c r="J666" s="152">
        <v>0</v>
      </c>
    </row>
    <row r="667" spans="1:10" ht="26.25" hidden="1" thickBot="1" x14ac:dyDescent="0.3">
      <c r="A667" s="176"/>
      <c r="B667" s="174"/>
      <c r="C667" s="35" t="s">
        <v>8519</v>
      </c>
      <c r="D667" s="35" t="s">
        <v>213</v>
      </c>
      <c r="E667" s="36">
        <v>1</v>
      </c>
      <c r="F667" s="30">
        <v>17.052499999999998</v>
      </c>
      <c r="G667" s="33">
        <f>IF(ISNUMBER(F667),E667*F667,"")</f>
        <v>17.052499999999998</v>
      </c>
      <c r="H667" s="38">
        <f>SUM(G667:G667)</f>
        <v>17.052499999999998</v>
      </c>
      <c r="I667" s="39"/>
      <c r="J667" s="152">
        <v>0</v>
      </c>
    </row>
    <row r="668" spans="1:10" ht="15.75" hidden="1" thickBot="1" x14ac:dyDescent="0.3">
      <c r="A668" s="177"/>
      <c r="B668" s="175"/>
      <c r="C668" s="35"/>
      <c r="D668" s="35"/>
      <c r="E668" s="36"/>
      <c r="F668" s="30" t="s">
        <v>416</v>
      </c>
      <c r="G668" s="30" t="str">
        <f>IF(ISNUMBER(F668),E668*F668,"")</f>
        <v/>
      </c>
      <c r="H668" s="34"/>
      <c r="I668" s="30"/>
      <c r="J668" s="152">
        <v>0</v>
      </c>
    </row>
    <row r="669" spans="1:10" ht="15.75" hidden="1" thickBot="1" x14ac:dyDescent="0.3">
      <c r="A669" s="170" t="s">
        <v>179</v>
      </c>
      <c r="B669" s="173" t="str">
        <f>INDEX(Orçamentária!A:B,MATCH(Composições!A669,Orçamentária!A:A,0),2)</f>
        <v>Granito Cinza Andorinha 20 mm para rodabancada</v>
      </c>
      <c r="C669" s="40"/>
      <c r="D669" s="25" t="s">
        <v>70</v>
      </c>
      <c r="E669" s="26"/>
      <c r="F669" s="41" t="s">
        <v>416</v>
      </c>
      <c r="G669" s="27" t="str">
        <f>IF(ISNUMBER(F669),E669*F669,"")</f>
        <v/>
      </c>
      <c r="H669" s="28"/>
      <c r="I669" s="29"/>
      <c r="J669" s="152">
        <v>0</v>
      </c>
    </row>
    <row r="670" spans="1:10" ht="15.75" hidden="1" thickBot="1" x14ac:dyDescent="0.3">
      <c r="A670" s="176"/>
      <c r="B670" s="174"/>
      <c r="C670" s="31"/>
      <c r="D670" s="31"/>
      <c r="E670" s="32"/>
      <c r="F670" s="42" t="s">
        <v>416</v>
      </c>
      <c r="G670" s="30" t="str">
        <f>IF(ISNUMBER(F670),E670*F670,"")</f>
        <v/>
      </c>
      <c r="H670" s="34"/>
      <c r="I670" s="30"/>
      <c r="J670" s="152">
        <v>0</v>
      </c>
    </row>
    <row r="671" spans="1:10" ht="26.25" hidden="1" thickBot="1" x14ac:dyDescent="0.3">
      <c r="A671" s="176"/>
      <c r="B671" s="174"/>
      <c r="C671" s="35" t="s">
        <v>180</v>
      </c>
      <c r="D671" s="35" t="s">
        <v>69</v>
      </c>
      <c r="E671" s="36">
        <f>ROUND(1.04/0.15,4)</f>
        <v>6.9333</v>
      </c>
      <c r="F671" s="33" t="s">
        <v>416</v>
      </c>
      <c r="G671" s="33" t="str">
        <f>IF(ISNUMBER(F671),E671*F671,"")</f>
        <v/>
      </c>
      <c r="H671" s="38">
        <f>SUM(G671:G675)</f>
        <v>87.250325599999996</v>
      </c>
      <c r="I671" s="39"/>
      <c r="J671" s="152">
        <v>0</v>
      </c>
    </row>
    <row r="672" spans="1:10" ht="15.75" hidden="1" thickBot="1" x14ac:dyDescent="0.3">
      <c r="A672" s="176"/>
      <c r="B672" s="174"/>
      <c r="C672" s="35" t="s">
        <v>7987</v>
      </c>
      <c r="D672" s="35" t="s">
        <v>773</v>
      </c>
      <c r="E672" s="36">
        <f>ROUND(0.8614/0.15,4)</f>
        <v>5.7427000000000001</v>
      </c>
      <c r="F672" s="33">
        <v>1.8049999999999999</v>
      </c>
      <c r="G672" s="33">
        <f>IF(ISNUMBER(F672),E672*F672,"")</f>
        <v>10.3655735</v>
      </c>
      <c r="H672" s="34"/>
      <c r="I672" s="30"/>
      <c r="J672" s="152">
        <v>0</v>
      </c>
    </row>
    <row r="673" spans="1:10" ht="15.75" hidden="1" thickBot="1" x14ac:dyDescent="0.3">
      <c r="A673" s="176"/>
      <c r="B673" s="174"/>
      <c r="C673" s="35" t="s">
        <v>2906</v>
      </c>
      <c r="D673" s="35" t="s">
        <v>583</v>
      </c>
      <c r="E673" s="36">
        <f>ROUND(0.299/0.15,4)</f>
        <v>1.9933000000000001</v>
      </c>
      <c r="F673" s="30">
        <v>27.036999999999999</v>
      </c>
      <c r="G673" s="33">
        <f>IF(ISNUMBER(F673),E673*F673,"")</f>
        <v>53.892852099999999</v>
      </c>
      <c r="H673" s="34"/>
      <c r="I673" s="30"/>
      <c r="J673" s="152">
        <v>0</v>
      </c>
    </row>
    <row r="674" spans="1:10" ht="15.75" hidden="1" thickBot="1" x14ac:dyDescent="0.3">
      <c r="A674" s="176"/>
      <c r="B674" s="174"/>
      <c r="C674" s="35" t="s">
        <v>584</v>
      </c>
      <c r="D674" s="35" t="s">
        <v>583</v>
      </c>
      <c r="E674" s="36">
        <f>0.15/0.15</f>
        <v>1</v>
      </c>
      <c r="F674" s="30">
        <v>20.225499999999997</v>
      </c>
      <c r="G674" s="33">
        <f>IF(ISNUMBER(F674),E674*F674,"")</f>
        <v>20.225499999999997</v>
      </c>
      <c r="H674" s="34"/>
      <c r="I674" s="30"/>
      <c r="J674" s="152">
        <v>0</v>
      </c>
    </row>
    <row r="675" spans="1:10" ht="15.75" hidden="1" thickBot="1" x14ac:dyDescent="0.3">
      <c r="A675" s="176"/>
      <c r="B675" s="174"/>
      <c r="C675" s="35" t="s">
        <v>8367</v>
      </c>
      <c r="D675" s="35" t="s">
        <v>773</v>
      </c>
      <c r="E675" s="36">
        <f>0.12/0.15</f>
        <v>0.8</v>
      </c>
      <c r="F675" s="33">
        <v>3.4579999999999997</v>
      </c>
      <c r="G675" s="33">
        <f>IF(ISNUMBER(F675),E675*F675,"")</f>
        <v>2.7664</v>
      </c>
      <c r="H675" s="34"/>
      <c r="I675" s="30"/>
      <c r="J675" s="152">
        <v>0</v>
      </c>
    </row>
    <row r="676" spans="1:10" ht="15.75" hidden="1" thickBot="1" x14ac:dyDescent="0.3">
      <c r="A676" s="176"/>
      <c r="B676" s="174"/>
      <c r="C676" s="35"/>
      <c r="D676" s="35"/>
      <c r="E676" s="36"/>
      <c r="F676" s="33" t="s">
        <v>416</v>
      </c>
      <c r="G676" s="33" t="str">
        <f>IF(ISNUMBER(F676),E676*F676,"")</f>
        <v/>
      </c>
      <c r="H676" s="34"/>
      <c r="I676" s="30"/>
      <c r="J676" s="152">
        <v>0</v>
      </c>
    </row>
    <row r="677" spans="1:10" ht="15.75" hidden="1" thickBot="1" x14ac:dyDescent="0.3">
      <c r="A677" s="170" t="s">
        <v>181</v>
      </c>
      <c r="B677" s="173" t="str">
        <f>INDEX(Orçamentária!A:B,MATCH(Composições!A677,Orçamentária!A:A,0),2)</f>
        <v>Granito Cinza Andorinha 20 mm para bancadas</v>
      </c>
      <c r="C677" s="40"/>
      <c r="D677" s="25" t="s">
        <v>70</v>
      </c>
      <c r="E677" s="26"/>
      <c r="F677" s="41" t="s">
        <v>416</v>
      </c>
      <c r="G677" s="27" t="str">
        <f>IF(ISNUMBER(F677),E677*F677,"")</f>
        <v/>
      </c>
      <c r="H677" s="28"/>
      <c r="I677" s="29"/>
      <c r="J677" s="152">
        <v>0</v>
      </c>
    </row>
    <row r="678" spans="1:10" ht="15.75" hidden="1" thickBot="1" x14ac:dyDescent="0.3">
      <c r="A678" s="176"/>
      <c r="B678" s="174"/>
      <c r="C678" s="31"/>
      <c r="D678" s="31"/>
      <c r="E678" s="32"/>
      <c r="F678" s="42" t="s">
        <v>416</v>
      </c>
      <c r="G678" s="30" t="str">
        <f>IF(ISNUMBER(F678),E678*F678,"")</f>
        <v/>
      </c>
      <c r="H678" s="34"/>
      <c r="I678" s="30"/>
      <c r="J678" s="152">
        <v>0</v>
      </c>
    </row>
    <row r="679" spans="1:10" ht="15.75" hidden="1" thickBot="1" x14ac:dyDescent="0.3">
      <c r="A679" s="176"/>
      <c r="B679" s="174"/>
      <c r="C679" s="35" t="s">
        <v>2934</v>
      </c>
      <c r="D679" s="35" t="s">
        <v>773</v>
      </c>
      <c r="E679" s="36">
        <f>ROUND(0.5228/(1.5*0.6),4)</f>
        <v>0.58089999999999997</v>
      </c>
      <c r="F679" s="53">
        <v>38.826499999999996</v>
      </c>
      <c r="G679" s="53">
        <f>IF(ISNUMBER(F679),E679*F679,"")</f>
        <v>22.554313849999996</v>
      </c>
      <c r="H679" s="38">
        <f>SUM(G679:G685)</f>
        <v>155.11190929999998</v>
      </c>
      <c r="I679" s="39"/>
      <c r="J679" s="152">
        <v>0</v>
      </c>
    </row>
    <row r="680" spans="1:10" ht="39" hidden="1" thickBot="1" x14ac:dyDescent="0.3">
      <c r="A680" s="176"/>
      <c r="B680" s="174"/>
      <c r="C680" s="35" t="s">
        <v>991</v>
      </c>
      <c r="D680" s="35" t="s">
        <v>213</v>
      </c>
      <c r="E680" s="36">
        <f>ROUND(6/(1.5*0.6),4)</f>
        <v>6.6666999999999996</v>
      </c>
      <c r="F680" s="53">
        <v>1.1019999999999999</v>
      </c>
      <c r="G680" s="53">
        <f>IF(ISNUMBER(F680),E680*F680,"")</f>
        <v>7.3467033999999991</v>
      </c>
      <c r="H680" s="72"/>
      <c r="I680" s="73"/>
      <c r="J680" s="152">
        <v>0</v>
      </c>
    </row>
    <row r="681" spans="1:10" ht="26.25" hidden="1" thickBot="1" x14ac:dyDescent="0.3">
      <c r="A681" s="176"/>
      <c r="B681" s="174"/>
      <c r="C681" s="35" t="s">
        <v>182</v>
      </c>
      <c r="D681" s="35" t="s">
        <v>861</v>
      </c>
      <c r="E681" s="36">
        <f>ROUND(1.005/(1.5*0.6),4)</f>
        <v>1.1167</v>
      </c>
      <c r="F681" s="53" t="s">
        <v>416</v>
      </c>
      <c r="G681" s="53" t="str">
        <f>IF(ISNUMBER(F681),E681*F681,"")</f>
        <v/>
      </c>
      <c r="H681" s="72"/>
      <c r="I681" s="73"/>
      <c r="J681" s="152">
        <v>0</v>
      </c>
    </row>
    <row r="682" spans="1:10" ht="15.75" hidden="1" thickBot="1" x14ac:dyDescent="0.3">
      <c r="A682" s="176"/>
      <c r="B682" s="174"/>
      <c r="C682" s="35" t="s">
        <v>3061</v>
      </c>
      <c r="D682" s="35" t="s">
        <v>773</v>
      </c>
      <c r="E682" s="36">
        <f>ROUND(0.0211/(1.5*0.6),4)</f>
        <v>2.3400000000000001E-2</v>
      </c>
      <c r="F682" s="53">
        <v>72.836500000000001</v>
      </c>
      <c r="G682" s="53">
        <f>IF(ISNUMBER(F682),E682*F682,"")</f>
        <v>1.7043741000000001</v>
      </c>
      <c r="H682" s="72"/>
      <c r="I682" s="73"/>
      <c r="J682" s="152">
        <v>0</v>
      </c>
    </row>
    <row r="683" spans="1:10" ht="26.25" hidden="1" thickBot="1" x14ac:dyDescent="0.3">
      <c r="A683" s="176"/>
      <c r="B683" s="174"/>
      <c r="C683" s="35" t="s">
        <v>2941</v>
      </c>
      <c r="D683" s="35" t="s">
        <v>213</v>
      </c>
      <c r="E683" s="36">
        <f>ROUND(2/(1.5*0.6),4)</f>
        <v>2.2222</v>
      </c>
      <c r="F683" s="53">
        <v>25.4315</v>
      </c>
      <c r="G683" s="53">
        <f>IF(ISNUMBER(F683),E683*F683,"")</f>
        <v>56.513879299999999</v>
      </c>
      <c r="H683" s="72"/>
      <c r="I683" s="73"/>
      <c r="J683" s="152">
        <v>0</v>
      </c>
    </row>
    <row r="684" spans="1:10" ht="15.75" hidden="1" thickBot="1" x14ac:dyDescent="0.3">
      <c r="A684" s="176"/>
      <c r="B684" s="174"/>
      <c r="C684" s="35" t="s">
        <v>2906</v>
      </c>
      <c r="D684" s="35" t="s">
        <v>583</v>
      </c>
      <c r="E684" s="36">
        <f>ROUND(1.4944/(1.5*0.6),4)</f>
        <v>1.6604000000000001</v>
      </c>
      <c r="F684" s="53">
        <v>27.036999999999999</v>
      </c>
      <c r="G684" s="53">
        <f>IF(ISNUMBER(F684),E684*F684,"")</f>
        <v>44.892234800000004</v>
      </c>
      <c r="H684" s="72"/>
      <c r="I684" s="73"/>
      <c r="J684" s="152">
        <v>0</v>
      </c>
    </row>
    <row r="685" spans="1:10" ht="15.75" hidden="1" thickBot="1" x14ac:dyDescent="0.3">
      <c r="A685" s="176"/>
      <c r="B685" s="174"/>
      <c r="C685" s="35" t="s">
        <v>584</v>
      </c>
      <c r="D685" s="35" t="s">
        <v>583</v>
      </c>
      <c r="E685" s="36">
        <f>ROUND(0.9834/(1.5*0.6),4)</f>
        <v>1.0927</v>
      </c>
      <c r="F685" s="53">
        <v>20.225499999999997</v>
      </c>
      <c r="G685" s="53">
        <f>IF(ISNUMBER(F685),E685*F685,"")</f>
        <v>22.100403849999996</v>
      </c>
      <c r="H685" s="72"/>
      <c r="I685" s="73"/>
      <c r="J685" s="152">
        <v>0</v>
      </c>
    </row>
    <row r="686" spans="1:10" ht="15.75" hidden="1" thickBot="1" x14ac:dyDescent="0.3">
      <c r="A686" s="176"/>
      <c r="B686" s="174"/>
      <c r="C686" s="35"/>
      <c r="D686" s="35"/>
      <c r="E686" s="36"/>
      <c r="F686" s="30" t="s">
        <v>416</v>
      </c>
      <c r="G686" s="33" t="str">
        <f>IF(ISNUMBER(F686),E686*F686,"")</f>
        <v/>
      </c>
      <c r="H686" s="34"/>
      <c r="I686" s="30"/>
      <c r="J686" s="152">
        <v>0</v>
      </c>
    </row>
    <row r="687" spans="1:10" ht="15.75" hidden="1" thickBot="1" x14ac:dyDescent="0.3">
      <c r="A687" s="170" t="s">
        <v>183</v>
      </c>
      <c r="B687" s="173" t="str">
        <f>INDEX(Orçamentária!A:B,MATCH(Composições!A687,Orçamentária!A:A,0),2)</f>
        <v>Granito Cinza Andorinha 20 mm para divisória</v>
      </c>
      <c r="C687" s="40"/>
      <c r="D687" s="25" t="s">
        <v>70</v>
      </c>
      <c r="E687" s="26"/>
      <c r="F687" s="41" t="s">
        <v>416</v>
      </c>
      <c r="G687" s="27" t="str">
        <f>IF(ISNUMBER(F687),E687*F687,"")</f>
        <v/>
      </c>
      <c r="H687" s="28"/>
      <c r="I687" s="29"/>
      <c r="J687" s="152">
        <v>0</v>
      </c>
    </row>
    <row r="688" spans="1:10" ht="15.75" hidden="1" thickBot="1" x14ac:dyDescent="0.3">
      <c r="A688" s="176"/>
      <c r="B688" s="174"/>
      <c r="C688" s="31"/>
      <c r="D688" s="31"/>
      <c r="E688" s="32"/>
      <c r="F688" s="42" t="s">
        <v>416</v>
      </c>
      <c r="G688" s="30" t="str">
        <f>IF(ISNUMBER(F688),E688*F688,"")</f>
        <v/>
      </c>
      <c r="H688" s="34"/>
      <c r="I688" s="30"/>
      <c r="J688" s="152">
        <v>0</v>
      </c>
    </row>
    <row r="689" spans="1:10" ht="26.25" hidden="1" thickBot="1" x14ac:dyDescent="0.3">
      <c r="A689" s="176"/>
      <c r="B689" s="174"/>
      <c r="C689" s="35" t="s">
        <v>650</v>
      </c>
      <c r="D689" s="35" t="s">
        <v>773</v>
      </c>
      <c r="E689" s="36">
        <v>0.53</v>
      </c>
      <c r="F689" s="33">
        <v>52.259499999999996</v>
      </c>
      <c r="G689" s="33">
        <f>IF(ISNUMBER(F689),E689*F689,"")</f>
        <v>27.697534999999998</v>
      </c>
      <c r="H689" s="38">
        <f>SUM(G689:G695)</f>
        <v>111.88545199999999</v>
      </c>
      <c r="I689" s="39"/>
      <c r="J689" s="152">
        <v>0</v>
      </c>
    </row>
    <row r="690" spans="1:10" ht="26.25" hidden="1" thickBot="1" x14ac:dyDescent="0.3">
      <c r="A690" s="176"/>
      <c r="B690" s="174"/>
      <c r="C690" s="35" t="s">
        <v>5545</v>
      </c>
      <c r="D690" s="35" t="s">
        <v>861</v>
      </c>
      <c r="E690" s="36">
        <v>1.05</v>
      </c>
      <c r="F690" s="33" t="s">
        <v>416</v>
      </c>
      <c r="G690" s="33" t="str">
        <f>IF(ISNUMBER(F690),E690*F690,"")</f>
        <v/>
      </c>
      <c r="H690" s="34"/>
      <c r="I690" s="30"/>
      <c r="J690" s="152">
        <v>0</v>
      </c>
    </row>
    <row r="691" spans="1:10" ht="15.75" hidden="1" thickBot="1" x14ac:dyDescent="0.3">
      <c r="A691" s="176"/>
      <c r="B691" s="174"/>
      <c r="C691" s="35" t="s">
        <v>7988</v>
      </c>
      <c r="D691" s="35" t="s">
        <v>773</v>
      </c>
      <c r="E691" s="36">
        <v>0.97</v>
      </c>
      <c r="F691" s="30">
        <v>2.0710000000000002</v>
      </c>
      <c r="G691" s="33">
        <f>IF(ISNUMBER(F691),E691*F691,"")</f>
        <v>2.0088699999999999</v>
      </c>
      <c r="H691" s="34"/>
      <c r="I691" s="30"/>
      <c r="J691" s="152">
        <v>0</v>
      </c>
    </row>
    <row r="692" spans="1:10" ht="15.75" hidden="1" thickBot="1" x14ac:dyDescent="0.3">
      <c r="A692" s="176"/>
      <c r="B692" s="174"/>
      <c r="C692" s="35" t="s">
        <v>2906</v>
      </c>
      <c r="D692" s="35" t="s">
        <v>583</v>
      </c>
      <c r="E692" s="36">
        <v>1.405</v>
      </c>
      <c r="F692" s="30">
        <v>27.036999999999999</v>
      </c>
      <c r="G692" s="33">
        <f>IF(ISNUMBER(F692),E692*F692,"")</f>
        <v>37.986984999999997</v>
      </c>
      <c r="H692" s="34"/>
      <c r="I692" s="30"/>
      <c r="J692" s="152">
        <v>0</v>
      </c>
    </row>
    <row r="693" spans="1:10" ht="15.75" hidden="1" thickBot="1" x14ac:dyDescent="0.3">
      <c r="A693" s="176"/>
      <c r="B693" s="174"/>
      <c r="C693" s="35" t="s">
        <v>584</v>
      </c>
      <c r="D693" s="35" t="s">
        <v>583</v>
      </c>
      <c r="E693" s="36">
        <v>0.70199999999999996</v>
      </c>
      <c r="F693" s="30">
        <v>20.225499999999997</v>
      </c>
      <c r="G693" s="33">
        <f>IF(ISNUMBER(F693),E693*F693,"")</f>
        <v>14.198300999999997</v>
      </c>
      <c r="H693" s="34"/>
      <c r="I693" s="30"/>
      <c r="J693" s="152">
        <v>0</v>
      </c>
    </row>
    <row r="694" spans="1:10" ht="26.25" hidden="1" thickBot="1" x14ac:dyDescent="0.3">
      <c r="A694" s="176"/>
      <c r="B694" s="174"/>
      <c r="C694" s="35" t="s">
        <v>1013</v>
      </c>
      <c r="D694" s="35" t="s">
        <v>813</v>
      </c>
      <c r="E694" s="36">
        <v>8.8999999999999996E-2</v>
      </c>
      <c r="F694" s="30">
        <v>22.210999999999999</v>
      </c>
      <c r="G694" s="33">
        <f>IF(ISNUMBER(F694),E694*F694,"")</f>
        <v>1.9767789999999998</v>
      </c>
      <c r="H694" s="34"/>
      <c r="I694" s="30"/>
      <c r="J694" s="152">
        <v>0</v>
      </c>
    </row>
    <row r="695" spans="1:10" ht="26.25" hidden="1" thickBot="1" x14ac:dyDescent="0.3">
      <c r="A695" s="176"/>
      <c r="B695" s="174"/>
      <c r="C695" s="35" t="s">
        <v>1014</v>
      </c>
      <c r="D695" s="35" t="s">
        <v>815</v>
      </c>
      <c r="E695" s="36">
        <v>1.3160000000000001</v>
      </c>
      <c r="F695" s="33">
        <v>21.2895</v>
      </c>
      <c r="G695" s="33">
        <f>IF(ISNUMBER(F695),E695*F695,"")</f>
        <v>28.016982000000002</v>
      </c>
      <c r="H695" s="34"/>
      <c r="I695" s="30"/>
      <c r="J695" s="152">
        <v>0</v>
      </c>
    </row>
    <row r="696" spans="1:10" ht="15.75" hidden="1" thickBot="1" x14ac:dyDescent="0.3">
      <c r="A696" s="176"/>
      <c r="B696" s="174"/>
      <c r="C696" s="35"/>
      <c r="D696" s="35"/>
      <c r="E696" s="36"/>
      <c r="F696" s="33" t="s">
        <v>416</v>
      </c>
      <c r="G696" s="33" t="str">
        <f>IF(ISNUMBER(F696),E696*F696,"")</f>
        <v/>
      </c>
      <c r="H696" s="34"/>
      <c r="I696" s="30"/>
      <c r="J696" s="152">
        <v>0</v>
      </c>
    </row>
    <row r="697" spans="1:10" ht="15.75" hidden="1" thickBot="1" x14ac:dyDescent="0.3">
      <c r="A697" s="170" t="s">
        <v>185</v>
      </c>
      <c r="B697" s="173" t="str">
        <f>INDEX(Orçamentária!A:B,MATCH(Composições!A697,Orçamentária!A:A,0),2)</f>
        <v>Granito Preto São Gabriel 20 mm para rodabancada</v>
      </c>
      <c r="C697" s="40"/>
      <c r="D697" s="25" t="s">
        <v>70</v>
      </c>
      <c r="E697" s="26"/>
      <c r="F697" s="41" t="s">
        <v>416</v>
      </c>
      <c r="G697" s="27" t="str">
        <f>IF(ISNUMBER(F697),E697*F697,"")</f>
        <v/>
      </c>
      <c r="H697" s="28"/>
      <c r="I697" s="29"/>
      <c r="J697" s="152">
        <v>0</v>
      </c>
    </row>
    <row r="698" spans="1:10" ht="15.75" hidden="1" thickBot="1" x14ac:dyDescent="0.3">
      <c r="A698" s="176"/>
      <c r="B698" s="174"/>
      <c r="C698" s="31"/>
      <c r="D698" s="31"/>
      <c r="E698" s="32"/>
      <c r="F698" s="42" t="s">
        <v>416</v>
      </c>
      <c r="G698" s="30" t="str">
        <f>IF(ISNUMBER(F698),E698*F698,"")</f>
        <v/>
      </c>
      <c r="H698" s="34"/>
      <c r="I698" s="30"/>
      <c r="J698" s="152">
        <v>0</v>
      </c>
    </row>
    <row r="699" spans="1:10" ht="26.25" hidden="1" thickBot="1" x14ac:dyDescent="0.3">
      <c r="A699" s="176"/>
      <c r="B699" s="174"/>
      <c r="C699" s="35" t="s">
        <v>186</v>
      </c>
      <c r="D699" s="35" t="s">
        <v>69</v>
      </c>
      <c r="E699" s="36">
        <f>ROUND(1.04/0.15,4)</f>
        <v>6.9333</v>
      </c>
      <c r="F699" s="33" t="s">
        <v>416</v>
      </c>
      <c r="G699" s="30" t="str">
        <f>IF(ISNUMBER(F699),E699*F699,"")</f>
        <v/>
      </c>
      <c r="H699" s="38">
        <f>SUM(G699:G703)</f>
        <v>87.250325599999996</v>
      </c>
      <c r="I699" s="39"/>
      <c r="J699" s="152">
        <v>0</v>
      </c>
    </row>
    <row r="700" spans="1:10" ht="15.75" hidden="1" thickBot="1" x14ac:dyDescent="0.3">
      <c r="A700" s="176"/>
      <c r="B700" s="174"/>
      <c r="C700" s="35" t="s">
        <v>7987</v>
      </c>
      <c r="D700" s="35" t="s">
        <v>773</v>
      </c>
      <c r="E700" s="36">
        <f>ROUND(0.8614/0.15,4)</f>
        <v>5.7427000000000001</v>
      </c>
      <c r="F700" s="33">
        <v>1.8049999999999999</v>
      </c>
      <c r="G700" s="33">
        <f>IF(ISNUMBER(F700),E700*F700,"")</f>
        <v>10.3655735</v>
      </c>
      <c r="H700" s="34"/>
      <c r="I700" s="30"/>
      <c r="J700" s="152">
        <v>0</v>
      </c>
    </row>
    <row r="701" spans="1:10" ht="15.75" hidden="1" thickBot="1" x14ac:dyDescent="0.3">
      <c r="A701" s="176"/>
      <c r="B701" s="174"/>
      <c r="C701" s="35" t="s">
        <v>2906</v>
      </c>
      <c r="D701" s="35" t="s">
        <v>583</v>
      </c>
      <c r="E701" s="36">
        <f>ROUND(0.299/0.15,4)</f>
        <v>1.9933000000000001</v>
      </c>
      <c r="F701" s="33">
        <v>27.036999999999999</v>
      </c>
      <c r="G701" s="33">
        <f>IF(ISNUMBER(F701),E701*F701,"")</f>
        <v>53.892852099999999</v>
      </c>
      <c r="H701" s="34"/>
      <c r="I701" s="30"/>
      <c r="J701" s="152">
        <v>0</v>
      </c>
    </row>
    <row r="702" spans="1:10" ht="15.75" hidden="1" thickBot="1" x14ac:dyDescent="0.3">
      <c r="A702" s="176"/>
      <c r="B702" s="174"/>
      <c r="C702" s="35" t="s">
        <v>584</v>
      </c>
      <c r="D702" s="35" t="s">
        <v>583</v>
      </c>
      <c r="E702" s="36">
        <f>0.15/0.15</f>
        <v>1</v>
      </c>
      <c r="F702" s="33">
        <v>20.225499999999997</v>
      </c>
      <c r="G702" s="33">
        <f>IF(ISNUMBER(F702),E702*F702,"")</f>
        <v>20.225499999999997</v>
      </c>
      <c r="H702" s="34"/>
      <c r="I702" s="30"/>
      <c r="J702" s="152">
        <v>0</v>
      </c>
    </row>
    <row r="703" spans="1:10" ht="15.75" hidden="1" thickBot="1" x14ac:dyDescent="0.3">
      <c r="A703" s="176"/>
      <c r="B703" s="174"/>
      <c r="C703" s="35" t="s">
        <v>8367</v>
      </c>
      <c r="D703" s="35" t="s">
        <v>773</v>
      </c>
      <c r="E703" s="36">
        <f>0.12/0.15</f>
        <v>0.8</v>
      </c>
      <c r="F703" s="33">
        <v>3.4579999999999997</v>
      </c>
      <c r="G703" s="33">
        <f>IF(ISNUMBER(F703),E703*F703,"")</f>
        <v>2.7664</v>
      </c>
      <c r="H703" s="34"/>
      <c r="I703" s="30"/>
      <c r="J703" s="152">
        <v>0</v>
      </c>
    </row>
    <row r="704" spans="1:10" ht="15.75" hidden="1" thickBot="1" x14ac:dyDescent="0.3">
      <c r="A704" s="176"/>
      <c r="B704" s="174"/>
      <c r="C704" s="35"/>
      <c r="D704" s="35"/>
      <c r="E704" s="36"/>
      <c r="F704" s="33" t="s">
        <v>416</v>
      </c>
      <c r="G704" s="33" t="str">
        <f>IF(ISNUMBER(F704),E704*F704,"")</f>
        <v/>
      </c>
      <c r="H704" s="34"/>
      <c r="I704" s="30"/>
      <c r="J704" s="152">
        <v>0</v>
      </c>
    </row>
    <row r="705" spans="1:10" ht="15.75" hidden="1" thickBot="1" x14ac:dyDescent="0.3">
      <c r="A705" s="170" t="s">
        <v>187</v>
      </c>
      <c r="B705" s="173" t="str">
        <f>INDEX(Orçamentária!A:B,MATCH(Composições!A705,Orçamentária!A:A,0),2)</f>
        <v>Granito Preto São Gabriel 20 mm para bancadas</v>
      </c>
      <c r="C705" s="40"/>
      <c r="D705" s="25" t="s">
        <v>70</v>
      </c>
      <c r="E705" s="26"/>
      <c r="F705" s="41" t="s">
        <v>416</v>
      </c>
      <c r="G705" s="27" t="str">
        <f>IF(ISNUMBER(F705),E705*F705,"")</f>
        <v/>
      </c>
      <c r="H705" s="28"/>
      <c r="I705" s="29"/>
      <c r="J705" s="152">
        <v>0</v>
      </c>
    </row>
    <row r="706" spans="1:10" ht="15.75" hidden="1" thickBot="1" x14ac:dyDescent="0.3">
      <c r="A706" s="176"/>
      <c r="B706" s="174"/>
      <c r="C706" s="31"/>
      <c r="D706" s="31"/>
      <c r="E706" s="32"/>
      <c r="F706" s="42" t="s">
        <v>416</v>
      </c>
      <c r="G706" s="30" t="str">
        <f>IF(ISNUMBER(F706),E706*F706,"")</f>
        <v/>
      </c>
      <c r="H706" s="34"/>
      <c r="I706" s="30"/>
      <c r="J706" s="152">
        <v>0</v>
      </c>
    </row>
    <row r="707" spans="1:10" ht="15.75" hidden="1" thickBot="1" x14ac:dyDescent="0.3">
      <c r="A707" s="176"/>
      <c r="B707" s="174"/>
      <c r="C707" s="35" t="s">
        <v>2934</v>
      </c>
      <c r="D707" s="35" t="s">
        <v>773</v>
      </c>
      <c r="E707" s="36">
        <f>ROUND(0.5228/(1.5*0.6),4)</f>
        <v>0.58089999999999997</v>
      </c>
      <c r="F707" s="53">
        <v>38.826499999999996</v>
      </c>
      <c r="G707" s="53">
        <f>IF(ISNUMBER(F707),E707*F707,"")</f>
        <v>22.554313849999996</v>
      </c>
      <c r="H707" s="38">
        <f>SUM(G707:G713)</f>
        <v>155.11190929999998</v>
      </c>
      <c r="I707" s="39"/>
      <c r="J707" s="152">
        <v>0</v>
      </c>
    </row>
    <row r="708" spans="1:10" ht="39" hidden="1" thickBot="1" x14ac:dyDescent="0.3">
      <c r="A708" s="176"/>
      <c r="B708" s="174"/>
      <c r="C708" s="35" t="s">
        <v>991</v>
      </c>
      <c r="D708" s="35" t="s">
        <v>213</v>
      </c>
      <c r="E708" s="36">
        <f>ROUND(6/(1.5*0.6),4)</f>
        <v>6.6666999999999996</v>
      </c>
      <c r="F708" s="53">
        <v>1.1019999999999999</v>
      </c>
      <c r="G708" s="53">
        <f>IF(ISNUMBER(F708),E708*F708,"")</f>
        <v>7.3467033999999991</v>
      </c>
      <c r="H708" s="72"/>
      <c r="I708" s="73"/>
      <c r="J708" s="152">
        <v>0</v>
      </c>
    </row>
    <row r="709" spans="1:10" ht="26.25" hidden="1" thickBot="1" x14ac:dyDescent="0.3">
      <c r="A709" s="176"/>
      <c r="B709" s="174"/>
      <c r="C709" s="35" t="s">
        <v>188</v>
      </c>
      <c r="D709" s="35" t="s">
        <v>861</v>
      </c>
      <c r="E709" s="36">
        <f>ROUND(1.005/(1.5*0.6),4)</f>
        <v>1.1167</v>
      </c>
      <c r="F709" s="53" t="s">
        <v>416</v>
      </c>
      <c r="G709" s="53" t="str">
        <f>IF(ISNUMBER(F709),E709*F709,"")</f>
        <v/>
      </c>
      <c r="H709" s="72"/>
      <c r="I709" s="73"/>
      <c r="J709" s="152">
        <v>0</v>
      </c>
    </row>
    <row r="710" spans="1:10" ht="15.75" hidden="1" thickBot="1" x14ac:dyDescent="0.3">
      <c r="A710" s="176"/>
      <c r="B710" s="174"/>
      <c r="C710" s="35" t="s">
        <v>3061</v>
      </c>
      <c r="D710" s="35" t="s">
        <v>773</v>
      </c>
      <c r="E710" s="36">
        <f>ROUND(0.0211/(1.5*0.6),4)</f>
        <v>2.3400000000000001E-2</v>
      </c>
      <c r="F710" s="53">
        <v>72.836500000000001</v>
      </c>
      <c r="G710" s="53">
        <f>IF(ISNUMBER(F710),E710*F710,"")</f>
        <v>1.7043741000000001</v>
      </c>
      <c r="H710" s="72"/>
      <c r="I710" s="73"/>
      <c r="J710" s="152">
        <v>0</v>
      </c>
    </row>
    <row r="711" spans="1:10" ht="26.25" hidden="1" thickBot="1" x14ac:dyDescent="0.3">
      <c r="A711" s="176"/>
      <c r="B711" s="174"/>
      <c r="C711" s="35" t="s">
        <v>2941</v>
      </c>
      <c r="D711" s="35" t="s">
        <v>213</v>
      </c>
      <c r="E711" s="36">
        <f>ROUND(2/(1.5*0.6),4)</f>
        <v>2.2222</v>
      </c>
      <c r="F711" s="53">
        <v>25.4315</v>
      </c>
      <c r="G711" s="53">
        <f>IF(ISNUMBER(F711),E711*F711,"")</f>
        <v>56.513879299999999</v>
      </c>
      <c r="H711" s="72"/>
      <c r="I711" s="73"/>
      <c r="J711" s="152">
        <v>0</v>
      </c>
    </row>
    <row r="712" spans="1:10" ht="15.75" hidden="1" thickBot="1" x14ac:dyDescent="0.3">
      <c r="A712" s="176"/>
      <c r="B712" s="174"/>
      <c r="C712" s="35" t="s">
        <v>2906</v>
      </c>
      <c r="D712" s="35" t="s">
        <v>583</v>
      </c>
      <c r="E712" s="36">
        <f>ROUND(1.4944/(1.5*0.6),4)</f>
        <v>1.6604000000000001</v>
      </c>
      <c r="F712" s="53">
        <v>27.036999999999999</v>
      </c>
      <c r="G712" s="53">
        <f>IF(ISNUMBER(F712),E712*F712,"")</f>
        <v>44.892234800000004</v>
      </c>
      <c r="H712" s="72"/>
      <c r="I712" s="73"/>
      <c r="J712" s="152">
        <v>0</v>
      </c>
    </row>
    <row r="713" spans="1:10" ht="15.75" hidden="1" thickBot="1" x14ac:dyDescent="0.3">
      <c r="A713" s="176"/>
      <c r="B713" s="174"/>
      <c r="C713" s="35" t="s">
        <v>584</v>
      </c>
      <c r="D713" s="35" t="s">
        <v>583</v>
      </c>
      <c r="E713" s="36">
        <f>ROUND(0.9834/(1.5*0.6),4)</f>
        <v>1.0927</v>
      </c>
      <c r="F713" s="53">
        <v>20.225499999999997</v>
      </c>
      <c r="G713" s="53">
        <f>IF(ISNUMBER(F713),E713*F713,"")</f>
        <v>22.100403849999996</v>
      </c>
      <c r="H713" s="72"/>
      <c r="I713" s="73"/>
      <c r="J713" s="152">
        <v>0</v>
      </c>
    </row>
    <row r="714" spans="1:10" ht="15.75" hidden="1" thickBot="1" x14ac:dyDescent="0.3">
      <c r="A714" s="176"/>
      <c r="B714" s="174"/>
      <c r="C714" s="35"/>
      <c r="D714" s="35"/>
      <c r="E714" s="36"/>
      <c r="F714" s="30" t="s">
        <v>416</v>
      </c>
      <c r="G714" s="33" t="str">
        <f>IF(ISNUMBER(F714),E714*F714,"")</f>
        <v/>
      </c>
      <c r="H714" s="34"/>
      <c r="I714" s="30"/>
      <c r="J714" s="152">
        <v>0</v>
      </c>
    </row>
    <row r="715" spans="1:10" ht="15.75" hidden="1" thickBot="1" x14ac:dyDescent="0.3">
      <c r="A715" s="170" t="s">
        <v>189</v>
      </c>
      <c r="B715" s="173" t="str">
        <f>INDEX(Orçamentária!A:B,MATCH(Composições!A715,Orçamentária!A:A,0),2)</f>
        <v>Instalação de bancada de granito ou mármore reaproveitada</v>
      </c>
      <c r="C715" s="40"/>
      <c r="D715" s="25" t="s">
        <v>70</v>
      </c>
      <c r="E715" s="26"/>
      <c r="F715" s="41" t="s">
        <v>416</v>
      </c>
      <c r="G715" s="27" t="str">
        <f>IF(ISNUMBER(F715),E715*F715,"")</f>
        <v/>
      </c>
      <c r="H715" s="28"/>
      <c r="I715" s="29"/>
      <c r="J715" s="152">
        <v>0</v>
      </c>
    </row>
    <row r="716" spans="1:10" ht="15.75" hidden="1" thickBot="1" x14ac:dyDescent="0.3">
      <c r="A716" s="176"/>
      <c r="B716" s="174"/>
      <c r="C716" s="31"/>
      <c r="D716" s="31"/>
      <c r="E716" s="32"/>
      <c r="F716" s="42" t="s">
        <v>416</v>
      </c>
      <c r="G716" s="30" t="str">
        <f>IF(ISNUMBER(F716),E716*F716,"")</f>
        <v/>
      </c>
      <c r="H716" s="34"/>
      <c r="I716" s="30"/>
      <c r="J716" s="152">
        <v>0</v>
      </c>
    </row>
    <row r="717" spans="1:10" ht="15.75" hidden="1" thickBot="1" x14ac:dyDescent="0.3">
      <c r="A717" s="176"/>
      <c r="B717" s="174"/>
      <c r="C717" s="35" t="s">
        <v>2934</v>
      </c>
      <c r="D717" s="35" t="s">
        <v>773</v>
      </c>
      <c r="E717" s="36">
        <f>ROUND(0.5228/(1.5*0.6),4)</f>
        <v>0.58089999999999997</v>
      </c>
      <c r="F717" s="53">
        <v>38.826499999999996</v>
      </c>
      <c r="G717" s="53">
        <f>IF(ISNUMBER(F717),E717*F717,"")</f>
        <v>22.554313849999996</v>
      </c>
      <c r="H717" s="38">
        <f>SUM(G717:G722)</f>
        <v>155.11190929999998</v>
      </c>
      <c r="I717" s="39"/>
      <c r="J717" s="152">
        <v>0</v>
      </c>
    </row>
    <row r="718" spans="1:10" ht="39" hidden="1" thickBot="1" x14ac:dyDescent="0.3">
      <c r="A718" s="176"/>
      <c r="B718" s="174"/>
      <c r="C718" s="35" t="s">
        <v>991</v>
      </c>
      <c r="D718" s="35" t="s">
        <v>213</v>
      </c>
      <c r="E718" s="36">
        <f>ROUND(6/(1.5*0.6),4)</f>
        <v>6.6666999999999996</v>
      </c>
      <c r="F718" s="53">
        <v>1.1019999999999999</v>
      </c>
      <c r="G718" s="53">
        <f>IF(ISNUMBER(F718),E718*F718,"")</f>
        <v>7.3467033999999991</v>
      </c>
      <c r="H718" s="72"/>
      <c r="I718" s="73"/>
      <c r="J718" s="152">
        <v>0</v>
      </c>
    </row>
    <row r="719" spans="1:10" ht="15.75" hidden="1" thickBot="1" x14ac:dyDescent="0.3">
      <c r="A719" s="176"/>
      <c r="B719" s="174"/>
      <c r="C719" s="35" t="s">
        <v>3061</v>
      </c>
      <c r="D719" s="35" t="s">
        <v>773</v>
      </c>
      <c r="E719" s="36">
        <f>ROUND(0.0211/(1.5*0.6),4)</f>
        <v>2.3400000000000001E-2</v>
      </c>
      <c r="F719" s="53">
        <v>72.836500000000001</v>
      </c>
      <c r="G719" s="53">
        <f>IF(ISNUMBER(F719),E719*F719,"")</f>
        <v>1.7043741000000001</v>
      </c>
      <c r="H719" s="72"/>
      <c r="I719" s="73"/>
      <c r="J719" s="152">
        <v>0</v>
      </c>
    </row>
    <row r="720" spans="1:10" ht="26.25" hidden="1" thickBot="1" x14ac:dyDescent="0.3">
      <c r="A720" s="176"/>
      <c r="B720" s="174"/>
      <c r="C720" s="35" t="s">
        <v>2941</v>
      </c>
      <c r="D720" s="35" t="s">
        <v>213</v>
      </c>
      <c r="E720" s="36">
        <f>ROUND(2/(1.5*0.6),4)</f>
        <v>2.2222</v>
      </c>
      <c r="F720" s="53">
        <v>25.4315</v>
      </c>
      <c r="G720" s="53">
        <f>IF(ISNUMBER(F720),E720*F720,"")</f>
        <v>56.513879299999999</v>
      </c>
      <c r="H720" s="72"/>
      <c r="I720" s="73"/>
      <c r="J720" s="152">
        <v>0</v>
      </c>
    </row>
    <row r="721" spans="1:10" ht="15.75" hidden="1" thickBot="1" x14ac:dyDescent="0.3">
      <c r="A721" s="176"/>
      <c r="B721" s="174"/>
      <c r="C721" s="35" t="s">
        <v>2906</v>
      </c>
      <c r="D721" s="35" t="s">
        <v>583</v>
      </c>
      <c r="E721" s="36">
        <f>ROUND(1.4944/(1.5*0.6),4)</f>
        <v>1.6604000000000001</v>
      </c>
      <c r="F721" s="53">
        <v>27.036999999999999</v>
      </c>
      <c r="G721" s="53">
        <f>IF(ISNUMBER(F721),E721*F721,"")</f>
        <v>44.892234800000004</v>
      </c>
      <c r="H721" s="72"/>
      <c r="I721" s="73"/>
      <c r="J721" s="152">
        <v>0</v>
      </c>
    </row>
    <row r="722" spans="1:10" ht="15.75" hidden="1" thickBot="1" x14ac:dyDescent="0.3">
      <c r="A722" s="176"/>
      <c r="B722" s="174"/>
      <c r="C722" s="35" t="s">
        <v>584</v>
      </c>
      <c r="D722" s="35" t="s">
        <v>583</v>
      </c>
      <c r="E722" s="36">
        <f>ROUND(0.9834/(1.5*0.6),4)</f>
        <v>1.0927</v>
      </c>
      <c r="F722" s="53">
        <v>20.225499999999997</v>
      </c>
      <c r="G722" s="53">
        <f>IF(ISNUMBER(F722),E722*F722,"")</f>
        <v>22.100403849999996</v>
      </c>
      <c r="H722" s="72"/>
      <c r="I722" s="73"/>
      <c r="J722" s="152">
        <v>0</v>
      </c>
    </row>
    <row r="723" spans="1:10" ht="15.75" hidden="1" thickBot="1" x14ac:dyDescent="0.3">
      <c r="A723" s="177"/>
      <c r="B723" s="175"/>
      <c r="C723" s="35"/>
      <c r="D723" s="35"/>
      <c r="E723" s="36"/>
      <c r="F723" s="30" t="s">
        <v>416</v>
      </c>
      <c r="G723" s="30" t="str">
        <f>IF(ISNUMBER(F723),E723*F723,"")</f>
        <v/>
      </c>
      <c r="H723" s="34"/>
      <c r="I723" s="30"/>
      <c r="J723" s="152">
        <v>0</v>
      </c>
    </row>
    <row r="724" spans="1:10" ht="15.75" hidden="1" thickBot="1" x14ac:dyDescent="0.3">
      <c r="A724" s="170" t="s">
        <v>190</v>
      </c>
      <c r="B724" s="173" t="str">
        <f>INDEX(Orçamentária!A:B,MATCH(Composições!A724,Orçamentária!A:A,0),2)</f>
        <v>Instalação de rodapé/rodabanca reaproveitado(a), de mármore ou granito</v>
      </c>
      <c r="C724" s="40"/>
      <c r="D724" s="25" t="s">
        <v>70</v>
      </c>
      <c r="E724" s="26"/>
      <c r="F724" s="41" t="s">
        <v>416</v>
      </c>
      <c r="G724" s="27" t="str">
        <f>IF(ISNUMBER(F724),E724*F724,"")</f>
        <v/>
      </c>
      <c r="H724" s="28"/>
      <c r="I724" s="29"/>
      <c r="J724" s="152">
        <v>0</v>
      </c>
    </row>
    <row r="725" spans="1:10" ht="15.75" hidden="1" thickBot="1" x14ac:dyDescent="0.3">
      <c r="A725" s="176"/>
      <c r="B725" s="174"/>
      <c r="C725" s="31"/>
      <c r="D725" s="31"/>
      <c r="E725" s="32"/>
      <c r="F725" s="42" t="s">
        <v>416</v>
      </c>
      <c r="G725" s="30" t="str">
        <f>IF(ISNUMBER(F725),E725*F725,"")</f>
        <v/>
      </c>
      <c r="H725" s="34"/>
      <c r="I725" s="30"/>
      <c r="J725" s="152">
        <v>0</v>
      </c>
    </row>
    <row r="726" spans="1:10" ht="15.75" hidden="1" thickBot="1" x14ac:dyDescent="0.3">
      <c r="A726" s="176"/>
      <c r="B726" s="174"/>
      <c r="C726" s="35" t="s">
        <v>7987</v>
      </c>
      <c r="D726" s="35" t="s">
        <v>773</v>
      </c>
      <c r="E726" s="36">
        <f>0.8614</f>
        <v>0.86140000000000005</v>
      </c>
      <c r="F726" s="33">
        <v>1.8049999999999999</v>
      </c>
      <c r="G726" s="33">
        <f>IF(ISNUMBER(F726),E726*F726,"")</f>
        <v>1.554827</v>
      </c>
      <c r="H726" s="38">
        <f>SUM(G726:G729)</f>
        <v>13.087674999999997</v>
      </c>
      <c r="I726" s="39"/>
      <c r="J726" s="152">
        <v>0</v>
      </c>
    </row>
    <row r="727" spans="1:10" ht="15.75" hidden="1" thickBot="1" x14ac:dyDescent="0.3">
      <c r="A727" s="176"/>
      <c r="B727" s="174"/>
      <c r="C727" s="35" t="s">
        <v>2906</v>
      </c>
      <c r="D727" s="35" t="s">
        <v>583</v>
      </c>
      <c r="E727" s="36">
        <f>0.299</f>
        <v>0.29899999999999999</v>
      </c>
      <c r="F727" s="30">
        <v>27.036999999999999</v>
      </c>
      <c r="G727" s="33">
        <f>IF(ISNUMBER(F727),E727*F727,"")</f>
        <v>8.0840629999999987</v>
      </c>
      <c r="H727" s="34"/>
      <c r="I727" s="30"/>
      <c r="J727" s="152">
        <v>0</v>
      </c>
    </row>
    <row r="728" spans="1:10" ht="15.75" hidden="1" thickBot="1" x14ac:dyDescent="0.3">
      <c r="A728" s="176"/>
      <c r="B728" s="174"/>
      <c r="C728" s="35" t="s">
        <v>584</v>
      </c>
      <c r="D728" s="35" t="s">
        <v>583</v>
      </c>
      <c r="E728" s="36">
        <f>0.15</f>
        <v>0.15</v>
      </c>
      <c r="F728" s="30">
        <v>20.225499999999997</v>
      </c>
      <c r="G728" s="33">
        <f>IF(ISNUMBER(F728),E728*F728,"")</f>
        <v>3.0338249999999993</v>
      </c>
      <c r="H728" s="34"/>
      <c r="I728" s="30"/>
      <c r="J728" s="152">
        <v>0</v>
      </c>
    </row>
    <row r="729" spans="1:10" ht="15.75" hidden="1" thickBot="1" x14ac:dyDescent="0.3">
      <c r="A729" s="176"/>
      <c r="B729" s="174"/>
      <c r="C729" s="35" t="s">
        <v>8367</v>
      </c>
      <c r="D729" s="35" t="s">
        <v>773</v>
      </c>
      <c r="E729" s="36">
        <f>0.12</f>
        <v>0.12</v>
      </c>
      <c r="F729" s="33">
        <v>3.4579999999999997</v>
      </c>
      <c r="G729" s="33">
        <f>IF(ISNUMBER(F729),E729*F729,"")</f>
        <v>0.41495999999999994</v>
      </c>
      <c r="H729" s="34"/>
      <c r="I729" s="30"/>
      <c r="J729" s="152">
        <v>0</v>
      </c>
    </row>
    <row r="730" spans="1:10" ht="15.75" hidden="1" thickBot="1" x14ac:dyDescent="0.3">
      <c r="A730" s="177"/>
      <c r="B730" s="175"/>
      <c r="C730" s="35"/>
      <c r="D730" s="35"/>
      <c r="E730" s="36"/>
      <c r="F730" s="30" t="s">
        <v>416</v>
      </c>
      <c r="G730" s="30" t="str">
        <f>IF(ISNUMBER(F730),E730*F730,"")</f>
        <v/>
      </c>
      <c r="H730" s="34"/>
      <c r="I730" s="30"/>
      <c r="J730" s="152">
        <v>0</v>
      </c>
    </row>
    <row r="731" spans="1:10" ht="15.75" hidden="1" thickBot="1" x14ac:dyDescent="0.3">
      <c r="A731" s="170" t="s">
        <v>191</v>
      </c>
      <c r="B731" s="173" t="str">
        <f>INDEX(Orçamentária!A:B,MATCH(Composições!A731,Orçamentária!A:A,0),2)</f>
        <v>Instalação de soleira ou peitoril, de mármore ou granito, reaproveitados</v>
      </c>
      <c r="C731" s="40"/>
      <c r="D731" s="25" t="s">
        <v>70</v>
      </c>
      <c r="E731" s="26"/>
      <c r="F731" s="41" t="s">
        <v>416</v>
      </c>
      <c r="G731" s="27" t="str">
        <f>IF(ISNUMBER(F731),E731*F731,"")</f>
        <v/>
      </c>
      <c r="H731" s="28"/>
      <c r="I731" s="29"/>
      <c r="J731" s="152">
        <v>0</v>
      </c>
    </row>
    <row r="732" spans="1:10" ht="15.75" hidden="1" thickBot="1" x14ac:dyDescent="0.3">
      <c r="A732" s="176"/>
      <c r="B732" s="174"/>
      <c r="C732" s="31"/>
      <c r="D732" s="31"/>
      <c r="E732" s="32"/>
      <c r="F732" s="42" t="s">
        <v>416</v>
      </c>
      <c r="G732" s="30" t="str">
        <f>IF(ISNUMBER(F732),E732*F732,"")</f>
        <v/>
      </c>
      <c r="H732" s="34"/>
      <c r="I732" s="30"/>
      <c r="J732" s="152">
        <v>0</v>
      </c>
    </row>
    <row r="733" spans="1:10" ht="15.75" hidden="1" thickBot="1" x14ac:dyDescent="0.3">
      <c r="A733" s="176"/>
      <c r="B733" s="174"/>
      <c r="C733" s="35" t="s">
        <v>2906</v>
      </c>
      <c r="D733" s="35" t="s">
        <v>583</v>
      </c>
      <c r="E733" s="36">
        <v>1.1879999999999999</v>
      </c>
      <c r="F733" s="30">
        <v>27.036999999999999</v>
      </c>
      <c r="G733" s="33">
        <f>IF(ISNUMBER(F733),E733*F733,"")</f>
        <v>32.119955999999995</v>
      </c>
      <c r="H733" s="38">
        <f>SUM(G733:G735)</f>
        <v>59.69300299999999</v>
      </c>
      <c r="I733" s="39"/>
      <c r="J733" s="152">
        <v>0</v>
      </c>
    </row>
    <row r="734" spans="1:10" ht="15.75" hidden="1" thickBot="1" x14ac:dyDescent="0.3">
      <c r="A734" s="176"/>
      <c r="B734" s="174"/>
      <c r="C734" s="35" t="s">
        <v>584</v>
      </c>
      <c r="D734" s="35" t="s">
        <v>583</v>
      </c>
      <c r="E734" s="36">
        <v>0.59399999999999997</v>
      </c>
      <c r="F734" s="30">
        <v>20.225499999999997</v>
      </c>
      <c r="G734" s="33">
        <f>IF(ISNUMBER(F734),E734*F734,"")</f>
        <v>12.013946999999998</v>
      </c>
      <c r="H734" s="34"/>
      <c r="I734" s="30"/>
      <c r="J734" s="152">
        <v>0</v>
      </c>
    </row>
    <row r="735" spans="1:10" ht="15.75" hidden="1" thickBot="1" x14ac:dyDescent="0.3">
      <c r="A735" s="176"/>
      <c r="B735" s="174"/>
      <c r="C735" s="35" t="s">
        <v>7987</v>
      </c>
      <c r="D735" s="35" t="s">
        <v>773</v>
      </c>
      <c r="E735" s="36">
        <v>8.6199999999999992</v>
      </c>
      <c r="F735" s="33">
        <v>1.8049999999999999</v>
      </c>
      <c r="G735" s="33">
        <f>IF(ISNUMBER(F735),E735*F735,"")</f>
        <v>15.559099999999997</v>
      </c>
      <c r="H735" s="34"/>
      <c r="I735" s="30"/>
      <c r="J735" s="152">
        <v>0</v>
      </c>
    </row>
    <row r="736" spans="1:10" ht="15.75" hidden="1" thickBot="1" x14ac:dyDescent="0.3">
      <c r="A736" s="177"/>
      <c r="B736" s="175"/>
      <c r="C736" s="35"/>
      <c r="D736" s="35"/>
      <c r="E736" s="36"/>
      <c r="F736" s="30" t="s">
        <v>416</v>
      </c>
      <c r="G736" s="30" t="str">
        <f>IF(ISNUMBER(F736),E736*F736,"")</f>
        <v/>
      </c>
      <c r="H736" s="34"/>
      <c r="I736" s="30"/>
      <c r="J736" s="152">
        <v>0</v>
      </c>
    </row>
    <row r="737" spans="1:10" ht="15.75" hidden="1" thickBot="1" x14ac:dyDescent="0.3">
      <c r="A737" s="170" t="s">
        <v>192</v>
      </c>
      <c r="B737" s="173" t="str">
        <f>INDEX(Orçamentária!A:B,MATCH(Composições!A737,Orçamentária!A:A,0),2)</f>
        <v>Mármore Branco Especial 20 mm para rodabancada</v>
      </c>
      <c r="C737" s="40"/>
      <c r="D737" s="25" t="s">
        <v>70</v>
      </c>
      <c r="E737" s="26"/>
      <c r="F737" s="41" t="s">
        <v>416</v>
      </c>
      <c r="G737" s="27" t="str">
        <f>IF(ISNUMBER(F737),E737*F737,"")</f>
        <v/>
      </c>
      <c r="H737" s="28"/>
      <c r="I737" s="29"/>
      <c r="J737" s="152">
        <v>0</v>
      </c>
    </row>
    <row r="738" spans="1:10" ht="15.75" hidden="1" thickBot="1" x14ac:dyDescent="0.3">
      <c r="A738" s="176"/>
      <c r="B738" s="174"/>
      <c r="C738" s="31"/>
      <c r="D738" s="31"/>
      <c r="E738" s="32"/>
      <c r="F738" s="42" t="s">
        <v>416</v>
      </c>
      <c r="G738" s="30" t="str">
        <f>IF(ISNUMBER(F738),E738*F738,"")</f>
        <v/>
      </c>
      <c r="H738" s="34"/>
      <c r="I738" s="30"/>
      <c r="J738" s="152">
        <v>0</v>
      </c>
    </row>
    <row r="739" spans="1:10" ht="26.25" hidden="1" thickBot="1" x14ac:dyDescent="0.3">
      <c r="A739" s="176"/>
      <c r="B739" s="174"/>
      <c r="C739" s="35" t="s">
        <v>193</v>
      </c>
      <c r="D739" s="35" t="s">
        <v>69</v>
      </c>
      <c r="E739" s="36">
        <f>ROUND(1.04/0.15,4)</f>
        <v>6.9333</v>
      </c>
      <c r="F739" s="33" t="s">
        <v>416</v>
      </c>
      <c r="G739" s="33" t="str">
        <f>IF(ISNUMBER(F739),E739*F739,"")</f>
        <v/>
      </c>
      <c r="H739" s="38">
        <f>SUM(G739:G743)</f>
        <v>60.177122999999987</v>
      </c>
      <c r="I739" s="39"/>
      <c r="J739" s="152">
        <v>0</v>
      </c>
    </row>
    <row r="740" spans="1:10" ht="15.75" hidden="1" thickBot="1" x14ac:dyDescent="0.3">
      <c r="A740" s="176"/>
      <c r="B740" s="174"/>
      <c r="C740" s="35" t="s">
        <v>7987</v>
      </c>
      <c r="D740" s="35" t="s">
        <v>773</v>
      </c>
      <c r="E740" s="36">
        <v>8.6199999999999992</v>
      </c>
      <c r="F740" s="33">
        <v>1.8049999999999999</v>
      </c>
      <c r="G740" s="33">
        <f>IF(ISNUMBER(F740),E740*F740,"")</f>
        <v>15.559099999999997</v>
      </c>
      <c r="H740" s="34"/>
      <c r="I740" s="30"/>
      <c r="J740" s="152">
        <v>0</v>
      </c>
    </row>
    <row r="741" spans="1:10" ht="15.75" hidden="1" thickBot="1" x14ac:dyDescent="0.3">
      <c r="A741" s="176"/>
      <c r="B741" s="174"/>
      <c r="C741" s="35" t="s">
        <v>2906</v>
      </c>
      <c r="D741" s="35" t="s">
        <v>583</v>
      </c>
      <c r="E741" s="36">
        <v>1.1879999999999999</v>
      </c>
      <c r="F741" s="30">
        <v>27.036999999999999</v>
      </c>
      <c r="G741" s="33">
        <f>IF(ISNUMBER(F741),E741*F741,"")</f>
        <v>32.119955999999995</v>
      </c>
      <c r="H741" s="34"/>
      <c r="I741" s="30"/>
      <c r="J741" s="152">
        <v>0</v>
      </c>
    </row>
    <row r="742" spans="1:10" ht="15.75" hidden="1" thickBot="1" x14ac:dyDescent="0.3">
      <c r="A742" s="176"/>
      <c r="B742" s="174"/>
      <c r="C742" s="35" t="s">
        <v>584</v>
      </c>
      <c r="D742" s="35" t="s">
        <v>583</v>
      </c>
      <c r="E742" s="36">
        <v>0.59399999999999997</v>
      </c>
      <c r="F742" s="30">
        <v>20.225499999999997</v>
      </c>
      <c r="G742" s="33">
        <f>IF(ISNUMBER(F742),E742*F742,"")</f>
        <v>12.013946999999998</v>
      </c>
      <c r="H742" s="34"/>
      <c r="I742" s="30"/>
      <c r="J742" s="152">
        <v>0</v>
      </c>
    </row>
    <row r="743" spans="1:10" ht="15.75" hidden="1" thickBot="1" x14ac:dyDescent="0.3">
      <c r="A743" s="176"/>
      <c r="B743" s="174"/>
      <c r="C743" s="35" t="s">
        <v>8367</v>
      </c>
      <c r="D743" s="35" t="s">
        <v>773</v>
      </c>
      <c r="E743" s="36">
        <v>0.14000000000000001</v>
      </c>
      <c r="F743" s="33">
        <v>3.4579999999999997</v>
      </c>
      <c r="G743" s="33">
        <f>IF(ISNUMBER(F743),E743*F743,"")</f>
        <v>0.48411999999999999</v>
      </c>
      <c r="H743" s="34"/>
      <c r="I743" s="30"/>
      <c r="J743" s="152">
        <v>0</v>
      </c>
    </row>
    <row r="744" spans="1:10" ht="15.75" hidden="1" thickBot="1" x14ac:dyDescent="0.3">
      <c r="A744" s="176"/>
      <c r="B744" s="174"/>
      <c r="C744" s="35"/>
      <c r="D744" s="35"/>
      <c r="E744" s="36"/>
      <c r="F744" s="33" t="s">
        <v>416</v>
      </c>
      <c r="G744" s="33" t="str">
        <f>IF(ISNUMBER(F744),E744*F744,"")</f>
        <v/>
      </c>
      <c r="H744" s="34"/>
      <c r="I744" s="30"/>
      <c r="J744" s="152">
        <v>0</v>
      </c>
    </row>
    <row r="745" spans="1:10" ht="15.75" hidden="1" thickBot="1" x14ac:dyDescent="0.3">
      <c r="A745" s="170" t="s">
        <v>194</v>
      </c>
      <c r="B745" s="173" t="str">
        <f>INDEX(Orçamentária!A:B,MATCH(Composições!A745,Orçamentária!A:A,0),2)</f>
        <v>Instalação de divisória e porta de divisória com dobradiça reaproveitadas</v>
      </c>
      <c r="C745" s="40"/>
      <c r="D745" s="25" t="s">
        <v>70</v>
      </c>
      <c r="E745" s="26"/>
      <c r="F745" s="41" t="s">
        <v>416</v>
      </c>
      <c r="G745" s="27" t="str">
        <f>IF(ISNUMBER(F745),E745*F745,"")</f>
        <v/>
      </c>
      <c r="H745" s="28"/>
      <c r="I745" s="29"/>
      <c r="J745" s="152">
        <v>0</v>
      </c>
    </row>
    <row r="746" spans="1:10" ht="15.75" hidden="1" thickBot="1" x14ac:dyDescent="0.3">
      <c r="A746" s="176"/>
      <c r="B746" s="174"/>
      <c r="C746" s="31"/>
      <c r="D746" s="31"/>
      <c r="E746" s="32"/>
      <c r="F746" s="42" t="s">
        <v>416</v>
      </c>
      <c r="G746" s="30" t="str">
        <f>IF(ISNUMBER(F746),E746*F746,"")</f>
        <v/>
      </c>
      <c r="H746" s="34"/>
      <c r="I746" s="30"/>
      <c r="J746" s="152">
        <v>0</v>
      </c>
    </row>
    <row r="747" spans="1:10" ht="26.25" hidden="1" thickBot="1" x14ac:dyDescent="0.3">
      <c r="A747" s="176"/>
      <c r="B747" s="174"/>
      <c r="C747" s="35" t="s">
        <v>195</v>
      </c>
      <c r="D747" s="46" t="s">
        <v>70</v>
      </c>
      <c r="E747" s="36">
        <v>1</v>
      </c>
      <c r="F747" s="30">
        <v>0</v>
      </c>
      <c r="G747" s="33">
        <f>IF(ISNUMBER(F747),E747*F747,"")</f>
        <v>0</v>
      </c>
      <c r="H747" s="38">
        <f>SUM(G747:G747)</f>
        <v>0</v>
      </c>
      <c r="I747" s="39"/>
      <c r="J747" s="152">
        <v>0</v>
      </c>
    </row>
    <row r="748" spans="1:10" ht="15.75" hidden="1" thickBot="1" x14ac:dyDescent="0.3">
      <c r="A748" s="177"/>
      <c r="B748" s="175"/>
      <c r="C748" s="35"/>
      <c r="D748" s="35"/>
      <c r="E748" s="36"/>
      <c r="F748" s="30" t="s">
        <v>416</v>
      </c>
      <c r="G748" s="30" t="str">
        <f>IF(ISNUMBER(F748),E748*F748,"")</f>
        <v/>
      </c>
      <c r="H748" s="34"/>
      <c r="I748" s="30"/>
      <c r="J748" s="152">
        <v>0</v>
      </c>
    </row>
    <row r="749" spans="1:10" ht="15.75" hidden="1" thickBot="1" x14ac:dyDescent="0.3">
      <c r="A749" s="170" t="s">
        <v>196</v>
      </c>
      <c r="B749" s="173" t="str">
        <f>INDEX(Orçamentária!A:B,MATCH(Composições!A749,Orçamentária!A:A,0),2)</f>
        <v>Alçapão em forro de gesso acartonado</v>
      </c>
      <c r="C749" s="40"/>
      <c r="D749" s="25" t="s">
        <v>70</v>
      </c>
      <c r="E749" s="26"/>
      <c r="F749" s="41" t="s">
        <v>416</v>
      </c>
      <c r="G749" s="27" t="str">
        <f>IF(ISNUMBER(F749),E749*F749,"")</f>
        <v/>
      </c>
      <c r="H749" s="28"/>
      <c r="I749" s="29"/>
      <c r="J749" s="152">
        <v>0</v>
      </c>
    </row>
    <row r="750" spans="1:10" ht="15.75" hidden="1" thickBot="1" x14ac:dyDescent="0.3">
      <c r="A750" s="176"/>
      <c r="B750" s="174"/>
      <c r="C750" s="31"/>
      <c r="D750" s="31"/>
      <c r="E750" s="32"/>
      <c r="F750" s="42" t="s">
        <v>416</v>
      </c>
      <c r="G750" s="30" t="str">
        <f>IF(ISNUMBER(F750),E750*F750,"")</f>
        <v/>
      </c>
      <c r="H750" s="34"/>
      <c r="I750" s="30"/>
      <c r="J750" s="152">
        <v>0</v>
      </c>
    </row>
    <row r="751" spans="1:10" ht="26.25" hidden="1" thickBot="1" x14ac:dyDescent="0.3">
      <c r="A751" s="176"/>
      <c r="B751" s="174"/>
      <c r="C751" s="35" t="s">
        <v>8318</v>
      </c>
      <c r="D751" s="35" t="s">
        <v>385</v>
      </c>
      <c r="E751" s="36">
        <f>2*(1.5+0.67)</f>
        <v>4.34</v>
      </c>
      <c r="F751" s="33">
        <v>4.7404999999999999</v>
      </c>
      <c r="G751" s="33">
        <f>IF(ISNUMBER(F751),E751*F751,"")</f>
        <v>20.57377</v>
      </c>
      <c r="H751" s="38">
        <f>SUM(G751:G754)</f>
        <v>67.769769999999994</v>
      </c>
      <c r="I751" s="39"/>
      <c r="J751" s="152">
        <v>0</v>
      </c>
    </row>
    <row r="752" spans="1:10" ht="15.75" hidden="1" thickBot="1" x14ac:dyDescent="0.3">
      <c r="A752" s="176"/>
      <c r="B752" s="174"/>
      <c r="C752" s="35" t="s">
        <v>197</v>
      </c>
      <c r="D752" s="46" t="s">
        <v>70</v>
      </c>
      <c r="E752" s="36">
        <f>0.36/0.6/0.6</f>
        <v>1</v>
      </c>
      <c r="F752" s="33" t="s">
        <v>416</v>
      </c>
      <c r="G752" s="33" t="str">
        <f>IF(ISNUMBER(F752),E752*F752,"")</f>
        <v/>
      </c>
      <c r="H752" s="34"/>
      <c r="I752" s="30"/>
      <c r="J752" s="152">
        <v>0</v>
      </c>
    </row>
    <row r="753" spans="1:10" ht="15.75" hidden="1" thickBot="1" x14ac:dyDescent="0.3">
      <c r="A753" s="176"/>
      <c r="B753" s="174"/>
      <c r="C753" s="35" t="s">
        <v>1103</v>
      </c>
      <c r="D753" s="35" t="s">
        <v>583</v>
      </c>
      <c r="E753" s="36">
        <v>1</v>
      </c>
      <c r="F753" s="30">
        <v>26.970499999999998</v>
      </c>
      <c r="G753" s="33">
        <f>IF(ISNUMBER(F753),E753*F753,"")</f>
        <v>26.970499999999998</v>
      </c>
      <c r="H753" s="34"/>
      <c r="I753" s="30"/>
      <c r="J753" s="152">
        <v>0</v>
      </c>
    </row>
    <row r="754" spans="1:10" ht="15.75" hidden="1" thickBot="1" x14ac:dyDescent="0.3">
      <c r="A754" s="176"/>
      <c r="B754" s="174"/>
      <c r="C754" s="35" t="s">
        <v>584</v>
      </c>
      <c r="D754" s="35" t="s">
        <v>583</v>
      </c>
      <c r="E754" s="36">
        <v>1</v>
      </c>
      <c r="F754" s="30">
        <v>20.225499999999997</v>
      </c>
      <c r="G754" s="33">
        <f>IF(ISNUMBER(F754),E754*F754,"")</f>
        <v>20.225499999999997</v>
      </c>
      <c r="H754" s="34"/>
      <c r="I754" s="30"/>
      <c r="J754" s="152">
        <v>0</v>
      </c>
    </row>
    <row r="755" spans="1:10" ht="15.75" hidden="1" thickBot="1" x14ac:dyDescent="0.3">
      <c r="A755" s="177"/>
      <c r="B755" s="175"/>
      <c r="C755" s="35"/>
      <c r="D755" s="35"/>
      <c r="E755" s="36"/>
      <c r="F755" s="30" t="s">
        <v>416</v>
      </c>
      <c r="G755" s="30" t="str">
        <f>IF(ISNUMBER(F755),E755*F755,"")</f>
        <v/>
      </c>
      <c r="H755" s="34"/>
      <c r="I755" s="30"/>
      <c r="J755" s="152">
        <v>0</v>
      </c>
    </row>
    <row r="756" spans="1:10" ht="15.75" hidden="1" thickBot="1" x14ac:dyDescent="0.3">
      <c r="A756" s="170" t="s">
        <v>198</v>
      </c>
      <c r="B756" s="173" t="str">
        <f>INDEX(Orçamentária!A:B,MATCH(Composições!A756,Orçamentária!A:A,0),2)</f>
        <v>Forro de PVC em réguas de 100 x 6000 mm</v>
      </c>
      <c r="C756" s="40"/>
      <c r="D756" s="25" t="s">
        <v>70</v>
      </c>
      <c r="E756" s="26"/>
      <c r="F756" s="41" t="s">
        <v>416</v>
      </c>
      <c r="G756" s="27" t="str">
        <f>IF(ISNUMBER(F756),E756*F756,"")</f>
        <v/>
      </c>
      <c r="H756" s="28"/>
      <c r="I756" s="29"/>
      <c r="J756" s="152">
        <v>0</v>
      </c>
    </row>
    <row r="757" spans="1:10" ht="15.75" hidden="1" thickBot="1" x14ac:dyDescent="0.3">
      <c r="A757" s="176"/>
      <c r="B757" s="174"/>
      <c r="C757" s="31"/>
      <c r="D757" s="31"/>
      <c r="E757" s="32"/>
      <c r="F757" s="42" t="s">
        <v>416</v>
      </c>
      <c r="G757" s="30" t="str">
        <f>IF(ISNUMBER(F757),E757*F757,"")</f>
        <v/>
      </c>
      <c r="H757" s="34"/>
      <c r="I757" s="30"/>
      <c r="J757" s="152">
        <v>0</v>
      </c>
    </row>
    <row r="758" spans="1:10" ht="26.25" hidden="1" thickBot="1" x14ac:dyDescent="0.3">
      <c r="A758" s="176"/>
      <c r="B758" s="174"/>
      <c r="C758" s="35" t="s">
        <v>199</v>
      </c>
      <c r="D758" s="35" t="s">
        <v>773</v>
      </c>
      <c r="E758" s="36">
        <v>4.2599999999999999E-2</v>
      </c>
      <c r="F758" s="33">
        <v>24.4435</v>
      </c>
      <c r="G758" s="30">
        <f>IF(ISNUMBER(F758),E758*F758,"")</f>
        <v>1.0412931000000001</v>
      </c>
      <c r="H758" s="38">
        <f>SUM(G758:G765)</f>
        <v>63.404395549999997</v>
      </c>
      <c r="I758" s="39"/>
      <c r="J758" s="152">
        <v>0</v>
      </c>
    </row>
    <row r="759" spans="1:10" ht="39" hidden="1" thickBot="1" x14ac:dyDescent="0.3">
      <c r="A759" s="176"/>
      <c r="B759" s="174"/>
      <c r="C759" s="35" t="s">
        <v>8172</v>
      </c>
      <c r="D759" s="35" t="s">
        <v>861</v>
      </c>
      <c r="E759" s="36">
        <v>1.0955999999999999</v>
      </c>
      <c r="F759" s="33">
        <v>22.799999999999997</v>
      </c>
      <c r="G759" s="30">
        <f>IF(ISNUMBER(F759),E759*F759,"")</f>
        <v>24.979679999999995</v>
      </c>
      <c r="H759" s="34"/>
      <c r="I759" s="30"/>
      <c r="J759" s="152">
        <v>0</v>
      </c>
    </row>
    <row r="760" spans="1:10" ht="39" hidden="1" thickBot="1" x14ac:dyDescent="0.3">
      <c r="A760" s="176"/>
      <c r="B760" s="174"/>
      <c r="C760" s="35" t="s">
        <v>8314</v>
      </c>
      <c r="D760" s="35" t="s">
        <v>385</v>
      </c>
      <c r="E760" s="36">
        <v>3.8498999999999999</v>
      </c>
      <c r="F760" s="33">
        <v>5.6429999999999998</v>
      </c>
      <c r="G760" s="30">
        <f>IF(ISNUMBER(F760),E760*F760,"")</f>
        <v>21.724985699999998</v>
      </c>
      <c r="H760" s="34"/>
      <c r="I760" s="30"/>
      <c r="J760" s="152">
        <v>0</v>
      </c>
    </row>
    <row r="761" spans="1:10" ht="39" hidden="1" thickBot="1" x14ac:dyDescent="0.3">
      <c r="A761" s="176"/>
      <c r="B761" s="174"/>
      <c r="C761" s="35" t="s">
        <v>8313</v>
      </c>
      <c r="D761" s="35" t="s">
        <v>213</v>
      </c>
      <c r="E761" s="36">
        <v>1.3265</v>
      </c>
      <c r="F761" s="33">
        <v>2.1280000000000001</v>
      </c>
      <c r="G761" s="30">
        <f>IF(ISNUMBER(F761),E761*F761,"")</f>
        <v>2.8227920000000002</v>
      </c>
      <c r="H761" s="34"/>
      <c r="I761" s="30"/>
      <c r="J761" s="152">
        <v>0</v>
      </c>
    </row>
    <row r="762" spans="1:10" ht="26.25" hidden="1" thickBot="1" x14ac:dyDescent="0.3">
      <c r="A762" s="176"/>
      <c r="B762" s="174"/>
      <c r="C762" s="35" t="s">
        <v>8306</v>
      </c>
      <c r="D762" s="35" t="s">
        <v>213</v>
      </c>
      <c r="E762" s="36">
        <v>2.1911999999999998</v>
      </c>
      <c r="F762" s="33">
        <v>0.247</v>
      </c>
      <c r="G762" s="30">
        <f>IF(ISNUMBER(F762),E762*F762,"")</f>
        <v>0.5412264</v>
      </c>
      <c r="H762" s="34"/>
      <c r="I762" s="30"/>
      <c r="J762" s="152">
        <v>0</v>
      </c>
    </row>
    <row r="763" spans="1:10" ht="26.25" hidden="1" thickBot="1" x14ac:dyDescent="0.3">
      <c r="A763" s="176"/>
      <c r="B763" s="174"/>
      <c r="C763" s="35" t="s">
        <v>200</v>
      </c>
      <c r="D763" s="35" t="s">
        <v>1102</v>
      </c>
      <c r="E763" s="36">
        <v>1.32E-2</v>
      </c>
      <c r="F763" s="33">
        <v>27.701999999999998</v>
      </c>
      <c r="G763" s="30">
        <f>IF(ISNUMBER(F763),E763*F763,"")</f>
        <v>0.36566639999999995</v>
      </c>
      <c r="H763" s="34"/>
      <c r="I763" s="30"/>
      <c r="J763" s="152">
        <v>0</v>
      </c>
    </row>
    <row r="764" spans="1:10" ht="26.25" hidden="1" thickBot="1" x14ac:dyDescent="0.3">
      <c r="A764" s="176"/>
      <c r="B764" s="174"/>
      <c r="C764" s="35" t="s">
        <v>201</v>
      </c>
      <c r="D764" s="35" t="s">
        <v>1102</v>
      </c>
      <c r="E764" s="36">
        <v>3.3300000000000003E-2</v>
      </c>
      <c r="F764" s="33">
        <v>47.490499999999997</v>
      </c>
      <c r="G764" s="30">
        <f>IF(ISNUMBER(F764),E764*F764,"")</f>
        <v>1.5814336500000001</v>
      </c>
      <c r="H764" s="34"/>
      <c r="I764" s="30"/>
      <c r="J764" s="152">
        <v>0</v>
      </c>
    </row>
    <row r="765" spans="1:10" ht="26.25" hidden="1" thickBot="1" x14ac:dyDescent="0.3">
      <c r="A765" s="176"/>
      <c r="B765" s="174"/>
      <c r="C765" s="35" t="s">
        <v>854</v>
      </c>
      <c r="D765" s="35" t="s">
        <v>583</v>
      </c>
      <c r="E765" s="36">
        <v>0.49940000000000001</v>
      </c>
      <c r="F765" s="30">
        <v>20.719499999999996</v>
      </c>
      <c r="G765" s="30">
        <f>IF(ISNUMBER(F765),E765*F765,"")</f>
        <v>10.347318299999998</v>
      </c>
      <c r="H765" s="34"/>
      <c r="I765" s="30"/>
      <c r="J765" s="152">
        <v>0</v>
      </c>
    </row>
    <row r="766" spans="1:10" ht="15.75" hidden="1" thickBot="1" x14ac:dyDescent="0.3">
      <c r="A766" s="177"/>
      <c r="B766" s="175"/>
      <c r="C766" s="35"/>
      <c r="D766" s="35"/>
      <c r="E766" s="36"/>
      <c r="F766" s="30" t="s">
        <v>416</v>
      </c>
      <c r="G766" s="30" t="str">
        <f>IF(ISNUMBER(F766),E766*F766,"")</f>
        <v/>
      </c>
      <c r="H766" s="34"/>
      <c r="I766" s="30"/>
      <c r="J766" s="152">
        <v>0</v>
      </c>
    </row>
    <row r="767" spans="1:10" ht="15.75" hidden="1" thickBot="1" x14ac:dyDescent="0.3">
      <c r="A767" s="170" t="s">
        <v>202</v>
      </c>
      <c r="B767" s="173" t="str">
        <f>INDEX(Orçamentária!A:B,MATCH(Composições!A767,Orçamentária!A:A,0),2)</f>
        <v>Forro de PVC em réguas de 100 x 6000 mm, sem estrutura</v>
      </c>
      <c r="C767" s="40"/>
      <c r="D767" s="25" t="s">
        <v>70</v>
      </c>
      <c r="E767" s="26"/>
      <c r="F767" s="41" t="s">
        <v>416</v>
      </c>
      <c r="G767" s="27" t="str">
        <f>IF(ISNUMBER(F767),E767*F767,"")</f>
        <v/>
      </c>
      <c r="H767" s="28"/>
      <c r="I767" s="29"/>
      <c r="J767" s="152">
        <v>0</v>
      </c>
    </row>
    <row r="768" spans="1:10" ht="15.75" hidden="1" thickBot="1" x14ac:dyDescent="0.3">
      <c r="A768" s="176"/>
      <c r="B768" s="174"/>
      <c r="C768" s="31"/>
      <c r="D768" s="31"/>
      <c r="E768" s="32"/>
      <c r="F768" s="42" t="s">
        <v>416</v>
      </c>
      <c r="G768" s="30" t="str">
        <f>IF(ISNUMBER(F768),E768*F768,"")</f>
        <v/>
      </c>
      <c r="H768" s="34"/>
      <c r="I768" s="30"/>
      <c r="J768" s="152">
        <v>0</v>
      </c>
    </row>
    <row r="769" spans="1:10" ht="39" hidden="1" thickBot="1" x14ac:dyDescent="0.3">
      <c r="A769" s="176"/>
      <c r="B769" s="174"/>
      <c r="C769" s="35" t="s">
        <v>8172</v>
      </c>
      <c r="D769" s="35" t="s">
        <v>861</v>
      </c>
      <c r="E769" s="36">
        <v>1.0955999999999999</v>
      </c>
      <c r="F769" s="33">
        <v>22.799999999999997</v>
      </c>
      <c r="G769" s="30">
        <f>IF(ISNUMBER(F769),E769*F769,"")</f>
        <v>24.979679999999995</v>
      </c>
      <c r="H769" s="38">
        <f>SUM(G769:G771)</f>
        <v>28.624687499999993</v>
      </c>
      <c r="I769" s="39"/>
      <c r="J769" s="152">
        <v>0</v>
      </c>
    </row>
    <row r="770" spans="1:10" ht="26.25" hidden="1" thickBot="1" x14ac:dyDescent="0.3">
      <c r="A770" s="176"/>
      <c r="B770" s="174"/>
      <c r="C770" s="35" t="s">
        <v>8306</v>
      </c>
      <c r="D770" s="35" t="s">
        <v>213</v>
      </c>
      <c r="E770" s="36">
        <v>2.1911999999999998</v>
      </c>
      <c r="F770" s="33">
        <v>0.247</v>
      </c>
      <c r="G770" s="33">
        <f>IF(ISNUMBER(F770),E770*F770,"")</f>
        <v>0.5412264</v>
      </c>
      <c r="H770" s="43"/>
      <c r="I770" s="39"/>
      <c r="J770" s="152">
        <v>0</v>
      </c>
    </row>
    <row r="771" spans="1:10" ht="26.25" hidden="1" thickBot="1" x14ac:dyDescent="0.3">
      <c r="A771" s="176"/>
      <c r="B771" s="174"/>
      <c r="C771" s="35" t="s">
        <v>854</v>
      </c>
      <c r="D771" s="35" t="s">
        <v>583</v>
      </c>
      <c r="E771" s="36">
        <f>ROUND(0.4994*0.3,4)</f>
        <v>0.14979999999999999</v>
      </c>
      <c r="F771" s="30">
        <v>20.719499999999996</v>
      </c>
      <c r="G771" s="33">
        <f>IF(ISNUMBER(F771),E771*F771,"")</f>
        <v>3.1037810999999991</v>
      </c>
      <c r="H771" s="34"/>
      <c r="I771" s="30"/>
      <c r="J771" s="152">
        <v>0</v>
      </c>
    </row>
    <row r="772" spans="1:10" ht="15.75" hidden="1" thickBot="1" x14ac:dyDescent="0.3">
      <c r="A772" s="177"/>
      <c r="B772" s="175"/>
      <c r="C772" s="35"/>
      <c r="D772" s="35"/>
      <c r="E772" s="36"/>
      <c r="F772" s="30" t="s">
        <v>416</v>
      </c>
      <c r="G772" s="30" t="str">
        <f>IF(ISNUMBER(F772),E772*F772,"")</f>
        <v/>
      </c>
      <c r="H772" s="34"/>
      <c r="I772" s="30"/>
      <c r="J772" s="152">
        <v>0</v>
      </c>
    </row>
    <row r="773" spans="1:10" ht="15.75" hidden="1" thickBot="1" x14ac:dyDescent="0.3">
      <c r="A773" s="170" t="s">
        <v>203</v>
      </c>
      <c r="B773" s="173" t="str">
        <f>INDEX(Orçamentária!A:B,MATCH(Composições!A773,Orçamentária!A:A,0),2)</f>
        <v>Forro de PVC modular em placas</v>
      </c>
      <c r="C773" s="40"/>
      <c r="D773" s="25" t="s">
        <v>70</v>
      </c>
      <c r="E773" s="26"/>
      <c r="F773" s="41" t="s">
        <v>416</v>
      </c>
      <c r="G773" s="27" t="str">
        <f>IF(ISNUMBER(F773),E773*F773,"")</f>
        <v/>
      </c>
      <c r="H773" s="28"/>
      <c r="I773" s="29"/>
      <c r="J773" s="152">
        <v>0</v>
      </c>
    </row>
    <row r="774" spans="1:10" ht="15.75" hidden="1" thickBot="1" x14ac:dyDescent="0.3">
      <c r="A774" s="171"/>
      <c r="B774" s="174"/>
      <c r="C774" s="31"/>
      <c r="D774" s="31"/>
      <c r="E774" s="32"/>
      <c r="F774" s="42" t="s">
        <v>416</v>
      </c>
      <c r="G774" s="30" t="str">
        <f>IF(ISNUMBER(F774),E774*F774,"")</f>
        <v/>
      </c>
      <c r="H774" s="34"/>
      <c r="I774" s="30"/>
      <c r="J774" s="152">
        <v>0</v>
      </c>
    </row>
    <row r="775" spans="1:10" ht="26.25" hidden="1" thickBot="1" x14ac:dyDescent="0.3">
      <c r="A775" s="171"/>
      <c r="B775" s="174"/>
      <c r="C775" s="35" t="s">
        <v>199</v>
      </c>
      <c r="D775" s="35" t="s">
        <v>773</v>
      </c>
      <c r="E775" s="36">
        <v>4.2599999999999999E-2</v>
      </c>
      <c r="F775" s="33">
        <v>24.4435</v>
      </c>
      <c r="G775" s="30">
        <f>IF(ISNUMBER(F775),E775*F775,"")</f>
        <v>1.0412931000000001</v>
      </c>
      <c r="H775" s="38">
        <f>SUM(G775:G782)</f>
        <v>38.424715549999995</v>
      </c>
      <c r="I775" s="39"/>
      <c r="J775" s="152">
        <v>0</v>
      </c>
    </row>
    <row r="776" spans="1:10" ht="15.75" hidden="1" thickBot="1" x14ac:dyDescent="0.3">
      <c r="A776" s="171"/>
      <c r="B776" s="174"/>
      <c r="C776" s="35" t="s">
        <v>204</v>
      </c>
      <c r="D776" s="46" t="s">
        <v>70</v>
      </c>
      <c r="E776" s="36">
        <v>1.0955999999999999</v>
      </c>
      <c r="F776" s="33" t="s">
        <v>416</v>
      </c>
      <c r="G776" s="30" t="str">
        <f>IF(ISNUMBER(F776),E776*F776,"")</f>
        <v/>
      </c>
      <c r="H776" s="34"/>
      <c r="I776" s="30"/>
      <c r="J776" s="152">
        <v>0</v>
      </c>
    </row>
    <row r="777" spans="1:10" ht="39" hidden="1" thickBot="1" x14ac:dyDescent="0.3">
      <c r="A777" s="171"/>
      <c r="B777" s="174"/>
      <c r="C777" s="35" t="s">
        <v>8314</v>
      </c>
      <c r="D777" s="35" t="s">
        <v>385</v>
      </c>
      <c r="E777" s="36">
        <v>3.8498999999999999</v>
      </c>
      <c r="F777" s="33">
        <v>5.6429999999999998</v>
      </c>
      <c r="G777" s="30">
        <f>IF(ISNUMBER(F777),E777*F777,"")</f>
        <v>21.724985699999998</v>
      </c>
      <c r="H777" s="34"/>
      <c r="I777" s="30"/>
      <c r="J777" s="152">
        <v>0</v>
      </c>
    </row>
    <row r="778" spans="1:10" ht="39" hidden="1" thickBot="1" x14ac:dyDescent="0.3">
      <c r="A778" s="171"/>
      <c r="B778" s="174"/>
      <c r="C778" s="35" t="s">
        <v>8313</v>
      </c>
      <c r="D778" s="35" t="s">
        <v>213</v>
      </c>
      <c r="E778" s="36">
        <v>1.3265</v>
      </c>
      <c r="F778" s="33">
        <v>2.1280000000000001</v>
      </c>
      <c r="G778" s="30">
        <f>IF(ISNUMBER(F778),E778*F778,"")</f>
        <v>2.8227920000000002</v>
      </c>
      <c r="H778" s="34"/>
      <c r="I778" s="30"/>
      <c r="J778" s="152">
        <v>0</v>
      </c>
    </row>
    <row r="779" spans="1:10" ht="26.25" hidden="1" thickBot="1" x14ac:dyDescent="0.3">
      <c r="A779" s="171"/>
      <c r="B779" s="174"/>
      <c r="C779" s="35" t="s">
        <v>8306</v>
      </c>
      <c r="D779" s="35" t="s">
        <v>213</v>
      </c>
      <c r="E779" s="36">
        <v>2.1911999999999998</v>
      </c>
      <c r="F779" s="33">
        <v>0.247</v>
      </c>
      <c r="G779" s="30">
        <f>IF(ISNUMBER(F779),E779*F779,"")</f>
        <v>0.5412264</v>
      </c>
      <c r="H779" s="34"/>
      <c r="I779" s="30"/>
      <c r="J779" s="152">
        <v>0</v>
      </c>
    </row>
    <row r="780" spans="1:10" ht="26.25" hidden="1" thickBot="1" x14ac:dyDescent="0.3">
      <c r="A780" s="171"/>
      <c r="B780" s="174"/>
      <c r="C780" s="35" t="s">
        <v>200</v>
      </c>
      <c r="D780" s="35" t="s">
        <v>1102</v>
      </c>
      <c r="E780" s="36">
        <v>1.32E-2</v>
      </c>
      <c r="F780" s="33">
        <v>27.701999999999998</v>
      </c>
      <c r="G780" s="30">
        <f>IF(ISNUMBER(F780),E780*F780,"")</f>
        <v>0.36566639999999995</v>
      </c>
      <c r="H780" s="34"/>
      <c r="I780" s="30"/>
      <c r="J780" s="152">
        <v>0</v>
      </c>
    </row>
    <row r="781" spans="1:10" ht="26.25" hidden="1" thickBot="1" x14ac:dyDescent="0.3">
      <c r="A781" s="171"/>
      <c r="B781" s="174"/>
      <c r="C781" s="35" t="s">
        <v>201</v>
      </c>
      <c r="D781" s="35" t="s">
        <v>1102</v>
      </c>
      <c r="E781" s="36">
        <v>3.3300000000000003E-2</v>
      </c>
      <c r="F781" s="33">
        <v>47.490499999999997</v>
      </c>
      <c r="G781" s="30">
        <f>IF(ISNUMBER(F781),E781*F781,"")</f>
        <v>1.5814336500000001</v>
      </c>
      <c r="H781" s="34"/>
      <c r="I781" s="30"/>
      <c r="J781" s="152">
        <v>0</v>
      </c>
    </row>
    <row r="782" spans="1:10" ht="26.25" hidden="1" thickBot="1" x14ac:dyDescent="0.3">
      <c r="A782" s="171"/>
      <c r="B782" s="174"/>
      <c r="C782" s="35" t="s">
        <v>854</v>
      </c>
      <c r="D782" s="35" t="s">
        <v>583</v>
      </c>
      <c r="E782" s="36">
        <v>0.49940000000000001</v>
      </c>
      <c r="F782" s="30">
        <v>20.719499999999996</v>
      </c>
      <c r="G782" s="30">
        <f>IF(ISNUMBER(F782),E782*F782,"")</f>
        <v>10.347318299999998</v>
      </c>
      <c r="H782" s="34"/>
      <c r="I782" s="30"/>
      <c r="J782" s="152">
        <v>0</v>
      </c>
    </row>
    <row r="783" spans="1:10" ht="15.75" hidden="1" thickBot="1" x14ac:dyDescent="0.3">
      <c r="A783" s="172"/>
      <c r="B783" s="175"/>
      <c r="C783" s="35"/>
      <c r="D783" s="35"/>
      <c r="E783" s="36"/>
      <c r="F783" s="30" t="s">
        <v>416</v>
      </c>
      <c r="G783" s="30" t="str">
        <f>IF(ISNUMBER(F783),E783*F783,"")</f>
        <v/>
      </c>
      <c r="H783" s="34"/>
      <c r="I783" s="30"/>
      <c r="J783" s="152">
        <v>0</v>
      </c>
    </row>
    <row r="784" spans="1:10" ht="15.75" hidden="1" thickBot="1" x14ac:dyDescent="0.3">
      <c r="A784" s="170" t="s">
        <v>205</v>
      </c>
      <c r="B784" s="173" t="str">
        <f>INDEX(Orçamentária!A:B,MATCH(Composições!A784,Orçamentária!A:A,0),2)</f>
        <v>Forro em chapas metálicas</v>
      </c>
      <c r="C784" s="40"/>
      <c r="D784" s="25" t="s">
        <v>70</v>
      </c>
      <c r="E784" s="26"/>
      <c r="F784" s="41" t="s">
        <v>416</v>
      </c>
      <c r="G784" s="27" t="str">
        <f>IF(ISNUMBER(F784),E784*F784,"")</f>
        <v/>
      </c>
      <c r="H784" s="28"/>
      <c r="I784" s="29"/>
      <c r="J784" s="152">
        <v>0</v>
      </c>
    </row>
    <row r="785" spans="1:10" ht="15.75" hidden="1" thickBot="1" x14ac:dyDescent="0.3">
      <c r="A785" s="171"/>
      <c r="B785" s="174"/>
      <c r="C785" s="31"/>
      <c r="D785" s="31"/>
      <c r="E785" s="32"/>
      <c r="F785" s="42" t="s">
        <v>416</v>
      </c>
      <c r="G785" s="30" t="str">
        <f>IF(ISNUMBER(F785),E785*F785,"")</f>
        <v/>
      </c>
      <c r="H785" s="34"/>
      <c r="I785" s="30"/>
      <c r="J785" s="152">
        <v>0</v>
      </c>
    </row>
    <row r="786" spans="1:10" ht="26.25" hidden="1" thickBot="1" x14ac:dyDescent="0.3">
      <c r="A786" s="171"/>
      <c r="B786" s="174"/>
      <c r="C786" s="35" t="s">
        <v>2901</v>
      </c>
      <c r="D786" s="35" t="s">
        <v>583</v>
      </c>
      <c r="E786" s="36">
        <v>0.5</v>
      </c>
      <c r="F786" s="33">
        <v>23.160999999999998</v>
      </c>
      <c r="G786" s="30">
        <f>IF(ISNUMBER(F786),E786*F786,"")</f>
        <v>11.580499999999999</v>
      </c>
      <c r="H786" s="38">
        <f>SUM(G786:G789)</f>
        <v>21.940249999999999</v>
      </c>
      <c r="I786" s="39"/>
      <c r="J786" s="152">
        <v>0</v>
      </c>
    </row>
    <row r="787" spans="1:10" ht="26.25" hidden="1" thickBot="1" x14ac:dyDescent="0.3">
      <c r="A787" s="171"/>
      <c r="B787" s="174"/>
      <c r="C787" s="35" t="s">
        <v>854</v>
      </c>
      <c r="D787" s="35" t="s">
        <v>583</v>
      </c>
      <c r="E787" s="36">
        <v>0.5</v>
      </c>
      <c r="F787" s="33">
        <v>20.719499999999996</v>
      </c>
      <c r="G787" s="30">
        <f>IF(ISNUMBER(F787),E787*F787,"")</f>
        <v>10.359749999999998</v>
      </c>
      <c r="H787" s="34"/>
      <c r="I787" s="30"/>
      <c r="J787" s="152">
        <v>0</v>
      </c>
    </row>
    <row r="788" spans="1:10" ht="15.75" hidden="1" thickBot="1" x14ac:dyDescent="0.3">
      <c r="A788" s="171"/>
      <c r="B788" s="174"/>
      <c r="C788" s="37" t="s">
        <v>206</v>
      </c>
      <c r="D788" s="35" t="s">
        <v>70</v>
      </c>
      <c r="E788" s="36">
        <v>1</v>
      </c>
      <c r="F788" s="33" t="s">
        <v>416</v>
      </c>
      <c r="G788" s="30" t="str">
        <f>IF(ISNUMBER(F788),E788*F788,"")</f>
        <v/>
      </c>
      <c r="H788" s="34"/>
      <c r="I788" s="30"/>
      <c r="J788" s="152">
        <v>0</v>
      </c>
    </row>
    <row r="789" spans="1:10" ht="15.75" hidden="1" thickBot="1" x14ac:dyDescent="0.3">
      <c r="A789" s="171"/>
      <c r="B789" s="174"/>
      <c r="C789" s="37" t="s">
        <v>207</v>
      </c>
      <c r="D789" s="35" t="s">
        <v>70</v>
      </c>
      <c r="E789" s="36">
        <v>1</v>
      </c>
      <c r="F789" s="33" t="s">
        <v>416</v>
      </c>
      <c r="G789" s="30" t="str">
        <f>IF(ISNUMBER(F789),E789*F789,"")</f>
        <v/>
      </c>
      <c r="H789" s="34"/>
      <c r="I789" s="30"/>
      <c r="J789" s="152">
        <v>0</v>
      </c>
    </row>
    <row r="790" spans="1:10" ht="15.75" hidden="1" thickBot="1" x14ac:dyDescent="0.3">
      <c r="A790" s="172"/>
      <c r="B790" s="175"/>
      <c r="C790" s="35"/>
      <c r="D790" s="35"/>
      <c r="E790" s="36"/>
      <c r="F790" s="30" t="s">
        <v>416</v>
      </c>
      <c r="G790" s="30" t="str">
        <f>IF(ISNUMBER(F790),E790*F790,"")</f>
        <v/>
      </c>
      <c r="H790" s="34"/>
      <c r="I790" s="30"/>
      <c r="J790" s="152">
        <v>0</v>
      </c>
    </row>
    <row r="791" spans="1:10" ht="15.75" thickBot="1" x14ac:dyDescent="0.3">
      <c r="A791" s="170" t="s">
        <v>208</v>
      </c>
      <c r="B791" s="173" t="str">
        <f>INDEX(Orçamentária!A:B,MATCH(Composições!A791,Orçamentária!A:A,0),2)</f>
        <v>Forro em gesso acartonado monolítico</v>
      </c>
      <c r="C791" s="40"/>
      <c r="D791" s="25" t="s">
        <v>70</v>
      </c>
      <c r="E791" s="26"/>
      <c r="F791" s="41" t="s">
        <v>416</v>
      </c>
      <c r="G791" s="27" t="str">
        <f>IF(ISNUMBER(F791),E791*F791,"")</f>
        <v/>
      </c>
      <c r="H791" s="28"/>
      <c r="I791" s="29"/>
      <c r="J791" s="152">
        <v>356</v>
      </c>
    </row>
    <row r="792" spans="1:10" x14ac:dyDescent="0.25">
      <c r="A792" s="176"/>
      <c r="B792" s="174"/>
      <c r="C792" s="31"/>
      <c r="D792" s="31"/>
      <c r="E792" s="32"/>
      <c r="F792" s="42" t="s">
        <v>416</v>
      </c>
      <c r="G792" s="30" t="str">
        <f>IF(ISNUMBER(F792),E792*F792,"")</f>
        <v/>
      </c>
      <c r="H792" s="34"/>
      <c r="I792" s="30"/>
      <c r="J792" s="152">
        <v>356</v>
      </c>
    </row>
    <row r="793" spans="1:10" ht="25.5" x14ac:dyDescent="0.25">
      <c r="A793" s="176"/>
      <c r="B793" s="174"/>
      <c r="C793" s="35" t="s">
        <v>199</v>
      </c>
      <c r="D793" s="35" t="s">
        <v>773</v>
      </c>
      <c r="E793" s="36">
        <v>4.2599999999999999E-2</v>
      </c>
      <c r="F793" s="33">
        <v>24.4435</v>
      </c>
      <c r="G793" s="33">
        <f>IF(ISNUMBER(F793),E793*F793,"")</f>
        <v>1.0412931000000001</v>
      </c>
      <c r="H793" s="38">
        <f>SUM(G793:G803)</f>
        <v>66.545316899999989</v>
      </c>
      <c r="I793" s="39"/>
      <c r="J793" s="152">
        <v>356</v>
      </c>
    </row>
    <row r="794" spans="1:10" ht="25.5" x14ac:dyDescent="0.25">
      <c r="A794" s="176"/>
      <c r="B794" s="174"/>
      <c r="C794" s="35" t="s">
        <v>3231</v>
      </c>
      <c r="D794" s="35" t="s">
        <v>861</v>
      </c>
      <c r="E794" s="36">
        <v>1.0966</v>
      </c>
      <c r="F794" s="33">
        <v>17.574999999999999</v>
      </c>
      <c r="G794" s="33">
        <f>IF(ISNUMBER(F794),E794*F794,"")</f>
        <v>19.272745</v>
      </c>
      <c r="H794" s="44"/>
      <c r="I794" s="45"/>
      <c r="J794" s="152">
        <v>356</v>
      </c>
    </row>
    <row r="795" spans="1:10" ht="38.25" x14ac:dyDescent="0.25">
      <c r="A795" s="176"/>
      <c r="B795" s="174"/>
      <c r="C795" s="35" t="s">
        <v>8314</v>
      </c>
      <c r="D795" s="35" t="s">
        <v>385</v>
      </c>
      <c r="E795" s="36">
        <v>3.851</v>
      </c>
      <c r="F795" s="33">
        <v>5.6429999999999998</v>
      </c>
      <c r="G795" s="33">
        <f>IF(ISNUMBER(F795),E795*F795,"")</f>
        <v>21.731192999999998</v>
      </c>
      <c r="H795" s="44"/>
      <c r="I795" s="45"/>
      <c r="J795" s="152">
        <v>356</v>
      </c>
    </row>
    <row r="796" spans="1:10" ht="38.25" x14ac:dyDescent="0.25">
      <c r="A796" s="176"/>
      <c r="B796" s="174"/>
      <c r="C796" s="35" t="s">
        <v>8313</v>
      </c>
      <c r="D796" s="35" t="s">
        <v>213</v>
      </c>
      <c r="E796" s="36">
        <v>1.3265</v>
      </c>
      <c r="F796" s="33">
        <v>2.1280000000000001</v>
      </c>
      <c r="G796" s="33">
        <f>IF(ISNUMBER(F796),E796*F796,"")</f>
        <v>2.8227920000000002</v>
      </c>
      <c r="H796" s="44"/>
      <c r="I796" s="45"/>
      <c r="J796" s="152">
        <v>356</v>
      </c>
    </row>
    <row r="797" spans="1:10" ht="25.5" x14ac:dyDescent="0.25">
      <c r="A797" s="176"/>
      <c r="B797" s="174"/>
      <c r="C797" s="35" t="s">
        <v>8168</v>
      </c>
      <c r="D797" s="35" t="s">
        <v>385</v>
      </c>
      <c r="E797" s="36">
        <v>1.4395</v>
      </c>
      <c r="F797" s="33">
        <v>2.4319999999999999</v>
      </c>
      <c r="G797" s="33">
        <f>IF(ISNUMBER(F797),E797*F797,"")</f>
        <v>3.500864</v>
      </c>
      <c r="H797" s="44"/>
      <c r="I797" s="45"/>
      <c r="J797" s="152">
        <v>356</v>
      </c>
    </row>
    <row r="798" spans="1:10" ht="38.25" x14ac:dyDescent="0.25">
      <c r="A798" s="176"/>
      <c r="B798" s="174"/>
      <c r="C798" s="35" t="s">
        <v>3229</v>
      </c>
      <c r="D798" s="35" t="s">
        <v>773</v>
      </c>
      <c r="E798" s="36">
        <v>0.5202</v>
      </c>
      <c r="F798" s="33">
        <v>3.04</v>
      </c>
      <c r="G798" s="33">
        <f>IF(ISNUMBER(F798),E798*F798,"")</f>
        <v>1.5814079999999999</v>
      </c>
      <c r="H798" s="44"/>
      <c r="I798" s="45"/>
      <c r="J798" s="152">
        <v>356</v>
      </c>
    </row>
    <row r="799" spans="1:10" ht="25.5" x14ac:dyDescent="0.25">
      <c r="A799" s="176"/>
      <c r="B799" s="174"/>
      <c r="C799" s="35" t="s">
        <v>8305</v>
      </c>
      <c r="D799" s="35" t="s">
        <v>213</v>
      </c>
      <c r="E799" s="36">
        <v>7.9740000000000002</v>
      </c>
      <c r="F799" s="33">
        <v>0.1045</v>
      </c>
      <c r="G799" s="33">
        <f>IF(ISNUMBER(F799),E799*F799,"")</f>
        <v>0.833283</v>
      </c>
      <c r="H799" s="44"/>
      <c r="I799" s="45"/>
      <c r="J799" s="152">
        <v>356</v>
      </c>
    </row>
    <row r="800" spans="1:10" ht="25.5" x14ac:dyDescent="0.25">
      <c r="A800" s="176"/>
      <c r="B800" s="174"/>
      <c r="C800" s="35" t="s">
        <v>8306</v>
      </c>
      <c r="D800" s="35" t="s">
        <v>213</v>
      </c>
      <c r="E800" s="36">
        <v>2.1911999999999998</v>
      </c>
      <c r="F800" s="33">
        <v>0.247</v>
      </c>
      <c r="G800" s="33">
        <f>IF(ISNUMBER(F800),E800*F800,"")</f>
        <v>0.5412264</v>
      </c>
      <c r="H800" s="44"/>
      <c r="I800" s="45"/>
      <c r="J800" s="152">
        <v>356</v>
      </c>
    </row>
    <row r="801" spans="1:10" ht="25.5" x14ac:dyDescent="0.25">
      <c r="A801" s="176"/>
      <c r="B801" s="174"/>
      <c r="C801" s="35" t="s">
        <v>200</v>
      </c>
      <c r="D801" s="35" t="s">
        <v>1102</v>
      </c>
      <c r="E801" s="36">
        <v>1.32E-2</v>
      </c>
      <c r="F801" s="33">
        <v>27.701999999999998</v>
      </c>
      <c r="G801" s="33">
        <f>IF(ISNUMBER(F801),E801*F801,"")</f>
        <v>0.36566639999999995</v>
      </c>
      <c r="H801" s="44"/>
      <c r="I801" s="45"/>
      <c r="J801" s="152">
        <v>356</v>
      </c>
    </row>
    <row r="802" spans="1:10" ht="25.5" x14ac:dyDescent="0.25">
      <c r="A802" s="176"/>
      <c r="B802" s="174"/>
      <c r="C802" s="35" t="s">
        <v>854</v>
      </c>
      <c r="D802" s="35" t="s">
        <v>583</v>
      </c>
      <c r="E802" s="36">
        <v>0.36280000000000001</v>
      </c>
      <c r="F802" s="30">
        <v>20.719499999999996</v>
      </c>
      <c r="G802" s="33">
        <f>IF(ISNUMBER(F802),E802*F802,"")</f>
        <v>7.5170345999999988</v>
      </c>
      <c r="H802" s="44"/>
      <c r="I802" s="45"/>
      <c r="J802" s="152">
        <v>356</v>
      </c>
    </row>
    <row r="803" spans="1:10" x14ac:dyDescent="0.25">
      <c r="A803" s="176"/>
      <c r="B803" s="174"/>
      <c r="C803" s="35" t="s">
        <v>584</v>
      </c>
      <c r="D803" s="35" t="s">
        <v>583</v>
      </c>
      <c r="E803" s="36">
        <v>0.36280000000000001</v>
      </c>
      <c r="F803" s="30">
        <v>20.225499999999997</v>
      </c>
      <c r="G803" s="33">
        <f>IF(ISNUMBER(F803),E803*F803,"")</f>
        <v>7.3378113999999988</v>
      </c>
      <c r="H803" s="44"/>
      <c r="I803" s="45"/>
      <c r="J803" s="152">
        <v>356</v>
      </c>
    </row>
    <row r="804" spans="1:10" ht="15.75" thickBot="1" x14ac:dyDescent="0.3">
      <c r="A804" s="177"/>
      <c r="B804" s="175"/>
      <c r="C804" s="35"/>
      <c r="D804" s="35"/>
      <c r="E804" s="36"/>
      <c r="F804" s="30" t="s">
        <v>416</v>
      </c>
      <c r="G804" s="30" t="str">
        <f>IF(ISNUMBER(F804),E804*F804,"")</f>
        <v/>
      </c>
      <c r="H804" s="34"/>
      <c r="I804" s="30"/>
      <c r="J804" s="152">
        <v>356</v>
      </c>
    </row>
    <row r="805" spans="1:10" ht="15.75" hidden="1" thickBot="1" x14ac:dyDescent="0.3">
      <c r="A805" s="170" t="s">
        <v>209</v>
      </c>
      <c r="B805" s="173" t="str">
        <f>INDEX(Orçamentária!A:B,MATCH(Composições!A805,Orçamentária!A:A,0),2)</f>
        <v>Forro em gesso acartonado monolítico, sem estrutura</v>
      </c>
      <c r="C805" s="40"/>
      <c r="D805" s="25" t="s">
        <v>70</v>
      </c>
      <c r="E805" s="26"/>
      <c r="F805" s="41" t="s">
        <v>416</v>
      </c>
      <c r="G805" s="27" t="str">
        <f>IF(ISNUMBER(F805),E805*F805,"")</f>
        <v/>
      </c>
      <c r="H805" s="28"/>
      <c r="I805" s="29"/>
      <c r="J805" s="152">
        <v>0</v>
      </c>
    </row>
    <row r="806" spans="1:10" ht="15.75" hidden="1" thickBot="1" x14ac:dyDescent="0.3">
      <c r="A806" s="176"/>
      <c r="B806" s="174"/>
      <c r="C806" s="31"/>
      <c r="D806" s="31"/>
      <c r="E806" s="32"/>
      <c r="F806" s="42" t="s">
        <v>416</v>
      </c>
      <c r="G806" s="30" t="str">
        <f>IF(ISNUMBER(F806),E806*F806,"")</f>
        <v/>
      </c>
      <c r="H806" s="34"/>
      <c r="I806" s="30"/>
      <c r="J806" s="152">
        <v>0</v>
      </c>
    </row>
    <row r="807" spans="1:10" ht="26.25" hidden="1" thickBot="1" x14ac:dyDescent="0.3">
      <c r="A807" s="176"/>
      <c r="B807" s="174"/>
      <c r="C807" s="35" t="s">
        <v>3231</v>
      </c>
      <c r="D807" s="35" t="s">
        <v>861</v>
      </c>
      <c r="E807" s="36">
        <v>1.0966</v>
      </c>
      <c r="F807" s="33">
        <v>17.574999999999999</v>
      </c>
      <c r="G807" s="33">
        <f>IF(ISNUMBER(F807),E807*F807,"")</f>
        <v>19.272745</v>
      </c>
      <c r="H807" s="38">
        <f>SUM(G807:G813)</f>
        <v>40.584372399999999</v>
      </c>
      <c r="I807" s="39"/>
      <c r="J807" s="152">
        <v>0</v>
      </c>
    </row>
    <row r="808" spans="1:10" ht="26.25" hidden="1" thickBot="1" x14ac:dyDescent="0.3">
      <c r="A808" s="176"/>
      <c r="B808" s="174"/>
      <c r="C808" s="35" t="s">
        <v>8168</v>
      </c>
      <c r="D808" s="35" t="s">
        <v>385</v>
      </c>
      <c r="E808" s="36">
        <v>1.4395</v>
      </c>
      <c r="F808" s="33">
        <v>2.4319999999999999</v>
      </c>
      <c r="G808" s="33">
        <f>IF(ISNUMBER(F808),E808*F808,"")</f>
        <v>3.500864</v>
      </c>
      <c r="H808" s="44"/>
      <c r="I808" s="45"/>
      <c r="J808" s="152">
        <v>0</v>
      </c>
    </row>
    <row r="809" spans="1:10" ht="39" hidden="1" thickBot="1" x14ac:dyDescent="0.3">
      <c r="A809" s="176"/>
      <c r="B809" s="174"/>
      <c r="C809" s="35" t="s">
        <v>3229</v>
      </c>
      <c r="D809" s="35" t="s">
        <v>773</v>
      </c>
      <c r="E809" s="36">
        <v>0.5202</v>
      </c>
      <c r="F809" s="33">
        <v>3.04</v>
      </c>
      <c r="G809" s="33">
        <f>IF(ISNUMBER(F809),E809*F809,"")</f>
        <v>1.5814079999999999</v>
      </c>
      <c r="H809" s="44"/>
      <c r="I809" s="45"/>
      <c r="J809" s="152">
        <v>0</v>
      </c>
    </row>
    <row r="810" spans="1:10" ht="26.25" hidden="1" thickBot="1" x14ac:dyDescent="0.3">
      <c r="A810" s="176"/>
      <c r="B810" s="174"/>
      <c r="C810" s="35" t="s">
        <v>8305</v>
      </c>
      <c r="D810" s="35" t="s">
        <v>213</v>
      </c>
      <c r="E810" s="36">
        <v>7.9740000000000002</v>
      </c>
      <c r="F810" s="33">
        <v>0.1045</v>
      </c>
      <c r="G810" s="33">
        <f>IF(ISNUMBER(F810),E810*F810,"")</f>
        <v>0.833283</v>
      </c>
      <c r="H810" s="44"/>
      <c r="I810" s="45"/>
      <c r="J810" s="152">
        <v>0</v>
      </c>
    </row>
    <row r="811" spans="1:10" ht="26.25" hidden="1" thickBot="1" x14ac:dyDescent="0.3">
      <c r="A811" s="176"/>
      <c r="B811" s="174"/>
      <c r="C811" s="35" t="s">
        <v>8306</v>
      </c>
      <c r="D811" s="35" t="s">
        <v>213</v>
      </c>
      <c r="E811" s="36">
        <v>2.1911999999999998</v>
      </c>
      <c r="F811" s="33">
        <v>0.247</v>
      </c>
      <c r="G811" s="33">
        <f>IF(ISNUMBER(F811),E811*F811,"")</f>
        <v>0.5412264</v>
      </c>
      <c r="H811" s="44"/>
      <c r="I811" s="45"/>
      <c r="J811" s="152">
        <v>0</v>
      </c>
    </row>
    <row r="812" spans="1:10" ht="26.25" hidden="1" thickBot="1" x14ac:dyDescent="0.3">
      <c r="A812" s="176"/>
      <c r="B812" s="174"/>
      <c r="C812" s="35" t="s">
        <v>854</v>
      </c>
      <c r="D812" s="35" t="s">
        <v>583</v>
      </c>
      <c r="E812" s="36">
        <v>0.36280000000000001</v>
      </c>
      <c r="F812" s="30">
        <v>20.719499999999996</v>
      </c>
      <c r="G812" s="33">
        <f>IF(ISNUMBER(F812),E812*F812,"")</f>
        <v>7.5170345999999988</v>
      </c>
      <c r="H812" s="44"/>
      <c r="I812" s="45"/>
      <c r="J812" s="152">
        <v>0</v>
      </c>
    </row>
    <row r="813" spans="1:10" ht="15.75" hidden="1" thickBot="1" x14ac:dyDescent="0.3">
      <c r="A813" s="176"/>
      <c r="B813" s="174"/>
      <c r="C813" s="35" t="s">
        <v>584</v>
      </c>
      <c r="D813" s="35" t="s">
        <v>583</v>
      </c>
      <c r="E813" s="36">
        <v>0.36280000000000001</v>
      </c>
      <c r="F813" s="30">
        <v>20.225499999999997</v>
      </c>
      <c r="G813" s="33">
        <f>IF(ISNUMBER(F813),E813*F813,"")</f>
        <v>7.3378113999999988</v>
      </c>
      <c r="H813" s="44"/>
      <c r="I813" s="45"/>
      <c r="J813" s="152">
        <v>0</v>
      </c>
    </row>
    <row r="814" spans="1:10" ht="15.75" hidden="1" thickBot="1" x14ac:dyDescent="0.3">
      <c r="A814" s="177"/>
      <c r="B814" s="175"/>
      <c r="C814" s="35"/>
      <c r="D814" s="35"/>
      <c r="E814" s="36"/>
      <c r="F814" s="30" t="s">
        <v>416</v>
      </c>
      <c r="G814" s="30" t="str">
        <f>IF(ISNUMBER(F814),E814*F814,"")</f>
        <v/>
      </c>
      <c r="H814" s="34"/>
      <c r="I814" s="30"/>
      <c r="J814" s="152">
        <v>0</v>
      </c>
    </row>
    <row r="815" spans="1:10" ht="15.75" hidden="1" thickBot="1" x14ac:dyDescent="0.3">
      <c r="A815" s="170" t="s">
        <v>210</v>
      </c>
      <c r="B815" s="173" t="str">
        <f>INDEX(Orçamentária!A:B,MATCH(Composições!A815,Orçamentária!A:A,0),2)</f>
        <v>Forro mineral modulado</v>
      </c>
      <c r="C815" s="40"/>
      <c r="D815" s="25" t="s">
        <v>70</v>
      </c>
      <c r="E815" s="26"/>
      <c r="F815" s="41" t="s">
        <v>416</v>
      </c>
      <c r="G815" s="27" t="str">
        <f>IF(ISNUMBER(F815),E815*F815,"")</f>
        <v/>
      </c>
      <c r="H815" s="28"/>
      <c r="I815" s="29"/>
      <c r="J815" s="152">
        <v>0</v>
      </c>
    </row>
    <row r="816" spans="1:10" ht="15.75" hidden="1" thickBot="1" x14ac:dyDescent="0.3">
      <c r="A816" s="176"/>
      <c r="B816" s="174"/>
      <c r="C816" s="31"/>
      <c r="D816" s="31"/>
      <c r="E816" s="32"/>
      <c r="F816" s="42" t="s">
        <v>416</v>
      </c>
      <c r="G816" s="30" t="str">
        <f>IF(ISNUMBER(F816),E816*F816,"")</f>
        <v/>
      </c>
      <c r="H816" s="34"/>
      <c r="I816" s="30"/>
      <c r="J816" s="152">
        <v>0</v>
      </c>
    </row>
    <row r="817" spans="1:10" ht="39" hidden="1" thickBot="1" x14ac:dyDescent="0.3">
      <c r="A817" s="176"/>
      <c r="B817" s="174"/>
      <c r="C817" s="35" t="s">
        <v>211</v>
      </c>
      <c r="D817" s="35" t="s">
        <v>861</v>
      </c>
      <c r="E817" s="36">
        <v>1</v>
      </c>
      <c r="F817" s="33">
        <v>123.68049999999999</v>
      </c>
      <c r="G817" s="33">
        <f>IF(ISNUMBER(F817),E817*F817,"")</f>
        <v>123.68049999999999</v>
      </c>
      <c r="H817" s="38">
        <f>SUM(G817:G817)</f>
        <v>123.68049999999999</v>
      </c>
      <c r="I817" s="39"/>
      <c r="J817" s="152">
        <v>0</v>
      </c>
    </row>
    <row r="818" spans="1:10" ht="15.75" hidden="1" thickBot="1" x14ac:dyDescent="0.3">
      <c r="A818" s="177"/>
      <c r="B818" s="175"/>
      <c r="C818" s="35"/>
      <c r="D818" s="35"/>
      <c r="E818" s="36"/>
      <c r="F818" s="30" t="s">
        <v>416</v>
      </c>
      <c r="G818" s="30" t="str">
        <f>IF(ISNUMBER(F818),E818*F818,"")</f>
        <v/>
      </c>
      <c r="H818" s="34"/>
      <c r="I818" s="30"/>
      <c r="J818" s="152">
        <v>0</v>
      </c>
    </row>
    <row r="819" spans="1:10" ht="15.75" hidden="1" thickBot="1" x14ac:dyDescent="0.3">
      <c r="A819" s="170" t="s">
        <v>212</v>
      </c>
      <c r="B819" s="173" t="str">
        <f>INDEX(Orçamentária!A:B,MATCH(Composições!A819,Orçamentária!A:A,0),2)</f>
        <v>Forro mineral modulado, sem estrutura</v>
      </c>
      <c r="C819" s="40"/>
      <c r="D819" s="25" t="s">
        <v>70</v>
      </c>
      <c r="E819" s="26"/>
      <c r="F819" s="41" t="s">
        <v>416</v>
      </c>
      <c r="G819" s="27" t="str">
        <f>IF(ISNUMBER(F819),E819*F819,"")</f>
        <v/>
      </c>
      <c r="H819" s="28"/>
      <c r="I819" s="29"/>
      <c r="J819" s="152">
        <v>0</v>
      </c>
    </row>
    <row r="820" spans="1:10" ht="15.75" hidden="1" thickBot="1" x14ac:dyDescent="0.3">
      <c r="A820" s="176"/>
      <c r="B820" s="174"/>
      <c r="C820" s="31"/>
      <c r="D820" s="31"/>
      <c r="E820" s="32"/>
      <c r="F820" s="42" t="s">
        <v>416</v>
      </c>
      <c r="G820" s="30" t="str">
        <f>IF(ISNUMBER(F820),E820*F820,"")</f>
        <v/>
      </c>
      <c r="H820" s="34"/>
      <c r="I820" s="30"/>
      <c r="J820" s="152">
        <v>0</v>
      </c>
    </row>
    <row r="821" spans="1:10" ht="15.75" hidden="1" thickBot="1" x14ac:dyDescent="0.3">
      <c r="A821" s="176"/>
      <c r="B821" s="174"/>
      <c r="C821" s="35" t="s">
        <v>1233</v>
      </c>
      <c r="D821" s="35" t="s">
        <v>583</v>
      </c>
      <c r="E821" s="36">
        <f>1.2/4</f>
        <v>0.3</v>
      </c>
      <c r="F821" s="30">
        <v>21.318000000000001</v>
      </c>
      <c r="G821" s="30">
        <f>IF(ISNUMBER(F821),E821*F821,"")</f>
        <v>6.3954000000000004</v>
      </c>
      <c r="H821" s="38">
        <f>SUM(G821:G822)</f>
        <v>33.945399999999999</v>
      </c>
      <c r="I821" s="39"/>
      <c r="J821" s="152">
        <v>0</v>
      </c>
    </row>
    <row r="822" spans="1:10" ht="26.25" hidden="1" thickBot="1" x14ac:dyDescent="0.3">
      <c r="A822" s="176"/>
      <c r="B822" s="174"/>
      <c r="C822" s="35" t="s">
        <v>8322</v>
      </c>
      <c r="D822" s="35" t="s">
        <v>213</v>
      </c>
      <c r="E822" s="36">
        <v>1</v>
      </c>
      <c r="F822" s="33">
        <v>27.549999999999997</v>
      </c>
      <c r="G822" s="30">
        <f>IF(ISNUMBER(F822),E822*F822,"")</f>
        <v>27.549999999999997</v>
      </c>
      <c r="H822" s="34"/>
      <c r="I822" s="30"/>
      <c r="J822" s="152">
        <v>0</v>
      </c>
    </row>
    <row r="823" spans="1:10" ht="15.75" hidden="1" thickBot="1" x14ac:dyDescent="0.3">
      <c r="A823" s="177"/>
      <c r="B823" s="175"/>
      <c r="C823" s="35"/>
      <c r="D823" s="35"/>
      <c r="E823" s="36"/>
      <c r="F823" s="30" t="s">
        <v>416</v>
      </c>
      <c r="G823" s="30" t="str">
        <f>IF(ISNUMBER(F823),E823*F823,"")</f>
        <v/>
      </c>
      <c r="H823" s="34"/>
      <c r="I823" s="30"/>
      <c r="J823" s="152">
        <v>0</v>
      </c>
    </row>
    <row r="824" spans="1:10" ht="15.75" hidden="1" thickBot="1" x14ac:dyDescent="0.3">
      <c r="A824" s="170" t="s">
        <v>214</v>
      </c>
      <c r="B824" s="173" t="str">
        <f>INDEX(Orçamentária!A:B,MATCH(Composições!A824,Orçamentária!A:A,0),2)</f>
        <v>Instalação de forro de PVC reaproveitado</v>
      </c>
      <c r="C824" s="40"/>
      <c r="D824" s="25" t="s">
        <v>70</v>
      </c>
      <c r="E824" s="26"/>
      <c r="F824" s="41" t="s">
        <v>416</v>
      </c>
      <c r="G824" s="27" t="str">
        <f>IF(ISNUMBER(F824),E824*F824,"")</f>
        <v/>
      </c>
      <c r="H824" s="28"/>
      <c r="I824" s="29"/>
      <c r="J824" s="152">
        <v>0</v>
      </c>
    </row>
    <row r="825" spans="1:10" ht="15.75" hidden="1" thickBot="1" x14ac:dyDescent="0.3">
      <c r="A825" s="176"/>
      <c r="B825" s="174"/>
      <c r="C825" s="31"/>
      <c r="D825" s="31"/>
      <c r="E825" s="32"/>
      <c r="F825" s="42" t="s">
        <v>416</v>
      </c>
      <c r="G825" s="30" t="str">
        <f>IF(ISNUMBER(F825),E825*F825,"")</f>
        <v/>
      </c>
      <c r="H825" s="34"/>
      <c r="I825" s="30"/>
      <c r="J825" s="152">
        <v>0</v>
      </c>
    </row>
    <row r="826" spans="1:10" ht="26.25" hidden="1" thickBot="1" x14ac:dyDescent="0.3">
      <c r="A826" s="176"/>
      <c r="B826" s="174"/>
      <c r="C826" s="35" t="s">
        <v>854</v>
      </c>
      <c r="D826" s="35" t="s">
        <v>583</v>
      </c>
      <c r="E826" s="36">
        <f>ROUND(0.4994*0.3,4)</f>
        <v>0.14979999999999999</v>
      </c>
      <c r="F826" s="30">
        <v>20.719499999999996</v>
      </c>
      <c r="G826" s="30">
        <f>IF(ISNUMBER(F826),E826*F826,"")</f>
        <v>3.1037810999999991</v>
      </c>
      <c r="H826" s="38">
        <f>SUM(G826:G826)</f>
        <v>3.1037810999999991</v>
      </c>
      <c r="I826" s="39"/>
      <c r="J826" s="152">
        <v>0</v>
      </c>
    </row>
    <row r="827" spans="1:10" ht="15.75" hidden="1" thickBot="1" x14ac:dyDescent="0.3">
      <c r="A827" s="177"/>
      <c r="B827" s="175"/>
      <c r="C827" s="35"/>
      <c r="D827" s="35"/>
      <c r="E827" s="36"/>
      <c r="F827" s="30" t="s">
        <v>416</v>
      </c>
      <c r="G827" s="30" t="str">
        <f>IF(ISNUMBER(F827),E827*F827,"")</f>
        <v/>
      </c>
      <c r="H827" s="34"/>
      <c r="I827" s="30"/>
      <c r="J827" s="152">
        <v>0</v>
      </c>
    </row>
    <row r="828" spans="1:10" ht="15.75" hidden="1" thickBot="1" x14ac:dyDescent="0.3">
      <c r="A828" s="170" t="s">
        <v>215</v>
      </c>
      <c r="B828" s="173" t="str">
        <f>INDEX(Orçamentária!A:B,MATCH(Composições!A828,Orçamentária!A:A,0),2)</f>
        <v>Instalação de forro mineral reaproveitado</v>
      </c>
      <c r="C828" s="40"/>
      <c r="D828" s="25" t="s">
        <v>70</v>
      </c>
      <c r="E828" s="26"/>
      <c r="F828" s="41" t="s">
        <v>416</v>
      </c>
      <c r="G828" s="27" t="str">
        <f>IF(ISNUMBER(F828),E828*F828,"")</f>
        <v/>
      </c>
      <c r="H828" s="28"/>
      <c r="I828" s="29"/>
      <c r="J828" s="152">
        <v>0</v>
      </c>
    </row>
    <row r="829" spans="1:10" ht="15.75" hidden="1" thickBot="1" x14ac:dyDescent="0.3">
      <c r="A829" s="176"/>
      <c r="B829" s="174"/>
      <c r="C829" s="31"/>
      <c r="D829" s="31"/>
      <c r="E829" s="32"/>
      <c r="F829" s="42" t="s">
        <v>416</v>
      </c>
      <c r="G829" s="30" t="str">
        <f>IF(ISNUMBER(F829),E829*F829,"")</f>
        <v/>
      </c>
      <c r="H829" s="34"/>
      <c r="I829" s="30"/>
      <c r="J829" s="152">
        <v>0</v>
      </c>
    </row>
    <row r="830" spans="1:10" ht="15.75" hidden="1" thickBot="1" x14ac:dyDescent="0.3">
      <c r="A830" s="176"/>
      <c r="B830" s="174"/>
      <c r="C830" s="35" t="s">
        <v>1233</v>
      </c>
      <c r="D830" s="35" t="s">
        <v>583</v>
      </c>
      <c r="E830" s="36">
        <v>1.2</v>
      </c>
      <c r="F830" s="30">
        <v>21.318000000000001</v>
      </c>
      <c r="G830" s="30">
        <f>IF(ISNUMBER(F830),E830*F830,"")</f>
        <v>25.581600000000002</v>
      </c>
      <c r="H830" s="38">
        <f>SUM(G830:G831)</f>
        <v>50.444999999999993</v>
      </c>
      <c r="I830" s="39"/>
      <c r="J830" s="152">
        <v>0</v>
      </c>
    </row>
    <row r="831" spans="1:10" ht="26.25" hidden="1" thickBot="1" x14ac:dyDescent="0.3">
      <c r="A831" s="176"/>
      <c r="B831" s="174"/>
      <c r="C831" s="35" t="s">
        <v>854</v>
      </c>
      <c r="D831" s="35" t="s">
        <v>583</v>
      </c>
      <c r="E831" s="36">
        <v>1.2</v>
      </c>
      <c r="F831" s="30">
        <v>20.719499999999996</v>
      </c>
      <c r="G831" s="30">
        <f>IF(ISNUMBER(F831),E831*F831,"")</f>
        <v>24.863399999999995</v>
      </c>
      <c r="H831" s="34"/>
      <c r="I831" s="30"/>
      <c r="J831" s="152">
        <v>0</v>
      </c>
    </row>
    <row r="832" spans="1:10" ht="15.75" hidden="1" thickBot="1" x14ac:dyDescent="0.3">
      <c r="A832" s="177"/>
      <c r="B832" s="175"/>
      <c r="C832" s="35"/>
      <c r="D832" s="35"/>
      <c r="E832" s="36"/>
      <c r="F832" s="30" t="s">
        <v>416</v>
      </c>
      <c r="G832" s="30" t="str">
        <f>IF(ISNUMBER(F832),E832*F832,"")</f>
        <v/>
      </c>
      <c r="H832" s="34"/>
      <c r="I832" s="30"/>
      <c r="J832" s="152">
        <v>0</v>
      </c>
    </row>
    <row r="833" spans="1:10" ht="15.75" hidden="1" thickBot="1" x14ac:dyDescent="0.3">
      <c r="A833" s="170" t="s">
        <v>216</v>
      </c>
      <c r="B833" s="173" t="str">
        <f>INDEX(Orçamentária!A:B,MATCH(Composições!A833,Orçamentária!A:A,0),2)</f>
        <v>Tabica metálica em forro de gesso acartonado</v>
      </c>
      <c r="C833" s="40"/>
      <c r="D833" s="25" t="s">
        <v>69</v>
      </c>
      <c r="E833" s="26"/>
      <c r="F833" s="41" t="s">
        <v>416</v>
      </c>
      <c r="G833" s="27" t="str">
        <f>IF(ISNUMBER(F833),E833*F833,"")</f>
        <v/>
      </c>
      <c r="H833" s="28"/>
      <c r="I833" s="29"/>
      <c r="J833" s="152">
        <v>0</v>
      </c>
    </row>
    <row r="834" spans="1:10" ht="15.75" hidden="1" thickBot="1" x14ac:dyDescent="0.3">
      <c r="A834" s="176"/>
      <c r="B834" s="174"/>
      <c r="C834" s="31"/>
      <c r="D834" s="31"/>
      <c r="E834" s="32"/>
      <c r="F834" s="42" t="s">
        <v>416</v>
      </c>
      <c r="G834" s="30" t="str">
        <f>IF(ISNUMBER(F834),E834*F834,"")</f>
        <v/>
      </c>
      <c r="H834" s="34"/>
      <c r="I834" s="30"/>
      <c r="J834" s="152">
        <v>0</v>
      </c>
    </row>
    <row r="835" spans="1:10" ht="39" hidden="1" thickBot="1" x14ac:dyDescent="0.3">
      <c r="A835" s="176"/>
      <c r="B835" s="174"/>
      <c r="C835" s="35" t="s">
        <v>8317</v>
      </c>
      <c r="D835" s="35" t="s">
        <v>385</v>
      </c>
      <c r="E835" s="36">
        <v>1.1512</v>
      </c>
      <c r="F835" s="33">
        <v>5.4719999999999995</v>
      </c>
      <c r="G835" s="33">
        <f>IF(ISNUMBER(F835),E835*F835,"")</f>
        <v>6.2993663999999994</v>
      </c>
      <c r="H835" s="38">
        <f>SUM(G835:G838)</f>
        <v>13.042102549999999</v>
      </c>
      <c r="I835" s="39"/>
      <c r="J835" s="152">
        <v>0</v>
      </c>
    </row>
    <row r="836" spans="1:10" ht="26.25" hidden="1" thickBot="1" x14ac:dyDescent="0.3">
      <c r="A836" s="176"/>
      <c r="B836" s="174"/>
      <c r="C836" s="35" t="s">
        <v>8306</v>
      </c>
      <c r="D836" s="35" t="s">
        <v>213</v>
      </c>
      <c r="E836" s="36">
        <v>0.58330000000000004</v>
      </c>
      <c r="F836" s="33">
        <v>0.247</v>
      </c>
      <c r="G836" s="33">
        <f>IF(ISNUMBER(F836),E836*F836,"")</f>
        <v>0.14407510000000001</v>
      </c>
      <c r="H836" s="55"/>
      <c r="I836" s="56"/>
      <c r="J836" s="152">
        <v>0</v>
      </c>
    </row>
    <row r="837" spans="1:10" ht="26.25" hidden="1" thickBot="1" x14ac:dyDescent="0.3">
      <c r="A837" s="176"/>
      <c r="B837" s="174"/>
      <c r="C837" s="35" t="s">
        <v>201</v>
      </c>
      <c r="D837" s="35" t="s">
        <v>1102</v>
      </c>
      <c r="E837" s="36">
        <v>7.4899999999999994E-2</v>
      </c>
      <c r="F837" s="33">
        <v>47.490499999999997</v>
      </c>
      <c r="G837" s="33">
        <f>IF(ISNUMBER(F837),E837*F837,"")</f>
        <v>3.5570384499999994</v>
      </c>
      <c r="H837" s="55"/>
      <c r="I837" s="56"/>
      <c r="J837" s="152">
        <v>0</v>
      </c>
    </row>
    <row r="838" spans="1:10" ht="26.25" hidden="1" thickBot="1" x14ac:dyDescent="0.3">
      <c r="A838" s="176"/>
      <c r="B838" s="174"/>
      <c r="C838" s="35" t="s">
        <v>854</v>
      </c>
      <c r="D838" s="35" t="s">
        <v>583</v>
      </c>
      <c r="E838" s="36">
        <v>0.14680000000000001</v>
      </c>
      <c r="F838" s="30">
        <v>20.719499999999996</v>
      </c>
      <c r="G838" s="33">
        <f>IF(ISNUMBER(F838),E838*F838,"")</f>
        <v>3.0416225999999997</v>
      </c>
      <c r="H838" s="55"/>
      <c r="I838" s="56"/>
      <c r="J838" s="152">
        <v>0</v>
      </c>
    </row>
    <row r="839" spans="1:10" ht="15.75" hidden="1" thickBot="1" x14ac:dyDescent="0.3">
      <c r="A839" s="177"/>
      <c r="B839" s="175"/>
      <c r="C839" s="35"/>
      <c r="D839" s="35"/>
      <c r="E839" s="36"/>
      <c r="F839" s="30" t="s">
        <v>416</v>
      </c>
      <c r="G839" s="33" t="str">
        <f>IF(ISNUMBER(F839),E839*F839,"")</f>
        <v/>
      </c>
      <c r="H839" s="34"/>
      <c r="I839" s="30"/>
      <c r="J839" s="152">
        <v>0</v>
      </c>
    </row>
    <row r="840" spans="1:10" ht="15.75" hidden="1" thickBot="1" x14ac:dyDescent="0.3">
      <c r="A840" s="170" t="s">
        <v>217</v>
      </c>
      <c r="B840" s="173" t="str">
        <f>INDEX(Orçamentária!A:B,MATCH(Composições!A840,Orçamentária!A:A,0),2)</f>
        <v>Instalação de revestimento de piso têxtil (carpete) reaproveitado</v>
      </c>
      <c r="C840" s="40"/>
      <c r="D840" s="25" t="s">
        <v>70</v>
      </c>
      <c r="E840" s="26"/>
      <c r="F840" s="41" t="s">
        <v>416</v>
      </c>
      <c r="G840" s="27" t="str">
        <f>IF(ISNUMBER(F840),E840*F840,"")</f>
        <v/>
      </c>
      <c r="H840" s="28"/>
      <c r="I840" s="29"/>
      <c r="J840" s="152">
        <v>0</v>
      </c>
    </row>
    <row r="841" spans="1:10" ht="15.75" hidden="1" thickBot="1" x14ac:dyDescent="0.3">
      <c r="A841" s="176"/>
      <c r="B841" s="174"/>
      <c r="C841" s="31"/>
      <c r="D841" s="31"/>
      <c r="E841" s="32"/>
      <c r="F841" s="42" t="s">
        <v>416</v>
      </c>
      <c r="G841" s="30" t="str">
        <f>IF(ISNUMBER(F841),E841*F841,"")</f>
        <v/>
      </c>
      <c r="H841" s="34"/>
      <c r="I841" s="30"/>
      <c r="J841" s="152">
        <v>0</v>
      </c>
    </row>
    <row r="842" spans="1:10" ht="15.75" hidden="1" thickBot="1" x14ac:dyDescent="0.3">
      <c r="A842" s="176"/>
      <c r="B842" s="174"/>
      <c r="C842" s="35" t="s">
        <v>584</v>
      </c>
      <c r="D842" s="35" t="s">
        <v>583</v>
      </c>
      <c r="E842" s="36">
        <v>0.1</v>
      </c>
      <c r="F842" s="30">
        <v>20.225499999999997</v>
      </c>
      <c r="G842" s="33">
        <f>IF(ISNUMBER(F842),E842*F842,"")</f>
        <v>2.0225499999999998</v>
      </c>
      <c r="H842" s="38">
        <f>SUM(G842:G844)</f>
        <v>9.4657999999999998</v>
      </c>
      <c r="I842" s="39"/>
      <c r="J842" s="152">
        <v>0</v>
      </c>
    </row>
    <row r="843" spans="1:10" ht="15.75" hidden="1" thickBot="1" x14ac:dyDescent="0.3">
      <c r="A843" s="176"/>
      <c r="B843" s="174"/>
      <c r="C843" s="35" t="s">
        <v>591</v>
      </c>
      <c r="D843" s="35" t="s">
        <v>583</v>
      </c>
      <c r="E843" s="36">
        <v>0.1</v>
      </c>
      <c r="F843" s="30">
        <v>27.160499999999999</v>
      </c>
      <c r="G843" s="33">
        <f>IF(ISNUMBER(F843),E843*F843,"")</f>
        <v>2.7160500000000001</v>
      </c>
      <c r="H843" s="34"/>
      <c r="I843" s="30"/>
      <c r="J843" s="152">
        <v>0</v>
      </c>
    </row>
    <row r="844" spans="1:10" ht="15.75" hidden="1" thickBot="1" x14ac:dyDescent="0.3">
      <c r="A844" s="176"/>
      <c r="B844" s="174"/>
      <c r="C844" s="35" t="s">
        <v>7974</v>
      </c>
      <c r="D844" s="35" t="s">
        <v>773</v>
      </c>
      <c r="E844" s="36">
        <v>0.1</v>
      </c>
      <c r="F844" s="33">
        <v>47.271999999999998</v>
      </c>
      <c r="G844" s="30">
        <f>IF(ISNUMBER(F844),E844*F844,"")</f>
        <v>4.7271999999999998</v>
      </c>
      <c r="H844" s="34"/>
      <c r="I844" s="30"/>
      <c r="J844" s="152">
        <v>0</v>
      </c>
    </row>
    <row r="845" spans="1:10" ht="15.75" hidden="1" thickBot="1" x14ac:dyDescent="0.3">
      <c r="A845" s="177"/>
      <c r="B845" s="175"/>
      <c r="C845" s="35"/>
      <c r="D845" s="35"/>
      <c r="E845" s="36"/>
      <c r="F845" s="30" t="s">
        <v>416</v>
      </c>
      <c r="G845" s="30" t="str">
        <f>IF(ISNUMBER(F845),E845*F845,"")</f>
        <v/>
      </c>
      <c r="H845" s="34"/>
      <c r="I845" s="30"/>
      <c r="J845" s="152">
        <v>0</v>
      </c>
    </row>
    <row r="846" spans="1:10" ht="15.75" hidden="1" thickBot="1" x14ac:dyDescent="0.3">
      <c r="A846" s="170" t="s">
        <v>218</v>
      </c>
      <c r="B846" s="173" t="str">
        <f>INDEX(Orçamentária!A:B,MATCH(Composições!A846,Orçamentária!A:A,0),2)</f>
        <v>Baguetes metálicos</v>
      </c>
      <c r="C846" s="40"/>
      <c r="D846" s="25" t="s">
        <v>69</v>
      </c>
      <c r="E846" s="26"/>
      <c r="F846" s="41" t="s">
        <v>416</v>
      </c>
      <c r="G846" s="27" t="str">
        <f>IF(ISNUMBER(F846),E846*F846,"")</f>
        <v/>
      </c>
      <c r="H846" s="28"/>
      <c r="I846" s="29"/>
      <c r="J846" s="152">
        <v>0</v>
      </c>
    </row>
    <row r="847" spans="1:10" ht="15.75" hidden="1" thickBot="1" x14ac:dyDescent="0.3">
      <c r="A847" s="171"/>
      <c r="B847" s="174"/>
      <c r="C847" s="31"/>
      <c r="D847" s="31"/>
      <c r="E847" s="32"/>
      <c r="F847" s="42" t="s">
        <v>416</v>
      </c>
      <c r="G847" s="30" t="str">
        <f>IF(ISNUMBER(F847),E847*F847,"")</f>
        <v/>
      </c>
      <c r="H847" s="34"/>
      <c r="I847" s="30"/>
      <c r="J847" s="152">
        <v>0</v>
      </c>
    </row>
    <row r="848" spans="1:10" ht="15.75" hidden="1" thickBot="1" x14ac:dyDescent="0.3">
      <c r="A848" s="171"/>
      <c r="B848" s="174"/>
      <c r="C848" s="35" t="s">
        <v>2909</v>
      </c>
      <c r="D848" s="35" t="s">
        <v>583</v>
      </c>
      <c r="E848" s="36">
        <v>0.25</v>
      </c>
      <c r="F848" s="30">
        <v>25.060999999999996</v>
      </c>
      <c r="G848" s="33">
        <f>IF(ISNUMBER(F848),E848*F848,"")</f>
        <v>6.2652499999999991</v>
      </c>
      <c r="H848" s="38">
        <f>SUM(G848:G849)</f>
        <v>6.2652499999999991</v>
      </c>
      <c r="I848" s="39"/>
      <c r="J848" s="152">
        <v>0</v>
      </c>
    </row>
    <row r="849" spans="1:10" ht="15.75" hidden="1" thickBot="1" x14ac:dyDescent="0.3">
      <c r="A849" s="171"/>
      <c r="B849" s="174"/>
      <c r="C849" s="35" t="s">
        <v>219</v>
      </c>
      <c r="D849" s="46" t="s">
        <v>69</v>
      </c>
      <c r="E849" s="36">
        <v>1.05</v>
      </c>
      <c r="F849" s="33" t="s">
        <v>416</v>
      </c>
      <c r="G849" s="33" t="str">
        <f>IF(ISNUMBER(F849),E849*F849,"")</f>
        <v/>
      </c>
      <c r="H849" s="34"/>
      <c r="I849" s="30"/>
      <c r="J849" s="152">
        <v>0</v>
      </c>
    </row>
    <row r="850" spans="1:10" ht="15.75" hidden="1" thickBot="1" x14ac:dyDescent="0.3">
      <c r="A850" s="172"/>
      <c r="B850" s="175"/>
      <c r="C850" s="35"/>
      <c r="D850" s="46"/>
      <c r="E850" s="36"/>
      <c r="F850" s="33" t="s">
        <v>416</v>
      </c>
      <c r="G850" s="33" t="str">
        <f>IF(ISNUMBER(F850),E850*F850,"")</f>
        <v/>
      </c>
      <c r="H850" s="34"/>
      <c r="I850" s="30"/>
      <c r="J850" s="152">
        <v>0</v>
      </c>
    </row>
    <row r="851" spans="1:10" ht="15.75" hidden="1" thickBot="1" x14ac:dyDescent="0.3">
      <c r="A851" s="170" t="s">
        <v>220</v>
      </c>
      <c r="B851" s="173" t="str">
        <f>INDEX(Orçamentária!A:B,MATCH(Composições!A851,Orçamentária!A:A,0),2)</f>
        <v>Cordão de massa de vidraceiro</v>
      </c>
      <c r="C851" s="40"/>
      <c r="D851" s="25" t="s">
        <v>69</v>
      </c>
      <c r="E851" s="26"/>
      <c r="F851" s="41" t="s">
        <v>416</v>
      </c>
      <c r="G851" s="27" t="str">
        <f>IF(ISNUMBER(F851),E851*F851,"")</f>
        <v/>
      </c>
      <c r="H851" s="28"/>
      <c r="I851" s="29"/>
      <c r="J851" s="152">
        <v>0</v>
      </c>
    </row>
    <row r="852" spans="1:10" ht="15.75" hidden="1" thickBot="1" x14ac:dyDescent="0.3">
      <c r="A852" s="171"/>
      <c r="B852" s="174"/>
      <c r="C852" s="31"/>
      <c r="D852" s="31"/>
      <c r="E852" s="32"/>
      <c r="F852" s="42" t="s">
        <v>416</v>
      </c>
      <c r="G852" s="30" t="str">
        <f>IF(ISNUMBER(F852),E852*F852,"")</f>
        <v/>
      </c>
      <c r="H852" s="34"/>
      <c r="I852" s="30"/>
      <c r="J852" s="152">
        <v>0</v>
      </c>
    </row>
    <row r="853" spans="1:10" ht="15.75" hidden="1" thickBot="1" x14ac:dyDescent="0.3">
      <c r="A853" s="171"/>
      <c r="B853" s="174"/>
      <c r="C853" s="35" t="s">
        <v>2909</v>
      </c>
      <c r="D853" s="35" t="s">
        <v>583</v>
      </c>
      <c r="E853" s="36">
        <v>0.5</v>
      </c>
      <c r="F853" s="30">
        <v>25.060999999999996</v>
      </c>
      <c r="G853" s="33">
        <f>IF(ISNUMBER(F853),E853*F853,"")</f>
        <v>12.530499999999998</v>
      </c>
      <c r="H853" s="38">
        <f>SUM(G853:G855)</f>
        <v>20.248774999999998</v>
      </c>
      <c r="I853" s="39"/>
      <c r="J853" s="152">
        <v>0</v>
      </c>
    </row>
    <row r="854" spans="1:10" ht="15.75" hidden="1" thickBot="1" x14ac:dyDescent="0.3">
      <c r="A854" s="171"/>
      <c r="B854" s="174"/>
      <c r="C854" s="35" t="s">
        <v>584</v>
      </c>
      <c r="D854" s="35" t="s">
        <v>583</v>
      </c>
      <c r="E854" s="36">
        <f>E853/2</f>
        <v>0.25</v>
      </c>
      <c r="F854" s="33">
        <v>20.225499999999997</v>
      </c>
      <c r="G854" s="30">
        <f>IF(ISNUMBER(F854),E854*F854,"")</f>
        <v>5.0563749999999992</v>
      </c>
      <c r="H854" s="34"/>
      <c r="I854" s="30"/>
      <c r="J854" s="152">
        <v>0</v>
      </c>
    </row>
    <row r="855" spans="1:10" ht="15.75" hidden="1" thickBot="1" x14ac:dyDescent="0.3">
      <c r="A855" s="171"/>
      <c r="B855" s="174"/>
      <c r="C855" s="35" t="s">
        <v>8290</v>
      </c>
      <c r="D855" s="35" t="s">
        <v>773</v>
      </c>
      <c r="E855" s="36">
        <v>0.6</v>
      </c>
      <c r="F855" s="33">
        <v>4.4364999999999997</v>
      </c>
      <c r="G855" s="30">
        <f>IF(ISNUMBER(F855),E855*F855,"")</f>
        <v>2.6618999999999997</v>
      </c>
      <c r="H855" s="34"/>
      <c r="I855" s="30"/>
      <c r="J855" s="152">
        <v>0</v>
      </c>
    </row>
    <row r="856" spans="1:10" ht="15.75" hidden="1" thickBot="1" x14ac:dyDescent="0.3">
      <c r="A856" s="172"/>
      <c r="B856" s="175"/>
      <c r="C856" s="35"/>
      <c r="D856" s="35"/>
      <c r="E856" s="36"/>
      <c r="F856" s="30" t="s">
        <v>416</v>
      </c>
      <c r="G856" s="30" t="str">
        <f>IF(ISNUMBER(F856),E856*F856,"")</f>
        <v/>
      </c>
      <c r="H856" s="34"/>
      <c r="I856" s="30"/>
      <c r="J856" s="152">
        <v>0</v>
      </c>
    </row>
    <row r="857" spans="1:10" ht="15.75" hidden="1" thickBot="1" x14ac:dyDescent="0.3">
      <c r="A857" s="170" t="s">
        <v>221</v>
      </c>
      <c r="B857" s="173" t="str">
        <f>INDEX(Orçamentária!A:B,MATCH(Composições!A857,Orçamentária!A:A,0),2)</f>
        <v>Espelho cristal, e = 5 mm</v>
      </c>
      <c r="C857" s="40"/>
      <c r="D857" s="25" t="s">
        <v>70</v>
      </c>
      <c r="E857" s="26"/>
      <c r="F857" s="41" t="s">
        <v>416</v>
      </c>
      <c r="G857" s="27" t="str">
        <f>IF(ISNUMBER(F857),E857*F857,"")</f>
        <v/>
      </c>
      <c r="H857" s="28"/>
      <c r="I857" s="29"/>
      <c r="J857" s="152">
        <v>0</v>
      </c>
    </row>
    <row r="858" spans="1:10" ht="15.75" hidden="1" thickBot="1" x14ac:dyDescent="0.3">
      <c r="A858" s="176"/>
      <c r="B858" s="174"/>
      <c r="C858" s="31"/>
      <c r="D858" s="31"/>
      <c r="E858" s="32"/>
      <c r="F858" s="42" t="s">
        <v>416</v>
      </c>
      <c r="G858" s="30" t="str">
        <f>IF(ISNUMBER(F858),E858*F858,"")</f>
        <v/>
      </c>
      <c r="H858" s="34"/>
      <c r="I858" s="30"/>
      <c r="J858" s="152">
        <v>0</v>
      </c>
    </row>
    <row r="859" spans="1:10" ht="15.75" hidden="1" thickBot="1" x14ac:dyDescent="0.3">
      <c r="A859" s="176"/>
      <c r="B859" s="174"/>
      <c r="C859" s="35" t="s">
        <v>222</v>
      </c>
      <c r="D859" s="46" t="s">
        <v>70</v>
      </c>
      <c r="E859" s="36">
        <v>1</v>
      </c>
      <c r="F859" s="30">
        <v>0</v>
      </c>
      <c r="G859" s="33">
        <f>IF(ISNUMBER(F859),E859*F859,"")</f>
        <v>0</v>
      </c>
      <c r="H859" s="38">
        <f>SUM(G859:G861)</f>
        <v>113.21624999999997</v>
      </c>
      <c r="I859" s="39"/>
      <c r="J859" s="152">
        <v>0</v>
      </c>
    </row>
    <row r="860" spans="1:10" ht="15.75" hidden="1" thickBot="1" x14ac:dyDescent="0.3">
      <c r="A860" s="176"/>
      <c r="B860" s="174"/>
      <c r="C860" s="35" t="s">
        <v>584</v>
      </c>
      <c r="D860" s="35" t="s">
        <v>583</v>
      </c>
      <c r="E860" s="36">
        <v>2.5</v>
      </c>
      <c r="F860" s="30">
        <v>20.225499999999997</v>
      </c>
      <c r="G860" s="33">
        <f>IF(ISNUMBER(F860),E860*F860,"")</f>
        <v>50.563749999999992</v>
      </c>
      <c r="H860" s="34"/>
      <c r="I860" s="30"/>
      <c r="J860" s="152">
        <v>0</v>
      </c>
    </row>
    <row r="861" spans="1:10" ht="15.75" hidden="1" thickBot="1" x14ac:dyDescent="0.3">
      <c r="A861" s="176"/>
      <c r="B861" s="174"/>
      <c r="C861" s="35" t="s">
        <v>2909</v>
      </c>
      <c r="D861" s="35" t="s">
        <v>583</v>
      </c>
      <c r="E861" s="36">
        <v>2.5</v>
      </c>
      <c r="F861" s="30">
        <v>25.060999999999996</v>
      </c>
      <c r="G861" s="33">
        <f>IF(ISNUMBER(F861),E861*F861,"")</f>
        <v>62.652499999999989</v>
      </c>
      <c r="H861" s="34"/>
      <c r="I861" s="30"/>
      <c r="J861" s="152">
        <v>0</v>
      </c>
    </row>
    <row r="862" spans="1:10" ht="15.75" hidden="1" thickBot="1" x14ac:dyDescent="0.3">
      <c r="A862" s="177"/>
      <c r="B862" s="175"/>
      <c r="C862" s="35"/>
      <c r="D862" s="35"/>
      <c r="E862" s="36"/>
      <c r="F862" s="30" t="s">
        <v>416</v>
      </c>
      <c r="G862" s="30" t="str">
        <f>IF(ISNUMBER(F862),E862*F862,"")</f>
        <v/>
      </c>
      <c r="H862" s="34"/>
      <c r="I862" s="30"/>
      <c r="J862" s="152">
        <v>0</v>
      </c>
    </row>
    <row r="863" spans="1:10" ht="15.75" hidden="1" thickBot="1" x14ac:dyDescent="0.3">
      <c r="A863" s="170" t="s">
        <v>223</v>
      </c>
      <c r="B863" s="173" t="str">
        <f>INDEX(Orçamentária!A:B,MATCH(Composições!A863,Orçamentária!A:A,0),2)</f>
        <v>Instalação de vidro reaproveitado</v>
      </c>
      <c r="C863" s="40"/>
      <c r="D863" s="25" t="s">
        <v>70</v>
      </c>
      <c r="E863" s="26"/>
      <c r="F863" s="41" t="s">
        <v>416</v>
      </c>
      <c r="G863" s="27" t="str">
        <f>IF(ISNUMBER(F863),E863*F863,"")</f>
        <v/>
      </c>
      <c r="H863" s="28"/>
      <c r="I863" s="29"/>
      <c r="J863" s="152">
        <v>0</v>
      </c>
    </row>
    <row r="864" spans="1:10" ht="15.75" hidden="1" thickBot="1" x14ac:dyDescent="0.3">
      <c r="A864" s="176"/>
      <c r="B864" s="174"/>
      <c r="C864" s="31"/>
      <c r="D864" s="31"/>
      <c r="E864" s="32"/>
      <c r="F864" s="42" t="s">
        <v>416</v>
      </c>
      <c r="G864" s="30" t="str">
        <f>IF(ISNUMBER(F864),E864*F864,"")</f>
        <v/>
      </c>
      <c r="H864" s="34"/>
      <c r="I864" s="30"/>
      <c r="J864" s="152">
        <v>0</v>
      </c>
    </row>
    <row r="865" spans="1:10" ht="15.75" hidden="1" thickBot="1" x14ac:dyDescent="0.3">
      <c r="A865" s="176"/>
      <c r="B865" s="174"/>
      <c r="C865" s="35" t="s">
        <v>2909</v>
      </c>
      <c r="D865" s="35" t="s">
        <v>583</v>
      </c>
      <c r="E865" s="36">
        <v>1</v>
      </c>
      <c r="F865" s="30">
        <v>25.060999999999996</v>
      </c>
      <c r="G865" s="33">
        <f>IF(ISNUMBER(F865),E865*F865,"")</f>
        <v>25.060999999999996</v>
      </c>
      <c r="H865" s="38">
        <f>SUM(G865:G866)</f>
        <v>33.933999999999997</v>
      </c>
      <c r="I865" s="39"/>
      <c r="J865" s="152">
        <v>0</v>
      </c>
    </row>
    <row r="866" spans="1:10" ht="15.75" hidden="1" thickBot="1" x14ac:dyDescent="0.3">
      <c r="A866" s="176"/>
      <c r="B866" s="174"/>
      <c r="C866" s="35" t="s">
        <v>8290</v>
      </c>
      <c r="D866" s="35" t="s">
        <v>773</v>
      </c>
      <c r="E866" s="36">
        <v>2</v>
      </c>
      <c r="F866" s="33">
        <v>4.4364999999999997</v>
      </c>
      <c r="G866" s="33">
        <f>IF(ISNUMBER(F866),E866*F866,"")</f>
        <v>8.8729999999999993</v>
      </c>
      <c r="H866" s="34"/>
      <c r="I866" s="30"/>
      <c r="J866" s="152">
        <v>0</v>
      </c>
    </row>
    <row r="867" spans="1:10" ht="15.75" hidden="1" thickBot="1" x14ac:dyDescent="0.3">
      <c r="A867" s="176"/>
      <c r="B867" s="174"/>
      <c r="C867" s="35"/>
      <c r="D867" s="46"/>
      <c r="E867" s="36"/>
      <c r="F867" s="33" t="s">
        <v>416</v>
      </c>
      <c r="G867" s="33" t="str">
        <f>IF(ISNUMBER(F867),E867*F867,"")</f>
        <v/>
      </c>
      <c r="H867" s="34"/>
      <c r="I867" s="30"/>
      <c r="J867" s="152">
        <v>0</v>
      </c>
    </row>
    <row r="868" spans="1:10" ht="15.75" hidden="1" thickBot="1" x14ac:dyDescent="0.3">
      <c r="A868" s="170" t="s">
        <v>224</v>
      </c>
      <c r="B868" s="173" t="str">
        <f>INDEX(Orçamentária!A:B,MATCH(Composições!A868,Orçamentária!A:A,0),2)</f>
        <v>Substituição da calafetação com selante</v>
      </c>
      <c r="C868" s="40"/>
      <c r="D868" s="25" t="s">
        <v>69</v>
      </c>
      <c r="E868" s="26"/>
      <c r="F868" s="41" t="s">
        <v>416</v>
      </c>
      <c r="G868" s="27" t="str">
        <f>IF(ISNUMBER(F868),E868*F868,"")</f>
        <v/>
      </c>
      <c r="H868" s="28"/>
      <c r="I868" s="29"/>
      <c r="J868" s="152">
        <v>0</v>
      </c>
    </row>
    <row r="869" spans="1:10" ht="15.75" hidden="1" thickBot="1" x14ac:dyDescent="0.3">
      <c r="A869" s="171"/>
      <c r="B869" s="174"/>
      <c r="C869" s="31"/>
      <c r="D869" s="31"/>
      <c r="E869" s="32"/>
      <c r="F869" s="42" t="s">
        <v>416</v>
      </c>
      <c r="G869" s="30" t="str">
        <f>IF(ISNUMBER(F869),E869*F869,"")</f>
        <v/>
      </c>
      <c r="H869" s="34"/>
      <c r="I869" s="30"/>
      <c r="J869" s="152">
        <v>0</v>
      </c>
    </row>
    <row r="870" spans="1:10" ht="15.75" hidden="1" thickBot="1" x14ac:dyDescent="0.3">
      <c r="A870" s="171"/>
      <c r="B870" s="174"/>
      <c r="C870" s="35" t="s">
        <v>2909</v>
      </c>
      <c r="D870" s="35" t="s">
        <v>583</v>
      </c>
      <c r="E870" s="36">
        <v>0.3</v>
      </c>
      <c r="F870" s="30">
        <v>25.060999999999996</v>
      </c>
      <c r="G870" s="30">
        <f>IF(ISNUMBER(F870),E870*F870,"")</f>
        <v>7.5182999999999982</v>
      </c>
      <c r="H870" s="38">
        <f>SUM(G870:G872)</f>
        <v>22.293412499999995</v>
      </c>
      <c r="I870" s="39"/>
      <c r="J870" s="152">
        <v>0</v>
      </c>
    </row>
    <row r="871" spans="1:10" ht="15.75" hidden="1" thickBot="1" x14ac:dyDescent="0.3">
      <c r="A871" s="171"/>
      <c r="B871" s="174"/>
      <c r="C871" s="35" t="s">
        <v>584</v>
      </c>
      <c r="D871" s="35" t="s">
        <v>583</v>
      </c>
      <c r="E871" s="36">
        <v>0.3</v>
      </c>
      <c r="F871" s="33">
        <v>20.225499999999997</v>
      </c>
      <c r="G871" s="30">
        <f>IF(ISNUMBER(F871),E871*F871,"")</f>
        <v>6.0676499999999987</v>
      </c>
      <c r="H871" s="34"/>
      <c r="I871" s="30"/>
      <c r="J871" s="152">
        <v>0</v>
      </c>
    </row>
    <row r="872" spans="1:10" ht="15.75" hidden="1" thickBot="1" x14ac:dyDescent="0.3">
      <c r="A872" s="171"/>
      <c r="B872" s="174"/>
      <c r="C872" s="35" t="s">
        <v>8373</v>
      </c>
      <c r="D872" s="35" t="s">
        <v>213</v>
      </c>
      <c r="E872" s="36">
        <f>ROUND(1/3,4)</f>
        <v>0.33329999999999999</v>
      </c>
      <c r="F872" s="33">
        <v>26.125</v>
      </c>
      <c r="G872" s="30">
        <f>IF(ISNUMBER(F872),E872*F872,"")</f>
        <v>8.7074625000000001</v>
      </c>
      <c r="H872" s="34"/>
      <c r="I872" s="30"/>
      <c r="J872" s="152">
        <v>0</v>
      </c>
    </row>
    <row r="873" spans="1:10" ht="15.75" hidden="1" thickBot="1" x14ac:dyDescent="0.3">
      <c r="A873" s="171"/>
      <c r="B873" s="174"/>
      <c r="C873" s="35"/>
      <c r="D873" s="46"/>
      <c r="E873" s="36"/>
      <c r="F873" s="30" t="s">
        <v>416</v>
      </c>
      <c r="G873" s="30" t="str">
        <f>IF(ISNUMBER(F873),E873*F873,"")</f>
        <v/>
      </c>
      <c r="H873" s="34"/>
      <c r="I873" s="30"/>
      <c r="J873" s="152">
        <v>0</v>
      </c>
    </row>
    <row r="874" spans="1:10" ht="26.25" hidden="1" thickBot="1" x14ac:dyDescent="0.3">
      <c r="A874" s="171"/>
      <c r="B874" s="174"/>
      <c r="C874" s="57" t="s">
        <v>225</v>
      </c>
      <c r="D874" s="57"/>
      <c r="E874" s="58"/>
      <c r="F874" s="59" t="s">
        <v>416</v>
      </c>
      <c r="G874" s="57" t="str">
        <f>IF(ISNUMBER(F874),E874*F874,"")</f>
        <v/>
      </c>
      <c r="H874" s="60"/>
      <c r="I874" s="57"/>
      <c r="J874" s="152">
        <v>0</v>
      </c>
    </row>
    <row r="875" spans="1:10" ht="15.75" hidden="1" thickBot="1" x14ac:dyDescent="0.3">
      <c r="A875" s="172"/>
      <c r="B875" s="175"/>
      <c r="C875" s="35"/>
      <c r="D875" s="35"/>
      <c r="E875" s="36"/>
      <c r="F875" s="30" t="s">
        <v>416</v>
      </c>
      <c r="G875" s="30" t="str">
        <f>IF(ISNUMBER(F875),E875*F875,"")</f>
        <v/>
      </c>
      <c r="H875" s="34"/>
      <c r="I875" s="30"/>
      <c r="J875" s="152">
        <v>0</v>
      </c>
    </row>
    <row r="876" spans="1:10" ht="15.75" hidden="1" thickBot="1" x14ac:dyDescent="0.3">
      <c r="A876" s="170" t="s">
        <v>226</v>
      </c>
      <c r="B876" s="173" t="str">
        <f>INDEX(Orçamentária!A:B,MATCH(Composições!A876,Orçamentária!A:A,0),2)</f>
        <v>Vidro liso comum transparente 4 mm</v>
      </c>
      <c r="C876" s="40"/>
      <c r="D876" s="25" t="s">
        <v>70</v>
      </c>
      <c r="E876" s="26"/>
      <c r="F876" s="41" t="s">
        <v>416</v>
      </c>
      <c r="G876" s="27" t="str">
        <f>IF(ISNUMBER(F876),E876*F876,"")</f>
        <v/>
      </c>
      <c r="H876" s="28"/>
      <c r="I876" s="29"/>
      <c r="J876" s="152">
        <v>0</v>
      </c>
    </row>
    <row r="877" spans="1:10" ht="15.75" hidden="1" thickBot="1" x14ac:dyDescent="0.3">
      <c r="A877" s="171"/>
      <c r="B877" s="174"/>
      <c r="C877" s="31"/>
      <c r="D877" s="31"/>
      <c r="E877" s="32"/>
      <c r="F877" s="42" t="s">
        <v>416</v>
      </c>
      <c r="G877" s="30" t="str">
        <f>IF(ISNUMBER(F877),E877*F877,"")</f>
        <v/>
      </c>
      <c r="H877" s="34"/>
      <c r="I877" s="30"/>
      <c r="J877" s="152">
        <v>0</v>
      </c>
    </row>
    <row r="878" spans="1:10" ht="15.75" hidden="1" thickBot="1" x14ac:dyDescent="0.3">
      <c r="A878" s="171"/>
      <c r="B878" s="174"/>
      <c r="C878" s="35" t="s">
        <v>8505</v>
      </c>
      <c r="D878" s="35" t="s">
        <v>861</v>
      </c>
      <c r="E878" s="36">
        <v>1</v>
      </c>
      <c r="F878" s="30">
        <v>69.73</v>
      </c>
      <c r="G878" s="33">
        <f>IF(ISNUMBER(F878),E878*F878,"")</f>
        <v>69.73</v>
      </c>
      <c r="H878" s="38">
        <f>SUM(G878:G882)</f>
        <v>114.182951</v>
      </c>
      <c r="I878" s="39"/>
      <c r="J878" s="152">
        <v>0</v>
      </c>
    </row>
    <row r="879" spans="1:10" ht="15.75" hidden="1" thickBot="1" x14ac:dyDescent="0.3">
      <c r="A879" s="171"/>
      <c r="B879" s="174"/>
      <c r="C879" s="35" t="s">
        <v>2937</v>
      </c>
      <c r="D879" s="35" t="s">
        <v>773</v>
      </c>
      <c r="E879" s="36">
        <v>3.3000000000000002E-2</v>
      </c>
      <c r="F879" s="33">
        <v>24.281999999999996</v>
      </c>
      <c r="G879" s="33">
        <f>IF(ISNUMBER(F879),E879*F879,"")</f>
        <v>0.80130599999999996</v>
      </c>
      <c r="H879" s="34"/>
      <c r="I879" s="30"/>
      <c r="J879" s="152">
        <v>0</v>
      </c>
    </row>
    <row r="880" spans="1:10" ht="15.75" hidden="1" thickBot="1" x14ac:dyDescent="0.3">
      <c r="A880" s="171"/>
      <c r="B880" s="174"/>
      <c r="C880" s="35" t="s">
        <v>8373</v>
      </c>
      <c r="D880" s="35" t="s">
        <v>213</v>
      </c>
      <c r="E880" s="36">
        <v>0.56499999999999995</v>
      </c>
      <c r="F880" s="33">
        <v>26.125</v>
      </c>
      <c r="G880" s="33">
        <f>IF(ISNUMBER(F880),E880*F880,"")</f>
        <v>14.760624999999999</v>
      </c>
      <c r="H880" s="34"/>
      <c r="I880" s="30"/>
      <c r="J880" s="152">
        <v>0</v>
      </c>
    </row>
    <row r="881" spans="1:10" ht="15.75" hidden="1" thickBot="1" x14ac:dyDescent="0.3">
      <c r="A881" s="171"/>
      <c r="B881" s="174"/>
      <c r="C881" s="35" t="s">
        <v>584</v>
      </c>
      <c r="D881" s="35" t="s">
        <v>583</v>
      </c>
      <c r="E881" s="36">
        <v>0.628</v>
      </c>
      <c r="F881" s="33">
        <v>20.225499999999997</v>
      </c>
      <c r="G881" s="33">
        <f>IF(ISNUMBER(F881),E881*F881,"")</f>
        <v>12.701613999999998</v>
      </c>
      <c r="H881" s="34"/>
      <c r="I881" s="30"/>
      <c r="J881" s="152">
        <v>0</v>
      </c>
    </row>
    <row r="882" spans="1:10" ht="15.75" hidden="1" thickBot="1" x14ac:dyDescent="0.3">
      <c r="A882" s="171"/>
      <c r="B882" s="174"/>
      <c r="C882" s="35" t="s">
        <v>2909</v>
      </c>
      <c r="D882" s="35" t="s">
        <v>583</v>
      </c>
      <c r="E882" s="36">
        <v>0.64600000000000002</v>
      </c>
      <c r="F882" s="33">
        <v>25.060999999999996</v>
      </c>
      <c r="G882" s="33">
        <f>IF(ISNUMBER(F882),E882*F882,"")</f>
        <v>16.189405999999998</v>
      </c>
      <c r="H882" s="34"/>
      <c r="I882" s="30"/>
      <c r="J882" s="152">
        <v>0</v>
      </c>
    </row>
    <row r="883" spans="1:10" ht="15.75" hidden="1" thickBot="1" x14ac:dyDescent="0.3">
      <c r="A883" s="172"/>
      <c r="B883" s="175"/>
      <c r="C883" s="35"/>
      <c r="D883" s="35"/>
      <c r="E883" s="36"/>
      <c r="F883" s="30" t="s">
        <v>416</v>
      </c>
      <c r="G883" s="30" t="str">
        <f>IF(ISNUMBER(F883),E883*F883,"")</f>
        <v/>
      </c>
      <c r="H883" s="34"/>
      <c r="I883" s="30"/>
      <c r="J883" s="152">
        <v>0</v>
      </c>
    </row>
    <row r="884" spans="1:10" ht="15.75" hidden="1" thickBot="1" x14ac:dyDescent="0.3">
      <c r="A884" s="170" t="s">
        <v>227</v>
      </c>
      <c r="B884" s="173" t="str">
        <f>INDEX(Orçamentária!A:B,MATCH(Composições!A884,Orçamentária!A:A,0),2)</f>
        <v>Vidro liso comum transparente 6 mm</v>
      </c>
      <c r="C884" s="40"/>
      <c r="D884" s="25" t="s">
        <v>70</v>
      </c>
      <c r="E884" s="26"/>
      <c r="F884" s="41" t="s">
        <v>416</v>
      </c>
      <c r="G884" s="27" t="str">
        <f>IF(ISNUMBER(F884),E884*F884,"")</f>
        <v/>
      </c>
      <c r="H884" s="28"/>
      <c r="I884" s="29"/>
      <c r="J884" s="152">
        <v>0</v>
      </c>
    </row>
    <row r="885" spans="1:10" ht="15.75" hidden="1" thickBot="1" x14ac:dyDescent="0.3">
      <c r="A885" s="171"/>
      <c r="B885" s="174"/>
      <c r="C885" s="31"/>
      <c r="D885" s="31"/>
      <c r="E885" s="32"/>
      <c r="F885" s="42" t="s">
        <v>416</v>
      </c>
      <c r="G885" s="30" t="str">
        <f>IF(ISNUMBER(F885),E885*F885,"")</f>
        <v/>
      </c>
      <c r="H885" s="34"/>
      <c r="I885" s="30"/>
      <c r="J885" s="152">
        <v>0</v>
      </c>
    </row>
    <row r="886" spans="1:10" ht="15.75" hidden="1" thickBot="1" x14ac:dyDescent="0.3">
      <c r="A886" s="171"/>
      <c r="B886" s="174"/>
      <c r="C886" s="35" t="s">
        <v>228</v>
      </c>
      <c r="D886" s="35" t="s">
        <v>861</v>
      </c>
      <c r="E886" s="36">
        <v>1</v>
      </c>
      <c r="F886" s="30">
        <v>98.781000000000006</v>
      </c>
      <c r="G886" s="30">
        <f>IF(ISNUMBER(F886),E886*F886,"")</f>
        <v>98.781000000000006</v>
      </c>
      <c r="H886" s="38">
        <f>SUM(G886:G890)</f>
        <v>126.23794749999999</v>
      </c>
      <c r="I886" s="39"/>
      <c r="J886" s="152">
        <v>0</v>
      </c>
    </row>
    <row r="887" spans="1:10" ht="15.75" hidden="1" thickBot="1" x14ac:dyDescent="0.3">
      <c r="A887" s="171"/>
      <c r="B887" s="174"/>
      <c r="C887" s="35" t="s">
        <v>2937</v>
      </c>
      <c r="D887" s="35" t="s">
        <v>773</v>
      </c>
      <c r="E887" s="36">
        <v>2.1000000000000001E-2</v>
      </c>
      <c r="F887" s="33">
        <v>24.281999999999996</v>
      </c>
      <c r="G887" s="30">
        <f>IF(ISNUMBER(F887),E887*F887,"")</f>
        <v>0.50992199999999999</v>
      </c>
      <c r="H887" s="34"/>
      <c r="I887" s="30"/>
      <c r="J887" s="152">
        <v>0</v>
      </c>
    </row>
    <row r="888" spans="1:10" ht="15.75" hidden="1" thickBot="1" x14ac:dyDescent="0.3">
      <c r="A888" s="171"/>
      <c r="B888" s="174"/>
      <c r="C888" s="35" t="s">
        <v>8373</v>
      </c>
      <c r="D888" s="35" t="s">
        <v>213</v>
      </c>
      <c r="E888" s="36">
        <v>0.35699999999999998</v>
      </c>
      <c r="F888" s="33">
        <v>26.125</v>
      </c>
      <c r="G888" s="30">
        <f>IF(ISNUMBER(F888),E888*F888,"")</f>
        <v>9.3266249999999999</v>
      </c>
      <c r="H888" s="34"/>
      <c r="I888" s="30"/>
      <c r="J888" s="152">
        <v>0</v>
      </c>
    </row>
    <row r="889" spans="1:10" ht="15.75" hidden="1" thickBot="1" x14ac:dyDescent="0.3">
      <c r="A889" s="171"/>
      <c r="B889" s="174"/>
      <c r="C889" s="35" t="s">
        <v>584</v>
      </c>
      <c r="D889" s="35" t="s">
        <v>583</v>
      </c>
      <c r="E889" s="36">
        <v>0.38300000000000001</v>
      </c>
      <c r="F889" s="33">
        <v>20.225499999999997</v>
      </c>
      <c r="G889" s="30">
        <f>IF(ISNUMBER(F889),E889*F889,"")</f>
        <v>7.7463664999999988</v>
      </c>
      <c r="H889" s="34"/>
      <c r="I889" s="30"/>
      <c r="J889" s="152">
        <v>0</v>
      </c>
    </row>
    <row r="890" spans="1:10" ht="15.75" hidden="1" thickBot="1" x14ac:dyDescent="0.3">
      <c r="A890" s="171"/>
      <c r="B890" s="174"/>
      <c r="C890" s="35" t="s">
        <v>2909</v>
      </c>
      <c r="D890" s="35" t="s">
        <v>583</v>
      </c>
      <c r="E890" s="36">
        <v>0.39400000000000002</v>
      </c>
      <c r="F890" s="33">
        <v>25.060999999999996</v>
      </c>
      <c r="G890" s="30">
        <f>IF(ISNUMBER(F890),E890*F890,"")</f>
        <v>9.8740339999999982</v>
      </c>
      <c r="H890" s="34"/>
      <c r="I890" s="30"/>
      <c r="J890" s="152">
        <v>0</v>
      </c>
    </row>
    <row r="891" spans="1:10" ht="15.75" hidden="1" thickBot="1" x14ac:dyDescent="0.3">
      <c r="A891" s="172"/>
      <c r="B891" s="175"/>
      <c r="C891" s="35"/>
      <c r="D891" s="35"/>
      <c r="E891" s="36"/>
      <c r="F891" s="30" t="s">
        <v>416</v>
      </c>
      <c r="G891" s="30" t="str">
        <f>IF(ISNUMBER(F891),E891*F891,"")</f>
        <v/>
      </c>
      <c r="H891" s="34"/>
      <c r="I891" s="30"/>
      <c r="J891" s="152">
        <v>0</v>
      </c>
    </row>
    <row r="892" spans="1:10" ht="15.75" hidden="1" thickBot="1" x14ac:dyDescent="0.3">
      <c r="A892" s="170" t="s">
        <v>229</v>
      </c>
      <c r="B892" s="173" t="str">
        <f>INDEX(Orçamentária!A:B,MATCH(Composições!A892,Orçamentária!A:A,0),2)</f>
        <v>Instalação de painéis de vidro temperado reaproveitados</v>
      </c>
      <c r="C892" s="40"/>
      <c r="D892" s="25" t="s">
        <v>70</v>
      </c>
      <c r="E892" s="26"/>
      <c r="F892" s="41" t="s">
        <v>416</v>
      </c>
      <c r="G892" s="27" t="str">
        <f>IF(ISNUMBER(F892),E892*F892,"")</f>
        <v/>
      </c>
      <c r="H892" s="28"/>
      <c r="I892" s="29"/>
      <c r="J892" s="152">
        <v>0</v>
      </c>
    </row>
    <row r="893" spans="1:10" ht="15.75" hidden="1" thickBot="1" x14ac:dyDescent="0.3">
      <c r="A893" s="176"/>
      <c r="B893" s="174"/>
      <c r="C893" s="31"/>
      <c r="D893" s="31"/>
      <c r="E893" s="32"/>
      <c r="F893" s="42" t="s">
        <v>416</v>
      </c>
      <c r="G893" s="30" t="str">
        <f>IF(ISNUMBER(F893),E893*F893,"")</f>
        <v/>
      </c>
      <c r="H893" s="34"/>
      <c r="I893" s="30"/>
      <c r="J893" s="152">
        <v>0</v>
      </c>
    </row>
    <row r="894" spans="1:10" ht="15.75" hidden="1" thickBot="1" x14ac:dyDescent="0.3">
      <c r="A894" s="176"/>
      <c r="B894" s="174"/>
      <c r="C894" s="35" t="s">
        <v>2909</v>
      </c>
      <c r="D894" s="35" t="s">
        <v>583</v>
      </c>
      <c r="E894" s="36">
        <f>2.2/2</f>
        <v>1.1000000000000001</v>
      </c>
      <c r="F894" s="30">
        <v>25.060999999999996</v>
      </c>
      <c r="G894" s="33">
        <f>IF(ISNUMBER(F894),E894*F894,"")</f>
        <v>27.5671</v>
      </c>
      <c r="H894" s="38">
        <f>SUM(G894:G895)</f>
        <v>49.815150000000003</v>
      </c>
      <c r="I894" s="39"/>
      <c r="J894" s="152">
        <v>0</v>
      </c>
    </row>
    <row r="895" spans="1:10" ht="15.75" hidden="1" thickBot="1" x14ac:dyDescent="0.3">
      <c r="A895" s="176"/>
      <c r="B895" s="174"/>
      <c r="C895" s="35" t="s">
        <v>584</v>
      </c>
      <c r="D895" s="35" t="s">
        <v>583</v>
      </c>
      <c r="E895" s="36">
        <f>2.2/2</f>
        <v>1.1000000000000001</v>
      </c>
      <c r="F895" s="30">
        <v>20.225499999999997</v>
      </c>
      <c r="G895" s="33">
        <f>IF(ISNUMBER(F895),E895*F895,"")</f>
        <v>22.248049999999999</v>
      </c>
      <c r="H895" s="34"/>
      <c r="I895" s="30"/>
      <c r="J895" s="152">
        <v>0</v>
      </c>
    </row>
    <row r="896" spans="1:10" ht="15.75" hidden="1" thickBot="1" x14ac:dyDescent="0.3">
      <c r="A896" s="177"/>
      <c r="B896" s="175"/>
      <c r="C896" s="35"/>
      <c r="D896" s="35"/>
      <c r="E896" s="36"/>
      <c r="F896" s="30" t="s">
        <v>416</v>
      </c>
      <c r="G896" s="30" t="str">
        <f>IF(ISNUMBER(F896),E896*F896,"")</f>
        <v/>
      </c>
      <c r="H896" s="34"/>
      <c r="I896" s="30"/>
      <c r="J896" s="152">
        <v>0</v>
      </c>
    </row>
    <row r="897" spans="1:10" ht="15.75" hidden="1" thickBot="1" x14ac:dyDescent="0.3">
      <c r="A897" s="170" t="s">
        <v>230</v>
      </c>
      <c r="B897" s="173" t="str">
        <f>INDEX(Orçamentária!A:B,MATCH(Composições!A897,Orçamentária!A:A,0),2)</f>
        <v>Mola hidráulica de piso</v>
      </c>
      <c r="C897" s="40"/>
      <c r="D897" s="25" t="s">
        <v>16</v>
      </c>
      <c r="E897" s="26"/>
      <c r="F897" s="41" t="s">
        <v>416</v>
      </c>
      <c r="G897" s="27" t="str">
        <f>IF(ISNUMBER(F897),E897*F897,"")</f>
        <v/>
      </c>
      <c r="H897" s="28"/>
      <c r="I897" s="29"/>
      <c r="J897" s="152">
        <v>0</v>
      </c>
    </row>
    <row r="898" spans="1:10" ht="15.75" hidden="1" thickBot="1" x14ac:dyDescent="0.3">
      <c r="A898" s="176"/>
      <c r="B898" s="174"/>
      <c r="C898" s="31"/>
      <c r="D898" s="31"/>
      <c r="E898" s="32"/>
      <c r="F898" s="42" t="s">
        <v>416</v>
      </c>
      <c r="G898" s="30" t="str">
        <f>IF(ISNUMBER(F898),E898*F898,"")</f>
        <v/>
      </c>
      <c r="H898" s="34"/>
      <c r="I898" s="30"/>
      <c r="J898" s="152">
        <v>0</v>
      </c>
    </row>
    <row r="899" spans="1:10" ht="15.75" hidden="1" thickBot="1" x14ac:dyDescent="0.3">
      <c r="A899" s="176"/>
      <c r="B899" s="174"/>
      <c r="C899" s="35" t="s">
        <v>2909</v>
      </c>
      <c r="D899" s="35" t="s">
        <v>583</v>
      </c>
      <c r="E899" s="36">
        <v>1.8180000000000001</v>
      </c>
      <c r="F899" s="30">
        <v>25.060999999999996</v>
      </c>
      <c r="G899" s="33">
        <f>IF(ISNUMBER(F899),E899*F899,"")</f>
        <v>45.560897999999995</v>
      </c>
      <c r="H899" s="38">
        <f>SUM(G899:G902)</f>
        <v>81.299356499999988</v>
      </c>
      <c r="I899" s="39"/>
      <c r="J899" s="152">
        <v>0</v>
      </c>
    </row>
    <row r="900" spans="1:10" ht="15.75" hidden="1" thickBot="1" x14ac:dyDescent="0.3">
      <c r="A900" s="176"/>
      <c r="B900" s="174"/>
      <c r="C900" s="35" t="s">
        <v>584</v>
      </c>
      <c r="D900" s="35" t="s">
        <v>583</v>
      </c>
      <c r="E900" s="36">
        <v>1.7669999999999999</v>
      </c>
      <c r="F900" s="30">
        <v>20.225499999999997</v>
      </c>
      <c r="G900" s="33">
        <f>IF(ISNUMBER(F900),E900*F900,"")</f>
        <v>35.738458499999993</v>
      </c>
      <c r="H900" s="44"/>
      <c r="I900" s="45"/>
      <c r="J900" s="152">
        <v>0</v>
      </c>
    </row>
    <row r="901" spans="1:10" ht="39" hidden="1" thickBot="1" x14ac:dyDescent="0.3">
      <c r="A901" s="176"/>
      <c r="B901" s="174"/>
      <c r="C901" s="35" t="s">
        <v>5550</v>
      </c>
      <c r="D901" s="35" t="s">
        <v>16</v>
      </c>
      <c r="E901" s="36">
        <v>1</v>
      </c>
      <c r="F901" s="30" t="s">
        <v>416</v>
      </c>
      <c r="G901" s="30" t="str">
        <f>IF(ISNUMBER(F901),E901*F901,"")</f>
        <v/>
      </c>
      <c r="H901" s="34"/>
      <c r="I901" s="30"/>
      <c r="J901" s="152">
        <v>0</v>
      </c>
    </row>
    <row r="902" spans="1:10" ht="15.75" hidden="1" thickBot="1" x14ac:dyDescent="0.3">
      <c r="A902" s="176"/>
      <c r="B902" s="174"/>
      <c r="C902" s="35" t="s">
        <v>5551</v>
      </c>
      <c r="D902" s="35" t="s">
        <v>16</v>
      </c>
      <c r="E902" s="36">
        <v>1</v>
      </c>
      <c r="F902" s="30" t="s">
        <v>416</v>
      </c>
      <c r="G902" s="30" t="str">
        <f>IF(ISNUMBER(F902),E902*F902,"")</f>
        <v/>
      </c>
      <c r="H902" s="34"/>
      <c r="I902" s="30"/>
      <c r="J902" s="152">
        <v>0</v>
      </c>
    </row>
    <row r="903" spans="1:10" ht="15.75" hidden="1" thickBot="1" x14ac:dyDescent="0.3">
      <c r="A903" s="177"/>
      <c r="B903" s="175"/>
      <c r="C903" s="35"/>
      <c r="D903" s="35"/>
      <c r="E903" s="36"/>
      <c r="F903" s="30" t="s">
        <v>416</v>
      </c>
      <c r="G903" s="30" t="str">
        <f>IF(ISNUMBER(F903),E903*F903,"")</f>
        <v/>
      </c>
      <c r="H903" s="34"/>
      <c r="I903" s="30"/>
      <c r="J903" s="152">
        <v>0</v>
      </c>
    </row>
    <row r="904" spans="1:10" ht="15.75" hidden="1" thickBot="1" x14ac:dyDescent="0.3">
      <c r="A904" s="170" t="s">
        <v>231</v>
      </c>
      <c r="B904" s="173" t="str">
        <f>INDEX(Orçamentária!A:B,MATCH(Composições!A904,Orçamentária!A:A,0),2)</f>
        <v>Instalação de persianas reaproveitadas</v>
      </c>
      <c r="C904" s="40"/>
      <c r="D904" s="25" t="s">
        <v>69</v>
      </c>
      <c r="E904" s="26"/>
      <c r="F904" s="41" t="s">
        <v>416</v>
      </c>
      <c r="G904" s="27" t="str">
        <f>IF(ISNUMBER(F904),E904*F904,"")</f>
        <v/>
      </c>
      <c r="H904" s="28"/>
      <c r="I904" s="29"/>
      <c r="J904" s="152">
        <v>0</v>
      </c>
    </row>
    <row r="905" spans="1:10" ht="15.75" hidden="1" thickBot="1" x14ac:dyDescent="0.3">
      <c r="A905" s="176"/>
      <c r="B905" s="174"/>
      <c r="C905" s="31"/>
      <c r="D905" s="31"/>
      <c r="E905" s="32"/>
      <c r="F905" s="42" t="s">
        <v>416</v>
      </c>
      <c r="G905" s="30" t="str">
        <f>IF(ISNUMBER(F905),E905*F905,"")</f>
        <v/>
      </c>
      <c r="H905" s="34"/>
      <c r="I905" s="30"/>
      <c r="J905" s="152">
        <v>0</v>
      </c>
    </row>
    <row r="906" spans="1:10" ht="15.75" hidden="1" thickBot="1" x14ac:dyDescent="0.3">
      <c r="A906" s="176"/>
      <c r="B906" s="174"/>
      <c r="C906" s="35" t="s">
        <v>1233</v>
      </c>
      <c r="D906" s="35" t="s">
        <v>583</v>
      </c>
      <c r="E906" s="36">
        <f>ROUND(1/3,4)</f>
        <v>0.33329999999999999</v>
      </c>
      <c r="F906" s="30">
        <v>21.318000000000001</v>
      </c>
      <c r="G906" s="33">
        <f>IF(ISNUMBER(F906),E906*F906,"")</f>
        <v>7.1052894000000002</v>
      </c>
      <c r="H906" s="38">
        <f>SUM(G906:G906)</f>
        <v>7.1052894000000002</v>
      </c>
      <c r="I906" s="39"/>
      <c r="J906" s="152">
        <v>0</v>
      </c>
    </row>
    <row r="907" spans="1:10" ht="15.75" hidden="1" thickBot="1" x14ac:dyDescent="0.3">
      <c r="A907" s="177"/>
      <c r="B907" s="175"/>
      <c r="C907" s="35"/>
      <c r="D907" s="35"/>
      <c r="E907" s="36"/>
      <c r="F907" s="30" t="s">
        <v>416</v>
      </c>
      <c r="G907" s="30" t="str">
        <f>IF(ISNUMBER(F907),E907*F907,"")</f>
        <v/>
      </c>
      <c r="H907" s="34"/>
      <c r="I907" s="30"/>
      <c r="J907" s="152">
        <v>0</v>
      </c>
    </row>
    <row r="908" spans="1:10" ht="15.75" hidden="1" thickBot="1" x14ac:dyDescent="0.3">
      <c r="A908" s="170" t="s">
        <v>232</v>
      </c>
      <c r="B908" s="173" t="str">
        <f>INDEX(Orçamentária!A:B,MATCH(Composições!A908,Orçamentária!A:A,0),2)</f>
        <v>Tubo de ligação para bacia sanitária</v>
      </c>
      <c r="C908" s="40"/>
      <c r="D908" s="25" t="s">
        <v>16</v>
      </c>
      <c r="E908" s="26"/>
      <c r="F908" s="41" t="s">
        <v>416</v>
      </c>
      <c r="G908" s="27" t="str">
        <f>IF(ISNUMBER(F908),E908*F908,"")</f>
        <v/>
      </c>
      <c r="H908" s="28"/>
      <c r="I908" s="29"/>
      <c r="J908" s="152">
        <v>0</v>
      </c>
    </row>
    <row r="909" spans="1:10" ht="15.75" hidden="1" thickBot="1" x14ac:dyDescent="0.3">
      <c r="A909" s="176"/>
      <c r="B909" s="174"/>
      <c r="C909" s="31"/>
      <c r="D909" s="31"/>
      <c r="E909" s="32"/>
      <c r="F909" s="42" t="s">
        <v>416</v>
      </c>
      <c r="G909" s="30" t="str">
        <f>IF(ISNUMBER(F909),E909*F909,"")</f>
        <v/>
      </c>
      <c r="H909" s="34"/>
      <c r="I909" s="30"/>
      <c r="J909" s="152">
        <v>0</v>
      </c>
    </row>
    <row r="910" spans="1:10" ht="26.25" hidden="1" thickBot="1" x14ac:dyDescent="0.3">
      <c r="A910" s="176"/>
      <c r="B910" s="174"/>
      <c r="C910" s="35" t="s">
        <v>825</v>
      </c>
      <c r="D910" s="35" t="s">
        <v>583</v>
      </c>
      <c r="E910" s="36">
        <v>0.2</v>
      </c>
      <c r="F910" s="30">
        <v>26.799499999999998</v>
      </c>
      <c r="G910" s="33">
        <f>IF(ISNUMBER(F910),E910*F910,"")</f>
        <v>5.3598999999999997</v>
      </c>
      <c r="H910" s="38">
        <f>SUM(G910:G912)</f>
        <v>19.752400000000002</v>
      </c>
      <c r="I910" s="39"/>
      <c r="J910" s="152">
        <v>0</v>
      </c>
    </row>
    <row r="911" spans="1:10" ht="26.25" hidden="1" thickBot="1" x14ac:dyDescent="0.3">
      <c r="A911" s="176"/>
      <c r="B911" s="174"/>
      <c r="C911" s="35" t="s">
        <v>7982</v>
      </c>
      <c r="D911" s="35" t="s">
        <v>213</v>
      </c>
      <c r="E911" s="36">
        <v>1</v>
      </c>
      <c r="F911" s="33">
        <v>14.3925</v>
      </c>
      <c r="G911" s="53">
        <f>IF(ISNUMBER(F911),E911*F911,"")</f>
        <v>14.3925</v>
      </c>
      <c r="H911" s="34"/>
      <c r="I911" s="30"/>
      <c r="J911" s="152">
        <v>0</v>
      </c>
    </row>
    <row r="912" spans="1:10" ht="26.25" hidden="1" thickBot="1" x14ac:dyDescent="0.3">
      <c r="A912" s="176"/>
      <c r="B912" s="174"/>
      <c r="C912" s="35" t="s">
        <v>233</v>
      </c>
      <c r="D912" s="35" t="s">
        <v>16</v>
      </c>
      <c r="E912" s="36">
        <v>1</v>
      </c>
      <c r="F912" s="33" t="s">
        <v>416</v>
      </c>
      <c r="G912" s="30" t="str">
        <f>IF(ISNUMBER(F912),E912*F912,"")</f>
        <v/>
      </c>
      <c r="H912" s="34"/>
      <c r="I912" s="30"/>
      <c r="J912" s="152">
        <v>0</v>
      </c>
    </row>
    <row r="913" spans="1:10" ht="15.75" hidden="1" thickBot="1" x14ac:dyDescent="0.3">
      <c r="A913" s="177"/>
      <c r="B913" s="175"/>
      <c r="C913" s="35"/>
      <c r="D913" s="35"/>
      <c r="E913" s="36"/>
      <c r="F913" s="30" t="s">
        <v>416</v>
      </c>
      <c r="G913" s="30" t="str">
        <f>IF(ISNUMBER(F913),E913*F913,"")</f>
        <v/>
      </c>
      <c r="H913" s="34"/>
      <c r="I913" s="30"/>
      <c r="J913" s="152">
        <v>0</v>
      </c>
    </row>
    <row r="914" spans="1:10" ht="15.75" thickBot="1" x14ac:dyDescent="0.3">
      <c r="A914" s="170" t="s">
        <v>234</v>
      </c>
      <c r="B914" s="173" t="str">
        <f>INDEX(Orçamentária!A:B,MATCH(Composições!A914,Orçamentária!A:A,0),2)</f>
        <v>Tubo PVC esgoto ou aguas pluviais predial DN 100 mm</v>
      </c>
      <c r="C914" s="40"/>
      <c r="D914" s="25" t="s">
        <v>69</v>
      </c>
      <c r="E914" s="26"/>
      <c r="F914" s="41" t="s">
        <v>416</v>
      </c>
      <c r="G914" s="27" t="str">
        <f>IF(ISNUMBER(F914),E914*F914,"")</f>
        <v/>
      </c>
      <c r="H914" s="28"/>
      <c r="I914" s="29"/>
      <c r="J914" s="152">
        <v>6</v>
      </c>
    </row>
    <row r="915" spans="1:10" x14ac:dyDescent="0.25">
      <c r="A915" s="176"/>
      <c r="B915" s="174"/>
      <c r="C915" s="31"/>
      <c r="D915" s="31"/>
      <c r="E915" s="32"/>
      <c r="F915" s="42" t="s">
        <v>416</v>
      </c>
      <c r="G915" s="30" t="str">
        <f>IF(ISNUMBER(F915),E915*F915,"")</f>
        <v/>
      </c>
      <c r="H915" s="34"/>
      <c r="I915" s="30"/>
      <c r="J915" s="152">
        <v>6</v>
      </c>
    </row>
    <row r="916" spans="1:10" x14ac:dyDescent="0.25">
      <c r="A916" s="176"/>
      <c r="B916" s="174"/>
      <c r="C916" s="35" t="s">
        <v>7975</v>
      </c>
      <c r="D916" s="35" t="s">
        <v>213</v>
      </c>
      <c r="E916" s="36">
        <v>4.2900000000000001E-2</v>
      </c>
      <c r="F916" s="33">
        <v>66.36699999999999</v>
      </c>
      <c r="G916" s="33">
        <f>IF(ISNUMBER(F916),E916*F916,"")</f>
        <v>2.8471442999999996</v>
      </c>
      <c r="H916" s="38">
        <f>SUM(G916:G921)</f>
        <v>58.468903299999994</v>
      </c>
      <c r="I916" s="39"/>
      <c r="J916" s="152">
        <v>6</v>
      </c>
    </row>
    <row r="917" spans="1:10" ht="25.5" x14ac:dyDescent="0.25">
      <c r="A917" s="176"/>
      <c r="B917" s="174"/>
      <c r="C917" s="35" t="s">
        <v>8469</v>
      </c>
      <c r="D917" s="35" t="s">
        <v>385</v>
      </c>
      <c r="E917" s="36">
        <v>1.04</v>
      </c>
      <c r="F917" s="33">
        <v>27.587999999999997</v>
      </c>
      <c r="G917" s="33">
        <f>IF(ISNUMBER(F917),E917*F917,"")</f>
        <v>28.691519999999997</v>
      </c>
      <c r="H917" s="44"/>
      <c r="I917" s="45"/>
      <c r="J917" s="152">
        <v>6</v>
      </c>
    </row>
    <row r="918" spans="1:10" ht="25.5" x14ac:dyDescent="0.25">
      <c r="A918" s="176"/>
      <c r="B918" s="174"/>
      <c r="C918" s="35" t="s">
        <v>8375</v>
      </c>
      <c r="D918" s="35" t="s">
        <v>213</v>
      </c>
      <c r="E918" s="36">
        <v>7.0099999999999996E-2</v>
      </c>
      <c r="F918" s="33">
        <v>75.192499999999995</v>
      </c>
      <c r="G918" s="33">
        <f>IF(ISNUMBER(F918),E918*F918,"")</f>
        <v>5.2709942499999993</v>
      </c>
      <c r="H918" s="44"/>
      <c r="I918" s="45"/>
      <c r="J918" s="152">
        <v>6</v>
      </c>
    </row>
    <row r="919" spans="1:10" x14ac:dyDescent="0.25">
      <c r="A919" s="176"/>
      <c r="B919" s="174"/>
      <c r="C919" s="35" t="s">
        <v>8220</v>
      </c>
      <c r="D919" s="35" t="s">
        <v>213</v>
      </c>
      <c r="E919" s="36">
        <v>0.14849999999999999</v>
      </c>
      <c r="F919" s="33">
        <v>2.1185</v>
      </c>
      <c r="G919" s="33">
        <f>IF(ISNUMBER(F919),E919*F919,"")</f>
        <v>0.31459724999999999</v>
      </c>
      <c r="H919" s="44"/>
      <c r="I919" s="45"/>
      <c r="J919" s="152">
        <v>6</v>
      </c>
    </row>
    <row r="920" spans="1:10" ht="25.5" x14ac:dyDescent="0.25">
      <c r="A920" s="176"/>
      <c r="B920" s="174"/>
      <c r="C920" s="35" t="s">
        <v>824</v>
      </c>
      <c r="D920" s="35" t="s">
        <v>583</v>
      </c>
      <c r="E920" s="36">
        <v>0.44500000000000001</v>
      </c>
      <c r="F920" s="30">
        <v>21.166</v>
      </c>
      <c r="G920" s="33">
        <f>IF(ISNUMBER(F920),E920*F920,"")</f>
        <v>9.4188700000000001</v>
      </c>
      <c r="H920" s="44"/>
      <c r="I920" s="45"/>
      <c r="J920" s="152">
        <v>6</v>
      </c>
    </row>
    <row r="921" spans="1:10" ht="25.5" x14ac:dyDescent="0.25">
      <c r="A921" s="176"/>
      <c r="B921" s="174"/>
      <c r="C921" s="35" t="s">
        <v>825</v>
      </c>
      <c r="D921" s="35" t="s">
        <v>583</v>
      </c>
      <c r="E921" s="36">
        <v>0.44500000000000001</v>
      </c>
      <c r="F921" s="30">
        <v>26.799499999999998</v>
      </c>
      <c r="G921" s="33">
        <f>IF(ISNUMBER(F921),E921*F921,"")</f>
        <v>11.925777499999999</v>
      </c>
      <c r="H921" s="44"/>
      <c r="I921" s="45"/>
      <c r="J921" s="152">
        <v>6</v>
      </c>
    </row>
    <row r="922" spans="1:10" ht="15.75" thickBot="1" x14ac:dyDescent="0.3">
      <c r="A922" s="177"/>
      <c r="B922" s="175"/>
      <c r="C922" s="35"/>
      <c r="D922" s="35"/>
      <c r="E922" s="36"/>
      <c r="F922" s="30" t="s">
        <v>416</v>
      </c>
      <c r="G922" s="30" t="str">
        <f>IF(ISNUMBER(F922),E922*F922,"")</f>
        <v/>
      </c>
      <c r="H922" s="34"/>
      <c r="I922" s="30"/>
      <c r="J922" s="152">
        <v>6</v>
      </c>
    </row>
    <row r="923" spans="1:10" ht="15.75" hidden="1" thickBot="1" x14ac:dyDescent="0.3">
      <c r="A923" s="170" t="s">
        <v>235</v>
      </c>
      <c r="B923" s="173" t="str">
        <f>INDEX(Orçamentária!A:B,MATCH(Composições!A923,Orçamentária!A:A,0),2)</f>
        <v>Tubo PVC esgoto ou aguas pluviais predial DN 40 mm</v>
      </c>
      <c r="C923" s="40"/>
      <c r="D923" s="25" t="s">
        <v>69</v>
      </c>
      <c r="E923" s="26"/>
      <c r="F923" s="41" t="s">
        <v>416</v>
      </c>
      <c r="G923" s="27" t="str">
        <f>IF(ISNUMBER(F923),E923*F923,"")</f>
        <v/>
      </c>
      <c r="H923" s="28"/>
      <c r="I923" s="29"/>
      <c r="J923" s="152">
        <v>0</v>
      </c>
    </row>
    <row r="924" spans="1:10" ht="15.75" hidden="1" thickBot="1" x14ac:dyDescent="0.3">
      <c r="A924" s="176"/>
      <c r="B924" s="174"/>
      <c r="C924" s="31"/>
      <c r="D924" s="31"/>
      <c r="E924" s="32"/>
      <c r="F924" s="42" t="s">
        <v>416</v>
      </c>
      <c r="G924" s="30" t="str">
        <f>IF(ISNUMBER(F924),E924*F924,"")</f>
        <v/>
      </c>
      <c r="H924" s="34"/>
      <c r="I924" s="30"/>
      <c r="J924" s="152">
        <v>0</v>
      </c>
    </row>
    <row r="925" spans="1:10" ht="26.25" hidden="1" thickBot="1" x14ac:dyDescent="0.3">
      <c r="A925" s="176"/>
      <c r="B925" s="174"/>
      <c r="C925" s="35" t="s">
        <v>8470</v>
      </c>
      <c r="D925" s="35" t="s">
        <v>385</v>
      </c>
      <c r="E925" s="36">
        <v>1.04</v>
      </c>
      <c r="F925" s="33">
        <v>8.9489999999999998</v>
      </c>
      <c r="G925" s="33">
        <f>IF(ISNUMBER(F925),E925*F925,"")</f>
        <v>9.3069600000000001</v>
      </c>
      <c r="H925" s="38">
        <f>SUM(G925:G928)</f>
        <v>17.299652000000002</v>
      </c>
      <c r="I925" s="39"/>
      <c r="J925" s="152">
        <v>0</v>
      </c>
    </row>
    <row r="926" spans="1:10" ht="15.75" hidden="1" thickBot="1" x14ac:dyDescent="0.3">
      <c r="A926" s="176"/>
      <c r="B926" s="174"/>
      <c r="C926" s="35" t="s">
        <v>8220</v>
      </c>
      <c r="D926" s="35" t="s">
        <v>213</v>
      </c>
      <c r="E926" s="36">
        <v>3.6999999999999998E-2</v>
      </c>
      <c r="F926" s="33">
        <v>2.1185</v>
      </c>
      <c r="G926" s="33">
        <f>IF(ISNUMBER(F926),E926*F926,"")</f>
        <v>7.8384499999999996E-2</v>
      </c>
      <c r="H926" s="34"/>
      <c r="I926" s="30"/>
      <c r="J926" s="152">
        <v>0</v>
      </c>
    </row>
    <row r="927" spans="1:10" ht="26.25" hidden="1" thickBot="1" x14ac:dyDescent="0.3">
      <c r="A927" s="176"/>
      <c r="B927" s="174"/>
      <c r="C927" s="35" t="s">
        <v>824</v>
      </c>
      <c r="D927" s="35" t="s">
        <v>583</v>
      </c>
      <c r="E927" s="36">
        <v>0.16500000000000001</v>
      </c>
      <c r="F927" s="30">
        <v>21.166</v>
      </c>
      <c r="G927" s="33">
        <f>IF(ISNUMBER(F927),E927*F927,"")</f>
        <v>3.4923900000000003</v>
      </c>
      <c r="H927" s="34"/>
      <c r="I927" s="30"/>
      <c r="J927" s="152">
        <v>0</v>
      </c>
    </row>
    <row r="928" spans="1:10" ht="26.25" hidden="1" thickBot="1" x14ac:dyDescent="0.3">
      <c r="A928" s="176"/>
      <c r="B928" s="174"/>
      <c r="C928" s="35" t="s">
        <v>825</v>
      </c>
      <c r="D928" s="35" t="s">
        <v>583</v>
      </c>
      <c r="E928" s="36">
        <v>0.16500000000000001</v>
      </c>
      <c r="F928" s="30">
        <v>26.799499999999998</v>
      </c>
      <c r="G928" s="33">
        <f>IF(ISNUMBER(F928),E928*F928,"")</f>
        <v>4.4219175000000002</v>
      </c>
      <c r="H928" s="34"/>
      <c r="I928" s="30"/>
      <c r="J928" s="152">
        <v>0</v>
      </c>
    </row>
    <row r="929" spans="1:10" ht="15.75" hidden="1" thickBot="1" x14ac:dyDescent="0.3">
      <c r="A929" s="177"/>
      <c r="B929" s="175"/>
      <c r="C929" s="35"/>
      <c r="D929" s="35"/>
      <c r="E929" s="36"/>
      <c r="F929" s="30" t="s">
        <v>416</v>
      </c>
      <c r="G929" s="30" t="str">
        <f>IF(ISNUMBER(F929),E929*F929,"")</f>
        <v/>
      </c>
      <c r="H929" s="34"/>
      <c r="I929" s="30"/>
      <c r="J929" s="152">
        <v>0</v>
      </c>
    </row>
    <row r="930" spans="1:10" ht="15.75" hidden="1" thickBot="1" x14ac:dyDescent="0.3">
      <c r="A930" s="170" t="s">
        <v>236</v>
      </c>
      <c r="B930" s="173" t="str">
        <f>INDEX(Orçamentária!A:B,MATCH(Composições!A930,Orçamentária!A:A,0),2)</f>
        <v>Tubo PVC esgoto ou aguas pluviais predial DN 50 mm</v>
      </c>
      <c r="C930" s="40"/>
      <c r="D930" s="25" t="s">
        <v>69</v>
      </c>
      <c r="E930" s="26"/>
      <c r="F930" s="41" t="s">
        <v>416</v>
      </c>
      <c r="G930" s="27" t="str">
        <f>IF(ISNUMBER(F930),E930*F930,"")</f>
        <v/>
      </c>
      <c r="H930" s="28"/>
      <c r="I930" s="29"/>
      <c r="J930" s="152">
        <v>0</v>
      </c>
    </row>
    <row r="931" spans="1:10" ht="15.75" hidden="1" thickBot="1" x14ac:dyDescent="0.3">
      <c r="A931" s="176"/>
      <c r="B931" s="174"/>
      <c r="C931" s="31"/>
      <c r="D931" s="31"/>
      <c r="E931" s="32"/>
      <c r="F931" s="42" t="s">
        <v>416</v>
      </c>
      <c r="G931" s="30" t="str">
        <f>IF(ISNUMBER(F931),E931*F931,"")</f>
        <v/>
      </c>
      <c r="H931" s="34"/>
      <c r="I931" s="30"/>
      <c r="J931" s="152">
        <v>0</v>
      </c>
    </row>
    <row r="932" spans="1:10" ht="15.75" hidden="1" thickBot="1" x14ac:dyDescent="0.3">
      <c r="A932" s="176"/>
      <c r="B932" s="174"/>
      <c r="C932" s="35" t="s">
        <v>7975</v>
      </c>
      <c r="D932" s="35" t="s">
        <v>213</v>
      </c>
      <c r="E932" s="36">
        <v>1.2800000000000001E-2</v>
      </c>
      <c r="F932" s="33">
        <v>66.36699999999999</v>
      </c>
      <c r="G932" s="33">
        <f>IF(ISNUMBER(F932),E932*F932,"")</f>
        <v>0.84949759999999996</v>
      </c>
      <c r="H932" s="38">
        <f>SUM(G932:G937)</f>
        <v>25.552732349999999</v>
      </c>
      <c r="I932" s="39"/>
      <c r="J932" s="152">
        <v>0</v>
      </c>
    </row>
    <row r="933" spans="1:10" ht="26.25" hidden="1" thickBot="1" x14ac:dyDescent="0.3">
      <c r="A933" s="176"/>
      <c r="B933" s="174"/>
      <c r="C933" s="35" t="s">
        <v>8471</v>
      </c>
      <c r="D933" s="35" t="s">
        <v>385</v>
      </c>
      <c r="E933" s="36">
        <v>1.04</v>
      </c>
      <c r="F933" s="33">
        <v>12.597</v>
      </c>
      <c r="G933" s="33">
        <f>IF(ISNUMBER(F933),E933*F933,"")</f>
        <v>13.10088</v>
      </c>
      <c r="H933" s="34"/>
      <c r="I933" s="30"/>
      <c r="J933" s="152">
        <v>0</v>
      </c>
    </row>
    <row r="934" spans="1:10" ht="26.25" hidden="1" thickBot="1" x14ac:dyDescent="0.3">
      <c r="A934" s="176"/>
      <c r="B934" s="174"/>
      <c r="C934" s="35" t="s">
        <v>8375</v>
      </c>
      <c r="D934" s="35" t="s">
        <v>213</v>
      </c>
      <c r="E934" s="36">
        <v>1.9300000000000001E-2</v>
      </c>
      <c r="F934" s="33">
        <v>75.192499999999995</v>
      </c>
      <c r="G934" s="33">
        <f>IF(ISNUMBER(F934),E934*F934,"")</f>
        <v>1.45121525</v>
      </c>
      <c r="H934" s="34"/>
      <c r="I934" s="30"/>
      <c r="J934" s="152">
        <v>0</v>
      </c>
    </row>
    <row r="935" spans="1:10" ht="15.75" hidden="1" thickBot="1" x14ac:dyDescent="0.3">
      <c r="A935" s="176"/>
      <c r="B935" s="174"/>
      <c r="C935" s="35" t="s">
        <v>8220</v>
      </c>
      <c r="D935" s="35" t="s">
        <v>213</v>
      </c>
      <c r="E935" s="36">
        <v>3.6999999999999998E-2</v>
      </c>
      <c r="F935" s="33">
        <v>2.1185</v>
      </c>
      <c r="G935" s="33">
        <f>IF(ISNUMBER(F935),E935*F935,"")</f>
        <v>7.8384499999999996E-2</v>
      </c>
      <c r="H935" s="34"/>
      <c r="I935" s="30"/>
      <c r="J935" s="152">
        <v>0</v>
      </c>
    </row>
    <row r="936" spans="1:10" ht="26.25" hidden="1" thickBot="1" x14ac:dyDescent="0.3">
      <c r="A936" s="176"/>
      <c r="B936" s="174"/>
      <c r="C936" s="35" t="s">
        <v>824</v>
      </c>
      <c r="D936" s="35" t="s">
        <v>583</v>
      </c>
      <c r="E936" s="36">
        <v>0.21</v>
      </c>
      <c r="F936" s="30">
        <v>21.166</v>
      </c>
      <c r="G936" s="33">
        <f>IF(ISNUMBER(F936),E936*F936,"")</f>
        <v>4.4448600000000003</v>
      </c>
      <c r="H936" s="34"/>
      <c r="I936" s="30"/>
      <c r="J936" s="152">
        <v>0</v>
      </c>
    </row>
    <row r="937" spans="1:10" ht="26.25" hidden="1" thickBot="1" x14ac:dyDescent="0.3">
      <c r="A937" s="176"/>
      <c r="B937" s="174"/>
      <c r="C937" s="35" t="s">
        <v>825</v>
      </c>
      <c r="D937" s="35" t="s">
        <v>583</v>
      </c>
      <c r="E937" s="36">
        <v>0.21</v>
      </c>
      <c r="F937" s="30">
        <v>26.799499999999998</v>
      </c>
      <c r="G937" s="33">
        <f>IF(ISNUMBER(F937),E937*F937,"")</f>
        <v>5.6278949999999996</v>
      </c>
      <c r="H937" s="34"/>
      <c r="I937" s="30"/>
      <c r="J937" s="152">
        <v>0</v>
      </c>
    </row>
    <row r="938" spans="1:10" ht="15.75" hidden="1" thickBot="1" x14ac:dyDescent="0.3">
      <c r="A938" s="177"/>
      <c r="B938" s="175"/>
      <c r="C938" s="35"/>
      <c r="D938" s="35"/>
      <c r="E938" s="36"/>
      <c r="F938" s="30" t="s">
        <v>416</v>
      </c>
      <c r="G938" s="30" t="str">
        <f>IF(ISNUMBER(F938),E938*F938,"")</f>
        <v/>
      </c>
      <c r="H938" s="34"/>
      <c r="I938" s="30"/>
      <c r="J938" s="152">
        <v>0</v>
      </c>
    </row>
    <row r="939" spans="1:10" ht="15.75" hidden="1" thickBot="1" x14ac:dyDescent="0.3">
      <c r="A939" s="170" t="s">
        <v>237</v>
      </c>
      <c r="B939" s="173" t="str">
        <f>INDEX(Orçamentária!A:B,MATCH(Composições!A939,Orçamentária!A:A,0),2)</f>
        <v>Tubo PVC esgoto ou aguas pluviais predial DN 75 mm</v>
      </c>
      <c r="C939" s="40"/>
      <c r="D939" s="25" t="s">
        <v>69</v>
      </c>
      <c r="E939" s="26"/>
      <c r="F939" s="41" t="s">
        <v>416</v>
      </c>
      <c r="G939" s="27" t="str">
        <f>IF(ISNUMBER(F939),E939*F939,"")</f>
        <v/>
      </c>
      <c r="H939" s="28"/>
      <c r="I939" s="29"/>
      <c r="J939" s="152">
        <v>0</v>
      </c>
    </row>
    <row r="940" spans="1:10" ht="15.75" hidden="1" thickBot="1" x14ac:dyDescent="0.3">
      <c r="A940" s="176"/>
      <c r="B940" s="174"/>
      <c r="C940" s="31"/>
      <c r="D940" s="31"/>
      <c r="E940" s="32"/>
      <c r="F940" s="42" t="s">
        <v>416</v>
      </c>
      <c r="G940" s="30" t="str">
        <f>IF(ISNUMBER(F940),E940*F940,"")</f>
        <v/>
      </c>
      <c r="H940" s="34"/>
      <c r="I940" s="30"/>
      <c r="J940" s="152">
        <v>0</v>
      </c>
    </row>
    <row r="941" spans="1:10" ht="15.75" hidden="1" thickBot="1" x14ac:dyDescent="0.3">
      <c r="A941" s="176"/>
      <c r="B941" s="174"/>
      <c r="C941" s="35" t="s">
        <v>7975</v>
      </c>
      <c r="D941" s="35" t="s">
        <v>213</v>
      </c>
      <c r="E941" s="36">
        <v>2.93E-2</v>
      </c>
      <c r="F941" s="33">
        <v>66.36699999999999</v>
      </c>
      <c r="G941" s="33">
        <f>IF(ISNUMBER(F941),E941*F941,"")</f>
        <v>1.9445530999999996</v>
      </c>
      <c r="H941" s="38">
        <f>SUM(G941:G946)</f>
        <v>44.945856599999999</v>
      </c>
      <c r="I941" s="39"/>
      <c r="J941" s="152">
        <v>0</v>
      </c>
    </row>
    <row r="942" spans="1:10" ht="26.25" hidden="1" thickBot="1" x14ac:dyDescent="0.3">
      <c r="A942" s="176"/>
      <c r="B942" s="174"/>
      <c r="C942" s="35" t="s">
        <v>8472</v>
      </c>
      <c r="D942" s="35" t="s">
        <v>385</v>
      </c>
      <c r="E942" s="36">
        <v>1.04</v>
      </c>
      <c r="F942" s="33">
        <v>22.8475</v>
      </c>
      <c r="G942" s="33">
        <f>IF(ISNUMBER(F942),E942*F942,"")</f>
        <v>23.761400000000002</v>
      </c>
      <c r="H942" s="44"/>
      <c r="I942" s="45"/>
      <c r="J942" s="152">
        <v>0</v>
      </c>
    </row>
    <row r="943" spans="1:10" ht="26.25" hidden="1" thickBot="1" x14ac:dyDescent="0.3">
      <c r="A943" s="176"/>
      <c r="B943" s="174"/>
      <c r="C943" s="35" t="s">
        <v>8375</v>
      </c>
      <c r="D943" s="35" t="s">
        <v>213</v>
      </c>
      <c r="E943" s="36">
        <v>4.5499999999999999E-2</v>
      </c>
      <c r="F943" s="33">
        <v>75.192499999999995</v>
      </c>
      <c r="G943" s="33">
        <f>IF(ISNUMBER(F943),E943*F943,"")</f>
        <v>3.4212587499999998</v>
      </c>
      <c r="H943" s="44"/>
      <c r="I943" s="45"/>
      <c r="J943" s="152">
        <v>0</v>
      </c>
    </row>
    <row r="944" spans="1:10" ht="15.75" hidden="1" thickBot="1" x14ac:dyDescent="0.3">
      <c r="A944" s="176"/>
      <c r="B944" s="174"/>
      <c r="C944" s="35" t="s">
        <v>8220</v>
      </c>
      <c r="D944" s="35" t="s">
        <v>213</v>
      </c>
      <c r="E944" s="36">
        <v>0.1085</v>
      </c>
      <c r="F944" s="33">
        <v>2.1185</v>
      </c>
      <c r="G944" s="33">
        <f>IF(ISNUMBER(F944),E944*F944,"")</f>
        <v>0.22985725000000001</v>
      </c>
      <c r="H944" s="44"/>
      <c r="I944" s="45"/>
      <c r="J944" s="152">
        <v>0</v>
      </c>
    </row>
    <row r="945" spans="1:10" ht="26.25" hidden="1" thickBot="1" x14ac:dyDescent="0.3">
      <c r="A945" s="176"/>
      <c r="B945" s="174"/>
      <c r="C945" s="35" t="s">
        <v>824</v>
      </c>
      <c r="D945" s="35" t="s">
        <v>583</v>
      </c>
      <c r="E945" s="36">
        <v>0.32500000000000001</v>
      </c>
      <c r="F945" s="30">
        <v>21.166</v>
      </c>
      <c r="G945" s="33">
        <f>IF(ISNUMBER(F945),E945*F945,"")</f>
        <v>6.8789500000000006</v>
      </c>
      <c r="H945" s="44"/>
      <c r="I945" s="45"/>
      <c r="J945" s="152">
        <v>0</v>
      </c>
    </row>
    <row r="946" spans="1:10" ht="26.25" hidden="1" thickBot="1" x14ac:dyDescent="0.3">
      <c r="A946" s="176"/>
      <c r="B946" s="174"/>
      <c r="C946" s="35" t="s">
        <v>825</v>
      </c>
      <c r="D946" s="35" t="s">
        <v>583</v>
      </c>
      <c r="E946" s="36">
        <v>0.32500000000000001</v>
      </c>
      <c r="F946" s="30">
        <v>26.799499999999998</v>
      </c>
      <c r="G946" s="33">
        <f>IF(ISNUMBER(F946),E946*F946,"")</f>
        <v>8.709837499999999</v>
      </c>
      <c r="H946" s="44"/>
      <c r="I946" s="45"/>
      <c r="J946" s="152">
        <v>0</v>
      </c>
    </row>
    <row r="947" spans="1:10" ht="15.75" hidden="1" thickBot="1" x14ac:dyDescent="0.3">
      <c r="A947" s="177"/>
      <c r="B947" s="175"/>
      <c r="C947" s="35"/>
      <c r="D947" s="35"/>
      <c r="E947" s="36"/>
      <c r="F947" s="30" t="s">
        <v>416</v>
      </c>
      <c r="G947" s="30" t="str">
        <f>IF(ISNUMBER(F947),E947*F947,"")</f>
        <v/>
      </c>
      <c r="H947" s="34"/>
      <c r="I947" s="30"/>
      <c r="J947" s="152">
        <v>0</v>
      </c>
    </row>
    <row r="948" spans="1:10" ht="15.75" thickBot="1" x14ac:dyDescent="0.3">
      <c r="A948" s="170" t="s">
        <v>238</v>
      </c>
      <c r="B948" s="173" t="str">
        <f>INDEX(Orçamentária!A:B,MATCH(Composições!A948,Orçamentária!A:A,0),2)</f>
        <v>Tubo PVC soldável água fria DN 25 mm</v>
      </c>
      <c r="C948" s="40"/>
      <c r="D948" s="25" t="s">
        <v>69</v>
      </c>
      <c r="E948" s="26"/>
      <c r="F948" s="41" t="s">
        <v>416</v>
      </c>
      <c r="G948" s="27" t="str">
        <f>IF(ISNUMBER(F948),E948*F948,"")</f>
        <v/>
      </c>
      <c r="H948" s="28"/>
      <c r="I948" s="29"/>
      <c r="J948" s="152">
        <v>76</v>
      </c>
    </row>
    <row r="949" spans="1:10" x14ac:dyDescent="0.25">
      <c r="A949" s="176"/>
      <c r="B949" s="174"/>
      <c r="C949" s="31"/>
      <c r="D949" s="31"/>
      <c r="E949" s="32"/>
      <c r="F949" s="42" t="s">
        <v>416</v>
      </c>
      <c r="G949" s="30" t="str">
        <f>IF(ISNUMBER(F949),E949*F949,"")</f>
        <v/>
      </c>
      <c r="H949" s="34"/>
      <c r="I949" s="30"/>
      <c r="J949" s="152">
        <v>76</v>
      </c>
    </row>
    <row r="950" spans="1:10" x14ac:dyDescent="0.25">
      <c r="A950" s="176"/>
      <c r="B950" s="174"/>
      <c r="C950" s="35" t="s">
        <v>8475</v>
      </c>
      <c r="D950" s="35" t="s">
        <v>385</v>
      </c>
      <c r="E950" s="36">
        <v>1.0609999999999999</v>
      </c>
      <c r="F950" s="33">
        <v>4.1040000000000001</v>
      </c>
      <c r="G950" s="33">
        <f>IF(ISNUMBER(F950),E950*F950,"")</f>
        <v>4.3543440000000002</v>
      </c>
      <c r="H950" s="38">
        <f>SUM(G950:G952)</f>
        <v>5.1217920000000001</v>
      </c>
      <c r="I950" s="39"/>
      <c r="J950" s="152">
        <v>76</v>
      </c>
    </row>
    <row r="951" spans="1:10" ht="25.5" x14ac:dyDescent="0.25">
      <c r="A951" s="176"/>
      <c r="B951" s="174"/>
      <c r="C951" s="35" t="s">
        <v>824</v>
      </c>
      <c r="D951" s="35" t="s">
        <v>583</v>
      </c>
      <c r="E951" s="36">
        <v>1.6E-2</v>
      </c>
      <c r="F951" s="30">
        <v>21.166</v>
      </c>
      <c r="G951" s="33">
        <f>IF(ISNUMBER(F951),E951*F951,"")</f>
        <v>0.33865600000000001</v>
      </c>
      <c r="H951" s="34"/>
      <c r="I951" s="30"/>
      <c r="J951" s="152">
        <v>76</v>
      </c>
    </row>
    <row r="952" spans="1:10" ht="25.5" x14ac:dyDescent="0.25">
      <c r="A952" s="176"/>
      <c r="B952" s="174"/>
      <c r="C952" s="35" t="s">
        <v>825</v>
      </c>
      <c r="D952" s="35" t="s">
        <v>583</v>
      </c>
      <c r="E952" s="36">
        <v>1.6E-2</v>
      </c>
      <c r="F952" s="30">
        <v>26.799499999999998</v>
      </c>
      <c r="G952" s="33">
        <f>IF(ISNUMBER(F952),E952*F952,"")</f>
        <v>0.42879200000000001</v>
      </c>
      <c r="H952" s="34"/>
      <c r="I952" s="30"/>
      <c r="J952" s="152">
        <v>76</v>
      </c>
    </row>
    <row r="953" spans="1:10" ht="15.75" thickBot="1" x14ac:dyDescent="0.3">
      <c r="A953" s="177"/>
      <c r="B953" s="175"/>
      <c r="C953" s="35"/>
      <c r="D953" s="35"/>
      <c r="E953" s="36"/>
      <c r="F953" s="30" t="s">
        <v>416</v>
      </c>
      <c r="G953" s="30" t="str">
        <f>IF(ISNUMBER(F953),E953*F953,"")</f>
        <v/>
      </c>
      <c r="H953" s="34"/>
      <c r="I953" s="30"/>
      <c r="J953" s="152">
        <v>76</v>
      </c>
    </row>
    <row r="954" spans="1:10" ht="15.75" hidden="1" thickBot="1" x14ac:dyDescent="0.3">
      <c r="A954" s="170" t="s">
        <v>239</v>
      </c>
      <c r="B954" s="173" t="str">
        <f>INDEX(Orçamentária!A:B,MATCH(Composições!A954,Orçamentária!A:A,0),2)</f>
        <v>Tubo PVC soldável água fria DN 32 mm</v>
      </c>
      <c r="C954" s="40"/>
      <c r="D954" s="25" t="s">
        <v>69</v>
      </c>
      <c r="E954" s="26"/>
      <c r="F954" s="41" t="s">
        <v>416</v>
      </c>
      <c r="G954" s="27" t="str">
        <f>IF(ISNUMBER(F954),E954*F954,"")</f>
        <v/>
      </c>
      <c r="H954" s="28"/>
      <c r="I954" s="29"/>
      <c r="J954" s="152">
        <v>0</v>
      </c>
    </row>
    <row r="955" spans="1:10" ht="15.75" hidden="1" thickBot="1" x14ac:dyDescent="0.3">
      <c r="A955" s="176"/>
      <c r="B955" s="174"/>
      <c r="C955" s="31"/>
      <c r="D955" s="31"/>
      <c r="E955" s="32"/>
      <c r="F955" s="42" t="s">
        <v>416</v>
      </c>
      <c r="G955" s="30" t="str">
        <f>IF(ISNUMBER(F955),E955*F955,"")</f>
        <v/>
      </c>
      <c r="H955" s="34"/>
      <c r="I955" s="30"/>
      <c r="J955" s="152">
        <v>0</v>
      </c>
    </row>
    <row r="956" spans="1:10" ht="15.75" hidden="1" thickBot="1" x14ac:dyDescent="0.3">
      <c r="A956" s="176"/>
      <c r="B956" s="174"/>
      <c r="C956" s="35" t="s">
        <v>8476</v>
      </c>
      <c r="D956" s="35" t="s">
        <v>385</v>
      </c>
      <c r="E956" s="36">
        <v>1.0609999999999999</v>
      </c>
      <c r="F956" s="33">
        <v>8.8539999999999992</v>
      </c>
      <c r="G956" s="33">
        <f>IF(ISNUMBER(F956),E956*F956,"")</f>
        <v>9.3940939999999991</v>
      </c>
      <c r="H956" s="38">
        <f>SUM(G956:G958)</f>
        <v>10.353403999999999</v>
      </c>
      <c r="I956" s="39"/>
      <c r="J956" s="152">
        <v>0</v>
      </c>
    </row>
    <row r="957" spans="1:10" ht="26.25" hidden="1" thickBot="1" x14ac:dyDescent="0.3">
      <c r="A957" s="176"/>
      <c r="B957" s="174"/>
      <c r="C957" s="35" t="s">
        <v>824</v>
      </c>
      <c r="D957" s="35" t="s">
        <v>583</v>
      </c>
      <c r="E957" s="36">
        <v>0.02</v>
      </c>
      <c r="F957" s="30">
        <v>21.166</v>
      </c>
      <c r="G957" s="33">
        <f>IF(ISNUMBER(F957),E957*F957,"")</f>
        <v>0.42332000000000003</v>
      </c>
      <c r="H957" s="34"/>
      <c r="I957" s="30"/>
      <c r="J957" s="152">
        <v>0</v>
      </c>
    </row>
    <row r="958" spans="1:10" ht="26.25" hidden="1" thickBot="1" x14ac:dyDescent="0.3">
      <c r="A958" s="176"/>
      <c r="B958" s="174"/>
      <c r="C958" s="35" t="s">
        <v>825</v>
      </c>
      <c r="D958" s="35" t="s">
        <v>583</v>
      </c>
      <c r="E958" s="36">
        <v>0.02</v>
      </c>
      <c r="F958" s="30">
        <v>26.799499999999998</v>
      </c>
      <c r="G958" s="33">
        <f>IF(ISNUMBER(F958),E958*F958,"")</f>
        <v>0.53598999999999997</v>
      </c>
      <c r="H958" s="34"/>
      <c r="I958" s="30"/>
      <c r="J958" s="152">
        <v>0</v>
      </c>
    </row>
    <row r="959" spans="1:10" ht="15.75" hidden="1" thickBot="1" x14ac:dyDescent="0.3">
      <c r="A959" s="177"/>
      <c r="B959" s="175"/>
      <c r="C959" s="35"/>
      <c r="D959" s="35"/>
      <c r="E959" s="36"/>
      <c r="F959" s="30" t="s">
        <v>416</v>
      </c>
      <c r="G959" s="30" t="str">
        <f>IF(ISNUMBER(F959),E959*F959,"")</f>
        <v/>
      </c>
      <c r="H959" s="34"/>
      <c r="I959" s="30"/>
      <c r="J959" s="152">
        <v>0</v>
      </c>
    </row>
    <row r="960" spans="1:10" ht="15.75" hidden="1" thickBot="1" x14ac:dyDescent="0.3">
      <c r="A960" s="170" t="s">
        <v>240</v>
      </c>
      <c r="B960" s="173" t="str">
        <f>INDEX(Orçamentária!A:B,MATCH(Composições!A960,Orçamentária!A:A,0),2)</f>
        <v>Tubo PVC soldável água fria DN 40 mm</v>
      </c>
      <c r="C960" s="40"/>
      <c r="D960" s="25" t="s">
        <v>69</v>
      </c>
      <c r="E960" s="26"/>
      <c r="F960" s="41" t="s">
        <v>416</v>
      </c>
      <c r="G960" s="27" t="str">
        <f>IF(ISNUMBER(F960),E960*F960,"")</f>
        <v/>
      </c>
      <c r="H960" s="28"/>
      <c r="I960" s="29"/>
      <c r="J960" s="152">
        <v>0</v>
      </c>
    </row>
    <row r="961" spans="1:10" ht="15.75" hidden="1" thickBot="1" x14ac:dyDescent="0.3">
      <c r="A961" s="176"/>
      <c r="B961" s="174"/>
      <c r="C961" s="31"/>
      <c r="D961" s="31"/>
      <c r="E961" s="32"/>
      <c r="F961" s="42" t="s">
        <v>416</v>
      </c>
      <c r="G961" s="30" t="str">
        <f>IF(ISNUMBER(F961),E961*F961,"")</f>
        <v/>
      </c>
      <c r="H961" s="34"/>
      <c r="I961" s="30"/>
      <c r="J961" s="152">
        <v>0</v>
      </c>
    </row>
    <row r="962" spans="1:10" ht="15.75" hidden="1" thickBot="1" x14ac:dyDescent="0.3">
      <c r="A962" s="176"/>
      <c r="B962" s="174"/>
      <c r="C962" s="35" t="s">
        <v>8477</v>
      </c>
      <c r="D962" s="35" t="s">
        <v>385</v>
      </c>
      <c r="E962" s="36">
        <v>1.0609999999999999</v>
      </c>
      <c r="F962" s="33">
        <v>13.907999999999999</v>
      </c>
      <c r="G962" s="33">
        <f>IF(ISNUMBER(F962),E962*F962,"")</f>
        <v>14.756387999999999</v>
      </c>
      <c r="H962" s="38">
        <f>SUM(G962:G965)</f>
        <v>15.924507999999999</v>
      </c>
      <c r="I962" s="39"/>
      <c r="J962" s="152">
        <v>0</v>
      </c>
    </row>
    <row r="963" spans="1:10" ht="15.75" hidden="1" thickBot="1" x14ac:dyDescent="0.3">
      <c r="A963" s="176"/>
      <c r="B963" s="174"/>
      <c r="C963" s="35" t="s">
        <v>8220</v>
      </c>
      <c r="D963" s="35" t="s">
        <v>213</v>
      </c>
      <c r="E963" s="36">
        <v>8.0000000000000002E-3</v>
      </c>
      <c r="F963" s="33">
        <v>2.1185</v>
      </c>
      <c r="G963" s="33">
        <f>IF(ISNUMBER(F963),E963*F963,"")</f>
        <v>1.6948000000000001E-2</v>
      </c>
      <c r="H963" s="34"/>
      <c r="I963" s="30"/>
      <c r="J963" s="152">
        <v>0</v>
      </c>
    </row>
    <row r="964" spans="1:10" ht="26.25" hidden="1" thickBot="1" x14ac:dyDescent="0.3">
      <c r="A964" s="176"/>
      <c r="B964" s="174"/>
      <c r="C964" s="35" t="s">
        <v>824</v>
      </c>
      <c r="D964" s="35" t="s">
        <v>583</v>
      </c>
      <c r="E964" s="36">
        <v>2.4E-2</v>
      </c>
      <c r="F964" s="30">
        <v>21.166</v>
      </c>
      <c r="G964" s="33">
        <f>IF(ISNUMBER(F964),E964*F964,"")</f>
        <v>0.50798399999999999</v>
      </c>
      <c r="H964" s="34"/>
      <c r="I964" s="30"/>
      <c r="J964" s="152">
        <v>0</v>
      </c>
    </row>
    <row r="965" spans="1:10" ht="26.25" hidden="1" thickBot="1" x14ac:dyDescent="0.3">
      <c r="A965" s="176"/>
      <c r="B965" s="174"/>
      <c r="C965" s="35" t="s">
        <v>825</v>
      </c>
      <c r="D965" s="35" t="s">
        <v>583</v>
      </c>
      <c r="E965" s="36">
        <v>2.4E-2</v>
      </c>
      <c r="F965" s="30">
        <v>26.799499999999998</v>
      </c>
      <c r="G965" s="33">
        <f>IF(ISNUMBER(F965),E965*F965,"")</f>
        <v>0.64318799999999998</v>
      </c>
      <c r="H965" s="34"/>
      <c r="I965" s="30"/>
      <c r="J965" s="152">
        <v>0</v>
      </c>
    </row>
    <row r="966" spans="1:10" ht="15.75" hidden="1" thickBot="1" x14ac:dyDescent="0.3">
      <c r="A966" s="177"/>
      <c r="B966" s="175"/>
      <c r="C966" s="35"/>
      <c r="D966" s="35"/>
      <c r="E966" s="36"/>
      <c r="F966" s="30" t="s">
        <v>416</v>
      </c>
      <c r="G966" s="30" t="str">
        <f>IF(ISNUMBER(F966),E966*F966,"")</f>
        <v/>
      </c>
      <c r="H966" s="34"/>
      <c r="I966" s="30"/>
      <c r="J966" s="152">
        <v>0</v>
      </c>
    </row>
    <row r="967" spans="1:10" ht="15.75" hidden="1" thickBot="1" x14ac:dyDescent="0.3">
      <c r="A967" s="170" t="s">
        <v>241</v>
      </c>
      <c r="B967" s="173" t="str">
        <f>INDEX(Orçamentária!A:B,MATCH(Composições!A967,Orçamentária!A:A,0),2)</f>
        <v>Tubo PVC soldável água fria DN 50 mm</v>
      </c>
      <c r="C967" s="40"/>
      <c r="D967" s="25" t="s">
        <v>69</v>
      </c>
      <c r="E967" s="26"/>
      <c r="F967" s="41" t="s">
        <v>416</v>
      </c>
      <c r="G967" s="27" t="str">
        <f>IF(ISNUMBER(F967),E967*F967,"")</f>
        <v/>
      </c>
      <c r="H967" s="28"/>
      <c r="I967" s="29"/>
      <c r="J967" s="152">
        <v>0</v>
      </c>
    </row>
    <row r="968" spans="1:10" ht="15.75" hidden="1" thickBot="1" x14ac:dyDescent="0.3">
      <c r="A968" s="176"/>
      <c r="B968" s="174"/>
      <c r="C968" s="31"/>
      <c r="D968" s="31"/>
      <c r="E968" s="32"/>
      <c r="F968" s="42" t="s">
        <v>416</v>
      </c>
      <c r="G968" s="30" t="str">
        <f>IF(ISNUMBER(F968),E968*F968,"")</f>
        <v/>
      </c>
      <c r="H968" s="34"/>
      <c r="I968" s="30"/>
      <c r="J968" s="152">
        <v>0</v>
      </c>
    </row>
    <row r="969" spans="1:10" ht="15.75" hidden="1" thickBot="1" x14ac:dyDescent="0.3">
      <c r="A969" s="176"/>
      <c r="B969" s="174"/>
      <c r="C969" s="35" t="s">
        <v>8478</v>
      </c>
      <c r="D969" s="35" t="s">
        <v>385</v>
      </c>
      <c r="E969" s="36">
        <v>1.0609999999999999</v>
      </c>
      <c r="F969" s="33">
        <v>15.256999999999998</v>
      </c>
      <c r="G969" s="33">
        <f>IF(ISNUMBER(F969),E969*F969,"")</f>
        <v>16.187676999999997</v>
      </c>
      <c r="H969" s="38">
        <f>SUM(G969:G972)</f>
        <v>17.599861499999999</v>
      </c>
      <c r="I969" s="39"/>
      <c r="J969" s="152">
        <v>0</v>
      </c>
    </row>
    <row r="970" spans="1:10" ht="15.75" hidden="1" thickBot="1" x14ac:dyDescent="0.3">
      <c r="A970" s="176"/>
      <c r="B970" s="174"/>
      <c r="C970" s="35" t="s">
        <v>8220</v>
      </c>
      <c r="D970" s="35" t="s">
        <v>213</v>
      </c>
      <c r="E970" s="36">
        <v>0.01</v>
      </c>
      <c r="F970" s="33">
        <v>2.1185</v>
      </c>
      <c r="G970" s="33">
        <f>IF(ISNUMBER(F970),E970*F970,"")</f>
        <v>2.1185000000000002E-2</v>
      </c>
      <c r="H970" s="34"/>
      <c r="I970" s="30"/>
      <c r="J970" s="152">
        <v>0</v>
      </c>
    </row>
    <row r="971" spans="1:10" ht="26.25" hidden="1" thickBot="1" x14ac:dyDescent="0.3">
      <c r="A971" s="176"/>
      <c r="B971" s="174"/>
      <c r="C971" s="35" t="s">
        <v>824</v>
      </c>
      <c r="D971" s="35" t="s">
        <v>583</v>
      </c>
      <c r="E971" s="36">
        <v>2.9000000000000001E-2</v>
      </c>
      <c r="F971" s="30">
        <v>21.166</v>
      </c>
      <c r="G971" s="33">
        <f>IF(ISNUMBER(F971),E971*F971,"")</f>
        <v>0.61381400000000008</v>
      </c>
      <c r="H971" s="34"/>
      <c r="I971" s="30"/>
      <c r="J971" s="152">
        <v>0</v>
      </c>
    </row>
    <row r="972" spans="1:10" ht="26.25" hidden="1" thickBot="1" x14ac:dyDescent="0.3">
      <c r="A972" s="176"/>
      <c r="B972" s="174"/>
      <c r="C972" s="35" t="s">
        <v>825</v>
      </c>
      <c r="D972" s="35" t="s">
        <v>583</v>
      </c>
      <c r="E972" s="36">
        <v>2.9000000000000001E-2</v>
      </c>
      <c r="F972" s="30">
        <v>26.799499999999998</v>
      </c>
      <c r="G972" s="33">
        <f>IF(ISNUMBER(F972),E972*F972,"")</f>
        <v>0.77718549999999997</v>
      </c>
      <c r="H972" s="34"/>
      <c r="I972" s="30"/>
      <c r="J972" s="152">
        <v>0</v>
      </c>
    </row>
    <row r="973" spans="1:10" ht="15.75" hidden="1" thickBot="1" x14ac:dyDescent="0.3">
      <c r="A973" s="177"/>
      <c r="B973" s="175"/>
      <c r="C973" s="35"/>
      <c r="D973" s="35"/>
      <c r="E973" s="36"/>
      <c r="F973" s="30" t="s">
        <v>416</v>
      </c>
      <c r="G973" s="30" t="str">
        <f>IF(ISNUMBER(F973),E973*F973,"")</f>
        <v/>
      </c>
      <c r="H973" s="34"/>
      <c r="I973" s="30"/>
      <c r="J973" s="152">
        <v>0</v>
      </c>
    </row>
    <row r="974" spans="1:10" ht="15.75" hidden="1" thickBot="1" x14ac:dyDescent="0.3">
      <c r="A974" s="170" t="s">
        <v>242</v>
      </c>
      <c r="B974" s="173" t="str">
        <f>INDEX(Orçamentária!A:B,MATCH(Composições!A974,Orçamentária!A:A,0),2)</f>
        <v>Base registro gaveta 3/4"</v>
      </c>
      <c r="C974" s="40"/>
      <c r="D974" s="25" t="s">
        <v>16</v>
      </c>
      <c r="E974" s="26"/>
      <c r="F974" s="41" t="s">
        <v>416</v>
      </c>
      <c r="G974" s="27" t="str">
        <f>IF(ISNUMBER(F974),E974*F974,"")</f>
        <v/>
      </c>
      <c r="H974" s="28"/>
      <c r="I974" s="29"/>
      <c r="J974" s="152">
        <v>0</v>
      </c>
    </row>
    <row r="975" spans="1:10" ht="15.75" hidden="1" thickBot="1" x14ac:dyDescent="0.3">
      <c r="A975" s="176"/>
      <c r="B975" s="174"/>
      <c r="C975" s="31"/>
      <c r="D975" s="31"/>
      <c r="E975" s="32"/>
      <c r="F975" s="42" t="s">
        <v>416</v>
      </c>
      <c r="G975" s="30" t="str">
        <f>IF(ISNUMBER(F975),E975*F975,"")</f>
        <v/>
      </c>
      <c r="H975" s="34"/>
      <c r="I975" s="30"/>
      <c r="J975" s="152">
        <v>0</v>
      </c>
    </row>
    <row r="976" spans="1:10" ht="26.25" hidden="1" thickBot="1" x14ac:dyDescent="0.3">
      <c r="A976" s="176"/>
      <c r="B976" s="174"/>
      <c r="C976" s="35" t="s">
        <v>243</v>
      </c>
      <c r="D976" s="46" t="s">
        <v>107</v>
      </c>
      <c r="E976" s="36">
        <v>1</v>
      </c>
      <c r="F976" s="33" t="s">
        <v>416</v>
      </c>
      <c r="G976" s="33" t="str">
        <f>IF(ISNUMBER(F976),E976*F976,"")</f>
        <v/>
      </c>
      <c r="H976" s="38">
        <f>SUM(G976:G979)</f>
        <v>10.767765499999999</v>
      </c>
      <c r="I976" s="39"/>
      <c r="J976" s="152">
        <v>0</v>
      </c>
    </row>
    <row r="977" spans="1:10" ht="15.75" hidden="1" thickBot="1" x14ac:dyDescent="0.3">
      <c r="A977" s="176"/>
      <c r="B977" s="174"/>
      <c r="C977" s="35" t="s">
        <v>244</v>
      </c>
      <c r="D977" s="35" t="s">
        <v>213</v>
      </c>
      <c r="E977" s="36">
        <v>1.06E-2</v>
      </c>
      <c r="F977" s="33">
        <v>14.8865</v>
      </c>
      <c r="G977" s="33">
        <f>IF(ISNUMBER(F977),E977*F977,"")</f>
        <v>0.15779689999999999</v>
      </c>
      <c r="H977" s="34"/>
      <c r="I977" s="30"/>
      <c r="J977" s="152">
        <v>0</v>
      </c>
    </row>
    <row r="978" spans="1:10" ht="26.25" hidden="1" thickBot="1" x14ac:dyDescent="0.3">
      <c r="A978" s="176"/>
      <c r="B978" s="174"/>
      <c r="C978" s="35" t="s">
        <v>825</v>
      </c>
      <c r="D978" s="35" t="s">
        <v>583</v>
      </c>
      <c r="E978" s="36">
        <v>0.22120000000000001</v>
      </c>
      <c r="F978" s="30">
        <v>26.799499999999998</v>
      </c>
      <c r="G978" s="33">
        <f>IF(ISNUMBER(F978),E978*F978,"")</f>
        <v>5.9280493999999999</v>
      </c>
      <c r="H978" s="34"/>
      <c r="I978" s="30"/>
      <c r="J978" s="152">
        <v>0</v>
      </c>
    </row>
    <row r="979" spans="1:10" ht="26.25" hidden="1" thickBot="1" x14ac:dyDescent="0.3">
      <c r="A979" s="176"/>
      <c r="B979" s="174"/>
      <c r="C979" s="35" t="s">
        <v>824</v>
      </c>
      <c r="D979" s="35" t="s">
        <v>583</v>
      </c>
      <c r="E979" s="36">
        <v>0.22120000000000001</v>
      </c>
      <c r="F979" s="30">
        <v>21.166</v>
      </c>
      <c r="G979" s="33">
        <f>IF(ISNUMBER(F979),E979*F979,"")</f>
        <v>4.6819192000000003</v>
      </c>
      <c r="H979" s="34"/>
      <c r="I979" s="30"/>
      <c r="J979" s="152">
        <v>0</v>
      </c>
    </row>
    <row r="980" spans="1:10" ht="15.75" hidden="1" thickBot="1" x14ac:dyDescent="0.3">
      <c r="A980" s="177"/>
      <c r="B980" s="175"/>
      <c r="C980" s="35"/>
      <c r="D980" s="35"/>
      <c r="E980" s="36"/>
      <c r="F980" s="30" t="s">
        <v>416</v>
      </c>
      <c r="G980" s="30" t="str">
        <f>IF(ISNUMBER(F980),E980*F980,"")</f>
        <v/>
      </c>
      <c r="H980" s="34"/>
      <c r="I980" s="30"/>
      <c r="J980" s="152">
        <v>0</v>
      </c>
    </row>
    <row r="981" spans="1:10" ht="15.75" hidden="1" thickBot="1" x14ac:dyDescent="0.3">
      <c r="A981" s="170" t="s">
        <v>245</v>
      </c>
      <c r="B981" s="173" t="str">
        <f>INDEX(Orçamentária!A:B,MATCH(Composições!A981,Orçamentária!A:A,0),2)</f>
        <v>Caixa sifonada de PVC DN 150 mm</v>
      </c>
      <c r="C981" s="40"/>
      <c r="D981" s="25" t="s">
        <v>16</v>
      </c>
      <c r="E981" s="26"/>
      <c r="F981" s="41" t="s">
        <v>416</v>
      </c>
      <c r="G981" s="27" t="str">
        <f>IF(ISNUMBER(F981),E981*F981,"")</f>
        <v/>
      </c>
      <c r="H981" s="28"/>
      <c r="I981" s="29"/>
      <c r="J981" s="152">
        <v>0</v>
      </c>
    </row>
    <row r="982" spans="1:10" ht="15.75" hidden="1" thickBot="1" x14ac:dyDescent="0.3">
      <c r="A982" s="176"/>
      <c r="B982" s="174"/>
      <c r="C982" s="31"/>
      <c r="D982" s="31"/>
      <c r="E982" s="32"/>
      <c r="F982" s="42" t="s">
        <v>416</v>
      </c>
      <c r="G982" s="30" t="str">
        <f>IF(ISNUMBER(F982),E982*F982,"")</f>
        <v/>
      </c>
      <c r="H982" s="34"/>
      <c r="I982" s="30"/>
      <c r="J982" s="152">
        <v>0</v>
      </c>
    </row>
    <row r="983" spans="1:10" ht="26.25" hidden="1" thickBot="1" x14ac:dyDescent="0.3">
      <c r="A983" s="176"/>
      <c r="B983" s="174"/>
      <c r="C983" s="35" t="s">
        <v>824</v>
      </c>
      <c r="D983" s="35" t="s">
        <v>583</v>
      </c>
      <c r="E983" s="36">
        <v>0.38</v>
      </c>
      <c r="F983" s="30">
        <v>21.166</v>
      </c>
      <c r="G983" s="33">
        <f>IF(ISNUMBER(F983),E983*F983,"")</f>
        <v>8.0430799999999998</v>
      </c>
      <c r="H983" s="38">
        <f>SUM(G983:G990)</f>
        <v>109.89886235</v>
      </c>
      <c r="I983" s="39"/>
      <c r="J983" s="152">
        <v>0</v>
      </c>
    </row>
    <row r="984" spans="1:10" ht="26.25" hidden="1" thickBot="1" x14ac:dyDescent="0.3">
      <c r="A984" s="176"/>
      <c r="B984" s="174"/>
      <c r="C984" s="35" t="s">
        <v>825</v>
      </c>
      <c r="D984" s="35" t="s">
        <v>583</v>
      </c>
      <c r="E984" s="36">
        <v>0.38</v>
      </c>
      <c r="F984" s="30">
        <v>26.799499999999998</v>
      </c>
      <c r="G984" s="33">
        <f>IF(ISNUMBER(F984),E984*F984,"")</f>
        <v>10.183809999999999</v>
      </c>
      <c r="H984" s="34"/>
      <c r="I984" s="30"/>
      <c r="J984" s="152">
        <v>0</v>
      </c>
    </row>
    <row r="985" spans="1:10" ht="15.75" hidden="1" thickBot="1" x14ac:dyDescent="0.3">
      <c r="A985" s="176"/>
      <c r="B985" s="174"/>
      <c r="C985" s="35" t="s">
        <v>7975</v>
      </c>
      <c r="D985" s="35" t="s">
        <v>213</v>
      </c>
      <c r="E985" s="36">
        <v>1.4800000000000001E-2</v>
      </c>
      <c r="F985" s="33">
        <v>66.36699999999999</v>
      </c>
      <c r="G985" s="33">
        <f>IF(ISNUMBER(F985),E985*F985,"")</f>
        <v>0.98223159999999987</v>
      </c>
      <c r="H985" s="34"/>
      <c r="I985" s="30"/>
      <c r="J985" s="152">
        <v>0</v>
      </c>
    </row>
    <row r="986" spans="1:10" ht="26.25" hidden="1" thickBot="1" x14ac:dyDescent="0.3">
      <c r="A986" s="176"/>
      <c r="B986" s="174"/>
      <c r="C986" s="35" t="s">
        <v>7981</v>
      </c>
      <c r="D986" s="35" t="s">
        <v>213</v>
      </c>
      <c r="E986" s="36">
        <v>1</v>
      </c>
      <c r="F986" s="33">
        <v>2.3654999999999999</v>
      </c>
      <c r="G986" s="33">
        <f>IF(ISNUMBER(F986),E986*F986,"")</f>
        <v>2.3654999999999999</v>
      </c>
      <c r="H986" s="34"/>
      <c r="I986" s="30"/>
      <c r="J986" s="152">
        <v>0</v>
      </c>
    </row>
    <row r="987" spans="1:10" ht="15.75" hidden="1" thickBot="1" x14ac:dyDescent="0.3">
      <c r="A987" s="176"/>
      <c r="B987" s="174"/>
      <c r="C987" s="35" t="s">
        <v>8220</v>
      </c>
      <c r="D987" s="35" t="s">
        <v>213</v>
      </c>
      <c r="E987" s="36">
        <v>5.7000000000000002E-2</v>
      </c>
      <c r="F987" s="33">
        <v>2.1185</v>
      </c>
      <c r="G987" s="33">
        <f>IF(ISNUMBER(F987),E987*F987,"")</f>
        <v>0.1207545</v>
      </c>
      <c r="H987" s="34"/>
      <c r="I987" s="30"/>
      <c r="J987" s="152">
        <v>0</v>
      </c>
    </row>
    <row r="988" spans="1:10" ht="26.25" hidden="1" thickBot="1" x14ac:dyDescent="0.3">
      <c r="A988" s="176"/>
      <c r="B988" s="174"/>
      <c r="C988" s="35" t="s">
        <v>8038</v>
      </c>
      <c r="D988" s="35" t="s">
        <v>213</v>
      </c>
      <c r="E988" s="36">
        <v>1</v>
      </c>
      <c r="F988" s="33">
        <v>85.69</v>
      </c>
      <c r="G988" s="33">
        <f>IF(ISNUMBER(F988),E988*F988,"")</f>
        <v>85.69</v>
      </c>
      <c r="H988" s="34"/>
      <c r="I988" s="30"/>
      <c r="J988" s="152">
        <v>0</v>
      </c>
    </row>
    <row r="989" spans="1:10" ht="39" hidden="1" thickBot="1" x14ac:dyDescent="0.3">
      <c r="A989" s="176"/>
      <c r="B989" s="174"/>
      <c r="C989" s="35" t="s">
        <v>8310</v>
      </c>
      <c r="D989" s="35" t="s">
        <v>213</v>
      </c>
      <c r="E989" s="36">
        <v>0.03</v>
      </c>
      <c r="F989" s="33">
        <v>27.388499999999997</v>
      </c>
      <c r="G989" s="33">
        <f>IF(ISNUMBER(F989),E989*F989,"")</f>
        <v>0.82165499999999991</v>
      </c>
      <c r="H989" s="34"/>
      <c r="I989" s="30"/>
      <c r="J989" s="152">
        <v>0</v>
      </c>
    </row>
    <row r="990" spans="1:10" ht="26.25" hidden="1" thickBot="1" x14ac:dyDescent="0.3">
      <c r="A990" s="176"/>
      <c r="B990" s="174"/>
      <c r="C990" s="35" t="s">
        <v>8375</v>
      </c>
      <c r="D990" s="35" t="s">
        <v>213</v>
      </c>
      <c r="E990" s="36">
        <v>2.2499999999999999E-2</v>
      </c>
      <c r="F990" s="33">
        <v>75.192499999999995</v>
      </c>
      <c r="G990" s="33">
        <f>IF(ISNUMBER(F990),E990*F990,"")</f>
        <v>1.6918312499999999</v>
      </c>
      <c r="H990" s="34"/>
      <c r="I990" s="30"/>
      <c r="J990" s="152">
        <v>0</v>
      </c>
    </row>
    <row r="991" spans="1:10" ht="15.75" hidden="1" thickBot="1" x14ac:dyDescent="0.3">
      <c r="A991" s="177"/>
      <c r="B991" s="175"/>
      <c r="C991" s="35"/>
      <c r="D991" s="35"/>
      <c r="E991" s="36"/>
      <c r="F991" s="30" t="s">
        <v>416</v>
      </c>
      <c r="G991" s="30" t="str">
        <f>IF(ISNUMBER(F991),E991*F991,"")</f>
        <v/>
      </c>
      <c r="H991" s="34"/>
      <c r="I991" s="30"/>
      <c r="J991" s="152">
        <v>0</v>
      </c>
    </row>
    <row r="992" spans="1:10" ht="15.75" hidden="1" thickBot="1" x14ac:dyDescent="0.3">
      <c r="A992" s="170" t="s">
        <v>246</v>
      </c>
      <c r="B992" s="173" t="str">
        <f>INDEX(Orçamentária!A:B,MATCH(Composições!A992,Orçamentária!A:A,0),2)</f>
        <v>Caixa sifonada de PVC DN 250 mm</v>
      </c>
      <c r="C992" s="40"/>
      <c r="D992" s="25" t="s">
        <v>16</v>
      </c>
      <c r="E992" s="26"/>
      <c r="F992" s="41" t="s">
        <v>416</v>
      </c>
      <c r="G992" s="27" t="str">
        <f>IF(ISNUMBER(F992),E992*F992,"")</f>
        <v/>
      </c>
      <c r="H992" s="28"/>
      <c r="I992" s="29"/>
      <c r="J992" s="152">
        <v>0</v>
      </c>
    </row>
    <row r="993" spans="1:10" ht="15.75" hidden="1" thickBot="1" x14ac:dyDescent="0.3">
      <c r="A993" s="176"/>
      <c r="B993" s="174"/>
      <c r="C993" s="31"/>
      <c r="D993" s="31"/>
      <c r="E993" s="32"/>
      <c r="F993" s="42" t="s">
        <v>416</v>
      </c>
      <c r="G993" s="30" t="str">
        <f>IF(ISNUMBER(F993),E993*F993,"")</f>
        <v/>
      </c>
      <c r="H993" s="34"/>
      <c r="I993" s="30"/>
      <c r="J993" s="152">
        <v>0</v>
      </c>
    </row>
    <row r="994" spans="1:10" ht="26.25" hidden="1" thickBot="1" x14ac:dyDescent="0.3">
      <c r="A994" s="176"/>
      <c r="B994" s="174"/>
      <c r="C994" s="35" t="s">
        <v>824</v>
      </c>
      <c r="D994" s="35" t="s">
        <v>583</v>
      </c>
      <c r="E994" s="36">
        <v>0.38</v>
      </c>
      <c r="F994" s="30">
        <v>21.166</v>
      </c>
      <c r="G994" s="30">
        <f>IF(ISNUMBER(F994),E994*F994,"")</f>
        <v>8.0430799999999998</v>
      </c>
      <c r="H994" s="38">
        <f>SUM(G994:G1001)</f>
        <v>149.98886235000001</v>
      </c>
      <c r="I994" s="39"/>
      <c r="J994" s="152">
        <v>0</v>
      </c>
    </row>
    <row r="995" spans="1:10" ht="26.25" hidden="1" thickBot="1" x14ac:dyDescent="0.3">
      <c r="A995" s="176"/>
      <c r="B995" s="174"/>
      <c r="C995" s="35" t="s">
        <v>825</v>
      </c>
      <c r="D995" s="35" t="s">
        <v>583</v>
      </c>
      <c r="E995" s="36">
        <v>0.38</v>
      </c>
      <c r="F995" s="30">
        <v>26.799499999999998</v>
      </c>
      <c r="G995" s="30">
        <f>IF(ISNUMBER(F995),E995*F995,"")</f>
        <v>10.183809999999999</v>
      </c>
      <c r="H995" s="34"/>
      <c r="I995" s="30"/>
      <c r="J995" s="152">
        <v>0</v>
      </c>
    </row>
    <row r="996" spans="1:10" ht="15.75" hidden="1" thickBot="1" x14ac:dyDescent="0.3">
      <c r="A996" s="176"/>
      <c r="B996" s="174"/>
      <c r="C996" s="35" t="s">
        <v>7975</v>
      </c>
      <c r="D996" s="35" t="s">
        <v>213</v>
      </c>
      <c r="E996" s="36">
        <v>1.4800000000000001E-2</v>
      </c>
      <c r="F996" s="33">
        <v>66.36699999999999</v>
      </c>
      <c r="G996" s="30">
        <f>IF(ISNUMBER(F996),E996*F996,"")</f>
        <v>0.98223159999999987</v>
      </c>
      <c r="H996" s="34"/>
      <c r="I996" s="30"/>
      <c r="J996" s="152">
        <v>0</v>
      </c>
    </row>
    <row r="997" spans="1:10" ht="26.25" hidden="1" thickBot="1" x14ac:dyDescent="0.3">
      <c r="A997" s="176"/>
      <c r="B997" s="174"/>
      <c r="C997" s="35" t="s">
        <v>7981</v>
      </c>
      <c r="D997" s="35" t="s">
        <v>213</v>
      </c>
      <c r="E997" s="36">
        <v>1</v>
      </c>
      <c r="F997" s="33">
        <v>2.3654999999999999</v>
      </c>
      <c r="G997" s="30">
        <f>IF(ISNUMBER(F997),E997*F997,"")</f>
        <v>2.3654999999999999</v>
      </c>
      <c r="H997" s="34"/>
      <c r="I997" s="30"/>
      <c r="J997" s="152">
        <v>0</v>
      </c>
    </row>
    <row r="998" spans="1:10" ht="15.75" hidden="1" thickBot="1" x14ac:dyDescent="0.3">
      <c r="A998" s="176"/>
      <c r="B998" s="174"/>
      <c r="C998" s="35" t="s">
        <v>8220</v>
      </c>
      <c r="D998" s="35" t="s">
        <v>213</v>
      </c>
      <c r="E998" s="36">
        <v>5.7000000000000002E-2</v>
      </c>
      <c r="F998" s="33">
        <v>2.1185</v>
      </c>
      <c r="G998" s="30">
        <f>IF(ISNUMBER(F998),E998*F998,"")</f>
        <v>0.1207545</v>
      </c>
      <c r="H998" s="34"/>
      <c r="I998" s="30"/>
      <c r="J998" s="152">
        <v>0</v>
      </c>
    </row>
    <row r="999" spans="1:10" ht="26.25" hidden="1" thickBot="1" x14ac:dyDescent="0.3">
      <c r="A999" s="176"/>
      <c r="B999" s="174"/>
      <c r="C999" s="35" t="s">
        <v>8037</v>
      </c>
      <c r="D999" s="35" t="s">
        <v>213</v>
      </c>
      <c r="E999" s="36">
        <v>1</v>
      </c>
      <c r="F999" s="33">
        <v>125.78</v>
      </c>
      <c r="G999" s="30">
        <f>IF(ISNUMBER(F999),E999*F999,"")</f>
        <v>125.78</v>
      </c>
      <c r="H999" s="34"/>
      <c r="I999" s="30"/>
      <c r="J999" s="152">
        <v>0</v>
      </c>
    </row>
    <row r="1000" spans="1:10" ht="39" hidden="1" thickBot="1" x14ac:dyDescent="0.3">
      <c r="A1000" s="176"/>
      <c r="B1000" s="174"/>
      <c r="C1000" s="35" t="s">
        <v>8310</v>
      </c>
      <c r="D1000" s="35" t="s">
        <v>213</v>
      </c>
      <c r="E1000" s="36">
        <v>0.03</v>
      </c>
      <c r="F1000" s="33">
        <v>27.388499999999997</v>
      </c>
      <c r="G1000" s="30">
        <f>IF(ISNUMBER(F1000),E1000*F1000,"")</f>
        <v>0.82165499999999991</v>
      </c>
      <c r="H1000" s="34"/>
      <c r="I1000" s="30"/>
      <c r="J1000" s="152">
        <v>0</v>
      </c>
    </row>
    <row r="1001" spans="1:10" ht="26.25" hidden="1" thickBot="1" x14ac:dyDescent="0.3">
      <c r="A1001" s="176"/>
      <c r="B1001" s="174"/>
      <c r="C1001" s="35" t="s">
        <v>8375</v>
      </c>
      <c r="D1001" s="35" t="s">
        <v>213</v>
      </c>
      <c r="E1001" s="36">
        <v>2.2499999999999999E-2</v>
      </c>
      <c r="F1001" s="33">
        <v>75.192499999999995</v>
      </c>
      <c r="G1001" s="30">
        <f>IF(ISNUMBER(F1001),E1001*F1001,"")</f>
        <v>1.6918312499999999</v>
      </c>
      <c r="H1001" s="34"/>
      <c r="I1001" s="30"/>
      <c r="J1001" s="152">
        <v>0</v>
      </c>
    </row>
    <row r="1002" spans="1:10" ht="15.75" hidden="1" thickBot="1" x14ac:dyDescent="0.3">
      <c r="A1002" s="177"/>
      <c r="B1002" s="175"/>
      <c r="C1002" s="35"/>
      <c r="D1002" s="35"/>
      <c r="E1002" s="36"/>
      <c r="F1002" s="30" t="s">
        <v>416</v>
      </c>
      <c r="G1002" s="30" t="str">
        <f>IF(ISNUMBER(F1002),E1002*F1002,"")</f>
        <v/>
      </c>
      <c r="H1002" s="34"/>
      <c r="I1002" s="30"/>
      <c r="J1002" s="152">
        <v>0</v>
      </c>
    </row>
    <row r="1003" spans="1:10" ht="15.75" hidden="1" thickBot="1" x14ac:dyDescent="0.3">
      <c r="A1003" s="170" t="s">
        <v>247</v>
      </c>
      <c r="B1003" s="173" t="str">
        <f>INDEX(Orçamentária!A:B,MATCH(Composições!A1003,Orçamentária!A:A,0),2)</f>
        <v>Grelha quadrada para ralo 10 x 10 cm</v>
      </c>
      <c r="C1003" s="40"/>
      <c r="D1003" s="25" t="s">
        <v>16</v>
      </c>
      <c r="E1003" s="26"/>
      <c r="F1003" s="41" t="s">
        <v>416</v>
      </c>
      <c r="G1003" s="27" t="str">
        <f>IF(ISNUMBER(F1003),E1003*F1003,"")</f>
        <v/>
      </c>
      <c r="H1003" s="28"/>
      <c r="I1003" s="29"/>
      <c r="J1003" s="152">
        <v>0</v>
      </c>
    </row>
    <row r="1004" spans="1:10" ht="15.75" hidden="1" thickBot="1" x14ac:dyDescent="0.3">
      <c r="A1004" s="176"/>
      <c r="B1004" s="174"/>
      <c r="C1004" s="31"/>
      <c r="D1004" s="31"/>
      <c r="E1004" s="32"/>
      <c r="F1004" s="42" t="s">
        <v>416</v>
      </c>
      <c r="G1004" s="30" t="str">
        <f>IF(ISNUMBER(F1004),E1004*F1004,"")</f>
        <v/>
      </c>
      <c r="H1004" s="34"/>
      <c r="I1004" s="30"/>
      <c r="J1004" s="152">
        <v>0</v>
      </c>
    </row>
    <row r="1005" spans="1:10" ht="26.25" hidden="1" thickBot="1" x14ac:dyDescent="0.3">
      <c r="A1005" s="176"/>
      <c r="B1005" s="174"/>
      <c r="C1005" s="35" t="s">
        <v>248</v>
      </c>
      <c r="D1005" s="46" t="s">
        <v>107</v>
      </c>
      <c r="E1005" s="36">
        <v>1</v>
      </c>
      <c r="F1005" s="33" t="s">
        <v>416</v>
      </c>
      <c r="G1005" s="33" t="str">
        <f>IF(ISNUMBER(F1005),E1005*F1005,"")</f>
        <v/>
      </c>
      <c r="H1005" s="38">
        <f>SUM(G1005:G1006)</f>
        <v>3.0338249999999993</v>
      </c>
      <c r="I1005" s="39"/>
      <c r="J1005" s="152">
        <v>0</v>
      </c>
    </row>
    <row r="1006" spans="1:10" ht="15.75" hidden="1" thickBot="1" x14ac:dyDescent="0.3">
      <c r="A1006" s="176"/>
      <c r="B1006" s="174"/>
      <c r="C1006" s="35" t="s">
        <v>584</v>
      </c>
      <c r="D1006" s="35" t="s">
        <v>583</v>
      </c>
      <c r="E1006" s="36">
        <v>0.15</v>
      </c>
      <c r="F1006" s="30">
        <v>20.225499999999997</v>
      </c>
      <c r="G1006" s="33">
        <f>IF(ISNUMBER(F1006),E1006*F1006,"")</f>
        <v>3.0338249999999993</v>
      </c>
      <c r="H1006" s="34"/>
      <c r="I1006" s="30"/>
      <c r="J1006" s="152">
        <v>0</v>
      </c>
    </row>
    <row r="1007" spans="1:10" ht="15.75" hidden="1" thickBot="1" x14ac:dyDescent="0.3">
      <c r="A1007" s="177"/>
      <c r="B1007" s="175"/>
      <c r="C1007" s="35"/>
      <c r="D1007" s="35"/>
      <c r="E1007" s="36"/>
      <c r="F1007" s="30" t="s">
        <v>416</v>
      </c>
      <c r="G1007" s="30" t="str">
        <f>IF(ISNUMBER(F1007),E1007*F1007,"")</f>
        <v/>
      </c>
      <c r="H1007" s="34"/>
      <c r="I1007" s="30"/>
      <c r="J1007" s="152">
        <v>0</v>
      </c>
    </row>
    <row r="1008" spans="1:10" ht="15.75" hidden="1" thickBot="1" x14ac:dyDescent="0.3">
      <c r="A1008" s="170" t="s">
        <v>249</v>
      </c>
      <c r="B1008" s="173" t="str">
        <f>INDEX(Orçamentária!A:B,MATCH(Composições!A1008,Orçamentária!A:A,0),2)</f>
        <v>Grelha quadrada para ralo 15 x 15 cm</v>
      </c>
      <c r="C1008" s="40"/>
      <c r="D1008" s="25" t="s">
        <v>16</v>
      </c>
      <c r="E1008" s="26"/>
      <c r="F1008" s="41" t="s">
        <v>416</v>
      </c>
      <c r="G1008" s="27" t="str">
        <f>IF(ISNUMBER(F1008),E1008*F1008,"")</f>
        <v/>
      </c>
      <c r="H1008" s="28"/>
      <c r="I1008" s="29"/>
      <c r="J1008" s="152">
        <v>0</v>
      </c>
    </row>
    <row r="1009" spans="1:10" ht="15.75" hidden="1" thickBot="1" x14ac:dyDescent="0.3">
      <c r="A1009" s="176"/>
      <c r="B1009" s="174"/>
      <c r="C1009" s="31"/>
      <c r="D1009" s="31"/>
      <c r="E1009" s="32"/>
      <c r="F1009" s="42" t="s">
        <v>416</v>
      </c>
      <c r="G1009" s="30" t="str">
        <f>IF(ISNUMBER(F1009),E1009*F1009,"")</f>
        <v/>
      </c>
      <c r="H1009" s="34"/>
      <c r="I1009" s="30"/>
      <c r="J1009" s="152">
        <v>0</v>
      </c>
    </row>
    <row r="1010" spans="1:10" ht="26.25" hidden="1" thickBot="1" x14ac:dyDescent="0.3">
      <c r="A1010" s="176"/>
      <c r="B1010" s="174"/>
      <c r="C1010" s="35" t="s">
        <v>250</v>
      </c>
      <c r="D1010" s="46" t="s">
        <v>107</v>
      </c>
      <c r="E1010" s="36">
        <v>1</v>
      </c>
      <c r="F1010" s="33" t="s">
        <v>416</v>
      </c>
      <c r="G1010" s="33" t="str">
        <f>IF(ISNUMBER(F1010),E1010*F1010,"")</f>
        <v/>
      </c>
      <c r="H1010" s="38">
        <f>SUM(G1010:G1011)</f>
        <v>3.0338249999999993</v>
      </c>
      <c r="I1010" s="39"/>
      <c r="J1010" s="152">
        <v>0</v>
      </c>
    </row>
    <row r="1011" spans="1:10" ht="15.75" hidden="1" thickBot="1" x14ac:dyDescent="0.3">
      <c r="A1011" s="176"/>
      <c r="B1011" s="174"/>
      <c r="C1011" s="35" t="s">
        <v>584</v>
      </c>
      <c r="D1011" s="35" t="s">
        <v>583</v>
      </c>
      <c r="E1011" s="36">
        <v>0.15</v>
      </c>
      <c r="F1011" s="30">
        <v>20.225499999999997</v>
      </c>
      <c r="G1011" s="33">
        <f>IF(ISNUMBER(F1011),E1011*F1011,"")</f>
        <v>3.0338249999999993</v>
      </c>
      <c r="H1011" s="34"/>
      <c r="I1011" s="30"/>
      <c r="J1011" s="152">
        <v>0</v>
      </c>
    </row>
    <row r="1012" spans="1:10" ht="15.75" hidden="1" thickBot="1" x14ac:dyDescent="0.3">
      <c r="A1012" s="177"/>
      <c r="B1012" s="175"/>
      <c r="C1012" s="35"/>
      <c r="D1012" s="35"/>
      <c r="E1012" s="36"/>
      <c r="F1012" s="30" t="s">
        <v>416</v>
      </c>
      <c r="G1012" s="30" t="str">
        <f>IF(ISNUMBER(F1012),E1012*F1012,"")</f>
        <v/>
      </c>
      <c r="H1012" s="34"/>
      <c r="I1012" s="30"/>
      <c r="J1012" s="152">
        <v>0</v>
      </c>
    </row>
    <row r="1013" spans="1:10" ht="15.75" hidden="1" thickBot="1" x14ac:dyDescent="0.3">
      <c r="A1013" s="170" t="s">
        <v>251</v>
      </c>
      <c r="B1013" s="173" t="str">
        <f>INDEX(Orçamentária!A:B,MATCH(Composições!A1013,Orçamentária!A:A,0),2)</f>
        <v>Ralo seco PVC DN 100 x 40 mm</v>
      </c>
      <c r="C1013" s="40"/>
      <c r="D1013" s="25" t="s">
        <v>16</v>
      </c>
      <c r="E1013" s="26"/>
      <c r="F1013" s="41" t="s">
        <v>416</v>
      </c>
      <c r="G1013" s="27" t="str">
        <f>IF(ISNUMBER(F1013),E1013*F1013,"")</f>
        <v/>
      </c>
      <c r="H1013" s="28"/>
      <c r="I1013" s="29"/>
      <c r="J1013" s="152">
        <v>0</v>
      </c>
    </row>
    <row r="1014" spans="1:10" ht="15.75" hidden="1" thickBot="1" x14ac:dyDescent="0.3">
      <c r="A1014" s="176"/>
      <c r="B1014" s="174"/>
      <c r="C1014" s="31"/>
      <c r="D1014" s="31"/>
      <c r="E1014" s="32"/>
      <c r="F1014" s="42" t="s">
        <v>416</v>
      </c>
      <c r="G1014" s="30" t="str">
        <f>IF(ISNUMBER(F1014),E1014*F1014,"")</f>
        <v/>
      </c>
      <c r="H1014" s="34"/>
      <c r="I1014" s="30"/>
      <c r="J1014" s="152">
        <v>0</v>
      </c>
    </row>
    <row r="1015" spans="1:10" ht="26.25" hidden="1" thickBot="1" x14ac:dyDescent="0.3">
      <c r="A1015" s="176"/>
      <c r="B1015" s="174"/>
      <c r="C1015" s="35" t="s">
        <v>824</v>
      </c>
      <c r="D1015" s="35" t="s">
        <v>583</v>
      </c>
      <c r="E1015" s="36">
        <v>7.0000000000000007E-2</v>
      </c>
      <c r="F1015" s="30">
        <v>21.166</v>
      </c>
      <c r="G1015" s="33">
        <f>IF(ISNUMBER(F1015),E1015*F1015,"")</f>
        <v>1.4816200000000002</v>
      </c>
      <c r="H1015" s="38">
        <f>SUM(G1015:G1020)</f>
        <v>16.062741549999998</v>
      </c>
      <c r="I1015" s="39"/>
      <c r="J1015" s="152">
        <v>0</v>
      </c>
    </row>
    <row r="1016" spans="1:10" ht="26.25" hidden="1" thickBot="1" x14ac:dyDescent="0.3">
      <c r="A1016" s="176"/>
      <c r="B1016" s="174"/>
      <c r="C1016" s="35" t="s">
        <v>825</v>
      </c>
      <c r="D1016" s="35" t="s">
        <v>583</v>
      </c>
      <c r="E1016" s="36">
        <v>7.0000000000000007E-2</v>
      </c>
      <c r="F1016" s="30">
        <v>26.799499999999998</v>
      </c>
      <c r="G1016" s="33">
        <f>IF(ISNUMBER(F1016),E1016*F1016,"")</f>
        <v>1.8759650000000001</v>
      </c>
      <c r="H1016" s="34"/>
      <c r="I1016" s="30"/>
      <c r="J1016" s="152">
        <v>0</v>
      </c>
    </row>
    <row r="1017" spans="1:10" ht="15.75" hidden="1" thickBot="1" x14ac:dyDescent="0.3">
      <c r="A1017" s="176"/>
      <c r="B1017" s="174"/>
      <c r="C1017" s="35" t="s">
        <v>7975</v>
      </c>
      <c r="D1017" s="35" t="s">
        <v>213</v>
      </c>
      <c r="E1017" s="36">
        <v>4.8999999999999998E-3</v>
      </c>
      <c r="F1017" s="33">
        <v>66.36699999999999</v>
      </c>
      <c r="G1017" s="33">
        <f>IF(ISNUMBER(F1017),E1017*F1017,"")</f>
        <v>0.32519829999999994</v>
      </c>
      <c r="H1017" s="34"/>
      <c r="I1017" s="30"/>
      <c r="J1017" s="152">
        <v>0</v>
      </c>
    </row>
    <row r="1018" spans="1:10" ht="15.75" hidden="1" thickBot="1" x14ac:dyDescent="0.3">
      <c r="A1018" s="176"/>
      <c r="B1018" s="174"/>
      <c r="C1018" s="35" t="s">
        <v>8220</v>
      </c>
      <c r="D1018" s="35" t="s">
        <v>213</v>
      </c>
      <c r="E1018" s="36">
        <v>1.7000000000000001E-2</v>
      </c>
      <c r="F1018" s="33">
        <v>2.1185</v>
      </c>
      <c r="G1018" s="33">
        <f>IF(ISNUMBER(F1018),E1018*F1018,"")</f>
        <v>3.6014500000000005E-2</v>
      </c>
      <c r="H1018" s="34"/>
      <c r="I1018" s="30"/>
      <c r="J1018" s="152">
        <v>0</v>
      </c>
    </row>
    <row r="1019" spans="1:10" ht="26.25" hidden="1" thickBot="1" x14ac:dyDescent="0.3">
      <c r="A1019" s="176"/>
      <c r="B1019" s="174"/>
      <c r="C1019" s="35" t="s">
        <v>8520</v>
      </c>
      <c r="D1019" s="35" t="s">
        <v>213</v>
      </c>
      <c r="E1019" s="36">
        <v>1</v>
      </c>
      <c r="F1019" s="33">
        <v>11.78</v>
      </c>
      <c r="G1019" s="33">
        <f>IF(ISNUMBER(F1019),E1019*F1019,"")</f>
        <v>11.78</v>
      </c>
      <c r="H1019" s="34"/>
      <c r="I1019" s="30"/>
      <c r="J1019" s="152">
        <v>0</v>
      </c>
    </row>
    <row r="1020" spans="1:10" ht="26.25" hidden="1" thickBot="1" x14ac:dyDescent="0.3">
      <c r="A1020" s="176"/>
      <c r="B1020" s="174"/>
      <c r="C1020" s="35" t="s">
        <v>8375</v>
      </c>
      <c r="D1020" s="35" t="s">
        <v>213</v>
      </c>
      <c r="E1020" s="36">
        <v>7.4999999999999997E-3</v>
      </c>
      <c r="F1020" s="33">
        <v>75.192499999999995</v>
      </c>
      <c r="G1020" s="33">
        <f>IF(ISNUMBER(F1020),E1020*F1020,"")</f>
        <v>0.56394374999999997</v>
      </c>
      <c r="H1020" s="34"/>
      <c r="I1020" s="30"/>
      <c r="J1020" s="152">
        <v>0</v>
      </c>
    </row>
    <row r="1021" spans="1:10" ht="15.75" hidden="1" thickBot="1" x14ac:dyDescent="0.3">
      <c r="A1021" s="177"/>
      <c r="B1021" s="175"/>
      <c r="C1021" s="35"/>
      <c r="D1021" s="35"/>
      <c r="E1021" s="36"/>
      <c r="F1021" s="30" t="s">
        <v>416</v>
      </c>
      <c r="G1021" s="30" t="str">
        <f>IF(ISNUMBER(F1021),E1021*F1021,"")</f>
        <v/>
      </c>
      <c r="H1021" s="34"/>
      <c r="I1021" s="30"/>
      <c r="J1021" s="152">
        <v>0</v>
      </c>
    </row>
    <row r="1022" spans="1:10" ht="15.75" hidden="1" thickBot="1" x14ac:dyDescent="0.3">
      <c r="A1022" s="170" t="s">
        <v>252</v>
      </c>
      <c r="B1022" s="173" t="str">
        <f>INDEX(Orçamentária!A:B,MATCH(Composições!A1022,Orçamentária!A:A,0),2)</f>
        <v>Assento para bacia convencional</v>
      </c>
      <c r="C1022" s="40"/>
      <c r="D1022" s="25" t="s">
        <v>16</v>
      </c>
      <c r="E1022" s="26"/>
      <c r="F1022" s="41" t="s">
        <v>416</v>
      </c>
      <c r="G1022" s="27" t="str">
        <f>IF(ISNUMBER(F1022),E1022*F1022,"")</f>
        <v/>
      </c>
      <c r="H1022" s="28"/>
      <c r="I1022" s="29"/>
      <c r="J1022" s="152">
        <v>0</v>
      </c>
    </row>
    <row r="1023" spans="1:10" ht="15.75" hidden="1" thickBot="1" x14ac:dyDescent="0.3">
      <c r="A1023" s="176"/>
      <c r="B1023" s="174"/>
      <c r="C1023" s="31"/>
      <c r="D1023" s="31"/>
      <c r="E1023" s="32"/>
      <c r="F1023" s="42" t="s">
        <v>416</v>
      </c>
      <c r="G1023" s="30" t="str">
        <f>IF(ISNUMBER(F1023),E1023*F1023,"")</f>
        <v/>
      </c>
      <c r="H1023" s="34"/>
      <c r="I1023" s="30"/>
      <c r="J1023" s="152">
        <v>0</v>
      </c>
    </row>
    <row r="1024" spans="1:10" ht="26.25" hidden="1" thickBot="1" x14ac:dyDescent="0.3">
      <c r="A1024" s="176"/>
      <c r="B1024" s="174"/>
      <c r="C1024" s="35" t="s">
        <v>253</v>
      </c>
      <c r="D1024" s="46" t="s">
        <v>107</v>
      </c>
      <c r="E1024" s="36">
        <v>1</v>
      </c>
      <c r="F1024" s="33" t="s">
        <v>416</v>
      </c>
      <c r="G1024" s="33" t="str">
        <f>IF(ISNUMBER(F1024),E1024*F1024,"")</f>
        <v/>
      </c>
      <c r="H1024" s="38">
        <f>SUM(G1024:G1025)</f>
        <v>2.0225499999999998</v>
      </c>
      <c r="I1024" s="39"/>
      <c r="J1024" s="152">
        <v>0</v>
      </c>
    </row>
    <row r="1025" spans="1:10" ht="15.75" hidden="1" thickBot="1" x14ac:dyDescent="0.3">
      <c r="A1025" s="176"/>
      <c r="B1025" s="174"/>
      <c r="C1025" s="35" t="s">
        <v>584</v>
      </c>
      <c r="D1025" s="35" t="s">
        <v>583</v>
      </c>
      <c r="E1025" s="36">
        <v>0.1</v>
      </c>
      <c r="F1025" s="30">
        <v>20.225499999999997</v>
      </c>
      <c r="G1025" s="33">
        <f>IF(ISNUMBER(F1025),E1025*F1025,"")</f>
        <v>2.0225499999999998</v>
      </c>
      <c r="H1025" s="34"/>
      <c r="I1025" s="30"/>
      <c r="J1025" s="152">
        <v>0</v>
      </c>
    </row>
    <row r="1026" spans="1:10" ht="15.75" hidden="1" thickBot="1" x14ac:dyDescent="0.3">
      <c r="A1026" s="177"/>
      <c r="B1026" s="175"/>
      <c r="C1026" s="35"/>
      <c r="D1026" s="35"/>
      <c r="E1026" s="36"/>
      <c r="F1026" s="30" t="s">
        <v>416</v>
      </c>
      <c r="G1026" s="30" t="str">
        <f>IF(ISNUMBER(F1026),E1026*F1026,"")</f>
        <v/>
      </c>
      <c r="H1026" s="34"/>
      <c r="I1026" s="30"/>
      <c r="J1026" s="152">
        <v>0</v>
      </c>
    </row>
    <row r="1027" spans="1:10" ht="15.75" hidden="1" thickBot="1" x14ac:dyDescent="0.3">
      <c r="A1027" s="170" t="s">
        <v>254</v>
      </c>
      <c r="B1027" s="173" t="str">
        <f>INDEX(Orçamentária!A:B,MATCH(Composições!A1027,Orçamentária!A:A,0),2)</f>
        <v>Bacia convencional – Linha Administrativa</v>
      </c>
      <c r="C1027" s="40"/>
      <c r="D1027" s="25" t="s">
        <v>16</v>
      </c>
      <c r="E1027" s="26"/>
      <c r="F1027" s="41" t="s">
        <v>416</v>
      </c>
      <c r="G1027" s="27" t="str">
        <f>IF(ISNUMBER(F1027),E1027*F1027,"")</f>
        <v/>
      </c>
      <c r="H1027" s="28"/>
      <c r="I1027" s="29"/>
      <c r="J1027" s="152">
        <v>0</v>
      </c>
    </row>
    <row r="1028" spans="1:10" ht="15.75" hidden="1" thickBot="1" x14ac:dyDescent="0.3">
      <c r="A1028" s="176"/>
      <c r="B1028" s="174"/>
      <c r="C1028" s="31"/>
      <c r="D1028" s="31"/>
      <c r="E1028" s="32"/>
      <c r="F1028" s="42" t="s">
        <v>416</v>
      </c>
      <c r="G1028" s="30" t="str">
        <f>IF(ISNUMBER(F1028),E1028*F1028,"")</f>
        <v/>
      </c>
      <c r="H1028" s="34"/>
      <c r="I1028" s="30"/>
      <c r="J1028" s="152">
        <v>0</v>
      </c>
    </row>
    <row r="1029" spans="1:10" ht="26.25" hidden="1" thickBot="1" x14ac:dyDescent="0.3">
      <c r="A1029" s="176"/>
      <c r="B1029" s="174"/>
      <c r="C1029" s="35" t="s">
        <v>7995</v>
      </c>
      <c r="D1029" s="35" t="s">
        <v>213</v>
      </c>
      <c r="E1029" s="36">
        <v>1</v>
      </c>
      <c r="F1029" s="33">
        <v>181.0985</v>
      </c>
      <c r="G1029" s="33">
        <f>IF(ISNUMBER(F1029),E1029*F1029,"")</f>
        <v>181.0985</v>
      </c>
      <c r="H1029" s="38">
        <f>SUM(G1029:G1035)</f>
        <v>267.89069949999998</v>
      </c>
      <c r="I1029" s="39"/>
      <c r="J1029" s="152">
        <v>0</v>
      </c>
    </row>
    <row r="1030" spans="1:10" ht="26.25" hidden="1" thickBot="1" x14ac:dyDescent="0.3">
      <c r="A1030" s="176"/>
      <c r="B1030" s="174"/>
      <c r="C1030" s="35" t="s">
        <v>233</v>
      </c>
      <c r="D1030" s="35" t="s">
        <v>16</v>
      </c>
      <c r="E1030" s="36">
        <v>1</v>
      </c>
      <c r="F1030" s="33" t="s">
        <v>416</v>
      </c>
      <c r="G1030" s="33" t="str">
        <f>IF(ISNUMBER(F1030),E1030*F1030,"")</f>
        <v/>
      </c>
      <c r="H1030" s="34"/>
      <c r="I1030" s="30"/>
      <c r="J1030" s="152">
        <v>0</v>
      </c>
    </row>
    <row r="1031" spans="1:10" ht="39" hidden="1" thickBot="1" x14ac:dyDescent="0.3">
      <c r="A1031" s="176"/>
      <c r="B1031" s="174"/>
      <c r="C1031" s="35" t="s">
        <v>8308</v>
      </c>
      <c r="D1031" s="35" t="s">
        <v>213</v>
      </c>
      <c r="E1031" s="36">
        <v>2</v>
      </c>
      <c r="F1031" s="33">
        <v>22.799999999999997</v>
      </c>
      <c r="G1031" s="33">
        <f>IF(ISNUMBER(F1031),E1031*F1031,"")</f>
        <v>45.599999999999994</v>
      </c>
      <c r="H1031" s="34"/>
      <c r="I1031" s="30"/>
      <c r="J1031" s="152">
        <v>0</v>
      </c>
    </row>
    <row r="1032" spans="1:10" ht="26.25" hidden="1" thickBot="1" x14ac:dyDescent="0.3">
      <c r="A1032" s="176"/>
      <c r="B1032" s="174"/>
      <c r="C1032" s="35" t="s">
        <v>7982</v>
      </c>
      <c r="D1032" s="35" t="s">
        <v>213</v>
      </c>
      <c r="E1032" s="36">
        <v>1</v>
      </c>
      <c r="F1032" s="33">
        <v>14.3925</v>
      </c>
      <c r="G1032" s="53">
        <f>IF(ISNUMBER(F1032),E1032*F1032,"")</f>
        <v>14.3925</v>
      </c>
      <c r="H1032" s="34"/>
      <c r="I1032" s="30"/>
      <c r="J1032" s="152">
        <v>0</v>
      </c>
    </row>
    <row r="1033" spans="1:10" ht="15.75" hidden="1" thickBot="1" x14ac:dyDescent="0.3">
      <c r="A1033" s="176"/>
      <c r="B1033" s="174"/>
      <c r="C1033" s="35" t="s">
        <v>3061</v>
      </c>
      <c r="D1033" s="35" t="s">
        <v>773</v>
      </c>
      <c r="E1033" s="36">
        <v>8.8099999999999998E-2</v>
      </c>
      <c r="F1033" s="33">
        <v>72.836500000000001</v>
      </c>
      <c r="G1033" s="33">
        <f>IF(ISNUMBER(F1033),E1033*F1033,"")</f>
        <v>6.4168956499999998</v>
      </c>
      <c r="H1033" s="34"/>
      <c r="I1033" s="30"/>
      <c r="J1033" s="152">
        <v>0</v>
      </c>
    </row>
    <row r="1034" spans="1:10" ht="26.25" hidden="1" thickBot="1" x14ac:dyDescent="0.3">
      <c r="A1034" s="176"/>
      <c r="B1034" s="174"/>
      <c r="C1034" s="35" t="s">
        <v>825</v>
      </c>
      <c r="D1034" s="35" t="s">
        <v>583</v>
      </c>
      <c r="E1034" s="36">
        <v>0.49680000000000002</v>
      </c>
      <c r="F1034" s="30">
        <v>26.799499999999998</v>
      </c>
      <c r="G1034" s="33">
        <f>IF(ISNUMBER(F1034),E1034*F1034,"")</f>
        <v>13.3139916</v>
      </c>
      <c r="H1034" s="34"/>
      <c r="I1034" s="30"/>
      <c r="J1034" s="152">
        <v>0</v>
      </c>
    </row>
    <row r="1035" spans="1:10" ht="15.75" hidden="1" thickBot="1" x14ac:dyDescent="0.3">
      <c r="A1035" s="176"/>
      <c r="B1035" s="174"/>
      <c r="C1035" s="35" t="s">
        <v>584</v>
      </c>
      <c r="D1035" s="35" t="s">
        <v>583</v>
      </c>
      <c r="E1035" s="36">
        <v>0.34949999999999998</v>
      </c>
      <c r="F1035" s="30">
        <v>20.225499999999997</v>
      </c>
      <c r="G1035" s="33">
        <f>IF(ISNUMBER(F1035),E1035*F1035,"")</f>
        <v>7.0688122499999988</v>
      </c>
      <c r="H1035" s="34"/>
      <c r="I1035" s="30"/>
      <c r="J1035" s="152">
        <v>0</v>
      </c>
    </row>
    <row r="1036" spans="1:10" ht="15.75" hidden="1" thickBot="1" x14ac:dyDescent="0.3">
      <c r="A1036" s="177"/>
      <c r="B1036" s="175"/>
      <c r="C1036" s="35"/>
      <c r="D1036" s="35"/>
      <c r="E1036" s="36"/>
      <c r="F1036" s="30" t="s">
        <v>416</v>
      </c>
      <c r="G1036" s="30" t="str">
        <f>IF(ISNUMBER(F1036),E1036*F1036,"")</f>
        <v/>
      </c>
      <c r="H1036" s="34"/>
      <c r="I1036" s="30"/>
      <c r="J1036" s="152">
        <v>0</v>
      </c>
    </row>
    <row r="1037" spans="1:10" ht="15.75" hidden="1" thickBot="1" x14ac:dyDescent="0.3">
      <c r="A1037" s="170" t="s">
        <v>255</v>
      </c>
      <c r="B1037" s="173" t="str">
        <f>INDEX(Orçamentária!A:B,MATCH(Composições!A1037,Orçamentária!A:A,0),2)</f>
        <v>Bacia convencional com saída horizontal</v>
      </c>
      <c r="C1037" s="40"/>
      <c r="D1037" s="25" t="s">
        <v>16</v>
      </c>
      <c r="E1037" s="26"/>
      <c r="F1037" s="41" t="s">
        <v>416</v>
      </c>
      <c r="G1037" s="27" t="str">
        <f>IF(ISNUMBER(F1037),E1037*F1037,"")</f>
        <v/>
      </c>
      <c r="H1037" s="28"/>
      <c r="I1037" s="29"/>
      <c r="J1037" s="152">
        <v>0</v>
      </c>
    </row>
    <row r="1038" spans="1:10" ht="15.75" hidden="1" thickBot="1" x14ac:dyDescent="0.3">
      <c r="A1038" s="176"/>
      <c r="B1038" s="174"/>
      <c r="C1038" s="31"/>
      <c r="D1038" s="31"/>
      <c r="E1038" s="32"/>
      <c r="F1038" s="42" t="s">
        <v>416</v>
      </c>
      <c r="G1038" s="30" t="str">
        <f>IF(ISNUMBER(F1038),E1038*F1038,"")</f>
        <v/>
      </c>
      <c r="H1038" s="34"/>
      <c r="I1038" s="30"/>
      <c r="J1038" s="152">
        <v>0</v>
      </c>
    </row>
    <row r="1039" spans="1:10" ht="26.25" hidden="1" thickBot="1" x14ac:dyDescent="0.3">
      <c r="A1039" s="176"/>
      <c r="B1039" s="174"/>
      <c r="C1039" s="35" t="s">
        <v>256</v>
      </c>
      <c r="D1039" s="46" t="s">
        <v>107</v>
      </c>
      <c r="E1039" s="36">
        <v>1</v>
      </c>
      <c r="F1039" s="33" t="s">
        <v>416</v>
      </c>
      <c r="G1039" s="33" t="str">
        <f>IF(ISNUMBER(F1039),E1039*F1039,"")</f>
        <v/>
      </c>
      <c r="H1039" s="38">
        <f>SUM(G1039:G1044)</f>
        <v>86.792199499999981</v>
      </c>
      <c r="I1039" s="39"/>
      <c r="J1039" s="152">
        <v>0</v>
      </c>
    </row>
    <row r="1040" spans="1:10" ht="39" hidden="1" thickBot="1" x14ac:dyDescent="0.3">
      <c r="A1040" s="176"/>
      <c r="B1040" s="174"/>
      <c r="C1040" s="35" t="s">
        <v>8308</v>
      </c>
      <c r="D1040" s="35" t="s">
        <v>213</v>
      </c>
      <c r="E1040" s="36">
        <v>2</v>
      </c>
      <c r="F1040" s="33">
        <v>22.799999999999997</v>
      </c>
      <c r="G1040" s="33">
        <f>IF(ISNUMBER(F1040),E1040*F1040,"")</f>
        <v>45.599999999999994</v>
      </c>
      <c r="H1040" s="34"/>
      <c r="I1040" s="30"/>
      <c r="J1040" s="152">
        <v>0</v>
      </c>
    </row>
    <row r="1041" spans="1:10" ht="26.25" hidden="1" thickBot="1" x14ac:dyDescent="0.3">
      <c r="A1041" s="176"/>
      <c r="B1041" s="174"/>
      <c r="C1041" s="35" t="s">
        <v>7982</v>
      </c>
      <c r="D1041" s="35" t="s">
        <v>213</v>
      </c>
      <c r="E1041" s="36">
        <v>1</v>
      </c>
      <c r="F1041" s="33">
        <v>14.3925</v>
      </c>
      <c r="G1041" s="53">
        <f>IF(ISNUMBER(F1041),E1041*F1041,"")</f>
        <v>14.3925</v>
      </c>
      <c r="H1041" s="34"/>
      <c r="I1041" s="30"/>
      <c r="J1041" s="152">
        <v>0</v>
      </c>
    </row>
    <row r="1042" spans="1:10" ht="15.75" hidden="1" thickBot="1" x14ac:dyDescent="0.3">
      <c r="A1042" s="176"/>
      <c r="B1042" s="174"/>
      <c r="C1042" s="35" t="s">
        <v>3061</v>
      </c>
      <c r="D1042" s="35" t="s">
        <v>773</v>
      </c>
      <c r="E1042" s="36">
        <v>8.8099999999999998E-2</v>
      </c>
      <c r="F1042" s="33">
        <v>72.836500000000001</v>
      </c>
      <c r="G1042" s="33">
        <f>IF(ISNUMBER(F1042),E1042*F1042,"")</f>
        <v>6.4168956499999998</v>
      </c>
      <c r="H1042" s="34"/>
      <c r="I1042" s="30"/>
      <c r="J1042" s="152">
        <v>0</v>
      </c>
    </row>
    <row r="1043" spans="1:10" ht="26.25" hidden="1" thickBot="1" x14ac:dyDescent="0.3">
      <c r="A1043" s="176"/>
      <c r="B1043" s="174"/>
      <c r="C1043" s="35" t="s">
        <v>825</v>
      </c>
      <c r="D1043" s="35" t="s">
        <v>583</v>
      </c>
      <c r="E1043" s="36">
        <v>0.49680000000000002</v>
      </c>
      <c r="F1043" s="30">
        <v>26.799499999999998</v>
      </c>
      <c r="G1043" s="33">
        <f>IF(ISNUMBER(F1043),E1043*F1043,"")</f>
        <v>13.3139916</v>
      </c>
      <c r="H1043" s="34"/>
      <c r="I1043" s="30"/>
      <c r="J1043" s="152">
        <v>0</v>
      </c>
    </row>
    <row r="1044" spans="1:10" ht="15.75" hidden="1" thickBot="1" x14ac:dyDescent="0.3">
      <c r="A1044" s="176"/>
      <c r="B1044" s="174"/>
      <c r="C1044" s="35" t="s">
        <v>584</v>
      </c>
      <c r="D1044" s="35" t="s">
        <v>583</v>
      </c>
      <c r="E1044" s="36">
        <v>0.34949999999999998</v>
      </c>
      <c r="F1044" s="30">
        <v>20.225499999999997</v>
      </c>
      <c r="G1044" s="33">
        <f>IF(ISNUMBER(F1044),E1044*F1044,"")</f>
        <v>7.0688122499999988</v>
      </c>
      <c r="H1044" s="34"/>
      <c r="I1044" s="30"/>
      <c r="J1044" s="152">
        <v>0</v>
      </c>
    </row>
    <row r="1045" spans="1:10" ht="15.75" hidden="1" thickBot="1" x14ac:dyDescent="0.3">
      <c r="A1045" s="177"/>
      <c r="B1045" s="175"/>
      <c r="C1045" s="35"/>
      <c r="D1045" s="35"/>
      <c r="E1045" s="36"/>
      <c r="F1045" s="30" t="s">
        <v>416</v>
      </c>
      <c r="G1045" s="30" t="str">
        <f>IF(ISNUMBER(F1045),E1045*F1045,"")</f>
        <v/>
      </c>
      <c r="H1045" s="34"/>
      <c r="I1045" s="30"/>
      <c r="J1045" s="152">
        <v>0</v>
      </c>
    </row>
    <row r="1046" spans="1:10" ht="15.75" hidden="1" thickBot="1" x14ac:dyDescent="0.3">
      <c r="A1046" s="170" t="s">
        <v>257</v>
      </c>
      <c r="B1046" s="173" t="str">
        <f>INDEX(Orçamentária!A:B,MATCH(Composições!A1046,Orçamentária!A:A,0),2)</f>
        <v>Cuba oval de embutir</v>
      </c>
      <c r="C1046" s="40"/>
      <c r="D1046" s="25" t="s">
        <v>16</v>
      </c>
      <c r="E1046" s="26"/>
      <c r="F1046" s="41" t="s">
        <v>416</v>
      </c>
      <c r="G1046" s="27" t="str">
        <f>IF(ISNUMBER(F1046),E1046*F1046,"")</f>
        <v/>
      </c>
      <c r="H1046" s="28"/>
      <c r="I1046" s="29"/>
      <c r="J1046" s="152">
        <v>0</v>
      </c>
    </row>
    <row r="1047" spans="1:10" ht="15.75" hidden="1" thickBot="1" x14ac:dyDescent="0.3">
      <c r="A1047" s="176"/>
      <c r="B1047" s="174"/>
      <c r="C1047" s="31"/>
      <c r="D1047" s="31"/>
      <c r="E1047" s="32"/>
      <c r="F1047" s="42" t="s">
        <v>416</v>
      </c>
      <c r="G1047" s="30" t="str">
        <f>IF(ISNUMBER(F1047),E1047*F1047,"")</f>
        <v/>
      </c>
      <c r="H1047" s="34"/>
      <c r="I1047" s="30"/>
      <c r="J1047" s="152">
        <v>0</v>
      </c>
    </row>
    <row r="1048" spans="1:10" ht="15.75" hidden="1" thickBot="1" x14ac:dyDescent="0.3">
      <c r="A1048" s="176"/>
      <c r="B1048" s="174"/>
      <c r="C1048" s="35" t="s">
        <v>258</v>
      </c>
      <c r="D1048" s="46" t="s">
        <v>107</v>
      </c>
      <c r="E1048" s="36">
        <v>1</v>
      </c>
      <c r="F1048" s="33" t="s">
        <v>416</v>
      </c>
      <c r="G1048" s="33" t="str">
        <f>IF(ISNUMBER(F1048),E1048*F1048,"")</f>
        <v/>
      </c>
      <c r="H1048" s="38">
        <f>SUM(G1048:G1051)</f>
        <v>48.7234385</v>
      </c>
      <c r="I1048" s="39"/>
      <c r="J1048" s="152">
        <v>0</v>
      </c>
    </row>
    <row r="1049" spans="1:10" ht="15.75" hidden="1" thickBot="1" x14ac:dyDescent="0.3">
      <c r="A1049" s="176"/>
      <c r="B1049" s="174"/>
      <c r="C1049" s="35" t="s">
        <v>2934</v>
      </c>
      <c r="D1049" s="35" t="s">
        <v>773</v>
      </c>
      <c r="E1049" s="36">
        <v>0.52710000000000001</v>
      </c>
      <c r="F1049" s="33">
        <v>38.826499999999996</v>
      </c>
      <c r="G1049" s="33">
        <f>IF(ISNUMBER(F1049),E1049*F1049,"")</f>
        <v>20.465448149999997</v>
      </c>
      <c r="H1049" s="34"/>
      <c r="I1049" s="30"/>
      <c r="J1049" s="152">
        <v>0</v>
      </c>
    </row>
    <row r="1050" spans="1:10" ht="15.75" hidden="1" thickBot="1" x14ac:dyDescent="0.3">
      <c r="A1050" s="176"/>
      <c r="B1050" s="174"/>
      <c r="C1050" s="35" t="s">
        <v>584</v>
      </c>
      <c r="D1050" s="35" t="s">
        <v>583</v>
      </c>
      <c r="E1050" s="36">
        <v>0.26650000000000001</v>
      </c>
      <c r="F1050" s="30">
        <v>20.225499999999997</v>
      </c>
      <c r="G1050" s="33">
        <f>IF(ISNUMBER(F1050),E1050*F1050,"")</f>
        <v>5.3900957499999995</v>
      </c>
      <c r="H1050" s="34"/>
      <c r="I1050" s="30"/>
      <c r="J1050" s="152">
        <v>0</v>
      </c>
    </row>
    <row r="1051" spans="1:10" ht="15.75" hidden="1" thickBot="1" x14ac:dyDescent="0.3">
      <c r="A1051" s="176"/>
      <c r="B1051" s="174"/>
      <c r="C1051" s="35" t="s">
        <v>2906</v>
      </c>
      <c r="D1051" s="35" t="s">
        <v>583</v>
      </c>
      <c r="E1051" s="36">
        <v>0.8458</v>
      </c>
      <c r="F1051" s="30">
        <v>27.036999999999999</v>
      </c>
      <c r="G1051" s="33">
        <f>IF(ISNUMBER(F1051),E1051*F1051,"")</f>
        <v>22.8678946</v>
      </c>
      <c r="H1051" s="34"/>
      <c r="I1051" s="30"/>
      <c r="J1051" s="152">
        <v>0</v>
      </c>
    </row>
    <row r="1052" spans="1:10" ht="15.75" hidden="1" thickBot="1" x14ac:dyDescent="0.3">
      <c r="A1052" s="177"/>
      <c r="B1052" s="175"/>
      <c r="C1052" s="35"/>
      <c r="D1052" s="35"/>
      <c r="E1052" s="36"/>
      <c r="F1052" s="30" t="s">
        <v>416</v>
      </c>
      <c r="G1052" s="30" t="str">
        <f>IF(ISNUMBER(F1052),E1052*F1052,"")</f>
        <v/>
      </c>
      <c r="H1052" s="34"/>
      <c r="I1052" s="30"/>
      <c r="J1052" s="152">
        <v>0</v>
      </c>
    </row>
    <row r="1053" spans="1:10" ht="15.75" hidden="1" thickBot="1" x14ac:dyDescent="0.3">
      <c r="A1053" s="170" t="s">
        <v>259</v>
      </c>
      <c r="B1053" s="173" t="str">
        <f>INDEX(Orçamentária!A:B,MATCH(Composições!A1053,Orçamentária!A:A,0),2)</f>
        <v>Cuba retangular em aço inox</v>
      </c>
      <c r="C1053" s="40"/>
      <c r="D1053" s="25" t="s">
        <v>16</v>
      </c>
      <c r="E1053" s="26"/>
      <c r="F1053" s="41" t="s">
        <v>416</v>
      </c>
      <c r="G1053" s="27" t="str">
        <f>IF(ISNUMBER(F1053),E1053*F1053,"")</f>
        <v/>
      </c>
      <c r="H1053" s="28"/>
      <c r="I1053" s="29"/>
      <c r="J1053" s="152">
        <v>0</v>
      </c>
    </row>
    <row r="1054" spans="1:10" ht="15.75" hidden="1" thickBot="1" x14ac:dyDescent="0.3">
      <c r="A1054" s="176"/>
      <c r="B1054" s="174"/>
      <c r="C1054" s="31"/>
      <c r="D1054" s="31"/>
      <c r="E1054" s="32"/>
      <c r="F1054" s="42" t="s">
        <v>416</v>
      </c>
      <c r="G1054" s="30" t="str">
        <f>IF(ISNUMBER(F1054),E1054*F1054,"")</f>
        <v/>
      </c>
      <c r="H1054" s="34"/>
      <c r="I1054" s="30"/>
      <c r="J1054" s="152">
        <v>0</v>
      </c>
    </row>
    <row r="1055" spans="1:10" ht="39" hidden="1" thickBot="1" x14ac:dyDescent="0.3">
      <c r="A1055" s="176"/>
      <c r="B1055" s="174"/>
      <c r="C1055" s="35" t="s">
        <v>260</v>
      </c>
      <c r="D1055" s="46" t="s">
        <v>107</v>
      </c>
      <c r="E1055" s="36">
        <v>1</v>
      </c>
      <c r="F1055" s="33" t="s">
        <v>416</v>
      </c>
      <c r="G1055" s="33" t="str">
        <f>IF(ISNUMBER(F1055),E1055*F1055,"")</f>
        <v/>
      </c>
      <c r="H1055" s="38">
        <f>SUM(G1055:G1058)</f>
        <v>27.496380099999996</v>
      </c>
      <c r="I1055" s="39"/>
      <c r="J1055" s="152">
        <v>0</v>
      </c>
    </row>
    <row r="1056" spans="1:10" ht="15.75" hidden="1" thickBot="1" x14ac:dyDescent="0.3">
      <c r="A1056" s="176"/>
      <c r="B1056" s="174"/>
      <c r="C1056" s="35" t="s">
        <v>2934</v>
      </c>
      <c r="D1056" s="35" t="s">
        <v>773</v>
      </c>
      <c r="E1056" s="36">
        <v>0.2974</v>
      </c>
      <c r="F1056" s="33">
        <v>38.826499999999996</v>
      </c>
      <c r="G1056" s="33">
        <f>IF(ISNUMBER(F1056),E1056*F1056,"")</f>
        <v>11.547001099999999</v>
      </c>
      <c r="H1056" s="34"/>
      <c r="I1056" s="30"/>
      <c r="J1056" s="152">
        <v>0</v>
      </c>
    </row>
    <row r="1057" spans="1:10" ht="15.75" hidden="1" thickBot="1" x14ac:dyDescent="0.3">
      <c r="A1057" s="176"/>
      <c r="B1057" s="174"/>
      <c r="C1057" s="35" t="s">
        <v>2906</v>
      </c>
      <c r="D1057" s="35" t="s">
        <v>583</v>
      </c>
      <c r="E1057" s="36">
        <v>0.47739999999999999</v>
      </c>
      <c r="F1057" s="30">
        <v>27.036999999999999</v>
      </c>
      <c r="G1057" s="33">
        <f>IF(ISNUMBER(F1057),E1057*F1057,"")</f>
        <v>12.907463799999999</v>
      </c>
      <c r="H1057" s="34"/>
      <c r="I1057" s="30"/>
      <c r="J1057" s="152">
        <v>0</v>
      </c>
    </row>
    <row r="1058" spans="1:10" ht="15.75" hidden="1" thickBot="1" x14ac:dyDescent="0.3">
      <c r="A1058" s="176"/>
      <c r="B1058" s="174"/>
      <c r="C1058" s="35" t="s">
        <v>584</v>
      </c>
      <c r="D1058" s="35" t="s">
        <v>583</v>
      </c>
      <c r="E1058" s="36">
        <v>0.15040000000000001</v>
      </c>
      <c r="F1058" s="30">
        <v>20.225499999999997</v>
      </c>
      <c r="G1058" s="33">
        <f>IF(ISNUMBER(F1058),E1058*F1058,"")</f>
        <v>3.0419151999999996</v>
      </c>
      <c r="H1058" s="34"/>
      <c r="I1058" s="30"/>
      <c r="J1058" s="152">
        <v>0</v>
      </c>
    </row>
    <row r="1059" spans="1:10" ht="15.75" hidden="1" thickBot="1" x14ac:dyDescent="0.3">
      <c r="A1059" s="177"/>
      <c r="B1059" s="175"/>
      <c r="C1059" s="35"/>
      <c r="D1059" s="35"/>
      <c r="E1059" s="36"/>
      <c r="F1059" s="30" t="s">
        <v>416</v>
      </c>
      <c r="G1059" s="30" t="str">
        <f>IF(ISNUMBER(F1059),E1059*F1059,"")</f>
        <v/>
      </c>
      <c r="H1059" s="34"/>
      <c r="I1059" s="30"/>
      <c r="J1059" s="152">
        <v>0</v>
      </c>
    </row>
    <row r="1060" spans="1:10" ht="15.75" hidden="1" thickBot="1" x14ac:dyDescent="0.3">
      <c r="A1060" s="170" t="s">
        <v>261</v>
      </c>
      <c r="B1060" s="173" t="str">
        <f>INDEX(Orçamentária!A:B,MATCH(Composições!A1060,Orçamentária!A:A,0),2)</f>
        <v>Cuba semiencaixe quadrada com mesa</v>
      </c>
      <c r="C1060" s="40"/>
      <c r="D1060" s="25" t="s">
        <v>16</v>
      </c>
      <c r="E1060" s="26"/>
      <c r="F1060" s="41" t="s">
        <v>416</v>
      </c>
      <c r="G1060" s="27" t="str">
        <f>IF(ISNUMBER(F1060),E1060*F1060,"")</f>
        <v/>
      </c>
      <c r="H1060" s="28"/>
      <c r="I1060" s="29"/>
      <c r="J1060" s="152">
        <v>0</v>
      </c>
    </row>
    <row r="1061" spans="1:10" ht="15.75" hidden="1" thickBot="1" x14ac:dyDescent="0.3">
      <c r="A1061" s="176"/>
      <c r="B1061" s="174"/>
      <c r="C1061" s="31"/>
      <c r="D1061" s="31"/>
      <c r="E1061" s="32"/>
      <c r="F1061" s="42" t="s">
        <v>416</v>
      </c>
      <c r="G1061" s="30" t="str">
        <f>IF(ISNUMBER(F1061),E1061*F1061,"")</f>
        <v/>
      </c>
      <c r="H1061" s="34"/>
      <c r="I1061" s="30"/>
      <c r="J1061" s="152">
        <v>0</v>
      </c>
    </row>
    <row r="1062" spans="1:10" ht="15.75" hidden="1" thickBot="1" x14ac:dyDescent="0.3">
      <c r="A1062" s="176"/>
      <c r="B1062" s="174"/>
      <c r="C1062" s="35" t="s">
        <v>262</v>
      </c>
      <c r="D1062" s="46" t="s">
        <v>107</v>
      </c>
      <c r="E1062" s="36">
        <v>1</v>
      </c>
      <c r="F1062" s="33" t="s">
        <v>416</v>
      </c>
      <c r="G1062" s="33" t="str">
        <f>IF(ISNUMBER(F1062),E1062*F1062,"")</f>
        <v/>
      </c>
      <c r="H1062" s="38">
        <f>SUM(G1062:G1065)</f>
        <v>48.7234385</v>
      </c>
      <c r="I1062" s="39"/>
      <c r="J1062" s="152">
        <v>0</v>
      </c>
    </row>
    <row r="1063" spans="1:10" ht="15.75" hidden="1" thickBot="1" x14ac:dyDescent="0.3">
      <c r="A1063" s="176"/>
      <c r="B1063" s="174"/>
      <c r="C1063" s="35" t="s">
        <v>2934</v>
      </c>
      <c r="D1063" s="35" t="s">
        <v>773</v>
      </c>
      <c r="E1063" s="36">
        <v>0.52710000000000001</v>
      </c>
      <c r="F1063" s="33">
        <v>38.826499999999996</v>
      </c>
      <c r="G1063" s="33">
        <f>IF(ISNUMBER(F1063),E1063*F1063,"")</f>
        <v>20.465448149999997</v>
      </c>
      <c r="H1063" s="34"/>
      <c r="I1063" s="30"/>
      <c r="J1063" s="152">
        <v>0</v>
      </c>
    </row>
    <row r="1064" spans="1:10" ht="15.75" hidden="1" thickBot="1" x14ac:dyDescent="0.3">
      <c r="A1064" s="176"/>
      <c r="B1064" s="174"/>
      <c r="C1064" s="35" t="s">
        <v>584</v>
      </c>
      <c r="D1064" s="35" t="s">
        <v>583</v>
      </c>
      <c r="E1064" s="36">
        <v>0.26650000000000001</v>
      </c>
      <c r="F1064" s="30">
        <v>20.225499999999997</v>
      </c>
      <c r="G1064" s="33">
        <f>IF(ISNUMBER(F1064),E1064*F1064,"")</f>
        <v>5.3900957499999995</v>
      </c>
      <c r="H1064" s="34"/>
      <c r="I1064" s="30"/>
      <c r="J1064" s="152">
        <v>0</v>
      </c>
    </row>
    <row r="1065" spans="1:10" ht="15.75" hidden="1" thickBot="1" x14ac:dyDescent="0.3">
      <c r="A1065" s="176"/>
      <c r="B1065" s="174"/>
      <c r="C1065" s="35" t="s">
        <v>2906</v>
      </c>
      <c r="D1065" s="35" t="s">
        <v>583</v>
      </c>
      <c r="E1065" s="36">
        <v>0.8458</v>
      </c>
      <c r="F1065" s="30">
        <v>27.036999999999999</v>
      </c>
      <c r="G1065" s="33">
        <f>IF(ISNUMBER(F1065),E1065*F1065,"")</f>
        <v>22.8678946</v>
      </c>
      <c r="H1065" s="34"/>
      <c r="I1065" s="30"/>
      <c r="J1065" s="152">
        <v>0</v>
      </c>
    </row>
    <row r="1066" spans="1:10" ht="15.75" hidden="1" thickBot="1" x14ac:dyDescent="0.3">
      <c r="A1066" s="177"/>
      <c r="B1066" s="175"/>
      <c r="C1066" s="35"/>
      <c r="D1066" s="35"/>
      <c r="E1066" s="36"/>
      <c r="F1066" s="30" t="s">
        <v>416</v>
      </c>
      <c r="G1066" s="30" t="str">
        <f>IF(ISNUMBER(F1066),E1066*F1066,"")</f>
        <v/>
      </c>
      <c r="H1066" s="34"/>
      <c r="I1066" s="30"/>
      <c r="J1066" s="152">
        <v>0</v>
      </c>
    </row>
    <row r="1067" spans="1:10" ht="15.75" hidden="1" thickBot="1" x14ac:dyDescent="0.3">
      <c r="A1067" s="170" t="s">
        <v>263</v>
      </c>
      <c r="B1067" s="173" t="str">
        <f>INDEX(Orçamentária!A:B,MATCH(Composições!A1067,Orçamentária!A:A,0),2)</f>
        <v>Instalação de lavatório reaproveitado</v>
      </c>
      <c r="C1067" s="40"/>
      <c r="D1067" s="25" t="s">
        <v>16</v>
      </c>
      <c r="E1067" s="26"/>
      <c r="F1067" s="41" t="s">
        <v>416</v>
      </c>
      <c r="G1067" s="27" t="str">
        <f>IF(ISNUMBER(F1067),E1067*F1067,"")</f>
        <v/>
      </c>
      <c r="H1067" s="28"/>
      <c r="I1067" s="29"/>
      <c r="J1067" s="152">
        <v>0</v>
      </c>
    </row>
    <row r="1068" spans="1:10" ht="15.75" hidden="1" thickBot="1" x14ac:dyDescent="0.3">
      <c r="A1068" s="176"/>
      <c r="B1068" s="174"/>
      <c r="C1068" s="31"/>
      <c r="D1068" s="31"/>
      <c r="E1068" s="32"/>
      <c r="F1068" s="42" t="s">
        <v>416</v>
      </c>
      <c r="G1068" s="30" t="str">
        <f>IF(ISNUMBER(F1068),E1068*F1068,"")</f>
        <v/>
      </c>
      <c r="H1068" s="34"/>
      <c r="I1068" s="30"/>
      <c r="J1068" s="152">
        <v>0</v>
      </c>
    </row>
    <row r="1069" spans="1:10" ht="39" hidden="1" thickBot="1" x14ac:dyDescent="0.3">
      <c r="A1069" s="176"/>
      <c r="B1069" s="174"/>
      <c r="C1069" s="35" t="s">
        <v>8309</v>
      </c>
      <c r="D1069" s="35" t="s">
        <v>213</v>
      </c>
      <c r="E1069" s="36">
        <v>2</v>
      </c>
      <c r="F1069" s="33">
        <v>16.900499999999997</v>
      </c>
      <c r="G1069" s="33">
        <f>IF(ISNUMBER(F1069),E1069*F1069,"")</f>
        <v>33.800999999999995</v>
      </c>
      <c r="H1069" s="38">
        <f>SUM(G1069:G1072)</f>
        <v>50.201165399999994</v>
      </c>
      <c r="I1069" s="39"/>
      <c r="J1069" s="152">
        <v>0</v>
      </c>
    </row>
    <row r="1070" spans="1:10" ht="15.75" hidden="1" thickBot="1" x14ac:dyDescent="0.3">
      <c r="A1070" s="176"/>
      <c r="B1070" s="174"/>
      <c r="C1070" s="35" t="s">
        <v>3061</v>
      </c>
      <c r="D1070" s="35" t="s">
        <v>773</v>
      </c>
      <c r="E1070" s="36">
        <v>3.04E-2</v>
      </c>
      <c r="F1070" s="33">
        <v>72.836500000000001</v>
      </c>
      <c r="G1070" s="33">
        <f>IF(ISNUMBER(F1070),E1070*F1070,"")</f>
        <v>2.2142295999999999</v>
      </c>
      <c r="H1070" s="34"/>
      <c r="I1070" s="30"/>
      <c r="J1070" s="152">
        <v>0</v>
      </c>
    </row>
    <row r="1071" spans="1:10" ht="26.25" hidden="1" thickBot="1" x14ac:dyDescent="0.3">
      <c r="A1071" s="176"/>
      <c r="B1071" s="174"/>
      <c r="C1071" s="35" t="s">
        <v>825</v>
      </c>
      <c r="D1071" s="35" t="s">
        <v>583</v>
      </c>
      <c r="E1071" s="36">
        <v>0.38700000000000001</v>
      </c>
      <c r="F1071" s="30">
        <v>26.799499999999998</v>
      </c>
      <c r="G1071" s="33">
        <f>IF(ISNUMBER(F1071),E1071*F1071,"")</f>
        <v>10.371406499999999</v>
      </c>
      <c r="H1071" s="34"/>
      <c r="I1071" s="30"/>
      <c r="J1071" s="152">
        <v>0</v>
      </c>
    </row>
    <row r="1072" spans="1:10" ht="15.75" hidden="1" thickBot="1" x14ac:dyDescent="0.3">
      <c r="A1072" s="176"/>
      <c r="B1072" s="174"/>
      <c r="C1072" s="35" t="s">
        <v>584</v>
      </c>
      <c r="D1072" s="35" t="s">
        <v>583</v>
      </c>
      <c r="E1072" s="36">
        <v>0.18859999999999999</v>
      </c>
      <c r="F1072" s="30">
        <v>20.225499999999997</v>
      </c>
      <c r="G1072" s="33">
        <f>IF(ISNUMBER(F1072),E1072*F1072,"")</f>
        <v>3.8145292999999993</v>
      </c>
      <c r="H1072" s="34"/>
      <c r="I1072" s="30"/>
      <c r="J1072" s="152">
        <v>0</v>
      </c>
    </row>
    <row r="1073" spans="1:10" ht="15.75" hidden="1" thickBot="1" x14ac:dyDescent="0.3">
      <c r="A1073" s="176"/>
      <c r="B1073" s="174"/>
      <c r="C1073" s="35"/>
      <c r="D1073" s="46"/>
      <c r="E1073" s="36"/>
      <c r="F1073" s="33" t="s">
        <v>416</v>
      </c>
      <c r="G1073" s="33" t="str">
        <f>IF(ISNUMBER(F1073),E1073*F1073,"")</f>
        <v/>
      </c>
      <c r="H1073" s="34"/>
      <c r="I1073" s="30"/>
      <c r="J1073" s="152">
        <v>0</v>
      </c>
    </row>
    <row r="1074" spans="1:10" ht="15.75" hidden="1" thickBot="1" x14ac:dyDescent="0.3">
      <c r="A1074" s="170" t="s">
        <v>264</v>
      </c>
      <c r="B1074" s="173" t="str">
        <f>INDEX(Orçamentária!A:B,MATCH(Composições!A1074,Orçamentária!A:A,0),2)</f>
        <v>Instalação de mictório reaproveitado</v>
      </c>
      <c r="C1074" s="40"/>
      <c r="D1074" s="25" t="s">
        <v>16</v>
      </c>
      <c r="E1074" s="26"/>
      <c r="F1074" s="41" t="s">
        <v>416</v>
      </c>
      <c r="G1074" s="27" t="str">
        <f>IF(ISNUMBER(F1074),E1074*F1074,"")</f>
        <v/>
      </c>
      <c r="H1074" s="28"/>
      <c r="I1074" s="29"/>
      <c r="J1074" s="152">
        <v>0</v>
      </c>
    </row>
    <row r="1075" spans="1:10" ht="15.75" hidden="1" thickBot="1" x14ac:dyDescent="0.3">
      <c r="A1075" s="176"/>
      <c r="B1075" s="174"/>
      <c r="C1075" s="31"/>
      <c r="D1075" s="31"/>
      <c r="E1075" s="32"/>
      <c r="F1075" s="42" t="s">
        <v>416</v>
      </c>
      <c r="G1075" s="30" t="str">
        <f>IF(ISNUMBER(F1075),E1075*F1075,"")</f>
        <v/>
      </c>
      <c r="H1075" s="34"/>
      <c r="I1075" s="30"/>
      <c r="J1075" s="152">
        <v>0</v>
      </c>
    </row>
    <row r="1076" spans="1:10" ht="39" hidden="1" thickBot="1" x14ac:dyDescent="0.3">
      <c r="A1076" s="176"/>
      <c r="B1076" s="174"/>
      <c r="C1076" s="35" t="s">
        <v>8309</v>
      </c>
      <c r="D1076" s="35" t="s">
        <v>213</v>
      </c>
      <c r="E1076" s="36">
        <v>2</v>
      </c>
      <c r="F1076" s="33">
        <v>16.900499999999997</v>
      </c>
      <c r="G1076" s="30">
        <f>IF(ISNUMBER(F1076),E1076*F1076,"")</f>
        <v>33.800999999999995</v>
      </c>
      <c r="H1076" s="38">
        <f>SUM(G1076:G1079)</f>
        <v>50.684570999999991</v>
      </c>
      <c r="I1076" s="39"/>
      <c r="J1076" s="152">
        <v>0</v>
      </c>
    </row>
    <row r="1077" spans="1:10" ht="15.75" hidden="1" thickBot="1" x14ac:dyDescent="0.3">
      <c r="A1077" s="176"/>
      <c r="B1077" s="174"/>
      <c r="C1077" s="35" t="s">
        <v>8171</v>
      </c>
      <c r="D1077" s="35" t="s">
        <v>213</v>
      </c>
      <c r="E1077" s="36">
        <v>3.6499999999999998E-2</v>
      </c>
      <c r="F1077" s="33">
        <v>4.0374999999999996</v>
      </c>
      <c r="G1077" s="30">
        <f>IF(ISNUMBER(F1077),E1077*F1077,"")</f>
        <v>0.14736874999999997</v>
      </c>
      <c r="H1077" s="34"/>
      <c r="I1077" s="30"/>
      <c r="J1077" s="152">
        <v>0</v>
      </c>
    </row>
    <row r="1078" spans="1:10" ht="15.75" hidden="1" thickBot="1" x14ac:dyDescent="0.3">
      <c r="A1078" s="176"/>
      <c r="B1078" s="174"/>
      <c r="C1078" s="35" t="s">
        <v>584</v>
      </c>
      <c r="D1078" s="35" t="s">
        <v>583</v>
      </c>
      <c r="E1078" s="36">
        <f>ROUND(0.3179/2,4)</f>
        <v>0.159</v>
      </c>
      <c r="F1078" s="30">
        <v>20.225499999999997</v>
      </c>
      <c r="G1078" s="33">
        <f>IF(ISNUMBER(F1078),E1078*F1078,"")</f>
        <v>3.2158544999999994</v>
      </c>
      <c r="H1078" s="34"/>
      <c r="I1078" s="30"/>
      <c r="J1078" s="152">
        <v>0</v>
      </c>
    </row>
    <row r="1079" spans="1:10" ht="26.25" hidden="1" thickBot="1" x14ac:dyDescent="0.3">
      <c r="A1079" s="176"/>
      <c r="B1079" s="174"/>
      <c r="C1079" s="35" t="s">
        <v>825</v>
      </c>
      <c r="D1079" s="35" t="s">
        <v>583</v>
      </c>
      <c r="E1079" s="36">
        <f>1.009/2</f>
        <v>0.50449999999999995</v>
      </c>
      <c r="F1079" s="30">
        <v>26.799499999999998</v>
      </c>
      <c r="G1079" s="33">
        <f>IF(ISNUMBER(F1079),E1079*F1079,"")</f>
        <v>13.520347749999997</v>
      </c>
      <c r="H1079" s="34"/>
      <c r="I1079" s="30"/>
      <c r="J1079" s="152">
        <v>0</v>
      </c>
    </row>
    <row r="1080" spans="1:10" ht="15.75" hidden="1" thickBot="1" x14ac:dyDescent="0.3">
      <c r="A1080" s="176"/>
      <c r="B1080" s="174"/>
      <c r="C1080" s="35"/>
      <c r="D1080" s="46"/>
      <c r="E1080" s="36"/>
      <c r="F1080" s="33" t="s">
        <v>416</v>
      </c>
      <c r="G1080" s="33" t="str">
        <f>IF(ISNUMBER(F1080),E1080*F1080,"")</f>
        <v/>
      </c>
      <c r="H1080" s="34"/>
      <c r="I1080" s="30"/>
      <c r="J1080" s="152">
        <v>0</v>
      </c>
    </row>
    <row r="1081" spans="1:10" ht="26.25" hidden="1" thickBot="1" x14ac:dyDescent="0.3">
      <c r="A1081" s="176"/>
      <c r="B1081" s="174"/>
      <c r="C1081" s="51" t="s">
        <v>265</v>
      </c>
      <c r="D1081" s="46"/>
      <c r="E1081" s="36"/>
      <c r="F1081" s="33" t="s">
        <v>416</v>
      </c>
      <c r="G1081" s="33" t="str">
        <f>IF(ISNUMBER(F1081),E1081*F1081,"")</f>
        <v/>
      </c>
      <c r="H1081" s="34"/>
      <c r="I1081" s="30"/>
      <c r="J1081" s="152">
        <v>0</v>
      </c>
    </row>
    <row r="1082" spans="1:10" ht="15.75" hidden="1" thickBot="1" x14ac:dyDescent="0.3">
      <c r="A1082" s="176"/>
      <c r="B1082" s="174"/>
      <c r="C1082" s="35"/>
      <c r="D1082" s="35"/>
      <c r="E1082" s="36"/>
      <c r="F1082" s="33" t="s">
        <v>416</v>
      </c>
      <c r="G1082" s="33" t="str">
        <f>IF(ISNUMBER(F1082),E1082*F1082,"")</f>
        <v/>
      </c>
      <c r="H1082" s="34"/>
      <c r="I1082" s="30"/>
      <c r="J1082" s="152">
        <v>0</v>
      </c>
    </row>
    <row r="1083" spans="1:10" ht="15.75" hidden="1" thickBot="1" x14ac:dyDescent="0.3">
      <c r="A1083" s="170" t="s">
        <v>266</v>
      </c>
      <c r="B1083" s="173" t="str">
        <f>INDEX(Orçamentária!A:B,MATCH(Composições!A1083,Orçamentária!A:A,0),2)</f>
        <v>Instalação de vaso sanitário reaproveitado</v>
      </c>
      <c r="C1083" s="40"/>
      <c r="D1083" s="25" t="s">
        <v>16</v>
      </c>
      <c r="E1083" s="26"/>
      <c r="F1083" s="41" t="s">
        <v>416</v>
      </c>
      <c r="G1083" s="27" t="str">
        <f>IF(ISNUMBER(F1083),E1083*F1083,"")</f>
        <v/>
      </c>
      <c r="H1083" s="28"/>
      <c r="I1083" s="29"/>
      <c r="J1083" s="152">
        <v>0</v>
      </c>
    </row>
    <row r="1084" spans="1:10" ht="15.75" hidden="1" thickBot="1" x14ac:dyDescent="0.3">
      <c r="A1084" s="176"/>
      <c r="B1084" s="174"/>
      <c r="C1084" s="31"/>
      <c r="D1084" s="31"/>
      <c r="E1084" s="32"/>
      <c r="F1084" s="42" t="s">
        <v>416</v>
      </c>
      <c r="G1084" s="30" t="str">
        <f>IF(ISNUMBER(F1084),E1084*F1084,"")</f>
        <v/>
      </c>
      <c r="H1084" s="34"/>
      <c r="I1084" s="30"/>
      <c r="J1084" s="152">
        <v>0</v>
      </c>
    </row>
    <row r="1085" spans="1:10" ht="39" hidden="1" thickBot="1" x14ac:dyDescent="0.3">
      <c r="A1085" s="176"/>
      <c r="B1085" s="174"/>
      <c r="C1085" s="35" t="s">
        <v>8308</v>
      </c>
      <c r="D1085" s="35" t="s">
        <v>213</v>
      </c>
      <c r="E1085" s="36">
        <v>2</v>
      </c>
      <c r="F1085" s="33">
        <v>22.799999999999997</v>
      </c>
      <c r="G1085" s="33">
        <f>IF(ISNUMBER(F1085),E1085*F1085,"")</f>
        <v>45.599999999999994</v>
      </c>
      <c r="H1085" s="38">
        <f>SUM(G1085:G1089)</f>
        <v>86.792199499999981</v>
      </c>
      <c r="I1085" s="39"/>
      <c r="J1085" s="152">
        <v>0</v>
      </c>
    </row>
    <row r="1086" spans="1:10" ht="26.25" hidden="1" thickBot="1" x14ac:dyDescent="0.3">
      <c r="A1086" s="176"/>
      <c r="B1086" s="174"/>
      <c r="C1086" s="35" t="s">
        <v>7982</v>
      </c>
      <c r="D1086" s="35" t="s">
        <v>213</v>
      </c>
      <c r="E1086" s="36">
        <v>1</v>
      </c>
      <c r="F1086" s="33">
        <v>14.3925</v>
      </c>
      <c r="G1086" s="53">
        <f>IF(ISNUMBER(F1086),E1086*F1086,"")</f>
        <v>14.3925</v>
      </c>
      <c r="H1086" s="34"/>
      <c r="I1086" s="30"/>
      <c r="J1086" s="152">
        <v>0</v>
      </c>
    </row>
    <row r="1087" spans="1:10" ht="15.75" hidden="1" thickBot="1" x14ac:dyDescent="0.3">
      <c r="A1087" s="176"/>
      <c r="B1087" s="174"/>
      <c r="C1087" s="35" t="s">
        <v>3061</v>
      </c>
      <c r="D1087" s="35" t="s">
        <v>773</v>
      </c>
      <c r="E1087" s="36">
        <v>8.8099999999999998E-2</v>
      </c>
      <c r="F1087" s="33">
        <v>72.836500000000001</v>
      </c>
      <c r="G1087" s="33">
        <f>IF(ISNUMBER(F1087),E1087*F1087,"")</f>
        <v>6.4168956499999998</v>
      </c>
      <c r="H1087" s="34"/>
      <c r="I1087" s="30"/>
      <c r="J1087" s="152">
        <v>0</v>
      </c>
    </row>
    <row r="1088" spans="1:10" ht="26.25" hidden="1" thickBot="1" x14ac:dyDescent="0.3">
      <c r="A1088" s="176"/>
      <c r="B1088" s="174"/>
      <c r="C1088" s="35" t="s">
        <v>825</v>
      </c>
      <c r="D1088" s="35" t="s">
        <v>583</v>
      </c>
      <c r="E1088" s="36">
        <v>0.49680000000000002</v>
      </c>
      <c r="F1088" s="30">
        <v>26.799499999999998</v>
      </c>
      <c r="G1088" s="33">
        <f>IF(ISNUMBER(F1088),E1088*F1088,"")</f>
        <v>13.3139916</v>
      </c>
      <c r="H1088" s="34"/>
      <c r="I1088" s="30"/>
      <c r="J1088" s="152">
        <v>0</v>
      </c>
    </row>
    <row r="1089" spans="1:10" ht="15.75" hidden="1" thickBot="1" x14ac:dyDescent="0.3">
      <c r="A1089" s="176"/>
      <c r="B1089" s="174"/>
      <c r="C1089" s="35" t="s">
        <v>584</v>
      </c>
      <c r="D1089" s="35" t="s">
        <v>583</v>
      </c>
      <c r="E1089" s="36">
        <v>0.34949999999999998</v>
      </c>
      <c r="F1089" s="30">
        <v>20.225499999999997</v>
      </c>
      <c r="G1089" s="33">
        <f>IF(ISNUMBER(F1089),E1089*F1089,"")</f>
        <v>7.0688122499999988</v>
      </c>
      <c r="H1089" s="34"/>
      <c r="I1089" s="30"/>
      <c r="J1089" s="152">
        <v>0</v>
      </c>
    </row>
    <row r="1090" spans="1:10" ht="15.75" hidden="1" thickBot="1" x14ac:dyDescent="0.3">
      <c r="A1090" s="176"/>
      <c r="B1090" s="174"/>
      <c r="C1090" s="35"/>
      <c r="D1090" s="35"/>
      <c r="E1090" s="36"/>
      <c r="F1090" s="30" t="s">
        <v>416</v>
      </c>
      <c r="G1090" s="33" t="str">
        <f>IF(ISNUMBER(F1090),E1090*F1090,"")</f>
        <v/>
      </c>
      <c r="H1090" s="34"/>
      <c r="I1090" s="30"/>
      <c r="J1090" s="152">
        <v>0</v>
      </c>
    </row>
    <row r="1091" spans="1:10" ht="15.75" hidden="1" thickBot="1" x14ac:dyDescent="0.3">
      <c r="A1091" s="170" t="s">
        <v>267</v>
      </c>
      <c r="B1091" s="173" t="str">
        <f>INDEX(Orçamentária!A:B,MATCH(Composições!A1091,Orçamentária!A:A,0),2)</f>
        <v>Lavatório suspenso</v>
      </c>
      <c r="C1091" s="40"/>
      <c r="D1091" s="25" t="s">
        <v>16</v>
      </c>
      <c r="E1091" s="26"/>
      <c r="F1091" s="41" t="s">
        <v>416</v>
      </c>
      <c r="G1091" s="27" t="str">
        <f>IF(ISNUMBER(F1091),E1091*F1091,"")</f>
        <v/>
      </c>
      <c r="H1091" s="28"/>
      <c r="I1091" s="29"/>
      <c r="J1091" s="152">
        <v>0</v>
      </c>
    </row>
    <row r="1092" spans="1:10" ht="15.75" hidden="1" thickBot="1" x14ac:dyDescent="0.3">
      <c r="A1092" s="176"/>
      <c r="B1092" s="174"/>
      <c r="C1092" s="31"/>
      <c r="D1092" s="31"/>
      <c r="E1092" s="32"/>
      <c r="F1092" s="42" t="s">
        <v>416</v>
      </c>
      <c r="G1092" s="30" t="str">
        <f>IF(ISNUMBER(F1092),E1092*F1092,"")</f>
        <v/>
      </c>
      <c r="H1092" s="34"/>
      <c r="I1092" s="30"/>
      <c r="J1092" s="152">
        <v>0</v>
      </c>
    </row>
    <row r="1093" spans="1:10" ht="26.25" hidden="1" thickBot="1" x14ac:dyDescent="0.3">
      <c r="A1093" s="176"/>
      <c r="B1093" s="174"/>
      <c r="C1093" s="35" t="s">
        <v>8219</v>
      </c>
      <c r="D1093" s="35" t="s">
        <v>213</v>
      </c>
      <c r="E1093" s="36">
        <v>1</v>
      </c>
      <c r="F1093" s="33">
        <v>81.984999999999999</v>
      </c>
      <c r="G1093" s="33">
        <f>IF(ISNUMBER(F1093),E1093*F1093,"")</f>
        <v>81.984999999999999</v>
      </c>
      <c r="H1093" s="38">
        <f>SUM(G1093:G1097)</f>
        <v>132.18616539999999</v>
      </c>
      <c r="I1093" s="39"/>
      <c r="J1093" s="152">
        <v>0</v>
      </c>
    </row>
    <row r="1094" spans="1:10" ht="39" hidden="1" thickBot="1" x14ac:dyDescent="0.3">
      <c r="A1094" s="176"/>
      <c r="B1094" s="174"/>
      <c r="C1094" s="35" t="s">
        <v>8309</v>
      </c>
      <c r="D1094" s="35" t="s">
        <v>213</v>
      </c>
      <c r="E1094" s="36">
        <v>2</v>
      </c>
      <c r="F1094" s="33">
        <v>16.900499999999997</v>
      </c>
      <c r="G1094" s="33">
        <f>IF(ISNUMBER(F1094),E1094*F1094,"")</f>
        <v>33.800999999999995</v>
      </c>
      <c r="H1094" s="34"/>
      <c r="I1094" s="30"/>
      <c r="J1094" s="152">
        <v>0</v>
      </c>
    </row>
    <row r="1095" spans="1:10" ht="15.75" hidden="1" thickBot="1" x14ac:dyDescent="0.3">
      <c r="A1095" s="176"/>
      <c r="B1095" s="174"/>
      <c r="C1095" s="35" t="s">
        <v>3061</v>
      </c>
      <c r="D1095" s="35" t="s">
        <v>773</v>
      </c>
      <c r="E1095" s="36">
        <v>3.04E-2</v>
      </c>
      <c r="F1095" s="33">
        <v>72.836500000000001</v>
      </c>
      <c r="G1095" s="33">
        <f>IF(ISNUMBER(F1095),E1095*F1095,"")</f>
        <v>2.2142295999999999</v>
      </c>
      <c r="H1095" s="34"/>
      <c r="I1095" s="30"/>
      <c r="J1095" s="152">
        <v>0</v>
      </c>
    </row>
    <row r="1096" spans="1:10" ht="26.25" hidden="1" thickBot="1" x14ac:dyDescent="0.3">
      <c r="A1096" s="176"/>
      <c r="B1096" s="174"/>
      <c r="C1096" s="35" t="s">
        <v>825</v>
      </c>
      <c r="D1096" s="35" t="s">
        <v>583</v>
      </c>
      <c r="E1096" s="36">
        <v>0.38700000000000001</v>
      </c>
      <c r="F1096" s="30">
        <v>26.799499999999998</v>
      </c>
      <c r="G1096" s="33">
        <f>IF(ISNUMBER(F1096),E1096*F1096,"")</f>
        <v>10.371406499999999</v>
      </c>
      <c r="H1096" s="34"/>
      <c r="I1096" s="30"/>
      <c r="J1096" s="152">
        <v>0</v>
      </c>
    </row>
    <row r="1097" spans="1:10" ht="15.75" hidden="1" thickBot="1" x14ac:dyDescent="0.3">
      <c r="A1097" s="176"/>
      <c r="B1097" s="174"/>
      <c r="C1097" s="35" t="s">
        <v>584</v>
      </c>
      <c r="D1097" s="35" t="s">
        <v>583</v>
      </c>
      <c r="E1097" s="36">
        <v>0.18859999999999999</v>
      </c>
      <c r="F1097" s="30">
        <v>20.225499999999997</v>
      </c>
      <c r="G1097" s="33">
        <f>IF(ISNUMBER(F1097),E1097*F1097,"")</f>
        <v>3.8145292999999993</v>
      </c>
      <c r="H1097" s="34"/>
      <c r="I1097" s="30"/>
      <c r="J1097" s="152">
        <v>0</v>
      </c>
    </row>
    <row r="1098" spans="1:10" ht="15.75" hidden="1" thickBot="1" x14ac:dyDescent="0.3">
      <c r="A1098" s="177"/>
      <c r="B1098" s="175"/>
      <c r="C1098" s="35"/>
      <c r="D1098" s="35"/>
      <c r="E1098" s="36"/>
      <c r="F1098" s="30" t="s">
        <v>416</v>
      </c>
      <c r="G1098" s="30" t="str">
        <f>IF(ISNUMBER(F1098),E1098*F1098,"")</f>
        <v/>
      </c>
      <c r="H1098" s="34"/>
      <c r="I1098" s="30"/>
      <c r="J1098" s="152">
        <v>0</v>
      </c>
    </row>
    <row r="1099" spans="1:10" ht="15.75" hidden="1" thickBot="1" x14ac:dyDescent="0.3">
      <c r="A1099" s="170" t="s">
        <v>268</v>
      </c>
      <c r="B1099" s="173" t="str">
        <f>INDEX(Orçamentária!A:B,MATCH(Composições!A1099,Orçamentária!A:A,0),2)</f>
        <v>Mictório – Linha Administrativa</v>
      </c>
      <c r="C1099" s="40"/>
      <c r="D1099" s="25" t="s">
        <v>16</v>
      </c>
      <c r="E1099" s="26"/>
      <c r="F1099" s="41" t="s">
        <v>416</v>
      </c>
      <c r="G1099" s="27" t="str">
        <f>IF(ISNUMBER(F1099),E1099*F1099,"")</f>
        <v/>
      </c>
      <c r="H1099" s="28"/>
      <c r="I1099" s="29"/>
      <c r="J1099" s="152">
        <v>0</v>
      </c>
    </row>
    <row r="1100" spans="1:10" ht="15.75" hidden="1" thickBot="1" x14ac:dyDescent="0.3">
      <c r="A1100" s="176"/>
      <c r="B1100" s="174"/>
      <c r="C1100" s="31"/>
      <c r="D1100" s="31"/>
      <c r="E1100" s="32"/>
      <c r="F1100" s="42" t="s">
        <v>416</v>
      </c>
      <c r="G1100" s="30" t="str">
        <f>IF(ISNUMBER(F1100),E1100*F1100,"")</f>
        <v/>
      </c>
      <c r="H1100" s="34"/>
      <c r="I1100" s="30"/>
      <c r="J1100" s="152">
        <v>0</v>
      </c>
    </row>
    <row r="1101" spans="1:10" ht="26.25" hidden="1" thickBot="1" x14ac:dyDescent="0.3">
      <c r="A1101" s="176"/>
      <c r="B1101" s="174"/>
      <c r="C1101" s="35" t="s">
        <v>8295</v>
      </c>
      <c r="D1101" s="35" t="s">
        <v>213</v>
      </c>
      <c r="E1101" s="36">
        <v>1</v>
      </c>
      <c r="F1101" s="33">
        <v>315.30499999999995</v>
      </c>
      <c r="G1101" s="33">
        <f>IF(ISNUMBER(F1101),E1101*F1101,"")</f>
        <v>315.30499999999995</v>
      </c>
      <c r="H1101" s="38">
        <f>SUM(G1101:G1105)</f>
        <v>365.9895709999999</v>
      </c>
      <c r="I1101" s="39"/>
      <c r="J1101" s="152">
        <v>0</v>
      </c>
    </row>
    <row r="1102" spans="1:10" ht="39" hidden="1" thickBot="1" x14ac:dyDescent="0.3">
      <c r="A1102" s="176"/>
      <c r="B1102" s="174"/>
      <c r="C1102" s="35" t="s">
        <v>8309</v>
      </c>
      <c r="D1102" s="35" t="s">
        <v>213</v>
      </c>
      <c r="E1102" s="36">
        <v>2</v>
      </c>
      <c r="F1102" s="33">
        <v>16.900499999999997</v>
      </c>
      <c r="G1102" s="30">
        <f>IF(ISNUMBER(F1102),E1102*F1102,"")</f>
        <v>33.800999999999995</v>
      </c>
      <c r="H1102" s="34"/>
      <c r="I1102" s="30"/>
      <c r="J1102" s="152">
        <v>0</v>
      </c>
    </row>
    <row r="1103" spans="1:10" ht="15.75" hidden="1" thickBot="1" x14ac:dyDescent="0.3">
      <c r="A1103" s="176"/>
      <c r="B1103" s="174"/>
      <c r="C1103" s="35" t="s">
        <v>8171</v>
      </c>
      <c r="D1103" s="35" t="s">
        <v>213</v>
      </c>
      <c r="E1103" s="36">
        <v>3.6499999999999998E-2</v>
      </c>
      <c r="F1103" s="33">
        <v>4.0374999999999996</v>
      </c>
      <c r="G1103" s="30">
        <f>IF(ISNUMBER(F1103),E1103*F1103,"")</f>
        <v>0.14736874999999997</v>
      </c>
      <c r="H1103" s="34"/>
      <c r="I1103" s="30"/>
      <c r="J1103" s="152">
        <v>0</v>
      </c>
    </row>
    <row r="1104" spans="1:10" ht="15.75" hidden="1" thickBot="1" x14ac:dyDescent="0.3">
      <c r="A1104" s="176"/>
      <c r="B1104" s="174"/>
      <c r="C1104" s="35" t="s">
        <v>584</v>
      </c>
      <c r="D1104" s="35" t="s">
        <v>583</v>
      </c>
      <c r="E1104" s="36">
        <f>ROUND(0.3179/2,4)</f>
        <v>0.159</v>
      </c>
      <c r="F1104" s="30">
        <v>20.225499999999997</v>
      </c>
      <c r="G1104" s="33">
        <f>IF(ISNUMBER(F1104),E1104*F1104,"")</f>
        <v>3.2158544999999994</v>
      </c>
      <c r="H1104" s="34"/>
      <c r="I1104" s="30"/>
      <c r="J1104" s="152">
        <v>0</v>
      </c>
    </row>
    <row r="1105" spans="1:10" ht="26.25" hidden="1" thickBot="1" x14ac:dyDescent="0.3">
      <c r="A1105" s="176"/>
      <c r="B1105" s="174"/>
      <c r="C1105" s="35" t="s">
        <v>825</v>
      </c>
      <c r="D1105" s="35" t="s">
        <v>583</v>
      </c>
      <c r="E1105" s="36">
        <f>1.009/2</f>
        <v>0.50449999999999995</v>
      </c>
      <c r="F1105" s="30">
        <v>26.799499999999998</v>
      </c>
      <c r="G1105" s="33">
        <f>IF(ISNUMBER(F1105),E1105*F1105,"")</f>
        <v>13.520347749999997</v>
      </c>
      <c r="H1105" s="34"/>
      <c r="I1105" s="30"/>
      <c r="J1105" s="152">
        <v>0</v>
      </c>
    </row>
    <row r="1106" spans="1:10" ht="15.75" hidden="1" thickBot="1" x14ac:dyDescent="0.3">
      <c r="A1106" s="176"/>
      <c r="B1106" s="174"/>
      <c r="C1106" s="35"/>
      <c r="D1106" s="46"/>
      <c r="E1106" s="36"/>
      <c r="F1106" s="33" t="s">
        <v>416</v>
      </c>
      <c r="G1106" s="33" t="str">
        <f>IF(ISNUMBER(F1106),E1106*F1106,"")</f>
        <v/>
      </c>
      <c r="H1106" s="34"/>
      <c r="I1106" s="30"/>
      <c r="J1106" s="152">
        <v>0</v>
      </c>
    </row>
    <row r="1107" spans="1:10" ht="26.25" hidden="1" thickBot="1" x14ac:dyDescent="0.3">
      <c r="A1107" s="176"/>
      <c r="B1107" s="174"/>
      <c r="C1107" s="51" t="s">
        <v>265</v>
      </c>
      <c r="D1107" s="46"/>
      <c r="E1107" s="36"/>
      <c r="F1107" s="33" t="s">
        <v>416</v>
      </c>
      <c r="G1107" s="33" t="str">
        <f>IF(ISNUMBER(F1107),E1107*F1107,"")</f>
        <v/>
      </c>
      <c r="H1107" s="34"/>
      <c r="I1107" s="30"/>
      <c r="J1107" s="152">
        <v>0</v>
      </c>
    </row>
    <row r="1108" spans="1:10" ht="15.75" hidden="1" thickBot="1" x14ac:dyDescent="0.3">
      <c r="A1108" s="176"/>
      <c r="B1108" s="174"/>
      <c r="C1108" s="35"/>
      <c r="D1108" s="46"/>
      <c r="E1108" s="36"/>
      <c r="F1108" s="33" t="s">
        <v>416</v>
      </c>
      <c r="G1108" s="33" t="str">
        <f>IF(ISNUMBER(F1108),E1108*F1108,"")</f>
        <v/>
      </c>
      <c r="H1108" s="34"/>
      <c r="I1108" s="30"/>
      <c r="J1108" s="152">
        <v>0</v>
      </c>
    </row>
    <row r="1109" spans="1:10" ht="15.75" hidden="1" thickBot="1" x14ac:dyDescent="0.3">
      <c r="A1109" s="170" t="s">
        <v>269</v>
      </c>
      <c r="B1109" s="173" t="str">
        <f>INDEX(Orçamentária!A:B,MATCH(Composições!A1109,Orçamentária!A:A,0),2)</f>
        <v>Tanque 38 litros</v>
      </c>
      <c r="C1109" s="40"/>
      <c r="D1109" s="25" t="s">
        <v>16</v>
      </c>
      <c r="E1109" s="26"/>
      <c r="F1109" s="41" t="s">
        <v>416</v>
      </c>
      <c r="G1109" s="27" t="str">
        <f>IF(ISNUMBER(F1109),E1109*F1109,"")</f>
        <v/>
      </c>
      <c r="H1109" s="28"/>
      <c r="I1109" s="29"/>
      <c r="J1109" s="152">
        <v>0</v>
      </c>
    </row>
    <row r="1110" spans="1:10" ht="15.75" hidden="1" thickBot="1" x14ac:dyDescent="0.3">
      <c r="A1110" s="176"/>
      <c r="B1110" s="174"/>
      <c r="C1110" s="31"/>
      <c r="D1110" s="31"/>
      <c r="E1110" s="32"/>
      <c r="F1110" s="42" t="s">
        <v>416</v>
      </c>
      <c r="G1110" s="30" t="str">
        <f>IF(ISNUMBER(F1110),E1110*F1110,"")</f>
        <v/>
      </c>
      <c r="H1110" s="34"/>
      <c r="I1110" s="30"/>
      <c r="J1110" s="152">
        <v>0</v>
      </c>
    </row>
    <row r="1111" spans="1:10" ht="26.25" hidden="1" thickBot="1" x14ac:dyDescent="0.3">
      <c r="A1111" s="176"/>
      <c r="B1111" s="174"/>
      <c r="C1111" s="35" t="s">
        <v>270</v>
      </c>
      <c r="D1111" s="46" t="s">
        <v>107</v>
      </c>
      <c r="E1111" s="36">
        <v>1</v>
      </c>
      <c r="F1111" s="33" t="s">
        <v>416</v>
      </c>
      <c r="G1111" s="33" t="str">
        <f>IF(ISNUMBER(F1111),E1111*F1111,"")</f>
        <v/>
      </c>
      <c r="H1111" s="38">
        <f>SUM(G1111:G1115)</f>
        <v>99.457599499999986</v>
      </c>
      <c r="I1111" s="39"/>
      <c r="J1111" s="152">
        <v>0</v>
      </c>
    </row>
    <row r="1112" spans="1:10" ht="39" hidden="1" thickBot="1" x14ac:dyDescent="0.3">
      <c r="A1112" s="176"/>
      <c r="B1112" s="174"/>
      <c r="C1112" s="35" t="s">
        <v>8309</v>
      </c>
      <c r="D1112" s="35" t="s">
        <v>213</v>
      </c>
      <c r="E1112" s="36">
        <v>4</v>
      </c>
      <c r="F1112" s="33">
        <v>16.900499999999997</v>
      </c>
      <c r="G1112" s="33">
        <f>IF(ISNUMBER(F1112),E1112*F1112,"")</f>
        <v>67.60199999999999</v>
      </c>
      <c r="H1112" s="34"/>
      <c r="I1112" s="30"/>
      <c r="J1112" s="152">
        <v>0</v>
      </c>
    </row>
    <row r="1113" spans="1:10" ht="15.75" hidden="1" thickBot="1" x14ac:dyDescent="0.3">
      <c r="A1113" s="176"/>
      <c r="B1113" s="174"/>
      <c r="C1113" s="35" t="s">
        <v>3061</v>
      </c>
      <c r="D1113" s="35" t="s">
        <v>773</v>
      </c>
      <c r="E1113" s="36">
        <v>3.9E-2</v>
      </c>
      <c r="F1113" s="33">
        <v>72.836500000000001</v>
      </c>
      <c r="G1113" s="33">
        <f>IF(ISNUMBER(F1113),E1113*F1113,"")</f>
        <v>2.8406235</v>
      </c>
      <c r="H1113" s="34"/>
      <c r="I1113" s="30"/>
      <c r="J1113" s="152">
        <v>0</v>
      </c>
    </row>
    <row r="1114" spans="1:10" ht="26.25" hidden="1" thickBot="1" x14ac:dyDescent="0.3">
      <c r="A1114" s="176"/>
      <c r="B1114" s="174"/>
      <c r="C1114" s="35" t="s">
        <v>825</v>
      </c>
      <c r="D1114" s="35" t="s">
        <v>583</v>
      </c>
      <c r="E1114" s="36">
        <v>0.8226</v>
      </c>
      <c r="F1114" s="30">
        <v>26.799499999999998</v>
      </c>
      <c r="G1114" s="33">
        <f>IF(ISNUMBER(F1114),E1114*F1114,"")</f>
        <v>22.045268699999998</v>
      </c>
      <c r="H1114" s="34"/>
      <c r="I1114" s="30"/>
      <c r="J1114" s="152">
        <v>0</v>
      </c>
    </row>
    <row r="1115" spans="1:10" ht="15.75" hidden="1" thickBot="1" x14ac:dyDescent="0.3">
      <c r="A1115" s="176"/>
      <c r="B1115" s="174"/>
      <c r="C1115" s="35" t="s">
        <v>584</v>
      </c>
      <c r="D1115" s="35" t="s">
        <v>583</v>
      </c>
      <c r="E1115" s="36">
        <v>0.34460000000000002</v>
      </c>
      <c r="F1115" s="30">
        <v>20.225499999999997</v>
      </c>
      <c r="G1115" s="33">
        <f>IF(ISNUMBER(F1115),E1115*F1115,"")</f>
        <v>6.9697072999999996</v>
      </c>
      <c r="H1115" s="34"/>
      <c r="I1115" s="30"/>
      <c r="J1115" s="152">
        <v>0</v>
      </c>
    </row>
    <row r="1116" spans="1:10" ht="15.75" hidden="1" thickBot="1" x14ac:dyDescent="0.3">
      <c r="A1116" s="177"/>
      <c r="B1116" s="175"/>
      <c r="C1116" s="35"/>
      <c r="D1116" s="35"/>
      <c r="E1116" s="36"/>
      <c r="F1116" s="30" t="s">
        <v>416</v>
      </c>
      <c r="G1116" s="30" t="str">
        <f>IF(ISNUMBER(F1116),E1116*F1116,"")</f>
        <v/>
      </c>
      <c r="H1116" s="34"/>
      <c r="I1116" s="30"/>
      <c r="J1116" s="152">
        <v>0</v>
      </c>
    </row>
    <row r="1117" spans="1:10" ht="15.75" hidden="1" thickBot="1" x14ac:dyDescent="0.3">
      <c r="A1117" s="170" t="s">
        <v>271</v>
      </c>
      <c r="B1117" s="173" t="str">
        <f>INDEX(Orçamentária!A:B,MATCH(Composições!A1117,Orçamentária!A:A,0),2)</f>
        <v>Acabamento para registro GD</v>
      </c>
      <c r="C1117" s="40"/>
      <c r="D1117" s="25" t="s">
        <v>16</v>
      </c>
      <c r="E1117" s="26"/>
      <c r="F1117" s="41" t="s">
        <v>416</v>
      </c>
      <c r="G1117" s="27" t="str">
        <f>IF(ISNUMBER(F1117),E1117*F1117,"")</f>
        <v/>
      </c>
      <c r="H1117" s="28"/>
      <c r="I1117" s="29"/>
      <c r="J1117" s="152">
        <v>0</v>
      </c>
    </row>
    <row r="1118" spans="1:10" ht="15.75" hidden="1" thickBot="1" x14ac:dyDescent="0.3">
      <c r="A1118" s="176"/>
      <c r="B1118" s="174"/>
      <c r="C1118" s="31"/>
      <c r="D1118" s="31"/>
      <c r="E1118" s="32"/>
      <c r="F1118" s="42" t="s">
        <v>416</v>
      </c>
      <c r="G1118" s="30" t="str">
        <f>IF(ISNUMBER(F1118),E1118*F1118,"")</f>
        <v/>
      </c>
      <c r="H1118" s="34"/>
      <c r="I1118" s="30"/>
      <c r="J1118" s="152">
        <v>0</v>
      </c>
    </row>
    <row r="1119" spans="1:10" ht="26.25" hidden="1" thickBot="1" x14ac:dyDescent="0.3">
      <c r="A1119" s="176"/>
      <c r="B1119" s="174"/>
      <c r="C1119" s="35" t="s">
        <v>272</v>
      </c>
      <c r="D1119" s="46" t="s">
        <v>107</v>
      </c>
      <c r="E1119" s="36">
        <v>1</v>
      </c>
      <c r="F1119" s="33" t="s">
        <v>416</v>
      </c>
      <c r="G1119" s="33" t="str">
        <f>IF(ISNUMBER(F1119),E1119*F1119,"")</f>
        <v/>
      </c>
      <c r="H1119" s="38">
        <f>SUM(G1119:G1120)</f>
        <v>2.1439599999999999</v>
      </c>
      <c r="I1119" s="39"/>
      <c r="J1119" s="152">
        <v>0</v>
      </c>
    </row>
    <row r="1120" spans="1:10" ht="26.25" hidden="1" thickBot="1" x14ac:dyDescent="0.3">
      <c r="A1120" s="176"/>
      <c r="B1120" s="174"/>
      <c r="C1120" s="35" t="s">
        <v>825</v>
      </c>
      <c r="D1120" s="35" t="s">
        <v>583</v>
      </c>
      <c r="E1120" s="36">
        <v>0.08</v>
      </c>
      <c r="F1120" s="30">
        <v>26.799499999999998</v>
      </c>
      <c r="G1120" s="33">
        <f>IF(ISNUMBER(F1120),E1120*F1120,"")</f>
        <v>2.1439599999999999</v>
      </c>
      <c r="H1120" s="34"/>
      <c r="I1120" s="30"/>
      <c r="J1120" s="152">
        <v>0</v>
      </c>
    </row>
    <row r="1121" spans="1:10" ht="15.75" hidden="1" thickBot="1" x14ac:dyDescent="0.3">
      <c r="A1121" s="177"/>
      <c r="B1121" s="175"/>
      <c r="C1121" s="51"/>
      <c r="D1121" s="35"/>
      <c r="E1121" s="36"/>
      <c r="F1121" s="30" t="s">
        <v>416</v>
      </c>
      <c r="G1121" s="30" t="str">
        <f>IF(ISNUMBER(F1121),E1121*F1121,"")</f>
        <v/>
      </c>
      <c r="H1121" s="34"/>
      <c r="I1121" s="30"/>
      <c r="J1121" s="152">
        <v>0</v>
      </c>
    </row>
    <row r="1122" spans="1:10" ht="15.75" hidden="1" thickBot="1" x14ac:dyDescent="0.3">
      <c r="A1122" s="170" t="s">
        <v>273</v>
      </c>
      <c r="B1122" s="173" t="str">
        <f>INDEX(Orçamentária!A:B,MATCH(Composições!A1122,Orçamentária!A:A,0),2)</f>
        <v>Acabamento para registro PQ</v>
      </c>
      <c r="C1122" s="40"/>
      <c r="D1122" s="25" t="s">
        <v>16</v>
      </c>
      <c r="E1122" s="26"/>
      <c r="F1122" s="41" t="s">
        <v>416</v>
      </c>
      <c r="G1122" s="27" t="str">
        <f>IF(ISNUMBER(F1122),E1122*F1122,"")</f>
        <v/>
      </c>
      <c r="H1122" s="28"/>
      <c r="I1122" s="29"/>
      <c r="J1122" s="152">
        <v>0</v>
      </c>
    </row>
    <row r="1123" spans="1:10" ht="15.75" hidden="1" thickBot="1" x14ac:dyDescent="0.3">
      <c r="A1123" s="176"/>
      <c r="B1123" s="174"/>
      <c r="C1123" s="31"/>
      <c r="D1123" s="31"/>
      <c r="E1123" s="32"/>
      <c r="F1123" s="42" t="s">
        <v>416</v>
      </c>
      <c r="G1123" s="30" t="str">
        <f>IF(ISNUMBER(F1123),E1123*F1123,"")</f>
        <v/>
      </c>
      <c r="H1123" s="34"/>
      <c r="I1123" s="30"/>
      <c r="J1123" s="152">
        <v>0</v>
      </c>
    </row>
    <row r="1124" spans="1:10" ht="26.25" hidden="1" thickBot="1" x14ac:dyDescent="0.3">
      <c r="A1124" s="176"/>
      <c r="B1124" s="174"/>
      <c r="C1124" s="35" t="s">
        <v>274</v>
      </c>
      <c r="D1124" s="46" t="s">
        <v>107</v>
      </c>
      <c r="E1124" s="36">
        <v>1</v>
      </c>
      <c r="F1124" s="33" t="s">
        <v>416</v>
      </c>
      <c r="G1124" s="33" t="str">
        <f>IF(ISNUMBER(F1124),E1124*F1124,"")</f>
        <v/>
      </c>
      <c r="H1124" s="38">
        <f>SUM(G1124:G1125)</f>
        <v>2.1439599999999999</v>
      </c>
      <c r="I1124" s="39"/>
      <c r="J1124" s="152">
        <v>0</v>
      </c>
    </row>
    <row r="1125" spans="1:10" ht="26.25" hidden="1" thickBot="1" x14ac:dyDescent="0.3">
      <c r="A1125" s="176"/>
      <c r="B1125" s="174"/>
      <c r="C1125" s="35" t="s">
        <v>825</v>
      </c>
      <c r="D1125" s="35" t="s">
        <v>583</v>
      </c>
      <c r="E1125" s="36">
        <v>0.08</v>
      </c>
      <c r="F1125" s="30">
        <v>26.799499999999998</v>
      </c>
      <c r="G1125" s="33">
        <f>IF(ISNUMBER(F1125),E1125*F1125,"")</f>
        <v>2.1439599999999999</v>
      </c>
      <c r="H1125" s="34"/>
      <c r="I1125" s="30"/>
      <c r="J1125" s="152">
        <v>0</v>
      </c>
    </row>
    <row r="1126" spans="1:10" ht="15.75" hidden="1" thickBot="1" x14ac:dyDescent="0.3">
      <c r="A1126" s="177"/>
      <c r="B1126" s="175"/>
      <c r="C1126" s="35"/>
      <c r="D1126" s="35"/>
      <c r="E1126" s="36"/>
      <c r="F1126" s="30" t="s">
        <v>416</v>
      </c>
      <c r="G1126" s="30" t="str">
        <f>IF(ISNUMBER(F1126),E1126*F1126,"")</f>
        <v/>
      </c>
      <c r="H1126" s="34"/>
      <c r="I1126" s="30"/>
      <c r="J1126" s="152">
        <v>0</v>
      </c>
    </row>
    <row r="1127" spans="1:10" ht="15.75" hidden="1" thickBot="1" x14ac:dyDescent="0.3">
      <c r="A1127" s="170" t="s">
        <v>275</v>
      </c>
      <c r="B1127" s="173" t="str">
        <f>INDEX(Orçamentária!A:B,MATCH(Composições!A1127,Orçamentária!A:A,0),2)</f>
        <v>Ducha higiênica</v>
      </c>
      <c r="C1127" s="40"/>
      <c r="D1127" s="25" t="s">
        <v>16</v>
      </c>
      <c r="E1127" s="26"/>
      <c r="F1127" s="41" t="s">
        <v>416</v>
      </c>
      <c r="G1127" s="27" t="str">
        <f>IF(ISNUMBER(F1127),E1127*F1127,"")</f>
        <v/>
      </c>
      <c r="H1127" s="28"/>
      <c r="I1127" s="29"/>
      <c r="J1127" s="152">
        <v>0</v>
      </c>
    </row>
    <row r="1128" spans="1:10" ht="15.75" hidden="1" thickBot="1" x14ac:dyDescent="0.3">
      <c r="A1128" s="176"/>
      <c r="B1128" s="174"/>
      <c r="C1128" s="31"/>
      <c r="D1128" s="31"/>
      <c r="E1128" s="32"/>
      <c r="F1128" s="42" t="s">
        <v>416</v>
      </c>
      <c r="G1128" s="30" t="str">
        <f>IF(ISNUMBER(F1128),E1128*F1128,"")</f>
        <v/>
      </c>
      <c r="H1128" s="34"/>
      <c r="I1128" s="30"/>
      <c r="J1128" s="152">
        <v>0</v>
      </c>
    </row>
    <row r="1129" spans="1:10" ht="26.25" hidden="1" thickBot="1" x14ac:dyDescent="0.3">
      <c r="A1129" s="176"/>
      <c r="B1129" s="174"/>
      <c r="C1129" s="35" t="s">
        <v>276</v>
      </c>
      <c r="D1129" s="46" t="s">
        <v>107</v>
      </c>
      <c r="E1129" s="36">
        <v>1</v>
      </c>
      <c r="F1129" s="33" t="s">
        <v>416</v>
      </c>
      <c r="G1129" s="33" t="str">
        <f>IF(ISNUMBER(F1129),E1129*F1129,"")</f>
        <v/>
      </c>
      <c r="H1129" s="38">
        <f>SUM(G1129:G1131)</f>
        <v>23.982749999999999</v>
      </c>
      <c r="I1129" s="39"/>
      <c r="J1129" s="152">
        <v>0</v>
      </c>
    </row>
    <row r="1130" spans="1:10" ht="26.25" hidden="1" thickBot="1" x14ac:dyDescent="0.3">
      <c r="A1130" s="176"/>
      <c r="B1130" s="174"/>
      <c r="C1130" s="35" t="s">
        <v>825</v>
      </c>
      <c r="D1130" s="35" t="s">
        <v>583</v>
      </c>
      <c r="E1130" s="36">
        <v>0.5</v>
      </c>
      <c r="F1130" s="30">
        <v>26.799499999999998</v>
      </c>
      <c r="G1130" s="33">
        <f>IF(ISNUMBER(F1130),E1130*F1130,"")</f>
        <v>13.399749999999999</v>
      </c>
      <c r="H1130" s="34"/>
      <c r="I1130" s="30"/>
      <c r="J1130" s="152">
        <v>0</v>
      </c>
    </row>
    <row r="1131" spans="1:10" ht="26.25" hidden="1" thickBot="1" x14ac:dyDescent="0.3">
      <c r="A1131" s="176"/>
      <c r="B1131" s="174"/>
      <c r="C1131" s="35" t="s">
        <v>824</v>
      </c>
      <c r="D1131" s="35" t="s">
        <v>583</v>
      </c>
      <c r="E1131" s="36">
        <v>0.5</v>
      </c>
      <c r="F1131" s="30">
        <v>21.166</v>
      </c>
      <c r="G1131" s="33">
        <f>IF(ISNUMBER(F1131),E1131*F1131,"")</f>
        <v>10.583</v>
      </c>
      <c r="H1131" s="34"/>
      <c r="I1131" s="30"/>
      <c r="J1131" s="152">
        <v>0</v>
      </c>
    </row>
    <row r="1132" spans="1:10" ht="15.75" hidden="1" thickBot="1" x14ac:dyDescent="0.3">
      <c r="A1132" s="177"/>
      <c r="B1132" s="175"/>
      <c r="C1132" s="35"/>
      <c r="D1132" s="35"/>
      <c r="E1132" s="36"/>
      <c r="F1132" s="30" t="s">
        <v>416</v>
      </c>
      <c r="G1132" s="30" t="str">
        <f>IF(ISNUMBER(F1132),E1132*F1132,"")</f>
        <v/>
      </c>
      <c r="H1132" s="34"/>
      <c r="I1132" s="30"/>
      <c r="J1132" s="152">
        <v>0</v>
      </c>
    </row>
    <row r="1133" spans="1:10" ht="15.75" hidden="1" thickBot="1" x14ac:dyDescent="0.3">
      <c r="A1133" s="170" t="s">
        <v>277</v>
      </c>
      <c r="B1133" s="173" t="str">
        <f>INDEX(Orçamentária!A:B,MATCH(Composições!A1133,Orçamentária!A:A,0),2)</f>
        <v>Instalação de metais e acessórios reaproveitados</v>
      </c>
      <c r="C1133" s="40"/>
      <c r="D1133" s="25" t="s">
        <v>16</v>
      </c>
      <c r="E1133" s="26"/>
      <c r="F1133" s="41" t="s">
        <v>416</v>
      </c>
      <c r="G1133" s="27" t="str">
        <f>IF(ISNUMBER(F1133),E1133*F1133,"")</f>
        <v/>
      </c>
      <c r="H1133" s="28"/>
      <c r="I1133" s="29"/>
      <c r="J1133" s="152">
        <v>0</v>
      </c>
    </row>
    <row r="1134" spans="1:10" ht="15.75" hidden="1" thickBot="1" x14ac:dyDescent="0.3">
      <c r="A1134" s="176"/>
      <c r="B1134" s="174"/>
      <c r="C1134" s="31"/>
      <c r="D1134" s="31"/>
      <c r="E1134" s="32"/>
      <c r="F1134" s="42" t="s">
        <v>416</v>
      </c>
      <c r="G1134" s="30" t="str">
        <f>IF(ISNUMBER(F1134),E1134*F1134,"")</f>
        <v/>
      </c>
      <c r="H1134" s="34"/>
      <c r="I1134" s="30"/>
      <c r="J1134" s="152">
        <v>0</v>
      </c>
    </row>
    <row r="1135" spans="1:10" ht="26.25" hidden="1" thickBot="1" x14ac:dyDescent="0.3">
      <c r="A1135" s="176"/>
      <c r="B1135" s="174"/>
      <c r="C1135" s="35" t="s">
        <v>825</v>
      </c>
      <c r="D1135" s="35" t="s">
        <v>583</v>
      </c>
      <c r="E1135" s="36">
        <v>0.16209999999999999</v>
      </c>
      <c r="F1135" s="30">
        <v>26.799499999999998</v>
      </c>
      <c r="G1135" s="33">
        <f>IF(ISNUMBER(F1135),E1135*F1135,"")</f>
        <v>4.34419895</v>
      </c>
      <c r="H1135" s="38">
        <f>SUM(G1135:G1136)</f>
        <v>4.8246671499999998</v>
      </c>
      <c r="I1135" s="39"/>
      <c r="J1135" s="152">
        <v>0</v>
      </c>
    </row>
    <row r="1136" spans="1:10" ht="26.25" hidden="1" thickBot="1" x14ac:dyDescent="0.3">
      <c r="A1136" s="176"/>
      <c r="B1136" s="174"/>
      <c r="C1136" s="35" t="s">
        <v>824</v>
      </c>
      <c r="D1136" s="35" t="s">
        <v>583</v>
      </c>
      <c r="E1136" s="36">
        <v>2.2700000000000001E-2</v>
      </c>
      <c r="F1136" s="30">
        <v>21.166</v>
      </c>
      <c r="G1136" s="33">
        <f>IF(ISNUMBER(F1136),E1136*F1136,"")</f>
        <v>0.48046820000000001</v>
      </c>
      <c r="H1136" s="44"/>
      <c r="I1136" s="45"/>
      <c r="J1136" s="152">
        <v>0</v>
      </c>
    </row>
    <row r="1137" spans="1:10" ht="15.75" hidden="1" thickBot="1" x14ac:dyDescent="0.3">
      <c r="A1137" s="177"/>
      <c r="B1137" s="175"/>
      <c r="C1137" s="35"/>
      <c r="D1137" s="35"/>
      <c r="E1137" s="36"/>
      <c r="F1137" s="30" t="s">
        <v>416</v>
      </c>
      <c r="G1137" s="30" t="str">
        <f>IF(ISNUMBER(F1137),E1137*F1137,"")</f>
        <v/>
      </c>
      <c r="H1137" s="34"/>
      <c r="I1137" s="30"/>
      <c r="J1137" s="152">
        <v>0</v>
      </c>
    </row>
    <row r="1138" spans="1:10" ht="15.75" hidden="1" thickBot="1" x14ac:dyDescent="0.3">
      <c r="A1138" s="170" t="s">
        <v>278</v>
      </c>
      <c r="B1138" s="173" t="str">
        <f>INDEX(Orçamentária!A:B,MATCH(Composições!A1138,Orçamentária!A:A,0),2)</f>
        <v>Ligação flexível 1/2” x 40 cm</v>
      </c>
      <c r="C1138" s="40"/>
      <c r="D1138" s="25" t="s">
        <v>16</v>
      </c>
      <c r="E1138" s="26"/>
      <c r="F1138" s="41" t="s">
        <v>416</v>
      </c>
      <c r="G1138" s="27" t="str">
        <f>IF(ISNUMBER(F1138),E1138*F1138,"")</f>
        <v/>
      </c>
      <c r="H1138" s="28"/>
      <c r="I1138" s="29"/>
      <c r="J1138" s="152">
        <v>0</v>
      </c>
    </row>
    <row r="1139" spans="1:10" ht="15.75" hidden="1" thickBot="1" x14ac:dyDescent="0.3">
      <c r="A1139" s="176"/>
      <c r="B1139" s="174"/>
      <c r="C1139" s="31"/>
      <c r="D1139" s="31"/>
      <c r="E1139" s="32"/>
      <c r="F1139" s="42" t="s">
        <v>416</v>
      </c>
      <c r="G1139" s="30" t="str">
        <f>IF(ISNUMBER(F1139),E1139*F1139,"")</f>
        <v/>
      </c>
      <c r="H1139" s="34"/>
      <c r="I1139" s="30"/>
      <c r="J1139" s="152">
        <v>0</v>
      </c>
    </row>
    <row r="1140" spans="1:10" ht="15.75" hidden="1" thickBot="1" x14ac:dyDescent="0.3">
      <c r="A1140" s="176"/>
      <c r="B1140" s="174"/>
      <c r="C1140" s="35" t="s">
        <v>8154</v>
      </c>
      <c r="D1140" s="35" t="s">
        <v>213</v>
      </c>
      <c r="E1140" s="36">
        <v>1</v>
      </c>
      <c r="F1140" s="33">
        <v>37.325499999999998</v>
      </c>
      <c r="G1140" s="33">
        <f>IF(ISNUMBER(F1140),E1140*F1140,"")</f>
        <v>37.325499999999998</v>
      </c>
      <c r="H1140" s="38">
        <f>SUM(G1140:G1143)</f>
        <v>42.427356249999995</v>
      </c>
      <c r="I1140" s="39"/>
      <c r="J1140" s="152">
        <v>0</v>
      </c>
    </row>
    <row r="1141" spans="1:10" ht="15.75" hidden="1" thickBot="1" x14ac:dyDescent="0.3">
      <c r="A1141" s="176"/>
      <c r="B1141" s="174"/>
      <c r="C1141" s="35" t="s">
        <v>8171</v>
      </c>
      <c r="D1141" s="35" t="s">
        <v>213</v>
      </c>
      <c r="E1141" s="36">
        <v>1.7500000000000002E-2</v>
      </c>
      <c r="F1141" s="33">
        <v>4.0374999999999996</v>
      </c>
      <c r="G1141" s="33">
        <f>IF(ISNUMBER(F1141),E1141*F1141,"")</f>
        <v>7.0656250000000004E-2</v>
      </c>
      <c r="H1141" s="34"/>
      <c r="I1141" s="30"/>
      <c r="J1141" s="152">
        <v>0</v>
      </c>
    </row>
    <row r="1142" spans="1:10" ht="26.25" hidden="1" thickBot="1" x14ac:dyDescent="0.3">
      <c r="A1142" s="176"/>
      <c r="B1142" s="174"/>
      <c r="C1142" s="35" t="s">
        <v>825</v>
      </c>
      <c r="D1142" s="35" t="s">
        <v>583</v>
      </c>
      <c r="E1142" s="36">
        <v>0.15</v>
      </c>
      <c r="F1142" s="30">
        <v>26.799499999999998</v>
      </c>
      <c r="G1142" s="33">
        <f>IF(ISNUMBER(F1142),E1142*F1142,"")</f>
        <v>4.0199249999999997</v>
      </c>
      <c r="H1142" s="34"/>
      <c r="I1142" s="30"/>
      <c r="J1142" s="152">
        <v>0</v>
      </c>
    </row>
    <row r="1143" spans="1:10" ht="15.75" hidden="1" thickBot="1" x14ac:dyDescent="0.3">
      <c r="A1143" s="176"/>
      <c r="B1143" s="174"/>
      <c r="C1143" s="35" t="s">
        <v>584</v>
      </c>
      <c r="D1143" s="35" t="s">
        <v>583</v>
      </c>
      <c r="E1143" s="36">
        <v>0.05</v>
      </c>
      <c r="F1143" s="30">
        <v>20.225499999999997</v>
      </c>
      <c r="G1143" s="33">
        <f>IF(ISNUMBER(F1143),E1143*F1143,"")</f>
        <v>1.0112749999999999</v>
      </c>
      <c r="H1143" s="34"/>
      <c r="I1143" s="30"/>
      <c r="J1143" s="152">
        <v>0</v>
      </c>
    </row>
    <row r="1144" spans="1:10" ht="15.75" hidden="1" thickBot="1" x14ac:dyDescent="0.3">
      <c r="A1144" s="177"/>
      <c r="B1144" s="175"/>
      <c r="C1144" s="35"/>
      <c r="D1144" s="35"/>
      <c r="E1144" s="36"/>
      <c r="F1144" s="30" t="s">
        <v>416</v>
      </c>
      <c r="G1144" s="30" t="str">
        <f>IF(ISNUMBER(F1144),E1144*F1144,"")</f>
        <v/>
      </c>
      <c r="H1144" s="34"/>
      <c r="I1144" s="30"/>
      <c r="J1144" s="152">
        <v>0</v>
      </c>
    </row>
    <row r="1145" spans="1:10" ht="15.75" hidden="1" thickBot="1" x14ac:dyDescent="0.3">
      <c r="A1145" s="170" t="s">
        <v>279</v>
      </c>
      <c r="B1145" s="173" t="str">
        <f>INDEX(Orçamentária!A:B,MATCH(Composições!A1145,Orçamentária!A:A,0),2)</f>
        <v>Sifão articulado para cozinha</v>
      </c>
      <c r="C1145" s="40"/>
      <c r="D1145" s="25" t="s">
        <v>16</v>
      </c>
      <c r="E1145" s="26"/>
      <c r="F1145" s="41" t="s">
        <v>416</v>
      </c>
      <c r="G1145" s="27" t="str">
        <f>IF(ISNUMBER(F1145),E1145*F1145,"")</f>
        <v/>
      </c>
      <c r="H1145" s="28"/>
      <c r="I1145" s="29"/>
      <c r="J1145" s="152">
        <v>0</v>
      </c>
    </row>
    <row r="1146" spans="1:10" ht="15.75" hidden="1" thickBot="1" x14ac:dyDescent="0.3">
      <c r="A1146" s="176"/>
      <c r="B1146" s="174"/>
      <c r="C1146" s="31"/>
      <c r="D1146" s="31"/>
      <c r="E1146" s="32"/>
      <c r="F1146" s="42" t="s">
        <v>416</v>
      </c>
      <c r="G1146" s="30" t="str">
        <f>IF(ISNUMBER(F1146),E1146*F1146,"")</f>
        <v/>
      </c>
      <c r="H1146" s="34"/>
      <c r="I1146" s="30"/>
      <c r="J1146" s="152">
        <v>0</v>
      </c>
    </row>
    <row r="1147" spans="1:10" ht="26.25" hidden="1" thickBot="1" x14ac:dyDescent="0.3">
      <c r="A1147" s="176"/>
      <c r="B1147" s="174"/>
      <c r="C1147" s="35" t="s">
        <v>280</v>
      </c>
      <c r="D1147" s="46" t="s">
        <v>107</v>
      </c>
      <c r="E1147" s="36">
        <v>1</v>
      </c>
      <c r="F1147" s="33" t="s">
        <v>416</v>
      </c>
      <c r="G1147" s="33" t="str">
        <f>IF(ISNUMBER(F1147),E1147*F1147,"")</f>
        <v/>
      </c>
      <c r="H1147" s="38">
        <f>SUM(G1147:G1150)</f>
        <v>9.2044663999999994</v>
      </c>
      <c r="I1147" s="39"/>
      <c r="J1147" s="152">
        <v>0</v>
      </c>
    </row>
    <row r="1148" spans="1:10" ht="15.75" hidden="1" thickBot="1" x14ac:dyDescent="0.3">
      <c r="A1148" s="176"/>
      <c r="B1148" s="174"/>
      <c r="C1148" s="35" t="s">
        <v>8171</v>
      </c>
      <c r="D1148" s="35" t="s">
        <v>213</v>
      </c>
      <c r="E1148" s="36">
        <v>3.32E-2</v>
      </c>
      <c r="F1148" s="33">
        <v>4.0374999999999996</v>
      </c>
      <c r="G1148" s="33">
        <f>IF(ISNUMBER(F1148),E1148*F1148,"")</f>
        <v>0.134045</v>
      </c>
      <c r="H1148" s="34"/>
      <c r="I1148" s="30"/>
      <c r="J1148" s="152">
        <v>0</v>
      </c>
    </row>
    <row r="1149" spans="1:10" ht="15.75" hidden="1" thickBot="1" x14ac:dyDescent="0.3">
      <c r="A1149" s="176"/>
      <c r="B1149" s="174"/>
      <c r="C1149" s="35" t="s">
        <v>584</v>
      </c>
      <c r="D1149" s="35" t="s">
        <v>583</v>
      </c>
      <c r="E1149" s="36">
        <v>8.6199999999999999E-2</v>
      </c>
      <c r="F1149" s="30">
        <v>20.225499999999997</v>
      </c>
      <c r="G1149" s="33">
        <f>IF(ISNUMBER(F1149),E1149*F1149,"")</f>
        <v>1.7434380999999997</v>
      </c>
      <c r="H1149" s="34"/>
      <c r="I1149" s="30"/>
      <c r="J1149" s="152">
        <v>0</v>
      </c>
    </row>
    <row r="1150" spans="1:10" ht="26.25" hidden="1" thickBot="1" x14ac:dyDescent="0.3">
      <c r="A1150" s="176"/>
      <c r="B1150" s="174"/>
      <c r="C1150" s="35" t="s">
        <v>825</v>
      </c>
      <c r="D1150" s="35" t="s">
        <v>583</v>
      </c>
      <c r="E1150" s="36">
        <v>0.27339999999999998</v>
      </c>
      <c r="F1150" s="30">
        <v>26.799499999999998</v>
      </c>
      <c r="G1150" s="33">
        <f>IF(ISNUMBER(F1150),E1150*F1150,"")</f>
        <v>7.3269832999999993</v>
      </c>
      <c r="H1150" s="34"/>
      <c r="I1150" s="30"/>
      <c r="J1150" s="152">
        <v>0</v>
      </c>
    </row>
    <row r="1151" spans="1:10" ht="15.75" hidden="1" thickBot="1" x14ac:dyDescent="0.3">
      <c r="A1151" s="177"/>
      <c r="B1151" s="175"/>
      <c r="C1151" s="35"/>
      <c r="D1151" s="35"/>
      <c r="E1151" s="36"/>
      <c r="F1151" s="30" t="s">
        <v>416</v>
      </c>
      <c r="G1151" s="30" t="str">
        <f>IF(ISNUMBER(F1151),E1151*F1151,"")</f>
        <v/>
      </c>
      <c r="H1151" s="34"/>
      <c r="I1151" s="30"/>
      <c r="J1151" s="152">
        <v>0</v>
      </c>
    </row>
    <row r="1152" spans="1:10" ht="15.75" hidden="1" thickBot="1" x14ac:dyDescent="0.3">
      <c r="A1152" s="170" t="s">
        <v>281</v>
      </c>
      <c r="B1152" s="173" t="str">
        <f>INDEX(Orçamentária!A:B,MATCH(Composições!A1152,Orçamentária!A:A,0),2)</f>
        <v>Sifão para lavatório 1 1/2"</v>
      </c>
      <c r="C1152" s="40"/>
      <c r="D1152" s="25" t="s">
        <v>16</v>
      </c>
      <c r="E1152" s="26"/>
      <c r="F1152" s="41" t="s">
        <v>416</v>
      </c>
      <c r="G1152" s="27" t="str">
        <f>IF(ISNUMBER(F1152),E1152*F1152,"")</f>
        <v/>
      </c>
      <c r="H1152" s="28"/>
      <c r="I1152" s="29"/>
      <c r="J1152" s="152">
        <v>0</v>
      </c>
    </row>
    <row r="1153" spans="1:10" ht="15.75" hidden="1" thickBot="1" x14ac:dyDescent="0.3">
      <c r="A1153" s="176"/>
      <c r="B1153" s="174"/>
      <c r="C1153" s="31"/>
      <c r="D1153" s="31"/>
      <c r="E1153" s="32"/>
      <c r="F1153" s="42" t="s">
        <v>416</v>
      </c>
      <c r="G1153" s="30" t="str">
        <f>IF(ISNUMBER(F1153),E1153*F1153,"")</f>
        <v/>
      </c>
      <c r="H1153" s="34"/>
      <c r="I1153" s="30"/>
      <c r="J1153" s="152">
        <v>0</v>
      </c>
    </row>
    <row r="1154" spans="1:10" ht="15.75" hidden="1" thickBot="1" x14ac:dyDescent="0.3">
      <c r="A1154" s="176"/>
      <c r="B1154" s="174"/>
      <c r="C1154" s="35" t="s">
        <v>8371</v>
      </c>
      <c r="D1154" s="35" t="s">
        <v>213</v>
      </c>
      <c r="E1154" s="36">
        <v>1</v>
      </c>
      <c r="F1154" s="33">
        <v>148.71299999999999</v>
      </c>
      <c r="G1154" s="33">
        <f>IF(ISNUMBER(F1154),E1154*F1154,"")</f>
        <v>148.71299999999999</v>
      </c>
      <c r="H1154" s="38">
        <f>SUM(G1154:G1157)</f>
        <v>157.97103499999997</v>
      </c>
      <c r="I1154" s="39"/>
      <c r="J1154" s="152">
        <v>0</v>
      </c>
    </row>
    <row r="1155" spans="1:10" ht="15.75" hidden="1" thickBot="1" x14ac:dyDescent="0.3">
      <c r="A1155" s="176"/>
      <c r="B1155" s="174"/>
      <c r="C1155" s="35" t="s">
        <v>8171</v>
      </c>
      <c r="D1155" s="35" t="s">
        <v>213</v>
      </c>
      <c r="E1155" s="36">
        <v>0.05</v>
      </c>
      <c r="F1155" s="33">
        <v>4.0374999999999996</v>
      </c>
      <c r="G1155" s="33">
        <f>IF(ISNUMBER(F1155),E1155*F1155,"")</f>
        <v>0.201875</v>
      </c>
      <c r="H1155" s="34"/>
      <c r="I1155" s="30"/>
      <c r="J1155" s="152">
        <v>0</v>
      </c>
    </row>
    <row r="1156" spans="1:10" ht="26.25" hidden="1" thickBot="1" x14ac:dyDescent="0.3">
      <c r="A1156" s="176"/>
      <c r="B1156" s="174"/>
      <c r="C1156" s="35" t="s">
        <v>825</v>
      </c>
      <c r="D1156" s="35" t="s">
        <v>583</v>
      </c>
      <c r="E1156" s="36">
        <v>0.27</v>
      </c>
      <c r="F1156" s="30">
        <v>26.799499999999998</v>
      </c>
      <c r="G1156" s="33">
        <f>IF(ISNUMBER(F1156),E1156*F1156,"")</f>
        <v>7.2358650000000004</v>
      </c>
      <c r="H1156" s="34"/>
      <c r="I1156" s="30"/>
      <c r="J1156" s="152">
        <v>0</v>
      </c>
    </row>
    <row r="1157" spans="1:10" ht="15.75" hidden="1" thickBot="1" x14ac:dyDescent="0.3">
      <c r="A1157" s="176"/>
      <c r="B1157" s="174"/>
      <c r="C1157" s="35" t="s">
        <v>584</v>
      </c>
      <c r="D1157" s="35" t="s">
        <v>583</v>
      </c>
      <c r="E1157" s="36">
        <v>0.09</v>
      </c>
      <c r="F1157" s="30">
        <v>20.225499999999997</v>
      </c>
      <c r="G1157" s="33">
        <f>IF(ISNUMBER(F1157),E1157*F1157,"")</f>
        <v>1.8202949999999996</v>
      </c>
      <c r="H1157" s="34"/>
      <c r="I1157" s="30"/>
      <c r="J1157" s="152">
        <v>0</v>
      </c>
    </row>
    <row r="1158" spans="1:10" ht="15.75" hidden="1" thickBot="1" x14ac:dyDescent="0.3">
      <c r="A1158" s="177"/>
      <c r="B1158" s="175"/>
      <c r="C1158" s="35"/>
      <c r="D1158" s="35"/>
      <c r="E1158" s="36"/>
      <c r="F1158" s="30" t="s">
        <v>416</v>
      </c>
      <c r="G1158" s="30" t="str">
        <f>IF(ISNUMBER(F1158),E1158*F1158,"")</f>
        <v/>
      </c>
      <c r="H1158" s="34"/>
      <c r="I1158" s="30"/>
      <c r="J1158" s="152">
        <v>0</v>
      </c>
    </row>
    <row r="1159" spans="1:10" ht="15.75" hidden="1" thickBot="1" x14ac:dyDescent="0.3">
      <c r="A1159" s="170" t="s">
        <v>282</v>
      </c>
      <c r="B1159" s="173" t="str">
        <f>INDEX(Orçamentária!A:B,MATCH(Composições!A1159,Orçamentária!A:A,0),2)</f>
        <v>Sifão para tanque</v>
      </c>
      <c r="C1159" s="40"/>
      <c r="D1159" s="25" t="s">
        <v>16</v>
      </c>
      <c r="E1159" s="26"/>
      <c r="F1159" s="41" t="s">
        <v>416</v>
      </c>
      <c r="G1159" s="27" t="str">
        <f>IF(ISNUMBER(F1159),E1159*F1159,"")</f>
        <v/>
      </c>
      <c r="H1159" s="28"/>
      <c r="I1159" s="29"/>
      <c r="J1159" s="152">
        <v>0</v>
      </c>
    </row>
    <row r="1160" spans="1:10" ht="15.75" hidden="1" thickBot="1" x14ac:dyDescent="0.3">
      <c r="A1160" s="176"/>
      <c r="B1160" s="174"/>
      <c r="C1160" s="31"/>
      <c r="D1160" s="31"/>
      <c r="E1160" s="32"/>
      <c r="F1160" s="42" t="s">
        <v>416</v>
      </c>
      <c r="G1160" s="30" t="str">
        <f>IF(ISNUMBER(F1160),E1160*F1160,"")</f>
        <v/>
      </c>
      <c r="H1160" s="34"/>
      <c r="I1160" s="30"/>
      <c r="J1160" s="152">
        <v>0</v>
      </c>
    </row>
    <row r="1161" spans="1:10" ht="15.75" hidden="1" thickBot="1" x14ac:dyDescent="0.3">
      <c r="A1161" s="176"/>
      <c r="B1161" s="174"/>
      <c r="C1161" s="35" t="s">
        <v>8171</v>
      </c>
      <c r="D1161" s="35" t="s">
        <v>213</v>
      </c>
      <c r="E1161" s="36">
        <v>3.32E-2</v>
      </c>
      <c r="F1161" s="33">
        <v>4.0374999999999996</v>
      </c>
      <c r="G1161" s="33">
        <f>IF(ISNUMBER(F1161),E1161*F1161,"")</f>
        <v>0.134045</v>
      </c>
      <c r="H1161" s="38">
        <f>SUM(G1161:G1164)</f>
        <v>166.69546639999999</v>
      </c>
      <c r="I1161" s="39"/>
      <c r="J1161" s="152">
        <v>0</v>
      </c>
    </row>
    <row r="1162" spans="1:10" ht="15.75" hidden="1" thickBot="1" x14ac:dyDescent="0.3">
      <c r="A1162" s="176"/>
      <c r="B1162" s="174"/>
      <c r="C1162" s="35" t="s">
        <v>584</v>
      </c>
      <c r="D1162" s="35" t="s">
        <v>583</v>
      </c>
      <c r="E1162" s="36">
        <v>8.6199999999999999E-2</v>
      </c>
      <c r="F1162" s="30">
        <v>20.225499999999997</v>
      </c>
      <c r="G1162" s="33">
        <f>IF(ISNUMBER(F1162),E1162*F1162,"")</f>
        <v>1.7434380999999997</v>
      </c>
      <c r="H1162" s="44"/>
      <c r="I1162" s="45"/>
      <c r="J1162" s="152">
        <v>0</v>
      </c>
    </row>
    <row r="1163" spans="1:10" ht="26.25" hidden="1" thickBot="1" x14ac:dyDescent="0.3">
      <c r="A1163" s="176"/>
      <c r="B1163" s="174"/>
      <c r="C1163" s="35" t="s">
        <v>825</v>
      </c>
      <c r="D1163" s="35" t="s">
        <v>583</v>
      </c>
      <c r="E1163" s="36">
        <v>0.27339999999999998</v>
      </c>
      <c r="F1163" s="30">
        <v>26.799499999999998</v>
      </c>
      <c r="G1163" s="33">
        <f>IF(ISNUMBER(F1163),E1163*F1163,"")</f>
        <v>7.3269832999999993</v>
      </c>
      <c r="H1163" s="34"/>
      <c r="I1163" s="30"/>
      <c r="J1163" s="152">
        <v>0</v>
      </c>
    </row>
    <row r="1164" spans="1:10" ht="15.75" hidden="1" thickBot="1" x14ac:dyDescent="0.3">
      <c r="A1164" s="176"/>
      <c r="B1164" s="174"/>
      <c r="C1164" s="35" t="s">
        <v>8372</v>
      </c>
      <c r="D1164" s="35" t="s">
        <v>213</v>
      </c>
      <c r="E1164" s="36">
        <v>1</v>
      </c>
      <c r="F1164" s="33">
        <v>157.49099999999999</v>
      </c>
      <c r="G1164" s="30">
        <f>IF(ISNUMBER(F1164),E1164*F1164,"")</f>
        <v>157.49099999999999</v>
      </c>
      <c r="H1164" s="34"/>
      <c r="I1164" s="30"/>
      <c r="J1164" s="152">
        <v>0</v>
      </c>
    </row>
    <row r="1165" spans="1:10" ht="15.75" hidden="1" thickBot="1" x14ac:dyDescent="0.3">
      <c r="A1165" s="177"/>
      <c r="B1165" s="175"/>
      <c r="C1165" s="35"/>
      <c r="D1165" s="35"/>
      <c r="E1165" s="36"/>
      <c r="F1165" s="30" t="s">
        <v>416</v>
      </c>
      <c r="G1165" s="30" t="str">
        <f>IF(ISNUMBER(F1165),E1165*F1165,"")</f>
        <v/>
      </c>
      <c r="H1165" s="34"/>
      <c r="I1165" s="30"/>
      <c r="J1165" s="152">
        <v>0</v>
      </c>
    </row>
    <row r="1166" spans="1:10" ht="15.75" hidden="1" thickBot="1" x14ac:dyDescent="0.3">
      <c r="A1166" s="170" t="s">
        <v>283</v>
      </c>
      <c r="B1166" s="173" t="str">
        <f>INDEX(Orçamentária!A:B,MATCH(Composições!A1166,Orçamentária!A:A,0),2)</f>
        <v>Torneira de mesa para cozinha bica móvel – Linha Administrativa</v>
      </c>
      <c r="C1166" s="40"/>
      <c r="D1166" s="25" t="s">
        <v>16</v>
      </c>
      <c r="E1166" s="26"/>
      <c r="F1166" s="41" t="s">
        <v>416</v>
      </c>
      <c r="G1166" s="27" t="str">
        <f>IF(ISNUMBER(F1166),E1166*F1166,"")</f>
        <v/>
      </c>
      <c r="H1166" s="28"/>
      <c r="I1166" s="29"/>
      <c r="J1166" s="152">
        <v>0</v>
      </c>
    </row>
    <row r="1167" spans="1:10" ht="15.75" hidden="1" thickBot="1" x14ac:dyDescent="0.3">
      <c r="A1167" s="176"/>
      <c r="B1167" s="174"/>
      <c r="C1167" s="31"/>
      <c r="D1167" s="31"/>
      <c r="E1167" s="32"/>
      <c r="F1167" s="42" t="s">
        <v>416</v>
      </c>
      <c r="G1167" s="30" t="str">
        <f>IF(ISNUMBER(F1167),E1167*F1167,"")</f>
        <v/>
      </c>
      <c r="H1167" s="34"/>
      <c r="I1167" s="30"/>
      <c r="J1167" s="152">
        <v>0</v>
      </c>
    </row>
    <row r="1168" spans="1:10" ht="15.75" hidden="1" thickBot="1" x14ac:dyDescent="0.3">
      <c r="A1168" s="176"/>
      <c r="B1168" s="174"/>
      <c r="C1168" s="35" t="s">
        <v>284</v>
      </c>
      <c r="D1168" s="46" t="s">
        <v>107</v>
      </c>
      <c r="E1168" s="36">
        <v>1</v>
      </c>
      <c r="F1168" s="33" t="s">
        <v>416</v>
      </c>
      <c r="G1168" s="33" t="str">
        <f>IF(ISNUMBER(F1168),E1168*F1168,"")</f>
        <v/>
      </c>
      <c r="H1168" s="38">
        <f>SUM(G1168:G1171)</f>
        <v>5.6141028999999989</v>
      </c>
      <c r="I1168" s="39"/>
      <c r="J1168" s="152">
        <v>0</v>
      </c>
    </row>
    <row r="1169" spans="1:10" ht="15.75" hidden="1" thickBot="1" x14ac:dyDescent="0.3">
      <c r="A1169" s="176"/>
      <c r="B1169" s="174"/>
      <c r="C1169" s="35" t="s">
        <v>8171</v>
      </c>
      <c r="D1169" s="35" t="s">
        <v>213</v>
      </c>
      <c r="E1169" s="36">
        <v>2.1000000000000001E-2</v>
      </c>
      <c r="F1169" s="33">
        <v>4.0374999999999996</v>
      </c>
      <c r="G1169" s="33">
        <f>IF(ISNUMBER(F1169),E1169*F1169,"")</f>
        <v>8.4787500000000002E-2</v>
      </c>
      <c r="H1169" s="34"/>
      <c r="I1169" s="30"/>
      <c r="J1169" s="152">
        <v>0</v>
      </c>
    </row>
    <row r="1170" spans="1:10" ht="26.25" hidden="1" thickBot="1" x14ac:dyDescent="0.3">
      <c r="A1170" s="176"/>
      <c r="B1170" s="174"/>
      <c r="C1170" s="35" t="s">
        <v>825</v>
      </c>
      <c r="D1170" s="35" t="s">
        <v>583</v>
      </c>
      <c r="E1170" s="36">
        <v>0.16669999999999999</v>
      </c>
      <c r="F1170" s="30">
        <v>26.799499999999998</v>
      </c>
      <c r="G1170" s="33">
        <f>IF(ISNUMBER(F1170),E1170*F1170,"")</f>
        <v>4.4674766499999992</v>
      </c>
      <c r="H1170" s="34"/>
      <c r="I1170" s="30"/>
      <c r="J1170" s="152">
        <v>0</v>
      </c>
    </row>
    <row r="1171" spans="1:10" ht="15.75" hidden="1" thickBot="1" x14ac:dyDescent="0.3">
      <c r="A1171" s="176"/>
      <c r="B1171" s="174"/>
      <c r="C1171" s="35" t="s">
        <v>584</v>
      </c>
      <c r="D1171" s="35" t="s">
        <v>583</v>
      </c>
      <c r="E1171" s="36">
        <v>5.2499999999999998E-2</v>
      </c>
      <c r="F1171" s="30">
        <v>20.225499999999997</v>
      </c>
      <c r="G1171" s="33">
        <f>IF(ISNUMBER(F1171),E1171*F1171,"")</f>
        <v>1.0618387499999997</v>
      </c>
      <c r="H1171" s="34"/>
      <c r="I1171" s="30"/>
      <c r="J1171" s="152">
        <v>0</v>
      </c>
    </row>
    <row r="1172" spans="1:10" ht="15.75" hidden="1" thickBot="1" x14ac:dyDescent="0.3">
      <c r="A1172" s="177"/>
      <c r="B1172" s="175"/>
      <c r="C1172" s="35"/>
      <c r="D1172" s="35"/>
      <c r="E1172" s="36"/>
      <c r="F1172" s="30" t="s">
        <v>416</v>
      </c>
      <c r="G1172" s="30" t="str">
        <f>IF(ISNUMBER(F1172),E1172*F1172,"")</f>
        <v/>
      </c>
      <c r="H1172" s="34"/>
      <c r="I1172" s="30"/>
      <c r="J1172" s="152">
        <v>0</v>
      </c>
    </row>
    <row r="1173" spans="1:10" ht="15.75" hidden="1" thickBot="1" x14ac:dyDescent="0.3">
      <c r="A1173" s="170" t="s">
        <v>285</v>
      </c>
      <c r="B1173" s="173" t="str">
        <f>INDEX(Orçamentária!A:B,MATCH(Composições!A1173,Orçamentária!A:A,0),2)</f>
        <v>Torneira de mesa para cozinha bica móvel</v>
      </c>
      <c r="C1173" s="40"/>
      <c r="D1173" s="25" t="s">
        <v>16</v>
      </c>
      <c r="E1173" s="26"/>
      <c r="F1173" s="41" t="s">
        <v>416</v>
      </c>
      <c r="G1173" s="27" t="str">
        <f>IF(ISNUMBER(F1173),E1173*F1173,"")</f>
        <v/>
      </c>
      <c r="H1173" s="28"/>
      <c r="I1173" s="29"/>
      <c r="J1173" s="152">
        <v>0</v>
      </c>
    </row>
    <row r="1174" spans="1:10" ht="15.75" hidden="1" thickBot="1" x14ac:dyDescent="0.3">
      <c r="A1174" s="176"/>
      <c r="B1174" s="174"/>
      <c r="C1174" s="31"/>
      <c r="D1174" s="31"/>
      <c r="E1174" s="32"/>
      <c r="F1174" s="42" t="s">
        <v>416</v>
      </c>
      <c r="G1174" s="30" t="str">
        <f>IF(ISNUMBER(F1174),E1174*F1174,"")</f>
        <v/>
      </c>
      <c r="H1174" s="34"/>
      <c r="I1174" s="30"/>
      <c r="J1174" s="152">
        <v>0</v>
      </c>
    </row>
    <row r="1175" spans="1:10" ht="26.25" hidden="1" thickBot="1" x14ac:dyDescent="0.3">
      <c r="A1175" s="176"/>
      <c r="B1175" s="174"/>
      <c r="C1175" s="35" t="s">
        <v>286</v>
      </c>
      <c r="D1175" s="46" t="s">
        <v>107</v>
      </c>
      <c r="E1175" s="36">
        <v>1</v>
      </c>
      <c r="F1175" s="33" t="s">
        <v>416</v>
      </c>
      <c r="G1175" s="33" t="str">
        <f>IF(ISNUMBER(F1175),E1175*F1175,"")</f>
        <v/>
      </c>
      <c r="H1175" s="38">
        <f>SUM(G1175:G1178)</f>
        <v>5.6141028999999989</v>
      </c>
      <c r="I1175" s="39"/>
      <c r="J1175" s="152">
        <v>0</v>
      </c>
    </row>
    <row r="1176" spans="1:10" ht="15.75" hidden="1" thickBot="1" x14ac:dyDescent="0.3">
      <c r="A1176" s="176"/>
      <c r="B1176" s="174"/>
      <c r="C1176" s="35" t="s">
        <v>8171</v>
      </c>
      <c r="D1176" s="35" t="s">
        <v>213</v>
      </c>
      <c r="E1176" s="36">
        <v>2.1000000000000001E-2</v>
      </c>
      <c r="F1176" s="33">
        <v>4.0374999999999996</v>
      </c>
      <c r="G1176" s="33">
        <f>IF(ISNUMBER(F1176),E1176*F1176,"")</f>
        <v>8.4787500000000002E-2</v>
      </c>
      <c r="H1176" s="34"/>
      <c r="I1176" s="30"/>
      <c r="J1176" s="152">
        <v>0</v>
      </c>
    </row>
    <row r="1177" spans="1:10" ht="26.25" hidden="1" thickBot="1" x14ac:dyDescent="0.3">
      <c r="A1177" s="176"/>
      <c r="B1177" s="174"/>
      <c r="C1177" s="35" t="s">
        <v>825</v>
      </c>
      <c r="D1177" s="35" t="s">
        <v>583</v>
      </c>
      <c r="E1177" s="36">
        <v>0.16669999999999999</v>
      </c>
      <c r="F1177" s="30">
        <v>26.799499999999998</v>
      </c>
      <c r="G1177" s="33">
        <f>IF(ISNUMBER(F1177),E1177*F1177,"")</f>
        <v>4.4674766499999992</v>
      </c>
      <c r="H1177" s="34"/>
      <c r="I1177" s="30"/>
      <c r="J1177" s="152">
        <v>0</v>
      </c>
    </row>
    <row r="1178" spans="1:10" ht="15.75" hidden="1" thickBot="1" x14ac:dyDescent="0.3">
      <c r="A1178" s="176"/>
      <c r="B1178" s="174"/>
      <c r="C1178" s="35" t="s">
        <v>584</v>
      </c>
      <c r="D1178" s="35" t="s">
        <v>583</v>
      </c>
      <c r="E1178" s="36">
        <v>5.2499999999999998E-2</v>
      </c>
      <c r="F1178" s="30">
        <v>20.225499999999997</v>
      </c>
      <c r="G1178" s="33">
        <f>IF(ISNUMBER(F1178),E1178*F1178,"")</f>
        <v>1.0618387499999997</v>
      </c>
      <c r="H1178" s="34"/>
      <c r="I1178" s="30"/>
      <c r="J1178" s="152">
        <v>0</v>
      </c>
    </row>
    <row r="1179" spans="1:10" ht="15.75" hidden="1" thickBot="1" x14ac:dyDescent="0.3">
      <c r="A1179" s="177"/>
      <c r="B1179" s="175"/>
      <c r="C1179" s="35"/>
      <c r="D1179" s="35"/>
      <c r="E1179" s="36"/>
      <c r="F1179" s="30" t="s">
        <v>416</v>
      </c>
      <c r="G1179" s="30" t="str">
        <f>IF(ISNUMBER(F1179),E1179*F1179,"")</f>
        <v/>
      </c>
      <c r="H1179" s="34"/>
      <c r="I1179" s="30"/>
      <c r="J1179" s="152">
        <v>0</v>
      </c>
    </row>
    <row r="1180" spans="1:10" ht="15.75" hidden="1" thickBot="1" x14ac:dyDescent="0.3">
      <c r="A1180" s="170" t="s">
        <v>287</v>
      </c>
      <c r="B1180" s="173" t="str">
        <f>INDEX(Orçamentária!A:B,MATCH(Composições!A1180,Orçamentária!A:A,0),2)</f>
        <v>Torneira de mesa para lavatório – Linha Acessibilidade</v>
      </c>
      <c r="C1180" s="40"/>
      <c r="D1180" s="25" t="s">
        <v>16</v>
      </c>
      <c r="E1180" s="26"/>
      <c r="F1180" s="41" t="s">
        <v>416</v>
      </c>
      <c r="G1180" s="27" t="str">
        <f>IF(ISNUMBER(F1180),E1180*F1180,"")</f>
        <v/>
      </c>
      <c r="H1180" s="28"/>
      <c r="I1180" s="29"/>
      <c r="J1180" s="152">
        <v>0</v>
      </c>
    </row>
    <row r="1181" spans="1:10" ht="15.75" hidden="1" thickBot="1" x14ac:dyDescent="0.3">
      <c r="A1181" s="176"/>
      <c r="B1181" s="174"/>
      <c r="C1181" s="31"/>
      <c r="D1181" s="31"/>
      <c r="E1181" s="32"/>
      <c r="F1181" s="42" t="s">
        <v>416</v>
      </c>
      <c r="G1181" s="30" t="str">
        <f>IF(ISNUMBER(F1181),E1181*F1181,"")</f>
        <v/>
      </c>
      <c r="H1181" s="34"/>
      <c r="I1181" s="30"/>
      <c r="J1181" s="152">
        <v>0</v>
      </c>
    </row>
    <row r="1182" spans="1:10" ht="26.25" hidden="1" thickBot="1" x14ac:dyDescent="0.3">
      <c r="A1182" s="176"/>
      <c r="B1182" s="174"/>
      <c r="C1182" s="35" t="s">
        <v>288</v>
      </c>
      <c r="D1182" s="46" t="s">
        <v>107</v>
      </c>
      <c r="E1182" s="36">
        <v>1</v>
      </c>
      <c r="F1182" s="33" t="s">
        <v>416</v>
      </c>
      <c r="G1182" s="33" t="str">
        <f>IF(ISNUMBER(F1182),E1182*F1182,"")</f>
        <v/>
      </c>
      <c r="H1182" s="38">
        <f>SUM(G1182:G1185)</f>
        <v>3.27037215</v>
      </c>
      <c r="I1182" s="39"/>
      <c r="J1182" s="152">
        <v>0</v>
      </c>
    </row>
    <row r="1183" spans="1:10" ht="15.75" hidden="1" thickBot="1" x14ac:dyDescent="0.3">
      <c r="A1183" s="176"/>
      <c r="B1183" s="174"/>
      <c r="C1183" s="35" t="s">
        <v>8171</v>
      </c>
      <c r="D1183" s="35" t="s">
        <v>213</v>
      </c>
      <c r="E1183" s="36">
        <v>2.1000000000000001E-2</v>
      </c>
      <c r="F1183" s="33">
        <v>4.0374999999999996</v>
      </c>
      <c r="G1183" s="33">
        <f>IF(ISNUMBER(F1183),E1183*F1183,"")</f>
        <v>8.4787500000000002E-2</v>
      </c>
      <c r="H1183" s="34"/>
      <c r="I1183" s="30"/>
      <c r="J1183" s="152">
        <v>0</v>
      </c>
    </row>
    <row r="1184" spans="1:10" ht="26.25" hidden="1" thickBot="1" x14ac:dyDescent="0.3">
      <c r="A1184" s="176"/>
      <c r="B1184" s="174"/>
      <c r="C1184" s="35" t="s">
        <v>825</v>
      </c>
      <c r="D1184" s="35" t="s">
        <v>583</v>
      </c>
      <c r="E1184" s="36">
        <v>9.6000000000000002E-2</v>
      </c>
      <c r="F1184" s="30">
        <v>26.799499999999998</v>
      </c>
      <c r="G1184" s="33">
        <f>IF(ISNUMBER(F1184),E1184*F1184,"")</f>
        <v>2.5727519999999999</v>
      </c>
      <c r="H1184" s="34"/>
      <c r="I1184" s="30"/>
      <c r="J1184" s="152">
        <v>0</v>
      </c>
    </row>
    <row r="1185" spans="1:10" ht="15.75" hidden="1" thickBot="1" x14ac:dyDescent="0.3">
      <c r="A1185" s="176"/>
      <c r="B1185" s="174"/>
      <c r="C1185" s="35" t="s">
        <v>584</v>
      </c>
      <c r="D1185" s="35" t="s">
        <v>583</v>
      </c>
      <c r="E1185" s="36">
        <v>3.0300000000000001E-2</v>
      </c>
      <c r="F1185" s="30">
        <v>20.225499999999997</v>
      </c>
      <c r="G1185" s="33">
        <f>IF(ISNUMBER(F1185),E1185*F1185,"")</f>
        <v>0.61283264999999987</v>
      </c>
      <c r="H1185" s="34"/>
      <c r="I1185" s="30"/>
      <c r="J1185" s="152">
        <v>0</v>
      </c>
    </row>
    <row r="1186" spans="1:10" ht="15.75" hidden="1" thickBot="1" x14ac:dyDescent="0.3">
      <c r="A1186" s="177"/>
      <c r="B1186" s="175"/>
      <c r="C1186" s="35"/>
      <c r="D1186" s="35"/>
      <c r="E1186" s="36"/>
      <c r="F1186" s="30" t="s">
        <v>416</v>
      </c>
      <c r="G1186" s="30" t="str">
        <f>IF(ISNUMBER(F1186),E1186*F1186,"")</f>
        <v/>
      </c>
      <c r="H1186" s="34"/>
      <c r="I1186" s="30"/>
      <c r="J1186" s="152">
        <v>0</v>
      </c>
    </row>
    <row r="1187" spans="1:10" ht="15.75" hidden="1" thickBot="1" x14ac:dyDescent="0.3">
      <c r="A1187" s="170" t="s">
        <v>289</v>
      </c>
      <c r="B1187" s="173" t="str">
        <f>INDEX(Orçamentária!A:B,MATCH(Composições!A1187,Orçamentária!A:A,0),2)</f>
        <v>Torneira de mesa para lavatório bica alta</v>
      </c>
      <c r="C1187" s="40"/>
      <c r="D1187" s="25" t="s">
        <v>16</v>
      </c>
      <c r="E1187" s="26"/>
      <c r="F1187" s="41" t="s">
        <v>416</v>
      </c>
      <c r="G1187" s="27" t="str">
        <f>IF(ISNUMBER(F1187),E1187*F1187,"")</f>
        <v/>
      </c>
      <c r="H1187" s="28"/>
      <c r="I1187" s="29"/>
      <c r="J1187" s="152">
        <v>0</v>
      </c>
    </row>
    <row r="1188" spans="1:10" ht="15.75" hidden="1" thickBot="1" x14ac:dyDescent="0.3">
      <c r="A1188" s="176"/>
      <c r="B1188" s="174"/>
      <c r="C1188" s="31"/>
      <c r="D1188" s="31"/>
      <c r="E1188" s="32"/>
      <c r="F1188" s="42" t="s">
        <v>416</v>
      </c>
      <c r="G1188" s="30" t="str">
        <f>IF(ISNUMBER(F1188),E1188*F1188,"")</f>
        <v/>
      </c>
      <c r="H1188" s="34"/>
      <c r="I1188" s="30"/>
      <c r="J1188" s="152">
        <v>0</v>
      </c>
    </row>
    <row r="1189" spans="1:10" ht="26.25" hidden="1" thickBot="1" x14ac:dyDescent="0.3">
      <c r="A1189" s="176"/>
      <c r="B1189" s="174"/>
      <c r="C1189" s="35" t="s">
        <v>290</v>
      </c>
      <c r="D1189" s="46" t="s">
        <v>107</v>
      </c>
      <c r="E1189" s="36">
        <v>1</v>
      </c>
      <c r="F1189" s="33" t="s">
        <v>416</v>
      </c>
      <c r="G1189" s="33" t="str">
        <f>IF(ISNUMBER(F1189),E1189*F1189,"")</f>
        <v/>
      </c>
      <c r="H1189" s="38">
        <f>SUM(G1189:G1192)</f>
        <v>3.27037215</v>
      </c>
      <c r="I1189" s="39"/>
      <c r="J1189" s="152">
        <v>0</v>
      </c>
    </row>
    <row r="1190" spans="1:10" ht="15.75" hidden="1" thickBot="1" x14ac:dyDescent="0.3">
      <c r="A1190" s="176"/>
      <c r="B1190" s="174"/>
      <c r="C1190" s="35" t="s">
        <v>8171</v>
      </c>
      <c r="D1190" s="35" t="s">
        <v>213</v>
      </c>
      <c r="E1190" s="36">
        <v>2.1000000000000001E-2</v>
      </c>
      <c r="F1190" s="33">
        <v>4.0374999999999996</v>
      </c>
      <c r="G1190" s="33">
        <f>IF(ISNUMBER(F1190),E1190*F1190,"")</f>
        <v>8.4787500000000002E-2</v>
      </c>
      <c r="H1190" s="34"/>
      <c r="I1190" s="30"/>
      <c r="J1190" s="152">
        <v>0</v>
      </c>
    </row>
    <row r="1191" spans="1:10" ht="26.25" hidden="1" thickBot="1" x14ac:dyDescent="0.3">
      <c r="A1191" s="176"/>
      <c r="B1191" s="174"/>
      <c r="C1191" s="35" t="s">
        <v>825</v>
      </c>
      <c r="D1191" s="35" t="s">
        <v>583</v>
      </c>
      <c r="E1191" s="36">
        <v>9.6000000000000002E-2</v>
      </c>
      <c r="F1191" s="30">
        <v>26.799499999999998</v>
      </c>
      <c r="G1191" s="33">
        <f>IF(ISNUMBER(F1191),E1191*F1191,"")</f>
        <v>2.5727519999999999</v>
      </c>
      <c r="H1191" s="34"/>
      <c r="I1191" s="30"/>
      <c r="J1191" s="152">
        <v>0</v>
      </c>
    </row>
    <row r="1192" spans="1:10" ht="15.75" hidden="1" thickBot="1" x14ac:dyDescent="0.3">
      <c r="A1192" s="176"/>
      <c r="B1192" s="174"/>
      <c r="C1192" s="35" t="s">
        <v>584</v>
      </c>
      <c r="D1192" s="35" t="s">
        <v>583</v>
      </c>
      <c r="E1192" s="36">
        <v>3.0300000000000001E-2</v>
      </c>
      <c r="F1192" s="30">
        <v>20.225499999999997</v>
      </c>
      <c r="G1192" s="33">
        <f>IF(ISNUMBER(F1192),E1192*F1192,"")</f>
        <v>0.61283264999999987</v>
      </c>
      <c r="H1192" s="34"/>
      <c r="I1192" s="30"/>
      <c r="J1192" s="152">
        <v>0</v>
      </c>
    </row>
    <row r="1193" spans="1:10" ht="15.75" hidden="1" thickBot="1" x14ac:dyDescent="0.3">
      <c r="A1193" s="177"/>
      <c r="B1193" s="175"/>
      <c r="C1193" s="35"/>
      <c r="D1193" s="35"/>
      <c r="E1193" s="36"/>
      <c r="F1193" s="30" t="s">
        <v>416</v>
      </c>
      <c r="G1193" s="30" t="str">
        <f>IF(ISNUMBER(F1193),E1193*F1193,"")</f>
        <v/>
      </c>
      <c r="H1193" s="34"/>
      <c r="I1193" s="30"/>
      <c r="J1193" s="152">
        <v>0</v>
      </c>
    </row>
    <row r="1194" spans="1:10" ht="15.75" hidden="1" thickBot="1" x14ac:dyDescent="0.3">
      <c r="A1194" s="170" t="s">
        <v>291</v>
      </c>
      <c r="B1194" s="173" t="str">
        <f>INDEX(Orçamentária!A:B,MATCH(Composições!A1194,Orçamentária!A:A,0),2)</f>
        <v>Torneira de mesa para lavatório bica baixa</v>
      </c>
      <c r="C1194" s="40"/>
      <c r="D1194" s="25" t="s">
        <v>16</v>
      </c>
      <c r="E1194" s="26"/>
      <c r="F1194" s="41" t="s">
        <v>416</v>
      </c>
      <c r="G1194" s="27" t="str">
        <f>IF(ISNUMBER(F1194),E1194*F1194,"")</f>
        <v/>
      </c>
      <c r="H1194" s="28"/>
      <c r="I1194" s="29"/>
      <c r="J1194" s="152">
        <v>0</v>
      </c>
    </row>
    <row r="1195" spans="1:10" ht="15.75" hidden="1" thickBot="1" x14ac:dyDescent="0.3">
      <c r="A1195" s="176"/>
      <c r="B1195" s="174"/>
      <c r="C1195" s="31"/>
      <c r="D1195" s="31"/>
      <c r="E1195" s="32"/>
      <c r="F1195" s="42" t="s">
        <v>416</v>
      </c>
      <c r="G1195" s="30" t="str">
        <f>IF(ISNUMBER(F1195),E1195*F1195,"")</f>
        <v/>
      </c>
      <c r="H1195" s="34"/>
      <c r="I1195" s="30"/>
      <c r="J1195" s="152">
        <v>0</v>
      </c>
    </row>
    <row r="1196" spans="1:10" ht="26.25" hidden="1" thickBot="1" x14ac:dyDescent="0.3">
      <c r="A1196" s="176"/>
      <c r="B1196" s="174"/>
      <c r="C1196" s="35" t="s">
        <v>292</v>
      </c>
      <c r="D1196" s="46" t="s">
        <v>107</v>
      </c>
      <c r="E1196" s="36">
        <v>1</v>
      </c>
      <c r="F1196" s="33" t="s">
        <v>416</v>
      </c>
      <c r="G1196" s="33" t="str">
        <f>IF(ISNUMBER(F1196),E1196*F1196,"")</f>
        <v/>
      </c>
      <c r="H1196" s="38">
        <f>SUM(G1196:G1199)</f>
        <v>3.27037215</v>
      </c>
      <c r="I1196" s="39"/>
      <c r="J1196" s="152">
        <v>0</v>
      </c>
    </row>
    <row r="1197" spans="1:10" ht="15.75" hidden="1" thickBot="1" x14ac:dyDescent="0.3">
      <c r="A1197" s="176"/>
      <c r="B1197" s="174"/>
      <c r="C1197" s="35" t="s">
        <v>8171</v>
      </c>
      <c r="D1197" s="35" t="s">
        <v>213</v>
      </c>
      <c r="E1197" s="36">
        <v>2.1000000000000001E-2</v>
      </c>
      <c r="F1197" s="33">
        <v>4.0374999999999996</v>
      </c>
      <c r="G1197" s="33">
        <f>IF(ISNUMBER(F1197),E1197*F1197,"")</f>
        <v>8.4787500000000002E-2</v>
      </c>
      <c r="H1197" s="34"/>
      <c r="I1197" s="30"/>
      <c r="J1197" s="152">
        <v>0</v>
      </c>
    </row>
    <row r="1198" spans="1:10" ht="26.25" hidden="1" thickBot="1" x14ac:dyDescent="0.3">
      <c r="A1198" s="176"/>
      <c r="B1198" s="174"/>
      <c r="C1198" s="35" t="s">
        <v>825</v>
      </c>
      <c r="D1198" s="35" t="s">
        <v>583</v>
      </c>
      <c r="E1198" s="36">
        <v>9.6000000000000002E-2</v>
      </c>
      <c r="F1198" s="30">
        <v>26.799499999999998</v>
      </c>
      <c r="G1198" s="33">
        <f>IF(ISNUMBER(F1198),E1198*F1198,"")</f>
        <v>2.5727519999999999</v>
      </c>
      <c r="H1198" s="34"/>
      <c r="I1198" s="30"/>
      <c r="J1198" s="152">
        <v>0</v>
      </c>
    </row>
    <row r="1199" spans="1:10" ht="15.75" hidden="1" thickBot="1" x14ac:dyDescent="0.3">
      <c r="A1199" s="176"/>
      <c r="B1199" s="174"/>
      <c r="C1199" s="35" t="s">
        <v>584</v>
      </c>
      <c r="D1199" s="35" t="s">
        <v>583</v>
      </c>
      <c r="E1199" s="36">
        <v>3.0300000000000001E-2</v>
      </c>
      <c r="F1199" s="30">
        <v>20.225499999999997</v>
      </c>
      <c r="G1199" s="33">
        <f>IF(ISNUMBER(F1199),E1199*F1199,"")</f>
        <v>0.61283264999999987</v>
      </c>
      <c r="H1199" s="34"/>
      <c r="I1199" s="30"/>
      <c r="J1199" s="152">
        <v>0</v>
      </c>
    </row>
    <row r="1200" spans="1:10" ht="15.75" hidden="1" thickBot="1" x14ac:dyDescent="0.3">
      <c r="A1200" s="177"/>
      <c r="B1200" s="175"/>
      <c r="C1200" s="35"/>
      <c r="D1200" s="35"/>
      <c r="E1200" s="36"/>
      <c r="F1200" s="30" t="s">
        <v>416</v>
      </c>
      <c r="G1200" s="30" t="str">
        <f>IF(ISNUMBER(F1200),E1200*F1200,"")</f>
        <v/>
      </c>
      <c r="H1200" s="34"/>
      <c r="I1200" s="30"/>
      <c r="J1200" s="152">
        <v>0</v>
      </c>
    </row>
    <row r="1201" spans="1:10" ht="15.75" hidden="1" thickBot="1" x14ac:dyDescent="0.3">
      <c r="A1201" s="170" t="s">
        <v>293</v>
      </c>
      <c r="B1201" s="173" t="str">
        <f>INDEX(Orçamentária!A:B,MATCH(Composições!A1201,Orçamentária!A:A,0),2)</f>
        <v>Torneira de mesa para lavatório com fechamento automático – Linha Administrativa</v>
      </c>
      <c r="C1201" s="40"/>
      <c r="D1201" s="25" t="s">
        <v>16</v>
      </c>
      <c r="E1201" s="26"/>
      <c r="F1201" s="41" t="s">
        <v>416</v>
      </c>
      <c r="G1201" s="27" t="str">
        <f>IF(ISNUMBER(F1201),E1201*F1201,"")</f>
        <v/>
      </c>
      <c r="H1201" s="28"/>
      <c r="I1201" s="29"/>
      <c r="J1201" s="152">
        <v>0</v>
      </c>
    </row>
    <row r="1202" spans="1:10" ht="15.75" hidden="1" thickBot="1" x14ac:dyDescent="0.3">
      <c r="A1202" s="176"/>
      <c r="B1202" s="174"/>
      <c r="C1202" s="31"/>
      <c r="D1202" s="31"/>
      <c r="E1202" s="32"/>
      <c r="F1202" s="42" t="s">
        <v>416</v>
      </c>
      <c r="G1202" s="30" t="str">
        <f>IF(ISNUMBER(F1202),E1202*F1202,"")</f>
        <v/>
      </c>
      <c r="H1202" s="34"/>
      <c r="I1202" s="30"/>
      <c r="J1202" s="152">
        <v>0</v>
      </c>
    </row>
    <row r="1203" spans="1:10" ht="26.25" hidden="1" thickBot="1" x14ac:dyDescent="0.3">
      <c r="A1203" s="176"/>
      <c r="B1203" s="174"/>
      <c r="C1203" s="35" t="s">
        <v>8449</v>
      </c>
      <c r="D1203" s="35" t="s">
        <v>213</v>
      </c>
      <c r="E1203" s="36">
        <v>1</v>
      </c>
      <c r="F1203" s="33">
        <v>114.72199999999999</v>
      </c>
      <c r="G1203" s="33">
        <f>IF(ISNUMBER(F1203),E1203*F1203,"")</f>
        <v>114.72199999999999</v>
      </c>
      <c r="H1203" s="38">
        <f>SUM(G1203:G1206)</f>
        <v>117.99237214999999</v>
      </c>
      <c r="I1203" s="39"/>
      <c r="J1203" s="152">
        <v>0</v>
      </c>
    </row>
    <row r="1204" spans="1:10" ht="15.75" hidden="1" thickBot="1" x14ac:dyDescent="0.3">
      <c r="A1204" s="176"/>
      <c r="B1204" s="174"/>
      <c r="C1204" s="35" t="s">
        <v>8171</v>
      </c>
      <c r="D1204" s="35" t="s">
        <v>213</v>
      </c>
      <c r="E1204" s="36">
        <v>2.1000000000000001E-2</v>
      </c>
      <c r="F1204" s="33">
        <v>4.0374999999999996</v>
      </c>
      <c r="G1204" s="33">
        <f>IF(ISNUMBER(F1204),E1204*F1204,"")</f>
        <v>8.4787500000000002E-2</v>
      </c>
      <c r="H1204" s="34"/>
      <c r="I1204" s="30"/>
      <c r="J1204" s="152">
        <v>0</v>
      </c>
    </row>
    <row r="1205" spans="1:10" ht="26.25" hidden="1" thickBot="1" x14ac:dyDescent="0.3">
      <c r="A1205" s="176"/>
      <c r="B1205" s="174"/>
      <c r="C1205" s="35" t="s">
        <v>825</v>
      </c>
      <c r="D1205" s="35" t="s">
        <v>583</v>
      </c>
      <c r="E1205" s="36">
        <v>9.6000000000000002E-2</v>
      </c>
      <c r="F1205" s="30">
        <v>26.799499999999998</v>
      </c>
      <c r="G1205" s="33">
        <f>IF(ISNUMBER(F1205),E1205*F1205,"")</f>
        <v>2.5727519999999999</v>
      </c>
      <c r="H1205" s="34"/>
      <c r="I1205" s="30"/>
      <c r="J1205" s="152">
        <v>0</v>
      </c>
    </row>
    <row r="1206" spans="1:10" ht="15.75" hidden="1" thickBot="1" x14ac:dyDescent="0.3">
      <c r="A1206" s="176"/>
      <c r="B1206" s="174"/>
      <c r="C1206" s="35" t="s">
        <v>584</v>
      </c>
      <c r="D1206" s="35" t="s">
        <v>583</v>
      </c>
      <c r="E1206" s="36">
        <v>3.0300000000000001E-2</v>
      </c>
      <c r="F1206" s="30">
        <v>20.225499999999997</v>
      </c>
      <c r="G1206" s="33">
        <f>IF(ISNUMBER(F1206),E1206*F1206,"")</f>
        <v>0.61283264999999987</v>
      </c>
      <c r="H1206" s="34"/>
      <c r="I1206" s="30"/>
      <c r="J1206" s="152">
        <v>0</v>
      </c>
    </row>
    <row r="1207" spans="1:10" ht="15.75" hidden="1" thickBot="1" x14ac:dyDescent="0.3">
      <c r="A1207" s="177"/>
      <c r="B1207" s="175"/>
      <c r="C1207" s="35"/>
      <c r="D1207" s="35"/>
      <c r="E1207" s="36"/>
      <c r="F1207" s="30" t="s">
        <v>416</v>
      </c>
      <c r="G1207" s="30" t="str">
        <f>IF(ISNUMBER(F1207),E1207*F1207,"")</f>
        <v/>
      </c>
      <c r="H1207" s="34"/>
      <c r="I1207" s="30"/>
      <c r="J1207" s="152">
        <v>0</v>
      </c>
    </row>
    <row r="1208" spans="1:10" ht="15.75" hidden="1" thickBot="1" x14ac:dyDescent="0.3">
      <c r="A1208" s="170" t="s">
        <v>294</v>
      </c>
      <c r="B1208" s="173" t="str">
        <f>INDEX(Orçamentária!A:B,MATCH(Composições!A1208,Orçamentária!A:A,0),2)</f>
        <v>Torneira de parede para cozinha</v>
      </c>
      <c r="C1208" s="40"/>
      <c r="D1208" s="25" t="s">
        <v>16</v>
      </c>
      <c r="E1208" s="26"/>
      <c r="F1208" s="41" t="s">
        <v>416</v>
      </c>
      <c r="G1208" s="27" t="str">
        <f>IF(ISNUMBER(F1208),E1208*F1208,"")</f>
        <v/>
      </c>
      <c r="H1208" s="28"/>
      <c r="I1208" s="29"/>
      <c r="J1208" s="152">
        <v>0</v>
      </c>
    </row>
    <row r="1209" spans="1:10" ht="15.75" hidden="1" thickBot="1" x14ac:dyDescent="0.3">
      <c r="A1209" s="176"/>
      <c r="B1209" s="174"/>
      <c r="C1209" s="31"/>
      <c r="D1209" s="31"/>
      <c r="E1209" s="32"/>
      <c r="F1209" s="42" t="s">
        <v>416</v>
      </c>
      <c r="G1209" s="30" t="str">
        <f>IF(ISNUMBER(F1209),E1209*F1209,"")</f>
        <v/>
      </c>
      <c r="H1209" s="34"/>
      <c r="I1209" s="30"/>
      <c r="J1209" s="152">
        <v>0</v>
      </c>
    </row>
    <row r="1210" spans="1:10" ht="26.25" hidden="1" thickBot="1" x14ac:dyDescent="0.3">
      <c r="A1210" s="176"/>
      <c r="B1210" s="174"/>
      <c r="C1210" s="35" t="s">
        <v>295</v>
      </c>
      <c r="D1210" s="46" t="s">
        <v>107</v>
      </c>
      <c r="E1210" s="36">
        <v>1</v>
      </c>
      <c r="F1210" s="33" t="s">
        <v>416</v>
      </c>
      <c r="G1210" s="33" t="str">
        <f>IF(ISNUMBER(F1210),E1210*F1210,"")</f>
        <v/>
      </c>
      <c r="H1210" s="38">
        <f>SUM(G1210:G1213)</f>
        <v>3.9465251499999998</v>
      </c>
      <c r="I1210" s="39"/>
      <c r="J1210" s="152">
        <v>0</v>
      </c>
    </row>
    <row r="1211" spans="1:10" ht="15.75" hidden="1" thickBot="1" x14ac:dyDescent="0.3">
      <c r="A1211" s="176"/>
      <c r="B1211" s="174"/>
      <c r="C1211" s="35" t="s">
        <v>8171</v>
      </c>
      <c r="D1211" s="35" t="s">
        <v>213</v>
      </c>
      <c r="E1211" s="36">
        <v>2.1000000000000001E-2</v>
      </c>
      <c r="F1211" s="33">
        <v>4.0374999999999996</v>
      </c>
      <c r="G1211" s="33">
        <f>IF(ISNUMBER(F1211),E1211*F1211,"")</f>
        <v>8.4787500000000002E-2</v>
      </c>
      <c r="H1211" s="34"/>
      <c r="I1211" s="30"/>
      <c r="J1211" s="152">
        <v>0</v>
      </c>
    </row>
    <row r="1212" spans="1:10" ht="26.25" hidden="1" thickBot="1" x14ac:dyDescent="0.3">
      <c r="A1212" s="176"/>
      <c r="B1212" s="174"/>
      <c r="C1212" s="35" t="s">
        <v>825</v>
      </c>
      <c r="D1212" s="35" t="s">
        <v>583</v>
      </c>
      <c r="E1212" s="36">
        <v>0.1164</v>
      </c>
      <c r="F1212" s="30">
        <v>26.799499999999998</v>
      </c>
      <c r="G1212" s="33">
        <f>IF(ISNUMBER(F1212),E1212*F1212,"")</f>
        <v>3.1194617999999998</v>
      </c>
      <c r="H1212" s="34"/>
      <c r="I1212" s="30"/>
      <c r="J1212" s="152">
        <v>0</v>
      </c>
    </row>
    <row r="1213" spans="1:10" ht="15.75" hidden="1" thickBot="1" x14ac:dyDescent="0.3">
      <c r="A1213" s="176"/>
      <c r="B1213" s="174"/>
      <c r="C1213" s="35" t="s">
        <v>584</v>
      </c>
      <c r="D1213" s="35" t="s">
        <v>583</v>
      </c>
      <c r="E1213" s="36">
        <v>3.6700000000000003E-2</v>
      </c>
      <c r="F1213" s="30">
        <v>20.225499999999997</v>
      </c>
      <c r="G1213" s="33">
        <f>IF(ISNUMBER(F1213),E1213*F1213,"")</f>
        <v>0.74227584999999996</v>
      </c>
      <c r="H1213" s="34"/>
      <c r="I1213" s="30"/>
      <c r="J1213" s="152">
        <v>0</v>
      </c>
    </row>
    <row r="1214" spans="1:10" ht="15.75" hidden="1" thickBot="1" x14ac:dyDescent="0.3">
      <c r="A1214" s="177"/>
      <c r="B1214" s="175"/>
      <c r="C1214" s="35"/>
      <c r="D1214" s="35"/>
      <c r="E1214" s="36"/>
      <c r="F1214" s="30" t="s">
        <v>416</v>
      </c>
      <c r="G1214" s="30" t="str">
        <f>IF(ISNUMBER(F1214),E1214*F1214,"")</f>
        <v/>
      </c>
      <c r="H1214" s="34"/>
      <c r="I1214" s="30"/>
      <c r="J1214" s="152">
        <v>0</v>
      </c>
    </row>
    <row r="1215" spans="1:10" ht="15.75" hidden="1" thickBot="1" x14ac:dyDescent="0.3">
      <c r="A1215" s="170" t="s">
        <v>296</v>
      </c>
      <c r="B1215" s="173" t="str">
        <f>INDEX(Orçamentária!A:B,MATCH(Composições!A1215,Orçamentária!A:A,0),2)</f>
        <v>Torneira de parede para tanque</v>
      </c>
      <c r="C1215" s="40"/>
      <c r="D1215" s="25" t="s">
        <v>16</v>
      </c>
      <c r="E1215" s="26"/>
      <c r="F1215" s="41" t="s">
        <v>416</v>
      </c>
      <c r="G1215" s="27" t="str">
        <f>IF(ISNUMBER(F1215),E1215*F1215,"")</f>
        <v/>
      </c>
      <c r="H1215" s="28"/>
      <c r="I1215" s="29"/>
      <c r="J1215" s="152">
        <v>0</v>
      </c>
    </row>
    <row r="1216" spans="1:10" ht="15.75" hidden="1" thickBot="1" x14ac:dyDescent="0.3">
      <c r="A1216" s="176"/>
      <c r="B1216" s="174"/>
      <c r="C1216" s="31"/>
      <c r="D1216" s="31"/>
      <c r="E1216" s="32"/>
      <c r="F1216" s="42" t="s">
        <v>416</v>
      </c>
      <c r="G1216" s="30" t="str">
        <f>IF(ISNUMBER(F1216),E1216*F1216,"")</f>
        <v/>
      </c>
      <c r="H1216" s="34"/>
      <c r="I1216" s="30"/>
      <c r="J1216" s="152">
        <v>0</v>
      </c>
    </row>
    <row r="1217" spans="1:10" ht="15.75" hidden="1" thickBot="1" x14ac:dyDescent="0.3">
      <c r="A1217" s="176"/>
      <c r="B1217" s="174"/>
      <c r="C1217" s="35" t="s">
        <v>8171</v>
      </c>
      <c r="D1217" s="35" t="s">
        <v>213</v>
      </c>
      <c r="E1217" s="36">
        <v>2.1000000000000001E-2</v>
      </c>
      <c r="F1217" s="33">
        <v>4.0374999999999996</v>
      </c>
      <c r="G1217" s="33">
        <f>IF(ISNUMBER(F1217),E1217*F1217,"")</f>
        <v>8.4787500000000002E-2</v>
      </c>
      <c r="H1217" s="38">
        <f>SUM(G1217:G1220)</f>
        <v>51.029557799999999</v>
      </c>
      <c r="I1217" s="39"/>
      <c r="J1217" s="152">
        <v>0</v>
      </c>
    </row>
    <row r="1218" spans="1:10" ht="26.25" hidden="1" thickBot="1" x14ac:dyDescent="0.3">
      <c r="A1218" s="176"/>
      <c r="B1218" s="174"/>
      <c r="C1218" s="35" t="s">
        <v>825</v>
      </c>
      <c r="D1218" s="35" t="s">
        <v>583</v>
      </c>
      <c r="E1218" s="36">
        <v>0.1525</v>
      </c>
      <c r="F1218" s="30">
        <v>26.799499999999998</v>
      </c>
      <c r="G1218" s="33">
        <f>IF(ISNUMBER(F1218),E1218*F1218,"")</f>
        <v>4.0869237499999995</v>
      </c>
      <c r="H1218" s="34"/>
      <c r="I1218" s="30"/>
      <c r="J1218" s="152">
        <v>0</v>
      </c>
    </row>
    <row r="1219" spans="1:10" ht="15.75" hidden="1" thickBot="1" x14ac:dyDescent="0.3">
      <c r="A1219" s="176"/>
      <c r="B1219" s="174"/>
      <c r="C1219" s="35" t="s">
        <v>584</v>
      </c>
      <c r="D1219" s="35" t="s">
        <v>583</v>
      </c>
      <c r="E1219" s="36">
        <v>4.8099999999999997E-2</v>
      </c>
      <c r="F1219" s="30">
        <v>20.225499999999997</v>
      </c>
      <c r="G1219" s="33">
        <f>IF(ISNUMBER(F1219),E1219*F1219,"")</f>
        <v>0.97284654999999975</v>
      </c>
      <c r="H1219" s="34"/>
      <c r="I1219" s="30"/>
      <c r="J1219" s="152">
        <v>0</v>
      </c>
    </row>
    <row r="1220" spans="1:10" ht="39" hidden="1" thickBot="1" x14ac:dyDescent="0.3">
      <c r="A1220" s="176"/>
      <c r="B1220" s="174"/>
      <c r="C1220" s="35" t="s">
        <v>8450</v>
      </c>
      <c r="D1220" s="35" t="s">
        <v>213</v>
      </c>
      <c r="E1220" s="36">
        <v>1</v>
      </c>
      <c r="F1220" s="33">
        <v>45.884999999999998</v>
      </c>
      <c r="G1220" s="30">
        <f>IF(ISNUMBER(F1220),E1220*F1220,"")</f>
        <v>45.884999999999998</v>
      </c>
      <c r="H1220" s="34"/>
      <c r="I1220" s="30"/>
      <c r="J1220" s="152">
        <v>0</v>
      </c>
    </row>
    <row r="1221" spans="1:10" ht="15.75" hidden="1" thickBot="1" x14ac:dyDescent="0.3">
      <c r="A1221" s="177"/>
      <c r="B1221" s="175"/>
      <c r="C1221" s="35"/>
      <c r="D1221" s="35"/>
      <c r="E1221" s="36"/>
      <c r="F1221" s="30" t="s">
        <v>416</v>
      </c>
      <c r="G1221" s="30" t="str">
        <f>IF(ISNUMBER(F1221),E1221*F1221,"")</f>
        <v/>
      </c>
      <c r="H1221" s="34"/>
      <c r="I1221" s="30"/>
      <c r="J1221" s="152">
        <v>0</v>
      </c>
    </row>
    <row r="1222" spans="1:10" ht="15.75" hidden="1" thickBot="1" x14ac:dyDescent="0.3">
      <c r="A1222" s="170" t="s">
        <v>297</v>
      </c>
      <c r="B1222" s="173" t="str">
        <f>INDEX(Orçamentária!A:B,MATCH(Composições!A1222,Orçamentária!A:A,0),2)</f>
        <v>Acabamento para válvula de descarga 1 1/2" – Linha Acessibilidade</v>
      </c>
      <c r="C1222" s="40"/>
      <c r="D1222" s="25" t="s">
        <v>16</v>
      </c>
      <c r="E1222" s="26"/>
      <c r="F1222" s="41" t="s">
        <v>416</v>
      </c>
      <c r="G1222" s="27" t="str">
        <f>IF(ISNUMBER(F1222),E1222*F1222,"")</f>
        <v/>
      </c>
      <c r="H1222" s="28"/>
      <c r="I1222" s="29"/>
      <c r="J1222" s="152">
        <v>0</v>
      </c>
    </row>
    <row r="1223" spans="1:10" ht="15.75" hidden="1" thickBot="1" x14ac:dyDescent="0.3">
      <c r="A1223" s="176"/>
      <c r="B1223" s="174"/>
      <c r="C1223" s="31"/>
      <c r="D1223" s="31"/>
      <c r="E1223" s="32"/>
      <c r="F1223" s="42" t="s">
        <v>416</v>
      </c>
      <c r="G1223" s="30" t="str">
        <f>IF(ISNUMBER(F1223),E1223*F1223,"")</f>
        <v/>
      </c>
      <c r="H1223" s="34"/>
      <c r="I1223" s="30"/>
      <c r="J1223" s="152">
        <v>0</v>
      </c>
    </row>
    <row r="1224" spans="1:10" ht="26.25" hidden="1" thickBot="1" x14ac:dyDescent="0.3">
      <c r="A1224" s="176"/>
      <c r="B1224" s="174"/>
      <c r="C1224" s="35" t="s">
        <v>5745</v>
      </c>
      <c r="D1224" s="46" t="s">
        <v>107</v>
      </c>
      <c r="E1224" s="36">
        <v>1</v>
      </c>
      <c r="F1224" s="33" t="s">
        <v>416</v>
      </c>
      <c r="G1224" s="33" t="str">
        <f>IF(ISNUMBER(F1224),E1224*F1224,"")</f>
        <v/>
      </c>
      <c r="H1224" s="38">
        <f>SUM(G1224:G1226)</f>
        <v>23.982749999999999</v>
      </c>
      <c r="I1224" s="39"/>
      <c r="J1224" s="152">
        <v>0</v>
      </c>
    </row>
    <row r="1225" spans="1:10" ht="26.25" hidden="1" thickBot="1" x14ac:dyDescent="0.3">
      <c r="A1225" s="176"/>
      <c r="B1225" s="174"/>
      <c r="C1225" s="35" t="s">
        <v>824</v>
      </c>
      <c r="D1225" s="35" t="s">
        <v>583</v>
      </c>
      <c r="E1225" s="36">
        <v>0.5</v>
      </c>
      <c r="F1225" s="30">
        <v>21.166</v>
      </c>
      <c r="G1225" s="33">
        <f>IF(ISNUMBER(F1225),E1225*F1225,"")</f>
        <v>10.583</v>
      </c>
      <c r="H1225" s="34"/>
      <c r="I1225" s="30"/>
      <c r="J1225" s="152">
        <v>0</v>
      </c>
    </row>
    <row r="1226" spans="1:10" ht="26.25" hidden="1" thickBot="1" x14ac:dyDescent="0.3">
      <c r="A1226" s="176"/>
      <c r="B1226" s="174"/>
      <c r="C1226" s="35" t="s">
        <v>825</v>
      </c>
      <c r="D1226" s="35" t="s">
        <v>583</v>
      </c>
      <c r="E1226" s="36">
        <v>0.5</v>
      </c>
      <c r="F1226" s="30">
        <v>26.799499999999998</v>
      </c>
      <c r="G1226" s="33">
        <f>IF(ISNUMBER(F1226),E1226*F1226,"")</f>
        <v>13.399749999999999</v>
      </c>
      <c r="H1226" s="34"/>
      <c r="I1226" s="30"/>
      <c r="J1226" s="152">
        <v>0</v>
      </c>
    </row>
    <row r="1227" spans="1:10" ht="15.75" hidden="1" thickBot="1" x14ac:dyDescent="0.3">
      <c r="A1227" s="177"/>
      <c r="B1227" s="175"/>
      <c r="C1227" s="35"/>
      <c r="D1227" s="35"/>
      <c r="E1227" s="36"/>
      <c r="F1227" s="30" t="s">
        <v>416</v>
      </c>
      <c r="G1227" s="30" t="str">
        <f>IF(ISNUMBER(F1227),E1227*F1227,"")</f>
        <v/>
      </c>
      <c r="H1227" s="34"/>
      <c r="I1227" s="30"/>
      <c r="J1227" s="152">
        <v>0</v>
      </c>
    </row>
    <row r="1228" spans="1:10" ht="15.75" hidden="1" thickBot="1" x14ac:dyDescent="0.3">
      <c r="A1228" s="170" t="s">
        <v>298</v>
      </c>
      <c r="B1228" s="173" t="str">
        <f>INDEX(Orçamentária!A:B,MATCH(Composições!A1228,Orçamentária!A:A,0),2)</f>
        <v>Acabamento para válvula de descarga 1 1/2"</v>
      </c>
      <c r="C1228" s="40"/>
      <c r="D1228" s="25" t="s">
        <v>16</v>
      </c>
      <c r="E1228" s="26"/>
      <c r="F1228" s="41" t="s">
        <v>416</v>
      </c>
      <c r="G1228" s="27" t="str">
        <f>IF(ISNUMBER(F1228),E1228*F1228,"")</f>
        <v/>
      </c>
      <c r="H1228" s="28"/>
      <c r="I1228" s="29"/>
      <c r="J1228" s="152">
        <v>0</v>
      </c>
    </row>
    <row r="1229" spans="1:10" ht="15.75" hidden="1" thickBot="1" x14ac:dyDescent="0.3">
      <c r="A1229" s="176"/>
      <c r="B1229" s="174"/>
      <c r="C1229" s="31"/>
      <c r="D1229" s="31"/>
      <c r="E1229" s="32"/>
      <c r="F1229" s="42" t="s">
        <v>416</v>
      </c>
      <c r="G1229" s="30" t="str">
        <f>IF(ISNUMBER(F1229),E1229*F1229,"")</f>
        <v/>
      </c>
      <c r="H1229" s="34"/>
      <c r="I1229" s="30"/>
      <c r="J1229" s="152">
        <v>0</v>
      </c>
    </row>
    <row r="1230" spans="1:10" ht="15.75" hidden="1" thickBot="1" x14ac:dyDescent="0.3">
      <c r="A1230" s="176"/>
      <c r="B1230" s="174"/>
      <c r="C1230" s="35" t="s">
        <v>5743</v>
      </c>
      <c r="D1230" s="46" t="s">
        <v>213</v>
      </c>
      <c r="E1230" s="36">
        <v>1</v>
      </c>
      <c r="F1230" s="33" t="s">
        <v>416</v>
      </c>
      <c r="G1230" s="33" t="str">
        <f>IF(ISNUMBER(F1230),E1230*F1230,"")</f>
        <v/>
      </c>
      <c r="H1230" s="38">
        <f>SUM(G1230:G1232)</f>
        <v>23.982749999999999</v>
      </c>
      <c r="I1230" s="39"/>
      <c r="J1230" s="152">
        <v>0</v>
      </c>
    </row>
    <row r="1231" spans="1:10" ht="26.25" hidden="1" thickBot="1" x14ac:dyDescent="0.3">
      <c r="A1231" s="176"/>
      <c r="B1231" s="174"/>
      <c r="C1231" s="35" t="s">
        <v>824</v>
      </c>
      <c r="D1231" s="35" t="s">
        <v>583</v>
      </c>
      <c r="E1231" s="36">
        <v>0.5</v>
      </c>
      <c r="F1231" s="30">
        <v>21.166</v>
      </c>
      <c r="G1231" s="33">
        <f>IF(ISNUMBER(F1231),E1231*F1231,"")</f>
        <v>10.583</v>
      </c>
      <c r="H1231" s="34"/>
      <c r="I1231" s="30"/>
      <c r="J1231" s="152">
        <v>0</v>
      </c>
    </row>
    <row r="1232" spans="1:10" ht="26.25" hidden="1" thickBot="1" x14ac:dyDescent="0.3">
      <c r="A1232" s="176"/>
      <c r="B1232" s="174"/>
      <c r="C1232" s="35" t="s">
        <v>825</v>
      </c>
      <c r="D1232" s="35" t="s">
        <v>583</v>
      </c>
      <c r="E1232" s="36">
        <v>0.5</v>
      </c>
      <c r="F1232" s="30">
        <v>26.799499999999998</v>
      </c>
      <c r="G1232" s="33">
        <f>IF(ISNUMBER(F1232),E1232*F1232,"")</f>
        <v>13.399749999999999</v>
      </c>
      <c r="H1232" s="34"/>
      <c r="I1232" s="30"/>
      <c r="J1232" s="152">
        <v>0</v>
      </c>
    </row>
    <row r="1233" spans="1:10" ht="15.75" hidden="1" thickBot="1" x14ac:dyDescent="0.3">
      <c r="A1233" s="177"/>
      <c r="B1233" s="175"/>
      <c r="C1233" s="35"/>
      <c r="D1233" s="35"/>
      <c r="E1233" s="36"/>
      <c r="F1233" s="30" t="s">
        <v>416</v>
      </c>
      <c r="G1233" s="30" t="str">
        <f>IF(ISNUMBER(F1233),E1233*F1233,"")</f>
        <v/>
      </c>
      <c r="H1233" s="34"/>
      <c r="I1233" s="30"/>
      <c r="J1233" s="152">
        <v>0</v>
      </c>
    </row>
    <row r="1234" spans="1:10" ht="15.75" hidden="1" thickBot="1" x14ac:dyDescent="0.3">
      <c r="A1234" s="170" t="s">
        <v>299</v>
      </c>
      <c r="B1234" s="173" t="str">
        <f>INDEX(Orçamentária!A:B,MATCH(Composições!A1234,Orçamentária!A:A,0),2)</f>
        <v>Acabamento para válvula de descarga 1 1/4" – Linha Acessibilidade</v>
      </c>
      <c r="C1234" s="40"/>
      <c r="D1234" s="25" t="s">
        <v>16</v>
      </c>
      <c r="E1234" s="26"/>
      <c r="F1234" s="41" t="s">
        <v>416</v>
      </c>
      <c r="G1234" s="27" t="str">
        <f>IF(ISNUMBER(F1234),E1234*F1234,"")</f>
        <v/>
      </c>
      <c r="H1234" s="28"/>
      <c r="I1234" s="29"/>
      <c r="J1234" s="152">
        <v>0</v>
      </c>
    </row>
    <row r="1235" spans="1:10" ht="15.75" hidden="1" thickBot="1" x14ac:dyDescent="0.3">
      <c r="A1235" s="176"/>
      <c r="B1235" s="174"/>
      <c r="C1235" s="31"/>
      <c r="D1235" s="31"/>
      <c r="E1235" s="32"/>
      <c r="F1235" s="42" t="s">
        <v>416</v>
      </c>
      <c r="G1235" s="30" t="str">
        <f>IF(ISNUMBER(F1235),E1235*F1235,"")</f>
        <v/>
      </c>
      <c r="H1235" s="34"/>
      <c r="I1235" s="30"/>
      <c r="J1235" s="152">
        <v>0</v>
      </c>
    </row>
    <row r="1236" spans="1:10" ht="26.25" hidden="1" thickBot="1" x14ac:dyDescent="0.3">
      <c r="A1236" s="176"/>
      <c r="B1236" s="174"/>
      <c r="C1236" s="35" t="s">
        <v>5744</v>
      </c>
      <c r="D1236" s="46" t="s">
        <v>107</v>
      </c>
      <c r="E1236" s="36">
        <v>1</v>
      </c>
      <c r="F1236" s="33" t="s">
        <v>416</v>
      </c>
      <c r="G1236" s="33" t="str">
        <f>IF(ISNUMBER(F1236),E1236*F1236,"")</f>
        <v/>
      </c>
      <c r="H1236" s="38">
        <f>SUM(G1236:G1238)</f>
        <v>23.982749999999999</v>
      </c>
      <c r="I1236" s="39"/>
      <c r="J1236" s="152">
        <v>0</v>
      </c>
    </row>
    <row r="1237" spans="1:10" ht="26.25" hidden="1" thickBot="1" x14ac:dyDescent="0.3">
      <c r="A1237" s="176"/>
      <c r="B1237" s="174"/>
      <c r="C1237" s="35" t="s">
        <v>824</v>
      </c>
      <c r="D1237" s="35" t="s">
        <v>583</v>
      </c>
      <c r="E1237" s="36">
        <v>0.5</v>
      </c>
      <c r="F1237" s="30">
        <v>21.166</v>
      </c>
      <c r="G1237" s="33">
        <f>IF(ISNUMBER(F1237),E1237*F1237,"")</f>
        <v>10.583</v>
      </c>
      <c r="H1237" s="34"/>
      <c r="I1237" s="30"/>
      <c r="J1237" s="152">
        <v>0</v>
      </c>
    </row>
    <row r="1238" spans="1:10" ht="26.25" hidden="1" thickBot="1" x14ac:dyDescent="0.3">
      <c r="A1238" s="176"/>
      <c r="B1238" s="174"/>
      <c r="C1238" s="35" t="s">
        <v>825</v>
      </c>
      <c r="D1238" s="35" t="s">
        <v>583</v>
      </c>
      <c r="E1238" s="36">
        <v>0.5</v>
      </c>
      <c r="F1238" s="30">
        <v>26.799499999999998</v>
      </c>
      <c r="G1238" s="33">
        <f>IF(ISNUMBER(F1238),E1238*F1238,"")</f>
        <v>13.399749999999999</v>
      </c>
      <c r="H1238" s="34"/>
      <c r="I1238" s="30"/>
      <c r="J1238" s="152">
        <v>0</v>
      </c>
    </row>
    <row r="1239" spans="1:10" ht="15.75" hidden="1" thickBot="1" x14ac:dyDescent="0.3">
      <c r="A1239" s="177"/>
      <c r="B1239" s="175"/>
      <c r="C1239" s="35"/>
      <c r="D1239" s="35"/>
      <c r="E1239" s="36"/>
      <c r="F1239" s="30" t="s">
        <v>416</v>
      </c>
      <c r="G1239" s="30" t="str">
        <f>IF(ISNUMBER(F1239),E1239*F1239,"")</f>
        <v/>
      </c>
      <c r="H1239" s="34"/>
      <c r="I1239" s="30"/>
      <c r="J1239" s="152">
        <v>0</v>
      </c>
    </row>
    <row r="1240" spans="1:10" ht="15.75" hidden="1" thickBot="1" x14ac:dyDescent="0.3">
      <c r="A1240" s="170" t="s">
        <v>300</v>
      </c>
      <c r="B1240" s="173" t="str">
        <f>INDEX(Orçamentária!A:B,MATCH(Composições!A1240,Orçamentária!A:A,0),2)</f>
        <v>Acabamento para válvula de descarga 1 1/4"</v>
      </c>
      <c r="C1240" s="40"/>
      <c r="D1240" s="25" t="s">
        <v>16</v>
      </c>
      <c r="E1240" s="26"/>
      <c r="F1240" s="41" t="s">
        <v>416</v>
      </c>
      <c r="G1240" s="27" t="str">
        <f>IF(ISNUMBER(F1240),E1240*F1240,"")</f>
        <v/>
      </c>
      <c r="H1240" s="28"/>
      <c r="I1240" s="29"/>
      <c r="J1240" s="152">
        <v>0</v>
      </c>
    </row>
    <row r="1241" spans="1:10" ht="15.75" hidden="1" thickBot="1" x14ac:dyDescent="0.3">
      <c r="A1241" s="176"/>
      <c r="B1241" s="174"/>
      <c r="C1241" s="31"/>
      <c r="D1241" s="31"/>
      <c r="E1241" s="32"/>
      <c r="F1241" s="42" t="s">
        <v>416</v>
      </c>
      <c r="G1241" s="30" t="str">
        <f>IF(ISNUMBER(F1241),E1241*F1241,"")</f>
        <v/>
      </c>
      <c r="H1241" s="34"/>
      <c r="I1241" s="30"/>
      <c r="J1241" s="152">
        <v>0</v>
      </c>
    </row>
    <row r="1242" spans="1:10" ht="15.75" hidden="1" thickBot="1" x14ac:dyDescent="0.3">
      <c r="A1242" s="176"/>
      <c r="B1242" s="174"/>
      <c r="C1242" s="35" t="s">
        <v>5743</v>
      </c>
      <c r="D1242" s="46" t="s">
        <v>107</v>
      </c>
      <c r="E1242" s="36">
        <v>1</v>
      </c>
      <c r="F1242" s="33" t="s">
        <v>416</v>
      </c>
      <c r="G1242" s="33" t="str">
        <f>IF(ISNUMBER(F1242),E1242*F1242,"")</f>
        <v/>
      </c>
      <c r="H1242" s="38">
        <f>SUM(G1242:G1244)</f>
        <v>23.982749999999999</v>
      </c>
      <c r="I1242" s="39"/>
      <c r="J1242" s="152">
        <v>0</v>
      </c>
    </row>
    <row r="1243" spans="1:10" ht="26.25" hidden="1" thickBot="1" x14ac:dyDescent="0.3">
      <c r="A1243" s="176"/>
      <c r="B1243" s="174"/>
      <c r="C1243" s="35" t="s">
        <v>824</v>
      </c>
      <c r="D1243" s="35" t="s">
        <v>583</v>
      </c>
      <c r="E1243" s="36">
        <v>0.5</v>
      </c>
      <c r="F1243" s="30">
        <v>21.166</v>
      </c>
      <c r="G1243" s="33">
        <f>IF(ISNUMBER(F1243),E1243*F1243,"")</f>
        <v>10.583</v>
      </c>
      <c r="H1243" s="34"/>
      <c r="I1243" s="30"/>
      <c r="J1243" s="152">
        <v>0</v>
      </c>
    </row>
    <row r="1244" spans="1:10" ht="26.25" hidden="1" thickBot="1" x14ac:dyDescent="0.3">
      <c r="A1244" s="176"/>
      <c r="B1244" s="174"/>
      <c r="C1244" s="35" t="s">
        <v>825</v>
      </c>
      <c r="D1244" s="35" t="s">
        <v>583</v>
      </c>
      <c r="E1244" s="36">
        <v>0.5</v>
      </c>
      <c r="F1244" s="30">
        <v>26.799499999999998</v>
      </c>
      <c r="G1244" s="33">
        <f>IF(ISNUMBER(F1244),E1244*F1244,"")</f>
        <v>13.399749999999999</v>
      </c>
      <c r="H1244" s="34"/>
      <c r="I1244" s="30"/>
      <c r="J1244" s="152">
        <v>0</v>
      </c>
    </row>
    <row r="1245" spans="1:10" ht="15.75" hidden="1" thickBot="1" x14ac:dyDescent="0.3">
      <c r="A1245" s="177"/>
      <c r="B1245" s="175"/>
      <c r="C1245" s="35"/>
      <c r="D1245" s="35"/>
      <c r="E1245" s="36"/>
      <c r="F1245" s="30" t="s">
        <v>416</v>
      </c>
      <c r="G1245" s="30" t="str">
        <f>IF(ISNUMBER(F1245),E1245*F1245,"")</f>
        <v/>
      </c>
      <c r="H1245" s="34"/>
      <c r="I1245" s="30"/>
      <c r="J1245" s="152">
        <v>0</v>
      </c>
    </row>
    <row r="1246" spans="1:10" ht="15.75" hidden="1" thickBot="1" x14ac:dyDescent="0.3">
      <c r="A1246" s="170" t="s">
        <v>301</v>
      </c>
      <c r="B1246" s="173" t="str">
        <f>INDEX(Orçamentária!A:B,MATCH(Composições!A1246,Orçamentária!A:A,0),2)</f>
        <v>Válvula de escoamento para lavatório</v>
      </c>
      <c r="C1246" s="40"/>
      <c r="D1246" s="25" t="s">
        <v>16</v>
      </c>
      <c r="E1246" s="26"/>
      <c r="F1246" s="41" t="s">
        <v>416</v>
      </c>
      <c r="G1246" s="27" t="str">
        <f>IF(ISNUMBER(F1246),E1246*F1246,"")</f>
        <v/>
      </c>
      <c r="H1246" s="28"/>
      <c r="I1246" s="29"/>
      <c r="J1246" s="152">
        <v>0</v>
      </c>
    </row>
    <row r="1247" spans="1:10" ht="15.75" hidden="1" thickBot="1" x14ac:dyDescent="0.3">
      <c r="A1247" s="176"/>
      <c r="B1247" s="174"/>
      <c r="C1247" s="31"/>
      <c r="D1247" s="31"/>
      <c r="E1247" s="32"/>
      <c r="F1247" s="42" t="s">
        <v>416</v>
      </c>
      <c r="G1247" s="30" t="str">
        <f>IF(ISNUMBER(F1247),E1247*F1247,"")</f>
        <v/>
      </c>
      <c r="H1247" s="34"/>
      <c r="I1247" s="30"/>
      <c r="J1247" s="152">
        <v>0</v>
      </c>
    </row>
    <row r="1248" spans="1:10" ht="15.75" hidden="1" thickBot="1" x14ac:dyDescent="0.3">
      <c r="A1248" s="176"/>
      <c r="B1248" s="174"/>
      <c r="C1248" s="35" t="s">
        <v>8503</v>
      </c>
      <c r="D1248" s="35" t="s">
        <v>213</v>
      </c>
      <c r="E1248" s="36">
        <v>1</v>
      </c>
      <c r="F1248" s="33">
        <v>37.173500000000004</v>
      </c>
      <c r="G1248" s="33">
        <f>IF(ISNUMBER(F1248),E1248*F1248,"")</f>
        <v>37.173500000000004</v>
      </c>
      <c r="H1248" s="38">
        <f>SUM(G1248:G1251)</f>
        <v>43.138770400000013</v>
      </c>
      <c r="I1248" s="39"/>
      <c r="J1248" s="152">
        <v>0</v>
      </c>
    </row>
    <row r="1249" spans="1:10" ht="15.75" hidden="1" thickBot="1" x14ac:dyDescent="0.3">
      <c r="A1249" s="176"/>
      <c r="B1249" s="174"/>
      <c r="C1249" s="35" t="s">
        <v>8171</v>
      </c>
      <c r="D1249" s="35" t="s">
        <v>213</v>
      </c>
      <c r="E1249" s="36">
        <v>4.8000000000000001E-2</v>
      </c>
      <c r="F1249" s="33">
        <v>4.0374999999999996</v>
      </c>
      <c r="G1249" s="33">
        <f>IF(ISNUMBER(F1249),E1249*F1249,"")</f>
        <v>0.1938</v>
      </c>
      <c r="H1249" s="34"/>
      <c r="I1249" s="30"/>
      <c r="J1249" s="152">
        <v>0</v>
      </c>
    </row>
    <row r="1250" spans="1:10" ht="26.25" hidden="1" thickBot="1" x14ac:dyDescent="0.3">
      <c r="A1250" s="176"/>
      <c r="B1250" s="174"/>
      <c r="C1250" s="35" t="s">
        <v>825</v>
      </c>
      <c r="D1250" s="35" t="s">
        <v>583</v>
      </c>
      <c r="E1250" s="36">
        <v>0.17399999999999999</v>
      </c>
      <c r="F1250" s="30">
        <v>26.799499999999998</v>
      </c>
      <c r="G1250" s="33">
        <f>IF(ISNUMBER(F1250),E1250*F1250,"")</f>
        <v>4.6631129999999992</v>
      </c>
      <c r="H1250" s="34"/>
      <c r="I1250" s="30"/>
      <c r="J1250" s="152">
        <v>0</v>
      </c>
    </row>
    <row r="1251" spans="1:10" ht="15.75" hidden="1" thickBot="1" x14ac:dyDescent="0.3">
      <c r="A1251" s="176"/>
      <c r="B1251" s="174"/>
      <c r="C1251" s="35" t="s">
        <v>584</v>
      </c>
      <c r="D1251" s="35" t="s">
        <v>583</v>
      </c>
      <c r="E1251" s="36">
        <v>5.4800000000000001E-2</v>
      </c>
      <c r="F1251" s="30">
        <v>20.225499999999997</v>
      </c>
      <c r="G1251" s="33">
        <f>IF(ISNUMBER(F1251),E1251*F1251,"")</f>
        <v>1.1083573999999998</v>
      </c>
      <c r="H1251" s="34"/>
      <c r="I1251" s="30"/>
      <c r="J1251" s="152">
        <v>0</v>
      </c>
    </row>
    <row r="1252" spans="1:10" ht="15.75" hidden="1" thickBot="1" x14ac:dyDescent="0.3">
      <c r="A1252" s="177"/>
      <c r="B1252" s="175"/>
      <c r="C1252" s="35"/>
      <c r="D1252" s="35"/>
      <c r="E1252" s="36"/>
      <c r="F1252" s="30" t="s">
        <v>416</v>
      </c>
      <c r="G1252" s="30" t="str">
        <f>IF(ISNUMBER(F1252),E1252*F1252,"")</f>
        <v/>
      </c>
      <c r="H1252" s="34"/>
      <c r="I1252" s="30"/>
      <c r="J1252" s="152">
        <v>0</v>
      </c>
    </row>
    <row r="1253" spans="1:10" ht="15.75" hidden="1" thickBot="1" x14ac:dyDescent="0.3">
      <c r="A1253" s="170" t="s">
        <v>302</v>
      </c>
      <c r="B1253" s="173" t="str">
        <f>INDEX(Orçamentária!A:B,MATCH(Composições!A1253,Orçamentária!A:A,0),2)</f>
        <v>Válvula de escoamento para tanque</v>
      </c>
      <c r="C1253" s="40"/>
      <c r="D1253" s="25" t="s">
        <v>16</v>
      </c>
      <c r="E1253" s="26"/>
      <c r="F1253" s="41" t="s">
        <v>416</v>
      </c>
      <c r="G1253" s="27" t="str">
        <f>IF(ISNUMBER(F1253),E1253*F1253,"")</f>
        <v/>
      </c>
      <c r="H1253" s="28"/>
      <c r="I1253" s="29"/>
      <c r="J1253" s="152">
        <v>0</v>
      </c>
    </row>
    <row r="1254" spans="1:10" ht="15.75" hidden="1" thickBot="1" x14ac:dyDescent="0.3">
      <c r="A1254" s="176"/>
      <c r="B1254" s="174"/>
      <c r="C1254" s="31"/>
      <c r="D1254" s="31"/>
      <c r="E1254" s="32"/>
      <c r="F1254" s="42" t="s">
        <v>416</v>
      </c>
      <c r="G1254" s="30" t="str">
        <f>IF(ISNUMBER(F1254),E1254*F1254,"")</f>
        <v/>
      </c>
      <c r="H1254" s="34"/>
      <c r="I1254" s="30"/>
      <c r="J1254" s="152">
        <v>0</v>
      </c>
    </row>
    <row r="1255" spans="1:10" ht="15.75" hidden="1" thickBot="1" x14ac:dyDescent="0.3">
      <c r="A1255" s="176"/>
      <c r="B1255" s="174"/>
      <c r="C1255" s="35" t="s">
        <v>8171</v>
      </c>
      <c r="D1255" s="35" t="s">
        <v>213</v>
      </c>
      <c r="E1255" s="36">
        <v>3.32E-2</v>
      </c>
      <c r="F1255" s="33">
        <v>4.0374999999999996</v>
      </c>
      <c r="G1255" s="33">
        <f>IF(ISNUMBER(F1255),E1255*F1255,"")</f>
        <v>0.134045</v>
      </c>
      <c r="H1255" s="38">
        <f>SUM(G1255:G1258)</f>
        <v>50.998492800000001</v>
      </c>
      <c r="I1255" s="39"/>
      <c r="J1255" s="152">
        <v>0</v>
      </c>
    </row>
    <row r="1256" spans="1:10" ht="26.25" hidden="1" thickBot="1" x14ac:dyDescent="0.3">
      <c r="A1256" s="176"/>
      <c r="B1256" s="174"/>
      <c r="C1256" s="35" t="s">
        <v>8491</v>
      </c>
      <c r="D1256" s="35" t="s">
        <v>213</v>
      </c>
      <c r="E1256" s="36">
        <v>1</v>
      </c>
      <c r="F1256" s="33">
        <v>46.777999999999999</v>
      </c>
      <c r="G1256" s="33">
        <f>IF(ISNUMBER(F1256),E1256*F1256,"")</f>
        <v>46.777999999999999</v>
      </c>
      <c r="H1256" s="34"/>
      <c r="I1256" s="30"/>
      <c r="J1256" s="152">
        <v>0</v>
      </c>
    </row>
    <row r="1257" spans="1:10" ht="26.25" hidden="1" thickBot="1" x14ac:dyDescent="0.3">
      <c r="A1257" s="176"/>
      <c r="B1257" s="174"/>
      <c r="C1257" s="35" t="s">
        <v>825</v>
      </c>
      <c r="D1257" s="35" t="s">
        <v>583</v>
      </c>
      <c r="E1257" s="36">
        <v>0.1232</v>
      </c>
      <c r="F1257" s="30">
        <v>26.799499999999998</v>
      </c>
      <c r="G1257" s="33">
        <f>IF(ISNUMBER(F1257),E1257*F1257,"")</f>
        <v>3.3016983999999998</v>
      </c>
      <c r="H1257" s="34"/>
      <c r="I1257" s="30"/>
      <c r="J1257" s="152">
        <v>0</v>
      </c>
    </row>
    <row r="1258" spans="1:10" ht="15.75" hidden="1" thickBot="1" x14ac:dyDescent="0.3">
      <c r="A1258" s="176"/>
      <c r="B1258" s="174"/>
      <c r="C1258" s="35" t="s">
        <v>584</v>
      </c>
      <c r="D1258" s="35" t="s">
        <v>583</v>
      </c>
      <c r="E1258" s="36">
        <v>3.8800000000000001E-2</v>
      </c>
      <c r="F1258" s="30">
        <v>20.225499999999997</v>
      </c>
      <c r="G1258" s="33">
        <f>IF(ISNUMBER(F1258),E1258*F1258,"")</f>
        <v>0.78474939999999993</v>
      </c>
      <c r="H1258" s="34"/>
      <c r="I1258" s="30"/>
      <c r="J1258" s="152">
        <v>0</v>
      </c>
    </row>
    <row r="1259" spans="1:10" ht="15.75" hidden="1" thickBot="1" x14ac:dyDescent="0.3">
      <c r="A1259" s="177"/>
      <c r="B1259" s="175"/>
      <c r="C1259" s="35"/>
      <c r="D1259" s="35"/>
      <c r="E1259" s="36"/>
      <c r="F1259" s="30" t="s">
        <v>416</v>
      </c>
      <c r="G1259" s="30" t="str">
        <f>IF(ISNUMBER(F1259),E1259*F1259,"")</f>
        <v/>
      </c>
      <c r="H1259" s="34"/>
      <c r="I1259" s="30"/>
      <c r="J1259" s="152">
        <v>0</v>
      </c>
    </row>
    <row r="1260" spans="1:10" ht="15.75" hidden="1" thickBot="1" x14ac:dyDescent="0.3">
      <c r="A1260" s="170" t="s">
        <v>303</v>
      </c>
      <c r="B1260" s="173" t="str">
        <f>INDEX(Orçamentária!A:B,MATCH(Composições!A1260,Orçamentária!A:A,0),2)</f>
        <v>Válvula descarga para mictório – Linha Administrativa</v>
      </c>
      <c r="C1260" s="40"/>
      <c r="D1260" s="25" t="s">
        <v>16</v>
      </c>
      <c r="E1260" s="26"/>
      <c r="F1260" s="41" t="s">
        <v>416</v>
      </c>
      <c r="G1260" s="27" t="str">
        <f>IF(ISNUMBER(F1260),E1260*F1260,"")</f>
        <v/>
      </c>
      <c r="H1260" s="28"/>
      <c r="I1260" s="29"/>
      <c r="J1260" s="152">
        <v>0</v>
      </c>
    </row>
    <row r="1261" spans="1:10" ht="15.75" hidden="1" thickBot="1" x14ac:dyDescent="0.3">
      <c r="A1261" s="176"/>
      <c r="B1261" s="174"/>
      <c r="C1261" s="31"/>
      <c r="D1261" s="31"/>
      <c r="E1261" s="32"/>
      <c r="F1261" s="42" t="s">
        <v>416</v>
      </c>
      <c r="G1261" s="30" t="str">
        <f>IF(ISNUMBER(F1261),E1261*F1261,"")</f>
        <v/>
      </c>
      <c r="H1261" s="34"/>
      <c r="I1261" s="30"/>
      <c r="J1261" s="152">
        <v>0</v>
      </c>
    </row>
    <row r="1262" spans="1:10" ht="26.25" hidden="1" thickBot="1" x14ac:dyDescent="0.3">
      <c r="A1262" s="176"/>
      <c r="B1262" s="174"/>
      <c r="C1262" s="35" t="s">
        <v>8490</v>
      </c>
      <c r="D1262" s="35" t="s">
        <v>213</v>
      </c>
      <c r="E1262" s="36">
        <v>1</v>
      </c>
      <c r="F1262" s="33">
        <v>224.98849999999999</v>
      </c>
      <c r="G1262" s="30">
        <f>IF(ISNUMBER(F1262),E1262*F1262,"")</f>
        <v>224.98849999999999</v>
      </c>
      <c r="H1262" s="38">
        <f>SUM(G1262:G1265)</f>
        <v>269.63761175000002</v>
      </c>
      <c r="I1262" s="39"/>
      <c r="J1262" s="152">
        <v>0</v>
      </c>
    </row>
    <row r="1263" spans="1:10" ht="15.75" hidden="1" thickBot="1" x14ac:dyDescent="0.3">
      <c r="A1263" s="176"/>
      <c r="B1263" s="174"/>
      <c r="C1263" s="35" t="s">
        <v>244</v>
      </c>
      <c r="D1263" s="35" t="s">
        <v>213</v>
      </c>
      <c r="E1263" s="36">
        <v>1.9199999999999998E-2</v>
      </c>
      <c r="F1263" s="33">
        <v>14.8865</v>
      </c>
      <c r="G1263" s="30">
        <f>IF(ISNUMBER(F1263),E1263*F1263,"")</f>
        <v>0.28582079999999999</v>
      </c>
      <c r="H1263" s="34"/>
      <c r="I1263" s="30"/>
      <c r="J1263" s="152">
        <v>0</v>
      </c>
    </row>
    <row r="1264" spans="1:10" ht="26.25" hidden="1" thickBot="1" x14ac:dyDescent="0.3">
      <c r="A1264" s="176"/>
      <c r="B1264" s="174"/>
      <c r="C1264" s="35" t="s">
        <v>824</v>
      </c>
      <c r="D1264" s="35" t="s">
        <v>583</v>
      </c>
      <c r="E1264" s="36">
        <v>0.92490000000000006</v>
      </c>
      <c r="F1264" s="30">
        <v>21.166</v>
      </c>
      <c r="G1264" s="30">
        <f>IF(ISNUMBER(F1264),E1264*F1264,"")</f>
        <v>19.576433400000003</v>
      </c>
      <c r="H1264" s="34"/>
      <c r="I1264" s="30"/>
      <c r="J1264" s="152">
        <v>0</v>
      </c>
    </row>
    <row r="1265" spans="1:10" ht="26.25" hidden="1" thickBot="1" x14ac:dyDescent="0.3">
      <c r="A1265" s="176"/>
      <c r="B1265" s="174"/>
      <c r="C1265" s="35" t="s">
        <v>825</v>
      </c>
      <c r="D1265" s="35" t="s">
        <v>583</v>
      </c>
      <c r="E1265" s="36">
        <v>0.92490000000000006</v>
      </c>
      <c r="F1265" s="30">
        <v>26.799499999999998</v>
      </c>
      <c r="G1265" s="33">
        <f>IF(ISNUMBER(F1265),E1265*F1265,"")</f>
        <v>24.786857550000001</v>
      </c>
      <c r="H1265" s="34"/>
      <c r="I1265" s="30"/>
      <c r="J1265" s="152">
        <v>0</v>
      </c>
    </row>
    <row r="1266" spans="1:10" ht="15.75" hidden="1" thickBot="1" x14ac:dyDescent="0.3">
      <c r="A1266" s="177"/>
      <c r="B1266" s="175"/>
      <c r="C1266" s="35"/>
      <c r="D1266" s="35"/>
      <c r="E1266" s="36"/>
      <c r="F1266" s="30" t="s">
        <v>416</v>
      </c>
      <c r="G1266" s="30" t="str">
        <f>IF(ISNUMBER(F1266),E1266*F1266,"")</f>
        <v/>
      </c>
      <c r="H1266" s="34"/>
      <c r="I1266" s="30"/>
      <c r="J1266" s="152">
        <v>0</v>
      </c>
    </row>
    <row r="1267" spans="1:10" ht="15.75" hidden="1" thickBot="1" x14ac:dyDescent="0.3">
      <c r="A1267" s="170" t="s">
        <v>304</v>
      </c>
      <c r="B1267" s="173" t="str">
        <f>INDEX(Orçamentária!A:B,MATCH(Composições!A1267,Orçamentária!A:A,0),2)</f>
        <v>Alarme de emergência para sanitários PNE</v>
      </c>
      <c r="C1267" s="40"/>
      <c r="D1267" s="25" t="s">
        <v>16</v>
      </c>
      <c r="E1267" s="26"/>
      <c r="F1267" s="41" t="s">
        <v>416</v>
      </c>
      <c r="G1267" s="27" t="str">
        <f>IF(ISNUMBER(F1267),E1267*F1267,"")</f>
        <v/>
      </c>
      <c r="H1267" s="28"/>
      <c r="I1267" s="29"/>
      <c r="J1267" s="152">
        <v>0</v>
      </c>
    </row>
    <row r="1268" spans="1:10" ht="15.75" hidden="1" thickBot="1" x14ac:dyDescent="0.3">
      <c r="A1268" s="176"/>
      <c r="B1268" s="174"/>
      <c r="C1268" s="31"/>
      <c r="D1268" s="31"/>
      <c r="E1268" s="32"/>
      <c r="F1268" s="42" t="s">
        <v>416</v>
      </c>
      <c r="G1268" s="30" t="str">
        <f>IF(ISNUMBER(F1268),E1268*F1268,"")</f>
        <v/>
      </c>
      <c r="H1268" s="34"/>
      <c r="I1268" s="30"/>
      <c r="J1268" s="152">
        <v>0</v>
      </c>
    </row>
    <row r="1269" spans="1:10" ht="15.75" hidden="1" thickBot="1" x14ac:dyDescent="0.3">
      <c r="A1269" s="176"/>
      <c r="B1269" s="174"/>
      <c r="C1269" s="35" t="s">
        <v>1018</v>
      </c>
      <c r="D1269" s="35" t="s">
        <v>583</v>
      </c>
      <c r="E1269" s="36">
        <v>0.28999999999999998</v>
      </c>
      <c r="F1269" s="30">
        <v>27.835000000000001</v>
      </c>
      <c r="G1269" s="30">
        <f>IF(ISNUMBER(F1269),E1269*F1269,"")</f>
        <v>8.0721499999999988</v>
      </c>
      <c r="H1269" s="38">
        <f>SUM(G1269:G1271)</f>
        <v>14.331509999999998</v>
      </c>
      <c r="I1269" s="39"/>
      <c r="J1269" s="152">
        <v>0</v>
      </c>
    </row>
    <row r="1270" spans="1:10" ht="15.75" hidden="1" thickBot="1" x14ac:dyDescent="0.3">
      <c r="A1270" s="176"/>
      <c r="B1270" s="174"/>
      <c r="C1270" s="35" t="s">
        <v>1017</v>
      </c>
      <c r="D1270" s="35" t="s">
        <v>583</v>
      </c>
      <c r="E1270" s="36">
        <v>0.28999999999999998</v>
      </c>
      <c r="F1270" s="30">
        <v>21.584</v>
      </c>
      <c r="G1270" s="30">
        <f>IF(ISNUMBER(F1270),E1270*F1270,"")</f>
        <v>6.2593599999999991</v>
      </c>
      <c r="H1270" s="34"/>
      <c r="I1270" s="30"/>
      <c r="J1270" s="152">
        <v>0</v>
      </c>
    </row>
    <row r="1271" spans="1:10" ht="26.25" hidden="1" thickBot="1" x14ac:dyDescent="0.3">
      <c r="A1271" s="176"/>
      <c r="B1271" s="174"/>
      <c r="C1271" s="35" t="s">
        <v>305</v>
      </c>
      <c r="D1271" s="35" t="s">
        <v>107</v>
      </c>
      <c r="E1271" s="36">
        <v>1</v>
      </c>
      <c r="F1271" s="33" t="s">
        <v>416</v>
      </c>
      <c r="G1271" s="30" t="str">
        <f>IF(ISNUMBER(F1271),E1271*F1271,"")</f>
        <v/>
      </c>
      <c r="H1271" s="34"/>
      <c r="I1271" s="30"/>
      <c r="J1271" s="152">
        <v>0</v>
      </c>
    </row>
    <row r="1272" spans="1:10" ht="15.75" hidden="1" thickBot="1" x14ac:dyDescent="0.3">
      <c r="A1272" s="177"/>
      <c r="B1272" s="175"/>
      <c r="C1272" s="35"/>
      <c r="D1272" s="35"/>
      <c r="E1272" s="36"/>
      <c r="F1272" s="30" t="s">
        <v>416</v>
      </c>
      <c r="G1272" s="30" t="str">
        <f>IF(ISNUMBER(F1272),E1272*F1272,"")</f>
        <v/>
      </c>
      <c r="H1272" s="34"/>
      <c r="I1272" s="30"/>
      <c r="J1272" s="152">
        <v>0</v>
      </c>
    </row>
    <row r="1273" spans="1:10" ht="15.75" hidden="1" thickBot="1" x14ac:dyDescent="0.3">
      <c r="A1273" s="170" t="s">
        <v>306</v>
      </c>
      <c r="B1273" s="173" t="str">
        <f>INDEX(Orçamentária!A:B,MATCH(Composições!A1273,Orçamentária!A:A,0),2)</f>
        <v>Barra de apoio 40 cm – Linha Acessibilidade</v>
      </c>
      <c r="C1273" s="40"/>
      <c r="D1273" s="25" t="s">
        <v>16</v>
      </c>
      <c r="E1273" s="26"/>
      <c r="F1273" s="41" t="s">
        <v>416</v>
      </c>
      <c r="G1273" s="27" t="str">
        <f>IF(ISNUMBER(F1273),E1273*F1273,"")</f>
        <v/>
      </c>
      <c r="H1273" s="28"/>
      <c r="I1273" s="29"/>
      <c r="J1273" s="152">
        <v>0</v>
      </c>
    </row>
    <row r="1274" spans="1:10" ht="15.75" hidden="1" thickBot="1" x14ac:dyDescent="0.3">
      <c r="A1274" s="176"/>
      <c r="B1274" s="174"/>
      <c r="C1274" s="31"/>
      <c r="D1274" s="31"/>
      <c r="E1274" s="32"/>
      <c r="F1274" s="42" t="s">
        <v>416</v>
      </c>
      <c r="G1274" s="30" t="str">
        <f>IF(ISNUMBER(F1274),E1274*F1274,"")</f>
        <v/>
      </c>
      <c r="H1274" s="34"/>
      <c r="I1274" s="30"/>
      <c r="J1274" s="152">
        <v>0</v>
      </c>
    </row>
    <row r="1275" spans="1:10" ht="26.25" hidden="1" thickBot="1" x14ac:dyDescent="0.3">
      <c r="A1275" s="176"/>
      <c r="B1275" s="174"/>
      <c r="C1275" s="35" t="s">
        <v>307</v>
      </c>
      <c r="D1275" s="46" t="s">
        <v>107</v>
      </c>
      <c r="E1275" s="36">
        <v>1</v>
      </c>
      <c r="F1275" s="33" t="s">
        <v>416</v>
      </c>
      <c r="G1275" s="33" t="str">
        <f>IF(ISNUMBER(F1275),E1275*F1275,"")</f>
        <v/>
      </c>
      <c r="H1275" s="38">
        <f>SUM(G1275:G1278)</f>
        <v>51.262</v>
      </c>
      <c r="I1275" s="39"/>
      <c r="J1275" s="152">
        <v>0</v>
      </c>
    </row>
    <row r="1276" spans="1:10" ht="39" hidden="1" thickBot="1" x14ac:dyDescent="0.3">
      <c r="A1276" s="176"/>
      <c r="B1276" s="174"/>
      <c r="C1276" s="35" t="s">
        <v>8011</v>
      </c>
      <c r="D1276" s="35" t="s">
        <v>213</v>
      </c>
      <c r="E1276" s="36">
        <v>6</v>
      </c>
      <c r="F1276" s="33">
        <v>0.64600000000000002</v>
      </c>
      <c r="G1276" s="33">
        <f>IF(ISNUMBER(F1276),E1276*F1276,"")</f>
        <v>3.8760000000000003</v>
      </c>
      <c r="H1276" s="34"/>
      <c r="I1276" s="30"/>
      <c r="J1276" s="152">
        <v>0</v>
      </c>
    </row>
    <row r="1277" spans="1:10" ht="15.75" hidden="1" thickBot="1" x14ac:dyDescent="0.3">
      <c r="A1277" s="176"/>
      <c r="B1277" s="174"/>
      <c r="C1277" s="35" t="s">
        <v>591</v>
      </c>
      <c r="D1277" s="35" t="s">
        <v>583</v>
      </c>
      <c r="E1277" s="36">
        <v>1</v>
      </c>
      <c r="F1277" s="30">
        <v>27.160499999999999</v>
      </c>
      <c r="G1277" s="33">
        <f>IF(ISNUMBER(F1277),E1277*F1277,"")</f>
        <v>27.160499999999999</v>
      </c>
      <c r="H1277" s="34"/>
      <c r="I1277" s="30"/>
      <c r="J1277" s="152">
        <v>0</v>
      </c>
    </row>
    <row r="1278" spans="1:10" ht="15.75" hidden="1" thickBot="1" x14ac:dyDescent="0.3">
      <c r="A1278" s="176"/>
      <c r="B1278" s="174"/>
      <c r="C1278" s="35" t="s">
        <v>584</v>
      </c>
      <c r="D1278" s="35" t="s">
        <v>583</v>
      </c>
      <c r="E1278" s="36">
        <v>1</v>
      </c>
      <c r="F1278" s="30">
        <v>20.225499999999997</v>
      </c>
      <c r="G1278" s="33">
        <f>IF(ISNUMBER(F1278),E1278*F1278,"")</f>
        <v>20.225499999999997</v>
      </c>
      <c r="H1278" s="34"/>
      <c r="I1278" s="30"/>
      <c r="J1278" s="152">
        <v>0</v>
      </c>
    </row>
    <row r="1279" spans="1:10" ht="15.75" hidden="1" thickBot="1" x14ac:dyDescent="0.3">
      <c r="A1279" s="177"/>
      <c r="B1279" s="175"/>
      <c r="C1279" s="35"/>
      <c r="D1279" s="35"/>
      <c r="E1279" s="36"/>
      <c r="F1279" s="30" t="s">
        <v>416</v>
      </c>
      <c r="G1279" s="30" t="str">
        <f>IF(ISNUMBER(F1279),E1279*F1279,"")</f>
        <v/>
      </c>
      <c r="H1279" s="34"/>
      <c r="I1279" s="30"/>
      <c r="J1279" s="152">
        <v>0</v>
      </c>
    </row>
    <row r="1280" spans="1:10" ht="15.75" hidden="1" thickBot="1" x14ac:dyDescent="0.3">
      <c r="A1280" s="170" t="s">
        <v>308</v>
      </c>
      <c r="B1280" s="173" t="str">
        <f>INDEX(Orçamentária!A:B,MATCH(Composições!A1280,Orçamentária!A:A,0),2)</f>
        <v>Barra de apoio 70 cm – Linha Acessibilidade</v>
      </c>
      <c r="C1280" s="40"/>
      <c r="D1280" s="25" t="s">
        <v>16</v>
      </c>
      <c r="E1280" s="26"/>
      <c r="F1280" s="41" t="s">
        <v>416</v>
      </c>
      <c r="G1280" s="27" t="str">
        <f>IF(ISNUMBER(F1280),E1280*F1280,"")</f>
        <v/>
      </c>
      <c r="H1280" s="28"/>
      <c r="I1280" s="29"/>
      <c r="J1280" s="152">
        <v>0</v>
      </c>
    </row>
    <row r="1281" spans="1:10" ht="15.75" hidden="1" thickBot="1" x14ac:dyDescent="0.3">
      <c r="A1281" s="176"/>
      <c r="B1281" s="174"/>
      <c r="C1281" s="31"/>
      <c r="D1281" s="31"/>
      <c r="E1281" s="32"/>
      <c r="F1281" s="42" t="s">
        <v>416</v>
      </c>
      <c r="G1281" s="30" t="str">
        <f>IF(ISNUMBER(F1281),E1281*F1281,"")</f>
        <v/>
      </c>
      <c r="H1281" s="34"/>
      <c r="I1281" s="30"/>
      <c r="J1281" s="152">
        <v>0</v>
      </c>
    </row>
    <row r="1282" spans="1:10" ht="26.25" hidden="1" thickBot="1" x14ac:dyDescent="0.3">
      <c r="A1282" s="176"/>
      <c r="B1282" s="174"/>
      <c r="C1282" s="35" t="s">
        <v>309</v>
      </c>
      <c r="D1282" s="46" t="s">
        <v>107</v>
      </c>
      <c r="E1282" s="36">
        <v>1</v>
      </c>
      <c r="F1282" s="33" t="s">
        <v>416</v>
      </c>
      <c r="G1282" s="33" t="str">
        <f>IF(ISNUMBER(F1282),E1282*F1282,"")</f>
        <v/>
      </c>
      <c r="H1282" s="38">
        <f>SUM(G1282:G1285)</f>
        <v>51.262</v>
      </c>
      <c r="I1282" s="39"/>
      <c r="J1282" s="152">
        <v>0</v>
      </c>
    </row>
    <row r="1283" spans="1:10" ht="39" hidden="1" thickBot="1" x14ac:dyDescent="0.3">
      <c r="A1283" s="176"/>
      <c r="B1283" s="174"/>
      <c r="C1283" s="35" t="s">
        <v>8011</v>
      </c>
      <c r="D1283" s="35" t="s">
        <v>213</v>
      </c>
      <c r="E1283" s="36">
        <v>6</v>
      </c>
      <c r="F1283" s="33">
        <v>0.64600000000000002</v>
      </c>
      <c r="G1283" s="33">
        <f>IF(ISNUMBER(F1283),E1283*F1283,"")</f>
        <v>3.8760000000000003</v>
      </c>
      <c r="H1283" s="34"/>
      <c r="I1283" s="30"/>
      <c r="J1283" s="152">
        <v>0</v>
      </c>
    </row>
    <row r="1284" spans="1:10" ht="15.75" hidden="1" thickBot="1" x14ac:dyDescent="0.3">
      <c r="A1284" s="176"/>
      <c r="B1284" s="174"/>
      <c r="C1284" s="35" t="s">
        <v>591</v>
      </c>
      <c r="D1284" s="35" t="s">
        <v>583</v>
      </c>
      <c r="E1284" s="36">
        <v>1</v>
      </c>
      <c r="F1284" s="30">
        <v>27.160499999999999</v>
      </c>
      <c r="G1284" s="33">
        <f>IF(ISNUMBER(F1284),E1284*F1284,"")</f>
        <v>27.160499999999999</v>
      </c>
      <c r="H1284" s="34"/>
      <c r="I1284" s="30"/>
      <c r="J1284" s="152">
        <v>0</v>
      </c>
    </row>
    <row r="1285" spans="1:10" ht="15.75" hidden="1" thickBot="1" x14ac:dyDescent="0.3">
      <c r="A1285" s="176"/>
      <c r="B1285" s="174"/>
      <c r="C1285" s="35" t="s">
        <v>584</v>
      </c>
      <c r="D1285" s="35" t="s">
        <v>583</v>
      </c>
      <c r="E1285" s="36">
        <v>1</v>
      </c>
      <c r="F1285" s="30">
        <v>20.225499999999997</v>
      </c>
      <c r="G1285" s="33">
        <f>IF(ISNUMBER(F1285),E1285*F1285,"")</f>
        <v>20.225499999999997</v>
      </c>
      <c r="H1285" s="34"/>
      <c r="I1285" s="30"/>
      <c r="J1285" s="152">
        <v>0</v>
      </c>
    </row>
    <row r="1286" spans="1:10" ht="15.75" hidden="1" thickBot="1" x14ac:dyDescent="0.3">
      <c r="A1286" s="177"/>
      <c r="B1286" s="175"/>
      <c r="C1286" s="35"/>
      <c r="D1286" s="35"/>
      <c r="E1286" s="36"/>
      <c r="F1286" s="30" t="s">
        <v>416</v>
      </c>
      <c r="G1286" s="30" t="str">
        <f>IF(ISNUMBER(F1286),E1286*F1286,"")</f>
        <v/>
      </c>
      <c r="H1286" s="34"/>
      <c r="I1286" s="30"/>
      <c r="J1286" s="152">
        <v>0</v>
      </c>
    </row>
    <row r="1287" spans="1:10" ht="15.75" hidden="1" thickBot="1" x14ac:dyDescent="0.3">
      <c r="A1287" s="170" t="s">
        <v>310</v>
      </c>
      <c r="B1287" s="173" t="str">
        <f>INDEX(Orçamentária!A:B,MATCH(Composições!A1287,Orçamentária!A:A,0),2)</f>
        <v>Barra de apoio 80 cm – Linha Acessibilidade</v>
      </c>
      <c r="C1287" s="40"/>
      <c r="D1287" s="25" t="s">
        <v>16</v>
      </c>
      <c r="E1287" s="26"/>
      <c r="F1287" s="41" t="s">
        <v>416</v>
      </c>
      <c r="G1287" s="27" t="str">
        <f>IF(ISNUMBER(F1287),E1287*F1287,"")</f>
        <v/>
      </c>
      <c r="H1287" s="28"/>
      <c r="I1287" s="29"/>
      <c r="J1287" s="152">
        <v>0</v>
      </c>
    </row>
    <row r="1288" spans="1:10" ht="15.75" hidden="1" thickBot="1" x14ac:dyDescent="0.3">
      <c r="A1288" s="176"/>
      <c r="B1288" s="174"/>
      <c r="C1288" s="31"/>
      <c r="D1288" s="31"/>
      <c r="E1288" s="32"/>
      <c r="F1288" s="42" t="s">
        <v>416</v>
      </c>
      <c r="G1288" s="30" t="str">
        <f>IF(ISNUMBER(F1288),E1288*F1288,"")</f>
        <v/>
      </c>
      <c r="H1288" s="34"/>
      <c r="I1288" s="30"/>
      <c r="J1288" s="152">
        <v>0</v>
      </c>
    </row>
    <row r="1289" spans="1:10" ht="26.25" hidden="1" thickBot="1" x14ac:dyDescent="0.3">
      <c r="A1289" s="176"/>
      <c r="B1289" s="174"/>
      <c r="C1289" s="35" t="s">
        <v>311</v>
      </c>
      <c r="D1289" s="46" t="s">
        <v>107</v>
      </c>
      <c r="E1289" s="36">
        <v>1</v>
      </c>
      <c r="F1289" s="33" t="s">
        <v>416</v>
      </c>
      <c r="G1289" s="33" t="str">
        <f>IF(ISNUMBER(F1289),E1289*F1289,"")</f>
        <v/>
      </c>
      <c r="H1289" s="38">
        <f>SUM(G1289:G1292)</f>
        <v>51.262</v>
      </c>
      <c r="I1289" s="39"/>
      <c r="J1289" s="152">
        <v>0</v>
      </c>
    </row>
    <row r="1290" spans="1:10" ht="39" hidden="1" thickBot="1" x14ac:dyDescent="0.3">
      <c r="A1290" s="176"/>
      <c r="B1290" s="174"/>
      <c r="C1290" s="35" t="s">
        <v>8011</v>
      </c>
      <c r="D1290" s="35" t="s">
        <v>213</v>
      </c>
      <c r="E1290" s="36">
        <v>6</v>
      </c>
      <c r="F1290" s="33">
        <v>0.64600000000000002</v>
      </c>
      <c r="G1290" s="33">
        <f>IF(ISNUMBER(F1290),E1290*F1290,"")</f>
        <v>3.8760000000000003</v>
      </c>
      <c r="H1290" s="34"/>
      <c r="I1290" s="30"/>
      <c r="J1290" s="152">
        <v>0</v>
      </c>
    </row>
    <row r="1291" spans="1:10" ht="15.75" hidden="1" thickBot="1" x14ac:dyDescent="0.3">
      <c r="A1291" s="176"/>
      <c r="B1291" s="174"/>
      <c r="C1291" s="35" t="s">
        <v>591</v>
      </c>
      <c r="D1291" s="35" t="s">
        <v>583</v>
      </c>
      <c r="E1291" s="36">
        <v>1</v>
      </c>
      <c r="F1291" s="30">
        <v>27.160499999999999</v>
      </c>
      <c r="G1291" s="33">
        <f>IF(ISNUMBER(F1291),E1291*F1291,"")</f>
        <v>27.160499999999999</v>
      </c>
      <c r="H1291" s="34"/>
      <c r="I1291" s="30"/>
      <c r="J1291" s="152">
        <v>0</v>
      </c>
    </row>
    <row r="1292" spans="1:10" ht="15.75" hidden="1" thickBot="1" x14ac:dyDescent="0.3">
      <c r="A1292" s="176"/>
      <c r="B1292" s="174"/>
      <c r="C1292" s="35" t="s">
        <v>584</v>
      </c>
      <c r="D1292" s="35" t="s">
        <v>583</v>
      </c>
      <c r="E1292" s="36">
        <v>1</v>
      </c>
      <c r="F1292" s="30">
        <v>20.225499999999997</v>
      </c>
      <c r="G1292" s="33">
        <f>IF(ISNUMBER(F1292),E1292*F1292,"")</f>
        <v>20.225499999999997</v>
      </c>
      <c r="H1292" s="34"/>
      <c r="I1292" s="30"/>
      <c r="J1292" s="152">
        <v>0</v>
      </c>
    </row>
    <row r="1293" spans="1:10" ht="15.75" hidden="1" thickBot="1" x14ac:dyDescent="0.3">
      <c r="A1293" s="177"/>
      <c r="B1293" s="175"/>
      <c r="C1293" s="35"/>
      <c r="D1293" s="35"/>
      <c r="E1293" s="36"/>
      <c r="F1293" s="30" t="s">
        <v>416</v>
      </c>
      <c r="G1293" s="30" t="str">
        <f>IF(ISNUMBER(F1293),E1293*F1293,"")</f>
        <v/>
      </c>
      <c r="H1293" s="34"/>
      <c r="I1293" s="30"/>
      <c r="J1293" s="152">
        <v>0</v>
      </c>
    </row>
    <row r="1294" spans="1:10" ht="15.75" hidden="1" thickBot="1" x14ac:dyDescent="0.3">
      <c r="A1294" s="170" t="s">
        <v>312</v>
      </c>
      <c r="B1294" s="173" t="str">
        <f>INDEX(Orçamentária!A:B,MATCH(Composições!A1294,Orçamentária!A:A,0),2)</f>
        <v>Barra de apoio lateral fixa 30 cm – Linha Acessibilidade</v>
      </c>
      <c r="C1294" s="40"/>
      <c r="D1294" s="25" t="s">
        <v>16</v>
      </c>
      <c r="E1294" s="26"/>
      <c r="F1294" s="41" t="s">
        <v>416</v>
      </c>
      <c r="G1294" s="27" t="str">
        <f>IF(ISNUMBER(F1294),E1294*F1294,"")</f>
        <v/>
      </c>
      <c r="H1294" s="28"/>
      <c r="I1294" s="29"/>
      <c r="J1294" s="152">
        <v>0</v>
      </c>
    </row>
    <row r="1295" spans="1:10" ht="15.75" hidden="1" thickBot="1" x14ac:dyDescent="0.3">
      <c r="A1295" s="176"/>
      <c r="B1295" s="174"/>
      <c r="C1295" s="31"/>
      <c r="D1295" s="31"/>
      <c r="E1295" s="32"/>
      <c r="F1295" s="42" t="s">
        <v>416</v>
      </c>
      <c r="G1295" s="30" t="str">
        <f>IF(ISNUMBER(F1295),E1295*F1295,"")</f>
        <v/>
      </c>
      <c r="H1295" s="34"/>
      <c r="I1295" s="30"/>
      <c r="J1295" s="152">
        <v>0</v>
      </c>
    </row>
    <row r="1296" spans="1:10" ht="15.75" hidden="1" thickBot="1" x14ac:dyDescent="0.3">
      <c r="A1296" s="176"/>
      <c r="B1296" s="174"/>
      <c r="C1296" s="35" t="s">
        <v>591</v>
      </c>
      <c r="D1296" s="35" t="s">
        <v>583</v>
      </c>
      <c r="E1296" s="36">
        <v>1</v>
      </c>
      <c r="F1296" s="30">
        <v>27.160499999999999</v>
      </c>
      <c r="G1296" s="33">
        <f>IF(ISNUMBER(F1296),E1296*F1296,"")</f>
        <v>27.160499999999999</v>
      </c>
      <c r="H1296" s="38">
        <f>SUM(G1296:G1299)</f>
        <v>51.261999999999993</v>
      </c>
      <c r="I1296" s="39"/>
      <c r="J1296" s="152">
        <v>0</v>
      </c>
    </row>
    <row r="1297" spans="1:10" ht="15.75" hidden="1" thickBot="1" x14ac:dyDescent="0.3">
      <c r="A1297" s="176"/>
      <c r="B1297" s="174"/>
      <c r="C1297" s="35" t="s">
        <v>584</v>
      </c>
      <c r="D1297" s="35" t="s">
        <v>583</v>
      </c>
      <c r="E1297" s="36">
        <v>1</v>
      </c>
      <c r="F1297" s="30">
        <v>20.225499999999997</v>
      </c>
      <c r="G1297" s="33">
        <f>IF(ISNUMBER(F1297),E1297*F1297,"")</f>
        <v>20.225499999999997</v>
      </c>
      <c r="H1297" s="34"/>
      <c r="I1297" s="30"/>
      <c r="J1297" s="152">
        <v>0</v>
      </c>
    </row>
    <row r="1298" spans="1:10" ht="26.25" hidden="1" thickBot="1" x14ac:dyDescent="0.3">
      <c r="A1298" s="176"/>
      <c r="B1298" s="174"/>
      <c r="C1298" s="35" t="s">
        <v>313</v>
      </c>
      <c r="D1298" s="35" t="s">
        <v>16</v>
      </c>
      <c r="E1298" s="36">
        <v>1</v>
      </c>
      <c r="F1298" s="33" t="s">
        <v>416</v>
      </c>
      <c r="G1298" s="30" t="str">
        <f>IF(ISNUMBER(F1298),E1298*F1298,"")</f>
        <v/>
      </c>
      <c r="H1298" s="34"/>
      <c r="I1298" s="30"/>
      <c r="J1298" s="152">
        <v>0</v>
      </c>
    </row>
    <row r="1299" spans="1:10" ht="39" hidden="1" thickBot="1" x14ac:dyDescent="0.3">
      <c r="A1299" s="176"/>
      <c r="B1299" s="174"/>
      <c r="C1299" s="35" t="s">
        <v>8011</v>
      </c>
      <c r="D1299" s="35" t="s">
        <v>213</v>
      </c>
      <c r="E1299" s="36">
        <v>6</v>
      </c>
      <c r="F1299" s="33">
        <v>0.64600000000000002</v>
      </c>
      <c r="G1299" s="33">
        <f>IF(ISNUMBER(F1299),E1299*F1299,"")</f>
        <v>3.8760000000000003</v>
      </c>
      <c r="H1299" s="34"/>
      <c r="I1299" s="30"/>
      <c r="J1299" s="152">
        <v>0</v>
      </c>
    </row>
    <row r="1300" spans="1:10" ht="15.75" hidden="1" thickBot="1" x14ac:dyDescent="0.3">
      <c r="A1300" s="177"/>
      <c r="B1300" s="175"/>
      <c r="C1300" s="35"/>
      <c r="D1300" s="35"/>
      <c r="E1300" s="36"/>
      <c r="F1300" s="30" t="s">
        <v>416</v>
      </c>
      <c r="G1300" s="30" t="str">
        <f>IF(ISNUMBER(F1300),E1300*F1300,"")</f>
        <v/>
      </c>
      <c r="H1300" s="34"/>
      <c r="I1300" s="30"/>
      <c r="J1300" s="152">
        <v>0</v>
      </c>
    </row>
    <row r="1301" spans="1:10" ht="15.75" hidden="1" thickBot="1" x14ac:dyDescent="0.3">
      <c r="A1301" s="170" t="s">
        <v>314</v>
      </c>
      <c r="B1301" s="173" t="str">
        <f>INDEX(Orçamentária!A:B,MATCH(Composições!A1301,Orçamentária!A:A,0),2)</f>
        <v>Lavatório suspenso – Linha Acessibilidade</v>
      </c>
      <c r="C1301" s="40"/>
      <c r="D1301" s="25" t="s">
        <v>16</v>
      </c>
      <c r="E1301" s="26"/>
      <c r="F1301" s="41" t="s">
        <v>416</v>
      </c>
      <c r="G1301" s="27" t="str">
        <f>IF(ISNUMBER(F1301),E1301*F1301,"")</f>
        <v/>
      </c>
      <c r="H1301" s="28"/>
      <c r="I1301" s="29"/>
      <c r="J1301" s="152">
        <v>0</v>
      </c>
    </row>
    <row r="1302" spans="1:10" ht="15.75" hidden="1" thickBot="1" x14ac:dyDescent="0.3">
      <c r="A1302" s="176"/>
      <c r="B1302" s="174"/>
      <c r="C1302" s="31"/>
      <c r="D1302" s="31"/>
      <c r="E1302" s="32"/>
      <c r="F1302" s="42" t="s">
        <v>416</v>
      </c>
      <c r="G1302" s="30" t="str">
        <f>IF(ISNUMBER(F1302),E1302*F1302,"")</f>
        <v/>
      </c>
      <c r="H1302" s="34"/>
      <c r="I1302" s="30"/>
      <c r="J1302" s="152">
        <v>0</v>
      </c>
    </row>
    <row r="1303" spans="1:10" ht="26.25" hidden="1" thickBot="1" x14ac:dyDescent="0.3">
      <c r="A1303" s="176"/>
      <c r="B1303" s="174"/>
      <c r="C1303" s="35" t="s">
        <v>315</v>
      </c>
      <c r="D1303" s="46" t="s">
        <v>107</v>
      </c>
      <c r="E1303" s="36">
        <v>1</v>
      </c>
      <c r="F1303" s="33" t="s">
        <v>416</v>
      </c>
      <c r="G1303" s="33" t="str">
        <f>IF(ISNUMBER(F1303),E1303*F1303,"")</f>
        <v/>
      </c>
      <c r="H1303" s="38">
        <f>SUM(G1303:G1307)</f>
        <v>50.201165399999994</v>
      </c>
      <c r="I1303" s="39"/>
      <c r="J1303" s="152">
        <v>0</v>
      </c>
    </row>
    <row r="1304" spans="1:10" ht="39" hidden="1" thickBot="1" x14ac:dyDescent="0.3">
      <c r="A1304" s="176"/>
      <c r="B1304" s="174"/>
      <c r="C1304" s="35" t="s">
        <v>8309</v>
      </c>
      <c r="D1304" s="35" t="s">
        <v>213</v>
      </c>
      <c r="E1304" s="36">
        <v>2</v>
      </c>
      <c r="F1304" s="33">
        <v>16.900499999999997</v>
      </c>
      <c r="G1304" s="33">
        <f>IF(ISNUMBER(F1304),E1304*F1304,"")</f>
        <v>33.800999999999995</v>
      </c>
      <c r="H1304" s="34"/>
      <c r="I1304" s="30"/>
      <c r="J1304" s="152">
        <v>0</v>
      </c>
    </row>
    <row r="1305" spans="1:10" ht="15.75" hidden="1" thickBot="1" x14ac:dyDescent="0.3">
      <c r="A1305" s="176"/>
      <c r="B1305" s="174"/>
      <c r="C1305" s="35" t="s">
        <v>3061</v>
      </c>
      <c r="D1305" s="35" t="s">
        <v>773</v>
      </c>
      <c r="E1305" s="36">
        <v>3.04E-2</v>
      </c>
      <c r="F1305" s="33">
        <v>72.836500000000001</v>
      </c>
      <c r="G1305" s="33">
        <f>IF(ISNUMBER(F1305),E1305*F1305,"")</f>
        <v>2.2142295999999999</v>
      </c>
      <c r="H1305" s="34"/>
      <c r="I1305" s="30"/>
      <c r="J1305" s="152">
        <v>0</v>
      </c>
    </row>
    <row r="1306" spans="1:10" ht="26.25" hidden="1" thickBot="1" x14ac:dyDescent="0.3">
      <c r="A1306" s="176"/>
      <c r="B1306" s="174"/>
      <c r="C1306" s="35" t="s">
        <v>825</v>
      </c>
      <c r="D1306" s="35" t="s">
        <v>583</v>
      </c>
      <c r="E1306" s="36">
        <v>0.38700000000000001</v>
      </c>
      <c r="F1306" s="30">
        <v>26.799499999999998</v>
      </c>
      <c r="G1306" s="33">
        <f>IF(ISNUMBER(F1306),E1306*F1306,"")</f>
        <v>10.371406499999999</v>
      </c>
      <c r="H1306" s="34"/>
      <c r="I1306" s="30"/>
      <c r="J1306" s="152">
        <v>0</v>
      </c>
    </row>
    <row r="1307" spans="1:10" ht="15.75" hidden="1" thickBot="1" x14ac:dyDescent="0.3">
      <c r="A1307" s="176"/>
      <c r="B1307" s="174"/>
      <c r="C1307" s="35" t="s">
        <v>584</v>
      </c>
      <c r="D1307" s="35" t="s">
        <v>583</v>
      </c>
      <c r="E1307" s="36">
        <v>0.18859999999999999</v>
      </c>
      <c r="F1307" s="30">
        <v>20.225499999999997</v>
      </c>
      <c r="G1307" s="33">
        <f>IF(ISNUMBER(F1307),E1307*F1307,"")</f>
        <v>3.8145292999999993</v>
      </c>
      <c r="H1307" s="34"/>
      <c r="I1307" s="30"/>
      <c r="J1307" s="152">
        <v>0</v>
      </c>
    </row>
    <row r="1308" spans="1:10" ht="15.75" hidden="1" thickBot="1" x14ac:dyDescent="0.3">
      <c r="A1308" s="177"/>
      <c r="B1308" s="175"/>
      <c r="C1308" s="35"/>
      <c r="D1308" s="35"/>
      <c r="E1308" s="36"/>
      <c r="F1308" s="30" t="s">
        <v>416</v>
      </c>
      <c r="G1308" s="30" t="str">
        <f>IF(ISNUMBER(F1308),E1308*F1308,"")</f>
        <v/>
      </c>
      <c r="H1308" s="34"/>
      <c r="I1308" s="30"/>
      <c r="J1308" s="152">
        <v>0</v>
      </c>
    </row>
    <row r="1309" spans="1:10" ht="15.75" hidden="1" thickBot="1" x14ac:dyDescent="0.3">
      <c r="A1309" s="170" t="s">
        <v>316</v>
      </c>
      <c r="B1309" s="173" t="str">
        <f>INDEX(Orçamentária!A:B,MATCH(Composições!A1309,Orçamentária!A:A,0),2)</f>
        <v>Lavatório suspenso com Coluna – Linha Acessibilidade</v>
      </c>
      <c r="C1309" s="40"/>
      <c r="D1309" s="25" t="s">
        <v>16</v>
      </c>
      <c r="E1309" s="26"/>
      <c r="F1309" s="41" t="s">
        <v>416</v>
      </c>
      <c r="G1309" s="27" t="str">
        <f>IF(ISNUMBER(F1309),E1309*F1309,"")</f>
        <v/>
      </c>
      <c r="H1309" s="28"/>
      <c r="I1309" s="29"/>
      <c r="J1309" s="152">
        <v>0</v>
      </c>
    </row>
    <row r="1310" spans="1:10" ht="15.75" hidden="1" thickBot="1" x14ac:dyDescent="0.3">
      <c r="A1310" s="176"/>
      <c r="B1310" s="174"/>
      <c r="C1310" s="31"/>
      <c r="D1310" s="31"/>
      <c r="E1310" s="32"/>
      <c r="F1310" s="42" t="s">
        <v>416</v>
      </c>
      <c r="G1310" s="30" t="str">
        <f>IF(ISNUMBER(F1310),E1310*F1310,"")</f>
        <v/>
      </c>
      <c r="H1310" s="34"/>
      <c r="I1310" s="30"/>
      <c r="J1310" s="152">
        <v>0</v>
      </c>
    </row>
    <row r="1311" spans="1:10" ht="26.25" hidden="1" thickBot="1" x14ac:dyDescent="0.3">
      <c r="A1311" s="176"/>
      <c r="B1311" s="174"/>
      <c r="C1311" s="35" t="s">
        <v>825</v>
      </c>
      <c r="D1311" s="35" t="s">
        <v>583</v>
      </c>
      <c r="E1311" s="36">
        <v>1.4666999999999999</v>
      </c>
      <c r="F1311" s="30">
        <v>26.799499999999998</v>
      </c>
      <c r="G1311" s="33">
        <f>IF(ISNUMBER(F1311),E1311*F1311,"")</f>
        <v>39.306826649999998</v>
      </c>
      <c r="H1311" s="38">
        <f>SUM(G1311:G1316)</f>
        <v>160.19842589999999</v>
      </c>
      <c r="I1311" s="39"/>
      <c r="J1311" s="152">
        <v>0</v>
      </c>
    </row>
    <row r="1312" spans="1:10" ht="15.75" hidden="1" thickBot="1" x14ac:dyDescent="0.3">
      <c r="A1312" s="176"/>
      <c r="B1312" s="174"/>
      <c r="C1312" s="35" t="s">
        <v>584</v>
      </c>
      <c r="D1312" s="35" t="s">
        <v>583</v>
      </c>
      <c r="E1312" s="36">
        <v>0.65169999999999995</v>
      </c>
      <c r="F1312" s="30">
        <v>20.225499999999997</v>
      </c>
      <c r="G1312" s="33">
        <f>IF(ISNUMBER(F1312),E1312*F1312,"")</f>
        <v>13.180958349999997</v>
      </c>
      <c r="H1312" s="34"/>
      <c r="I1312" s="30"/>
      <c r="J1312" s="152">
        <v>0</v>
      </c>
    </row>
    <row r="1313" spans="1:10" ht="26.25" hidden="1" thickBot="1" x14ac:dyDescent="0.3">
      <c r="A1313" s="176"/>
      <c r="B1313" s="174"/>
      <c r="C1313" s="35" t="s">
        <v>315</v>
      </c>
      <c r="D1313" s="46" t="s">
        <v>107</v>
      </c>
      <c r="E1313" s="36">
        <v>1</v>
      </c>
      <c r="F1313" s="33" t="s">
        <v>416</v>
      </c>
      <c r="G1313" s="33" t="str">
        <f>IF(ISNUMBER(F1313),E1313*F1313,"")</f>
        <v/>
      </c>
      <c r="H1313" s="34"/>
      <c r="I1313" s="30"/>
      <c r="J1313" s="152">
        <v>0</v>
      </c>
    </row>
    <row r="1314" spans="1:10" ht="39" hidden="1" thickBot="1" x14ac:dyDescent="0.3">
      <c r="A1314" s="176"/>
      <c r="B1314" s="174"/>
      <c r="C1314" s="35" t="s">
        <v>8309</v>
      </c>
      <c r="D1314" s="35" t="s">
        <v>213</v>
      </c>
      <c r="E1314" s="36">
        <v>6</v>
      </c>
      <c r="F1314" s="33">
        <v>16.900499999999997</v>
      </c>
      <c r="G1314" s="33">
        <f>IF(ISNUMBER(F1314),E1314*F1314,"")</f>
        <v>101.40299999999999</v>
      </c>
      <c r="H1314" s="34"/>
      <c r="I1314" s="30"/>
      <c r="J1314" s="152">
        <v>0</v>
      </c>
    </row>
    <row r="1315" spans="1:10" ht="15.75" hidden="1" thickBot="1" x14ac:dyDescent="0.3">
      <c r="A1315" s="176"/>
      <c r="B1315" s="174"/>
      <c r="C1315" s="35" t="s">
        <v>3061</v>
      </c>
      <c r="D1315" s="35" t="s">
        <v>773</v>
      </c>
      <c r="E1315" s="36">
        <v>8.6599999999999996E-2</v>
      </c>
      <c r="F1315" s="33">
        <v>72.836500000000001</v>
      </c>
      <c r="G1315" s="33">
        <f>IF(ISNUMBER(F1315),E1315*F1315,"")</f>
        <v>6.3076409</v>
      </c>
      <c r="H1315" s="34"/>
      <c r="I1315" s="30"/>
      <c r="J1315" s="152">
        <v>0</v>
      </c>
    </row>
    <row r="1316" spans="1:10" ht="26.25" hidden="1" thickBot="1" x14ac:dyDescent="0.3">
      <c r="A1316" s="176"/>
      <c r="B1316" s="174"/>
      <c r="C1316" s="35" t="s">
        <v>317</v>
      </c>
      <c r="D1316" s="35" t="s">
        <v>16</v>
      </c>
      <c r="E1316" s="36">
        <v>1</v>
      </c>
      <c r="F1316" s="33" t="s">
        <v>416</v>
      </c>
      <c r="G1316" s="30" t="str">
        <f>IF(ISNUMBER(F1316),E1316*F1316,"")</f>
        <v/>
      </c>
      <c r="H1316" s="34"/>
      <c r="I1316" s="30"/>
      <c r="J1316" s="152">
        <v>0</v>
      </c>
    </row>
    <row r="1317" spans="1:10" ht="15.75" hidden="1" thickBot="1" x14ac:dyDescent="0.3">
      <c r="A1317" s="176"/>
      <c r="B1317" s="174"/>
      <c r="C1317" s="35"/>
      <c r="D1317" s="35"/>
      <c r="E1317" s="36"/>
      <c r="F1317" s="33" t="s">
        <v>416</v>
      </c>
      <c r="G1317" s="30" t="str">
        <f>IF(ISNUMBER(F1317),E1317*F1317,"")</f>
        <v/>
      </c>
      <c r="H1317" s="34"/>
      <c r="I1317" s="30"/>
      <c r="J1317" s="152">
        <v>0</v>
      </c>
    </row>
    <row r="1318" spans="1:10" ht="15.75" hidden="1" thickBot="1" x14ac:dyDescent="0.3">
      <c r="A1318" s="170" t="s">
        <v>318</v>
      </c>
      <c r="B1318" s="173" t="str">
        <f>INDEX(Orçamentária!A:B,MATCH(Composições!A1318,Orçamentária!A:A,0),2)</f>
        <v>Cabide</v>
      </c>
      <c r="C1318" s="40"/>
      <c r="D1318" s="25" t="s">
        <v>16</v>
      </c>
      <c r="E1318" s="26"/>
      <c r="F1318" s="41" t="s">
        <v>416</v>
      </c>
      <c r="G1318" s="27" t="str">
        <f>IF(ISNUMBER(F1318),E1318*F1318,"")</f>
        <v/>
      </c>
      <c r="H1318" s="28"/>
      <c r="I1318" s="29"/>
      <c r="J1318" s="152">
        <v>0</v>
      </c>
    </row>
    <row r="1319" spans="1:10" ht="15.75" hidden="1" thickBot="1" x14ac:dyDescent="0.3">
      <c r="A1319" s="176"/>
      <c r="B1319" s="174"/>
      <c r="C1319" s="31"/>
      <c r="D1319" s="31"/>
      <c r="E1319" s="32"/>
      <c r="F1319" s="42" t="s">
        <v>416</v>
      </c>
      <c r="G1319" s="30" t="str">
        <f>IF(ISNUMBER(F1319),E1319*F1319,"")</f>
        <v/>
      </c>
      <c r="H1319" s="34"/>
      <c r="I1319" s="30"/>
      <c r="J1319" s="152">
        <v>0</v>
      </c>
    </row>
    <row r="1320" spans="1:10" ht="15.75" hidden="1" thickBot="1" x14ac:dyDescent="0.3">
      <c r="A1320" s="176"/>
      <c r="B1320" s="174"/>
      <c r="C1320" s="35" t="s">
        <v>319</v>
      </c>
      <c r="D1320" s="46" t="s">
        <v>107</v>
      </c>
      <c r="E1320" s="36">
        <v>1</v>
      </c>
      <c r="F1320" s="33" t="s">
        <v>416</v>
      </c>
      <c r="G1320" s="33" t="str">
        <f>IF(ISNUMBER(F1320),E1320*F1320,"")</f>
        <v/>
      </c>
      <c r="H1320" s="38">
        <f>SUM(G1320:G1322)</f>
        <v>10.488461699999998</v>
      </c>
      <c r="I1320" s="39"/>
      <c r="J1320" s="152">
        <v>0</v>
      </c>
    </row>
    <row r="1321" spans="1:10" ht="26.25" hidden="1" thickBot="1" x14ac:dyDescent="0.3">
      <c r="A1321" s="176"/>
      <c r="B1321" s="174"/>
      <c r="C1321" s="35" t="s">
        <v>825</v>
      </c>
      <c r="D1321" s="35" t="s">
        <v>583</v>
      </c>
      <c r="E1321" s="36">
        <v>0.31619999999999998</v>
      </c>
      <c r="F1321" s="30">
        <v>26.799499999999998</v>
      </c>
      <c r="G1321" s="33">
        <f>IF(ISNUMBER(F1321),E1321*F1321,"")</f>
        <v>8.4740018999999993</v>
      </c>
      <c r="H1321" s="34"/>
      <c r="I1321" s="30"/>
      <c r="J1321" s="152">
        <v>0</v>
      </c>
    </row>
    <row r="1322" spans="1:10" ht="15.75" hidden="1" thickBot="1" x14ac:dyDescent="0.3">
      <c r="A1322" s="176"/>
      <c r="B1322" s="174"/>
      <c r="C1322" s="35" t="s">
        <v>584</v>
      </c>
      <c r="D1322" s="35" t="s">
        <v>583</v>
      </c>
      <c r="E1322" s="36">
        <v>9.9599999999999994E-2</v>
      </c>
      <c r="F1322" s="30">
        <v>20.225499999999997</v>
      </c>
      <c r="G1322" s="33">
        <f>IF(ISNUMBER(F1322),E1322*F1322,"")</f>
        <v>2.0144597999999996</v>
      </c>
      <c r="H1322" s="34"/>
      <c r="I1322" s="30"/>
      <c r="J1322" s="152">
        <v>0</v>
      </c>
    </row>
    <row r="1323" spans="1:10" ht="15.75" hidden="1" thickBot="1" x14ac:dyDescent="0.3">
      <c r="A1323" s="177"/>
      <c r="B1323" s="175"/>
      <c r="C1323" s="35"/>
      <c r="D1323" s="35"/>
      <c r="E1323" s="36"/>
      <c r="F1323" s="30" t="s">
        <v>416</v>
      </c>
      <c r="G1323" s="30" t="str">
        <f>IF(ISNUMBER(F1323),E1323*F1323,"")</f>
        <v/>
      </c>
      <c r="H1323" s="34"/>
      <c r="I1323" s="30"/>
      <c r="J1323" s="152">
        <v>0</v>
      </c>
    </row>
    <row r="1324" spans="1:10" ht="15.75" hidden="1" thickBot="1" x14ac:dyDescent="0.3">
      <c r="A1324" s="170" t="s">
        <v>320</v>
      </c>
      <c r="B1324" s="173" t="str">
        <f>INDEX(Orçamentária!A:B,MATCH(Composições!A1324,Orçamentária!A:A,0),2)</f>
        <v>Papeleira</v>
      </c>
      <c r="C1324" s="40"/>
      <c r="D1324" s="25" t="s">
        <v>16</v>
      </c>
      <c r="E1324" s="26"/>
      <c r="F1324" s="41" t="s">
        <v>416</v>
      </c>
      <c r="G1324" s="27" t="str">
        <f>IF(ISNUMBER(F1324),E1324*F1324,"")</f>
        <v/>
      </c>
      <c r="H1324" s="28"/>
      <c r="I1324" s="29"/>
      <c r="J1324" s="152">
        <v>0</v>
      </c>
    </row>
    <row r="1325" spans="1:10" ht="15.75" hidden="1" thickBot="1" x14ac:dyDescent="0.3">
      <c r="A1325" s="176"/>
      <c r="B1325" s="174"/>
      <c r="C1325" s="31"/>
      <c r="D1325" s="31"/>
      <c r="E1325" s="32"/>
      <c r="F1325" s="42" t="s">
        <v>416</v>
      </c>
      <c r="G1325" s="30" t="str">
        <f>IF(ISNUMBER(F1325),E1325*F1325,"")</f>
        <v/>
      </c>
      <c r="H1325" s="34"/>
      <c r="I1325" s="30"/>
      <c r="J1325" s="152">
        <v>0</v>
      </c>
    </row>
    <row r="1326" spans="1:10" ht="15.75" hidden="1" thickBot="1" x14ac:dyDescent="0.3">
      <c r="A1326" s="176"/>
      <c r="B1326" s="174"/>
      <c r="C1326" s="35" t="s">
        <v>321</v>
      </c>
      <c r="D1326" s="46" t="s">
        <v>107</v>
      </c>
      <c r="E1326" s="36">
        <v>1</v>
      </c>
      <c r="F1326" s="33" t="s">
        <v>416</v>
      </c>
      <c r="G1326" s="33" t="str">
        <f>IF(ISNUMBER(F1326),E1326*F1326,"")</f>
        <v/>
      </c>
      <c r="H1326" s="38">
        <f>SUM(G1326:G1328)</f>
        <v>10.488461699999998</v>
      </c>
      <c r="I1326" s="39"/>
      <c r="J1326" s="152">
        <v>0</v>
      </c>
    </row>
    <row r="1327" spans="1:10" ht="26.25" hidden="1" thickBot="1" x14ac:dyDescent="0.3">
      <c r="A1327" s="176"/>
      <c r="B1327" s="174"/>
      <c r="C1327" s="35" t="s">
        <v>825</v>
      </c>
      <c r="D1327" s="35" t="s">
        <v>583</v>
      </c>
      <c r="E1327" s="36">
        <v>0.31619999999999998</v>
      </c>
      <c r="F1327" s="30">
        <v>26.799499999999998</v>
      </c>
      <c r="G1327" s="33">
        <f>IF(ISNUMBER(F1327),E1327*F1327,"")</f>
        <v>8.4740018999999993</v>
      </c>
      <c r="H1327" s="34"/>
      <c r="I1327" s="30"/>
      <c r="J1327" s="152">
        <v>0</v>
      </c>
    </row>
    <row r="1328" spans="1:10" ht="15.75" hidden="1" thickBot="1" x14ac:dyDescent="0.3">
      <c r="A1328" s="176"/>
      <c r="B1328" s="174"/>
      <c r="C1328" s="35" t="s">
        <v>584</v>
      </c>
      <c r="D1328" s="35" t="s">
        <v>583</v>
      </c>
      <c r="E1328" s="36">
        <v>9.9599999999999994E-2</v>
      </c>
      <c r="F1328" s="30">
        <v>20.225499999999997</v>
      </c>
      <c r="G1328" s="33">
        <f>IF(ISNUMBER(F1328),E1328*F1328,"")</f>
        <v>2.0144597999999996</v>
      </c>
      <c r="H1328" s="34"/>
      <c r="I1328" s="30"/>
      <c r="J1328" s="152">
        <v>0</v>
      </c>
    </row>
    <row r="1329" spans="1:10" ht="15.75" hidden="1" thickBot="1" x14ac:dyDescent="0.3">
      <c r="A1329" s="177"/>
      <c r="B1329" s="175"/>
      <c r="C1329" s="35"/>
      <c r="D1329" s="35"/>
      <c r="E1329" s="36"/>
      <c r="F1329" s="30" t="s">
        <v>416</v>
      </c>
      <c r="G1329" s="30" t="str">
        <f>IF(ISNUMBER(F1329),E1329*F1329,"")</f>
        <v/>
      </c>
      <c r="H1329" s="34"/>
      <c r="I1329" s="30"/>
      <c r="J1329" s="152">
        <v>0</v>
      </c>
    </row>
    <row r="1330" spans="1:10" ht="15.75" hidden="1" thickBot="1" x14ac:dyDescent="0.3">
      <c r="A1330" s="170" t="s">
        <v>322</v>
      </c>
      <c r="B1330" s="173" t="str">
        <f>INDEX(Orçamentária!A:B,MATCH(Composições!A1330,Orçamentária!A:A,0),2)</f>
        <v>Porta toalha argola</v>
      </c>
      <c r="C1330" s="40"/>
      <c r="D1330" s="25" t="s">
        <v>16</v>
      </c>
      <c r="E1330" s="26"/>
      <c r="F1330" s="41" t="s">
        <v>416</v>
      </c>
      <c r="G1330" s="27" t="str">
        <f>IF(ISNUMBER(F1330),E1330*F1330,"")</f>
        <v/>
      </c>
      <c r="H1330" s="28"/>
      <c r="I1330" s="29"/>
      <c r="J1330" s="152">
        <v>0</v>
      </c>
    </row>
    <row r="1331" spans="1:10" ht="15.75" hidden="1" thickBot="1" x14ac:dyDescent="0.3">
      <c r="A1331" s="176"/>
      <c r="B1331" s="174"/>
      <c r="C1331" s="31"/>
      <c r="D1331" s="31"/>
      <c r="E1331" s="32"/>
      <c r="F1331" s="42" t="s">
        <v>416</v>
      </c>
      <c r="G1331" s="30" t="str">
        <f>IF(ISNUMBER(F1331),E1331*F1331,"")</f>
        <v/>
      </c>
      <c r="H1331" s="34"/>
      <c r="I1331" s="30"/>
      <c r="J1331" s="152">
        <v>0</v>
      </c>
    </row>
    <row r="1332" spans="1:10" ht="26.25" hidden="1" thickBot="1" x14ac:dyDescent="0.3">
      <c r="A1332" s="176"/>
      <c r="B1332" s="174"/>
      <c r="C1332" s="35" t="s">
        <v>323</v>
      </c>
      <c r="D1332" s="46" t="s">
        <v>107</v>
      </c>
      <c r="E1332" s="36">
        <v>1</v>
      </c>
      <c r="F1332" s="33" t="s">
        <v>416</v>
      </c>
      <c r="G1332" s="33" t="str">
        <f>IF(ISNUMBER(F1332),E1332*F1332,"")</f>
        <v/>
      </c>
      <c r="H1332" s="38">
        <f>SUM(G1332:G1334)</f>
        <v>10.488461699999998</v>
      </c>
      <c r="I1332" s="39"/>
      <c r="J1332" s="152">
        <v>0</v>
      </c>
    </row>
    <row r="1333" spans="1:10" ht="26.25" hidden="1" thickBot="1" x14ac:dyDescent="0.3">
      <c r="A1333" s="176"/>
      <c r="B1333" s="174"/>
      <c r="C1333" s="35" t="s">
        <v>825</v>
      </c>
      <c r="D1333" s="35" t="s">
        <v>583</v>
      </c>
      <c r="E1333" s="36">
        <v>0.31619999999999998</v>
      </c>
      <c r="F1333" s="30">
        <v>26.799499999999998</v>
      </c>
      <c r="G1333" s="33">
        <f>IF(ISNUMBER(F1333),E1333*F1333,"")</f>
        <v>8.4740018999999993</v>
      </c>
      <c r="H1333" s="34"/>
      <c r="I1333" s="30"/>
      <c r="J1333" s="152">
        <v>0</v>
      </c>
    </row>
    <row r="1334" spans="1:10" ht="15.75" hidden="1" thickBot="1" x14ac:dyDescent="0.3">
      <c r="A1334" s="176"/>
      <c r="B1334" s="174"/>
      <c r="C1334" s="35" t="s">
        <v>584</v>
      </c>
      <c r="D1334" s="35" t="s">
        <v>583</v>
      </c>
      <c r="E1334" s="36">
        <v>9.9599999999999994E-2</v>
      </c>
      <c r="F1334" s="30">
        <v>20.225499999999997</v>
      </c>
      <c r="G1334" s="33">
        <f>IF(ISNUMBER(F1334),E1334*F1334,"")</f>
        <v>2.0144597999999996</v>
      </c>
      <c r="H1334" s="34"/>
      <c r="I1334" s="30"/>
      <c r="J1334" s="152">
        <v>0</v>
      </c>
    </row>
    <row r="1335" spans="1:10" ht="15.75" hidden="1" thickBot="1" x14ac:dyDescent="0.3">
      <c r="A1335" s="177"/>
      <c r="B1335" s="175"/>
      <c r="C1335" s="35"/>
      <c r="D1335" s="35"/>
      <c r="E1335" s="36"/>
      <c r="F1335" s="30" t="s">
        <v>416</v>
      </c>
      <c r="G1335" s="30" t="str">
        <f>IF(ISNUMBER(F1335),E1335*F1335,"")</f>
        <v/>
      </c>
      <c r="H1335" s="34"/>
      <c r="I1335" s="30"/>
      <c r="J1335" s="152">
        <v>0</v>
      </c>
    </row>
    <row r="1336" spans="1:10" ht="15.75" hidden="1" thickBot="1" x14ac:dyDescent="0.3">
      <c r="A1336" s="170" t="s">
        <v>324</v>
      </c>
      <c r="B1336" s="173" t="str">
        <f>INDEX(Orçamentária!A:B,MATCH(Composições!A1336,Orçamentária!A:A,0),2)</f>
        <v>Porta toalha barra</v>
      </c>
      <c r="C1336" s="40"/>
      <c r="D1336" s="25" t="s">
        <v>16</v>
      </c>
      <c r="E1336" s="26"/>
      <c r="F1336" s="41" t="s">
        <v>416</v>
      </c>
      <c r="G1336" s="27" t="str">
        <f>IF(ISNUMBER(F1336),E1336*F1336,"")</f>
        <v/>
      </c>
      <c r="H1336" s="28"/>
      <c r="I1336" s="29"/>
      <c r="J1336" s="152">
        <v>0</v>
      </c>
    </row>
    <row r="1337" spans="1:10" ht="15.75" hidden="1" thickBot="1" x14ac:dyDescent="0.3">
      <c r="A1337" s="176"/>
      <c r="B1337" s="174"/>
      <c r="C1337" s="31"/>
      <c r="D1337" s="31"/>
      <c r="E1337" s="32"/>
      <c r="F1337" s="42" t="s">
        <v>416</v>
      </c>
      <c r="G1337" s="30" t="str">
        <f>IF(ISNUMBER(F1337),E1337*F1337,"")</f>
        <v/>
      </c>
      <c r="H1337" s="34"/>
      <c r="I1337" s="30"/>
      <c r="J1337" s="152">
        <v>0</v>
      </c>
    </row>
    <row r="1338" spans="1:10" ht="26.25" hidden="1" thickBot="1" x14ac:dyDescent="0.3">
      <c r="A1338" s="176"/>
      <c r="B1338" s="174"/>
      <c r="C1338" s="35" t="s">
        <v>325</v>
      </c>
      <c r="D1338" s="46" t="s">
        <v>107</v>
      </c>
      <c r="E1338" s="36">
        <v>1</v>
      </c>
      <c r="F1338" s="33" t="s">
        <v>416</v>
      </c>
      <c r="G1338" s="33" t="str">
        <f>IF(ISNUMBER(F1338),E1338*F1338,"")</f>
        <v/>
      </c>
      <c r="H1338" s="38">
        <f>SUM(G1338:G1340)</f>
        <v>20.974243449999996</v>
      </c>
      <c r="I1338" s="39"/>
      <c r="J1338" s="152">
        <v>0</v>
      </c>
    </row>
    <row r="1339" spans="1:10" ht="26.25" hidden="1" thickBot="1" x14ac:dyDescent="0.3">
      <c r="A1339" s="176"/>
      <c r="B1339" s="174"/>
      <c r="C1339" s="35" t="s">
        <v>825</v>
      </c>
      <c r="D1339" s="35" t="s">
        <v>583</v>
      </c>
      <c r="E1339" s="36">
        <v>0.63229999999999997</v>
      </c>
      <c r="F1339" s="30">
        <v>26.799499999999998</v>
      </c>
      <c r="G1339" s="33">
        <f>IF(ISNUMBER(F1339),E1339*F1339,"")</f>
        <v>16.945323849999998</v>
      </c>
      <c r="H1339" s="34"/>
      <c r="I1339" s="30"/>
      <c r="J1339" s="152">
        <v>0</v>
      </c>
    </row>
    <row r="1340" spans="1:10" ht="15.75" hidden="1" thickBot="1" x14ac:dyDescent="0.3">
      <c r="A1340" s="176"/>
      <c r="B1340" s="174"/>
      <c r="C1340" s="35" t="s">
        <v>584</v>
      </c>
      <c r="D1340" s="35" t="s">
        <v>583</v>
      </c>
      <c r="E1340" s="36">
        <v>0.19919999999999999</v>
      </c>
      <c r="F1340" s="30">
        <v>20.225499999999997</v>
      </c>
      <c r="G1340" s="33">
        <f>IF(ISNUMBER(F1340),E1340*F1340,"")</f>
        <v>4.0289195999999992</v>
      </c>
      <c r="H1340" s="34"/>
      <c r="I1340" s="30"/>
      <c r="J1340" s="152">
        <v>0</v>
      </c>
    </row>
    <row r="1341" spans="1:10" ht="15.75" hidden="1" thickBot="1" x14ac:dyDescent="0.3">
      <c r="A1341" s="177"/>
      <c r="B1341" s="175"/>
      <c r="C1341" s="35"/>
      <c r="D1341" s="35"/>
      <c r="E1341" s="36"/>
      <c r="F1341" s="30" t="s">
        <v>416</v>
      </c>
      <c r="G1341" s="30" t="str">
        <f>IF(ISNUMBER(F1341),E1341*F1341,"")</f>
        <v/>
      </c>
      <c r="H1341" s="34"/>
      <c r="I1341" s="30"/>
      <c r="J1341" s="152">
        <v>0</v>
      </c>
    </row>
    <row r="1342" spans="1:10" ht="15.75" hidden="1" thickBot="1" x14ac:dyDescent="0.3">
      <c r="A1342" s="170" t="s">
        <v>326</v>
      </c>
      <c r="B1342" s="173" t="str">
        <f>INDEX(Orçamentária!A:B,MATCH(Composições!A1342,Orçamentária!A:A,0),2)</f>
        <v>Caixa 4 x 2" de embutir para alvenaria</v>
      </c>
      <c r="C1342" s="40"/>
      <c r="D1342" s="25" t="s">
        <v>16</v>
      </c>
      <c r="E1342" s="26"/>
      <c r="F1342" s="41" t="s">
        <v>416</v>
      </c>
      <c r="G1342" s="27" t="str">
        <f>IF(ISNUMBER(F1342),E1342*F1342,"")</f>
        <v/>
      </c>
      <c r="H1342" s="28"/>
      <c r="I1342" s="29"/>
      <c r="J1342" s="152">
        <v>0</v>
      </c>
    </row>
    <row r="1343" spans="1:10" ht="15.75" hidden="1" thickBot="1" x14ac:dyDescent="0.3">
      <c r="A1343" s="176"/>
      <c r="B1343" s="174"/>
      <c r="C1343" s="31"/>
      <c r="D1343" s="31"/>
      <c r="E1343" s="32"/>
      <c r="F1343" s="42" t="s">
        <v>416</v>
      </c>
      <c r="G1343" s="30" t="str">
        <f>IF(ISNUMBER(F1343),E1343*F1343,"")</f>
        <v/>
      </c>
      <c r="H1343" s="34"/>
      <c r="I1343" s="30"/>
      <c r="J1343" s="152">
        <v>0</v>
      </c>
    </row>
    <row r="1344" spans="1:10" ht="15.75" hidden="1" thickBot="1" x14ac:dyDescent="0.3">
      <c r="A1344" s="176"/>
      <c r="B1344" s="174"/>
      <c r="C1344" s="35" t="s">
        <v>1017</v>
      </c>
      <c r="D1344" s="35" t="s">
        <v>583</v>
      </c>
      <c r="E1344" s="36">
        <v>0.14499999999999999</v>
      </c>
      <c r="F1344" s="30">
        <v>21.584</v>
      </c>
      <c r="G1344" s="33">
        <f>IF(ISNUMBER(F1344),E1344*F1344,"")</f>
        <v>3.1296799999999996</v>
      </c>
      <c r="H1344" s="38">
        <f>SUM(G1344:G1347)</f>
        <v>11.087574741029648</v>
      </c>
      <c r="I1344" s="39"/>
      <c r="J1344" s="152">
        <v>0</v>
      </c>
    </row>
    <row r="1345" spans="1:10" ht="15.75" hidden="1" thickBot="1" x14ac:dyDescent="0.3">
      <c r="A1345" s="176"/>
      <c r="B1345" s="174"/>
      <c r="C1345" s="35" t="s">
        <v>1018</v>
      </c>
      <c r="D1345" s="35" t="s">
        <v>583</v>
      </c>
      <c r="E1345" s="36">
        <v>0.14499999999999999</v>
      </c>
      <c r="F1345" s="30">
        <v>27.835000000000001</v>
      </c>
      <c r="G1345" s="33">
        <f>IF(ISNUMBER(F1345),E1345*F1345,"")</f>
        <v>4.0360749999999994</v>
      </c>
      <c r="H1345" s="34"/>
      <c r="I1345" s="30"/>
      <c r="J1345" s="152">
        <v>0</v>
      </c>
    </row>
    <row r="1346" spans="1:10" ht="26.25" hidden="1" thickBot="1" x14ac:dyDescent="0.3">
      <c r="A1346" s="176"/>
      <c r="B1346" s="174"/>
      <c r="C1346" s="35" t="s">
        <v>79</v>
      </c>
      <c r="D1346" s="35" t="s">
        <v>80</v>
      </c>
      <c r="E1346" s="36">
        <v>8.9999999999999998E-4</v>
      </c>
      <c r="F1346" s="33">
        <v>758.13304558849984</v>
      </c>
      <c r="G1346" s="33">
        <f>IF(ISNUMBER(F1346),E1346*F1346,"")</f>
        <v>0.68231974102964987</v>
      </c>
      <c r="H1346" s="34"/>
      <c r="I1346" s="30"/>
      <c r="J1346" s="152">
        <v>0</v>
      </c>
    </row>
    <row r="1347" spans="1:10" ht="26.25" hidden="1" thickBot="1" x14ac:dyDescent="0.3">
      <c r="A1347" s="176"/>
      <c r="B1347" s="174"/>
      <c r="C1347" s="35" t="s">
        <v>8035</v>
      </c>
      <c r="D1347" s="35" t="s">
        <v>213</v>
      </c>
      <c r="E1347" s="36">
        <v>1</v>
      </c>
      <c r="F1347" s="33">
        <v>3.2395</v>
      </c>
      <c r="G1347" s="30">
        <f>IF(ISNUMBER(F1347),E1347*F1347,"")</f>
        <v>3.2395</v>
      </c>
      <c r="H1347" s="34"/>
      <c r="I1347" s="30"/>
      <c r="J1347" s="152">
        <v>0</v>
      </c>
    </row>
    <row r="1348" spans="1:10" ht="15.75" hidden="1" thickBot="1" x14ac:dyDescent="0.3">
      <c r="A1348" s="177"/>
      <c r="B1348" s="175"/>
      <c r="C1348" s="35"/>
      <c r="D1348" s="35"/>
      <c r="E1348" s="36"/>
      <c r="F1348" s="30" t="s">
        <v>416</v>
      </c>
      <c r="G1348" s="30" t="str">
        <f>IF(ISNUMBER(F1348),E1348*F1348,"")</f>
        <v/>
      </c>
      <c r="H1348" s="34"/>
      <c r="I1348" s="30"/>
      <c r="J1348" s="152">
        <v>0</v>
      </c>
    </row>
    <row r="1349" spans="1:10" ht="15.75" hidden="1" thickBot="1" x14ac:dyDescent="0.3">
      <c r="A1349" s="170" t="s">
        <v>327</v>
      </c>
      <c r="B1349" s="173" t="str">
        <f>INDEX(Orçamentária!A:B,MATCH(Composições!A1349,Orçamentária!A:A,0),2)</f>
        <v>Caixa 4 x 2" para drywall</v>
      </c>
      <c r="C1349" s="40"/>
      <c r="D1349" s="25" t="s">
        <v>16</v>
      </c>
      <c r="E1349" s="26"/>
      <c r="F1349" s="41" t="s">
        <v>416</v>
      </c>
      <c r="G1349" s="27" t="str">
        <f>IF(ISNUMBER(F1349),E1349*F1349,"")</f>
        <v/>
      </c>
      <c r="H1349" s="28"/>
      <c r="I1349" s="29"/>
      <c r="J1349" s="152">
        <v>0</v>
      </c>
    </row>
    <row r="1350" spans="1:10" ht="15.75" hidden="1" thickBot="1" x14ac:dyDescent="0.3">
      <c r="A1350" s="176"/>
      <c r="B1350" s="174"/>
      <c r="C1350" s="31"/>
      <c r="D1350" s="31"/>
      <c r="E1350" s="32"/>
      <c r="F1350" s="42" t="s">
        <v>416</v>
      </c>
      <c r="G1350" s="30" t="str">
        <f>IF(ISNUMBER(F1350),E1350*F1350,"")</f>
        <v/>
      </c>
      <c r="H1350" s="34"/>
      <c r="I1350" s="30"/>
      <c r="J1350" s="152">
        <v>0</v>
      </c>
    </row>
    <row r="1351" spans="1:10" ht="15.75" hidden="1" thickBot="1" x14ac:dyDescent="0.3">
      <c r="A1351" s="176"/>
      <c r="B1351" s="174"/>
      <c r="C1351" s="35" t="s">
        <v>1017</v>
      </c>
      <c r="D1351" s="35" t="s">
        <v>583</v>
      </c>
      <c r="E1351" s="36">
        <v>0.14499999999999999</v>
      </c>
      <c r="F1351" s="30">
        <v>21.584</v>
      </c>
      <c r="G1351" s="33">
        <f>IF(ISNUMBER(F1351),E1351*F1351,"")</f>
        <v>3.1296799999999996</v>
      </c>
      <c r="H1351" s="38">
        <f>SUM(G1351:G1353)</f>
        <v>7.165754999999999</v>
      </c>
      <c r="I1351" s="39"/>
      <c r="J1351" s="152">
        <v>0</v>
      </c>
    </row>
    <row r="1352" spans="1:10" ht="15.75" hidden="1" thickBot="1" x14ac:dyDescent="0.3">
      <c r="A1352" s="176"/>
      <c r="B1352" s="174"/>
      <c r="C1352" s="35" t="s">
        <v>1018</v>
      </c>
      <c r="D1352" s="35" t="s">
        <v>583</v>
      </c>
      <c r="E1352" s="36">
        <v>0.14499999999999999</v>
      </c>
      <c r="F1352" s="30">
        <v>27.835000000000001</v>
      </c>
      <c r="G1352" s="33">
        <f>IF(ISNUMBER(F1352),E1352*F1352,"")</f>
        <v>4.0360749999999994</v>
      </c>
      <c r="H1352" s="34"/>
      <c r="I1352" s="30"/>
      <c r="J1352" s="152">
        <v>0</v>
      </c>
    </row>
    <row r="1353" spans="1:10" ht="15.75" hidden="1" thickBot="1" x14ac:dyDescent="0.3">
      <c r="A1353" s="176"/>
      <c r="B1353" s="174"/>
      <c r="C1353" s="35" t="s">
        <v>328</v>
      </c>
      <c r="D1353" s="35" t="s">
        <v>16</v>
      </c>
      <c r="E1353" s="36">
        <v>1</v>
      </c>
      <c r="F1353" s="33" t="s">
        <v>416</v>
      </c>
      <c r="G1353" s="30" t="str">
        <f>IF(ISNUMBER(F1353),E1353*F1353,"")</f>
        <v/>
      </c>
      <c r="H1353" s="34"/>
      <c r="I1353" s="30"/>
      <c r="J1353" s="152">
        <v>0</v>
      </c>
    </row>
    <row r="1354" spans="1:10" ht="15.75" hidden="1" thickBot="1" x14ac:dyDescent="0.3">
      <c r="A1354" s="177"/>
      <c r="B1354" s="175"/>
      <c r="C1354" s="35"/>
      <c r="D1354" s="35"/>
      <c r="E1354" s="36"/>
      <c r="F1354" s="30" t="s">
        <v>416</v>
      </c>
      <c r="G1354" s="30" t="str">
        <f>IF(ISNUMBER(F1354),E1354*F1354,"")</f>
        <v/>
      </c>
      <c r="H1354" s="34"/>
      <c r="I1354" s="30"/>
      <c r="J1354" s="152">
        <v>0</v>
      </c>
    </row>
    <row r="1355" spans="1:10" ht="15.75" hidden="1" thickBot="1" x14ac:dyDescent="0.3">
      <c r="A1355" s="170" t="s">
        <v>329</v>
      </c>
      <c r="B1355" s="173" t="str">
        <f>INDEX(Orçamentária!A:B,MATCH(Composições!A1355,Orçamentária!A:A,0),2)</f>
        <v>Caixa 4 x 4" de embutir para alvenaria</v>
      </c>
      <c r="C1355" s="40"/>
      <c r="D1355" s="25" t="s">
        <v>16</v>
      </c>
      <c r="E1355" s="26"/>
      <c r="F1355" s="41" t="s">
        <v>416</v>
      </c>
      <c r="G1355" s="27" t="str">
        <f>IF(ISNUMBER(F1355),E1355*F1355,"")</f>
        <v/>
      </c>
      <c r="H1355" s="28"/>
      <c r="I1355" s="29"/>
      <c r="J1355" s="152">
        <v>0</v>
      </c>
    </row>
    <row r="1356" spans="1:10" ht="15.75" hidden="1" thickBot="1" x14ac:dyDescent="0.3">
      <c r="A1356" s="176"/>
      <c r="B1356" s="174"/>
      <c r="C1356" s="31"/>
      <c r="D1356" s="31"/>
      <c r="E1356" s="32"/>
      <c r="F1356" s="42" t="s">
        <v>416</v>
      </c>
      <c r="G1356" s="30" t="str">
        <f>IF(ISNUMBER(F1356),E1356*F1356,"")</f>
        <v/>
      </c>
      <c r="H1356" s="34"/>
      <c r="I1356" s="30"/>
      <c r="J1356" s="152">
        <v>0</v>
      </c>
    </row>
    <row r="1357" spans="1:10" ht="15.75" hidden="1" thickBot="1" x14ac:dyDescent="0.3">
      <c r="A1357" s="176"/>
      <c r="B1357" s="174"/>
      <c r="C1357" s="35" t="s">
        <v>1017</v>
      </c>
      <c r="D1357" s="35" t="s">
        <v>583</v>
      </c>
      <c r="E1357" s="36">
        <v>0.16600000000000001</v>
      </c>
      <c r="F1357" s="30">
        <v>21.584</v>
      </c>
      <c r="G1357" s="33">
        <f>IF(ISNUMBER(F1357),E1357*F1357,"")</f>
        <v>3.5829439999999999</v>
      </c>
      <c r="H1357" s="38">
        <f>SUM(G1357:G1360)</f>
        <v>15.554313654706199</v>
      </c>
      <c r="I1357" s="39"/>
      <c r="J1357" s="152">
        <v>0</v>
      </c>
    </row>
    <row r="1358" spans="1:10" ht="15.75" hidden="1" thickBot="1" x14ac:dyDescent="0.3">
      <c r="A1358" s="176"/>
      <c r="B1358" s="174"/>
      <c r="C1358" s="35" t="s">
        <v>1018</v>
      </c>
      <c r="D1358" s="35" t="s">
        <v>583</v>
      </c>
      <c r="E1358" s="36">
        <v>0.16600000000000001</v>
      </c>
      <c r="F1358" s="30">
        <v>27.835000000000001</v>
      </c>
      <c r="G1358" s="33">
        <f>IF(ISNUMBER(F1358),E1358*F1358,"")</f>
        <v>4.6206100000000001</v>
      </c>
      <c r="H1358" s="34"/>
      <c r="I1358" s="30"/>
      <c r="J1358" s="152">
        <v>0</v>
      </c>
    </row>
    <row r="1359" spans="1:10" ht="26.25" hidden="1" thickBot="1" x14ac:dyDescent="0.3">
      <c r="A1359" s="176"/>
      <c r="B1359" s="174"/>
      <c r="C1359" s="35" t="s">
        <v>79</v>
      </c>
      <c r="D1359" s="35" t="s">
        <v>80</v>
      </c>
      <c r="E1359" s="36">
        <v>1.1999999999999999E-3</v>
      </c>
      <c r="F1359" s="33">
        <v>758.13304558849984</v>
      </c>
      <c r="G1359" s="33">
        <f>IF(ISNUMBER(F1359),E1359*F1359,"")</f>
        <v>0.90975965470619968</v>
      </c>
      <c r="H1359" s="34"/>
      <c r="I1359" s="30"/>
      <c r="J1359" s="152">
        <v>0</v>
      </c>
    </row>
    <row r="1360" spans="1:10" ht="26.25" hidden="1" thickBot="1" x14ac:dyDescent="0.3">
      <c r="A1360" s="176"/>
      <c r="B1360" s="174"/>
      <c r="C1360" s="35" t="s">
        <v>8036</v>
      </c>
      <c r="D1360" s="35" t="s">
        <v>213</v>
      </c>
      <c r="E1360" s="36">
        <v>1</v>
      </c>
      <c r="F1360" s="33">
        <v>6.4409999999999998</v>
      </c>
      <c r="G1360" s="30">
        <f>IF(ISNUMBER(F1360),E1360*F1360,"")</f>
        <v>6.4409999999999998</v>
      </c>
      <c r="H1360" s="34"/>
      <c r="I1360" s="30"/>
      <c r="J1360" s="152">
        <v>0</v>
      </c>
    </row>
    <row r="1361" spans="1:10" ht="15.75" hidden="1" thickBot="1" x14ac:dyDescent="0.3">
      <c r="A1361" s="177"/>
      <c r="B1361" s="175"/>
      <c r="C1361" s="35"/>
      <c r="D1361" s="35"/>
      <c r="E1361" s="36"/>
      <c r="F1361" s="30" t="s">
        <v>416</v>
      </c>
      <c r="G1361" s="30" t="str">
        <f>IF(ISNUMBER(F1361),E1361*F1361,"")</f>
        <v/>
      </c>
      <c r="H1361" s="34"/>
      <c r="I1361" s="30"/>
      <c r="J1361" s="152">
        <v>0</v>
      </c>
    </row>
    <row r="1362" spans="1:10" ht="15.75" hidden="1" thickBot="1" x14ac:dyDescent="0.3">
      <c r="A1362" s="170" t="s">
        <v>330</v>
      </c>
      <c r="B1362" s="173" t="str">
        <f>INDEX(Orçamentária!A:B,MATCH(Composições!A1362,Orçamentária!A:A,0),2)</f>
        <v>Caixa 4 x 4" para drywall</v>
      </c>
      <c r="C1362" s="40"/>
      <c r="D1362" s="25" t="s">
        <v>16</v>
      </c>
      <c r="E1362" s="26"/>
      <c r="F1362" s="41" t="s">
        <v>416</v>
      </c>
      <c r="G1362" s="27" t="str">
        <f>IF(ISNUMBER(F1362),E1362*F1362,"")</f>
        <v/>
      </c>
      <c r="H1362" s="28"/>
      <c r="I1362" s="29"/>
      <c r="J1362" s="152">
        <v>0</v>
      </c>
    </row>
    <row r="1363" spans="1:10" ht="15.75" hidden="1" thickBot="1" x14ac:dyDescent="0.3">
      <c r="A1363" s="176"/>
      <c r="B1363" s="174"/>
      <c r="C1363" s="31"/>
      <c r="D1363" s="31"/>
      <c r="E1363" s="32"/>
      <c r="F1363" s="42" t="s">
        <v>416</v>
      </c>
      <c r="G1363" s="30" t="str">
        <f>IF(ISNUMBER(F1363),E1363*F1363,"")</f>
        <v/>
      </c>
      <c r="H1363" s="34"/>
      <c r="I1363" s="30"/>
      <c r="J1363" s="152">
        <v>0</v>
      </c>
    </row>
    <row r="1364" spans="1:10" ht="15.75" hidden="1" thickBot="1" x14ac:dyDescent="0.3">
      <c r="A1364" s="176"/>
      <c r="B1364" s="174"/>
      <c r="C1364" s="35" t="s">
        <v>1017</v>
      </c>
      <c r="D1364" s="35" t="s">
        <v>583</v>
      </c>
      <c r="E1364" s="36">
        <v>0.16600000000000001</v>
      </c>
      <c r="F1364" s="30">
        <v>21.584</v>
      </c>
      <c r="G1364" s="33">
        <f>IF(ISNUMBER(F1364),E1364*F1364,"")</f>
        <v>3.5829439999999999</v>
      </c>
      <c r="H1364" s="38">
        <f>SUM(G1364:G1366)</f>
        <v>8.2035540000000005</v>
      </c>
      <c r="I1364" s="39"/>
      <c r="J1364" s="152">
        <v>0</v>
      </c>
    </row>
    <row r="1365" spans="1:10" ht="15.75" hidden="1" thickBot="1" x14ac:dyDescent="0.3">
      <c r="A1365" s="176"/>
      <c r="B1365" s="174"/>
      <c r="C1365" s="35" t="s">
        <v>1018</v>
      </c>
      <c r="D1365" s="35" t="s">
        <v>583</v>
      </c>
      <c r="E1365" s="36">
        <v>0.16600000000000001</v>
      </c>
      <c r="F1365" s="30">
        <v>27.835000000000001</v>
      </c>
      <c r="G1365" s="33">
        <f>IF(ISNUMBER(F1365),E1365*F1365,"")</f>
        <v>4.6206100000000001</v>
      </c>
      <c r="H1365" s="34"/>
      <c r="I1365" s="30"/>
      <c r="J1365" s="152">
        <v>0</v>
      </c>
    </row>
    <row r="1366" spans="1:10" ht="15.75" hidden="1" thickBot="1" x14ac:dyDescent="0.3">
      <c r="A1366" s="176"/>
      <c r="B1366" s="174"/>
      <c r="C1366" s="35" t="s">
        <v>331</v>
      </c>
      <c r="D1366" s="35" t="s">
        <v>16</v>
      </c>
      <c r="E1366" s="36">
        <v>1</v>
      </c>
      <c r="F1366" s="33" t="s">
        <v>416</v>
      </c>
      <c r="G1366" s="30" t="str">
        <f>IF(ISNUMBER(F1366),E1366*F1366,"")</f>
        <v/>
      </c>
      <c r="H1366" s="34"/>
      <c r="I1366" s="30"/>
      <c r="J1366" s="152">
        <v>0</v>
      </c>
    </row>
    <row r="1367" spans="1:10" ht="15.75" hidden="1" thickBot="1" x14ac:dyDescent="0.3">
      <c r="A1367" s="177"/>
      <c r="B1367" s="175"/>
      <c r="C1367" s="35"/>
      <c r="D1367" s="35"/>
      <c r="E1367" s="36"/>
      <c r="F1367" s="30" t="s">
        <v>416</v>
      </c>
      <c r="G1367" s="30" t="str">
        <f>IF(ISNUMBER(F1367),E1367*F1367,"")</f>
        <v/>
      </c>
      <c r="H1367" s="34"/>
      <c r="I1367" s="30"/>
      <c r="J1367" s="152">
        <v>0</v>
      </c>
    </row>
    <row r="1368" spans="1:10" ht="15.75" hidden="1" thickBot="1" x14ac:dyDescent="0.3">
      <c r="A1368" s="170" t="s">
        <v>332</v>
      </c>
      <c r="B1368" s="173" t="str">
        <f>INDEX(Orçamentária!A:B,MATCH(Composições!A1368,Orçamentária!A:A,0),2)</f>
        <v>Caixa de passagem em alumínio 100 x 100 x 50 mm</v>
      </c>
      <c r="C1368" s="40"/>
      <c r="D1368" s="25" t="s">
        <v>16</v>
      </c>
      <c r="E1368" s="26"/>
      <c r="F1368" s="41" t="s">
        <v>416</v>
      </c>
      <c r="G1368" s="27" t="str">
        <f>IF(ISNUMBER(F1368),E1368*F1368,"")</f>
        <v/>
      </c>
      <c r="H1368" s="28"/>
      <c r="I1368" s="29"/>
      <c r="J1368" s="152">
        <v>0</v>
      </c>
    </row>
    <row r="1369" spans="1:10" ht="15.75" hidden="1" thickBot="1" x14ac:dyDescent="0.3">
      <c r="A1369" s="176"/>
      <c r="B1369" s="174"/>
      <c r="C1369" s="31"/>
      <c r="D1369" s="31"/>
      <c r="E1369" s="32"/>
      <c r="F1369" s="42" t="s">
        <v>416</v>
      </c>
      <c r="G1369" s="30" t="str">
        <f>IF(ISNUMBER(F1369),E1369*F1369,"")</f>
        <v/>
      </c>
      <c r="H1369" s="34"/>
      <c r="I1369" s="30"/>
      <c r="J1369" s="152">
        <v>0</v>
      </c>
    </row>
    <row r="1370" spans="1:10" ht="15.75" hidden="1" thickBot="1" x14ac:dyDescent="0.3">
      <c r="A1370" s="176"/>
      <c r="B1370" s="174"/>
      <c r="C1370" s="35" t="s">
        <v>1017</v>
      </c>
      <c r="D1370" s="35" t="s">
        <v>583</v>
      </c>
      <c r="E1370" s="36">
        <v>0.34599999999999997</v>
      </c>
      <c r="F1370" s="30">
        <v>21.584</v>
      </c>
      <c r="G1370" s="33">
        <f>IF(ISNUMBER(F1370),E1370*F1370,"")</f>
        <v>7.4680639999999991</v>
      </c>
      <c r="H1370" s="38">
        <f>SUM(G1370:G1372)</f>
        <v>17.098973999999998</v>
      </c>
      <c r="I1370" s="39"/>
      <c r="J1370" s="152">
        <v>0</v>
      </c>
    </row>
    <row r="1371" spans="1:10" ht="15.75" hidden="1" thickBot="1" x14ac:dyDescent="0.3">
      <c r="A1371" s="176"/>
      <c r="B1371" s="174"/>
      <c r="C1371" s="35" t="s">
        <v>1018</v>
      </c>
      <c r="D1371" s="35" t="s">
        <v>583</v>
      </c>
      <c r="E1371" s="36">
        <v>0.34599999999999997</v>
      </c>
      <c r="F1371" s="30">
        <v>27.835000000000001</v>
      </c>
      <c r="G1371" s="33">
        <f>IF(ISNUMBER(F1371),E1371*F1371,"")</f>
        <v>9.6309100000000001</v>
      </c>
      <c r="H1371" s="34"/>
      <c r="I1371" s="30"/>
      <c r="J1371" s="152">
        <v>0</v>
      </c>
    </row>
    <row r="1372" spans="1:10" ht="15.75" hidden="1" thickBot="1" x14ac:dyDescent="0.3">
      <c r="A1372" s="176"/>
      <c r="B1372" s="174"/>
      <c r="C1372" s="35" t="s">
        <v>333</v>
      </c>
      <c r="D1372" s="35" t="s">
        <v>69</v>
      </c>
      <c r="E1372" s="36">
        <v>1</v>
      </c>
      <c r="F1372" s="33" t="s">
        <v>416</v>
      </c>
      <c r="G1372" s="33" t="str">
        <f>IF(ISNUMBER(F1372),E1372*F1372,"")</f>
        <v/>
      </c>
      <c r="H1372" s="34"/>
      <c r="I1372" s="30"/>
      <c r="J1372" s="152">
        <v>0</v>
      </c>
    </row>
    <row r="1373" spans="1:10" ht="15.75" hidden="1" thickBot="1" x14ac:dyDescent="0.3">
      <c r="A1373" s="177"/>
      <c r="B1373" s="175"/>
      <c r="C1373" s="35"/>
      <c r="D1373" s="35"/>
      <c r="E1373" s="36"/>
      <c r="F1373" s="30" t="s">
        <v>416</v>
      </c>
      <c r="G1373" s="30" t="str">
        <f>IF(ISNUMBER(F1373),E1373*F1373,"")</f>
        <v/>
      </c>
      <c r="H1373" s="34"/>
      <c r="I1373" s="30"/>
      <c r="J1373" s="152">
        <v>0</v>
      </c>
    </row>
    <row r="1374" spans="1:10" ht="15.75" hidden="1" thickBot="1" x14ac:dyDescent="0.3">
      <c r="A1374" s="170" t="s">
        <v>334</v>
      </c>
      <c r="B1374" s="173" t="str">
        <f>INDEX(Orçamentária!A:B,MATCH(Composições!A1374,Orçamentária!A:A,0),2)</f>
        <v>Caixa de passagem em alumínio 200 x 200 x 100mm</v>
      </c>
      <c r="C1374" s="40"/>
      <c r="D1374" s="25" t="s">
        <v>16</v>
      </c>
      <c r="E1374" s="26"/>
      <c r="F1374" s="41" t="s">
        <v>416</v>
      </c>
      <c r="G1374" s="27" t="str">
        <f>IF(ISNUMBER(F1374),E1374*F1374,"")</f>
        <v/>
      </c>
      <c r="H1374" s="28"/>
      <c r="I1374" s="29"/>
      <c r="J1374" s="152">
        <v>0</v>
      </c>
    </row>
    <row r="1375" spans="1:10" ht="15.75" hidden="1" thickBot="1" x14ac:dyDescent="0.3">
      <c r="A1375" s="176"/>
      <c r="B1375" s="174"/>
      <c r="C1375" s="31"/>
      <c r="D1375" s="31"/>
      <c r="E1375" s="32"/>
      <c r="F1375" s="42" t="s">
        <v>416</v>
      </c>
      <c r="G1375" s="30" t="str">
        <f>IF(ISNUMBER(F1375),E1375*F1375,"")</f>
        <v/>
      </c>
      <c r="H1375" s="34"/>
      <c r="I1375" s="30"/>
      <c r="J1375" s="152">
        <v>0</v>
      </c>
    </row>
    <row r="1376" spans="1:10" ht="15.75" hidden="1" thickBot="1" x14ac:dyDescent="0.3">
      <c r="A1376" s="176"/>
      <c r="B1376" s="174"/>
      <c r="C1376" s="35" t="s">
        <v>1017</v>
      </c>
      <c r="D1376" s="35" t="s">
        <v>583</v>
      </c>
      <c r="E1376" s="36">
        <v>0.34599999999999997</v>
      </c>
      <c r="F1376" s="30">
        <v>21.584</v>
      </c>
      <c r="G1376" s="33">
        <f>IF(ISNUMBER(F1376),E1376*F1376,"")</f>
        <v>7.4680639999999991</v>
      </c>
      <c r="H1376" s="38">
        <f>SUM(G1376:G1379)</f>
        <v>17.098973999999998</v>
      </c>
      <c r="I1376" s="39"/>
      <c r="J1376" s="152">
        <v>0</v>
      </c>
    </row>
    <row r="1377" spans="1:10" ht="15.75" hidden="1" thickBot="1" x14ac:dyDescent="0.3">
      <c r="A1377" s="176"/>
      <c r="B1377" s="174"/>
      <c r="C1377" s="35" t="s">
        <v>1018</v>
      </c>
      <c r="D1377" s="35" t="s">
        <v>583</v>
      </c>
      <c r="E1377" s="36">
        <v>0.34599999999999997</v>
      </c>
      <c r="F1377" s="30">
        <v>27.835000000000001</v>
      </c>
      <c r="G1377" s="33">
        <f>IF(ISNUMBER(F1377),E1377*F1377,"")</f>
        <v>9.6309100000000001</v>
      </c>
      <c r="H1377" s="34"/>
      <c r="I1377" s="30"/>
      <c r="J1377" s="152">
        <v>0</v>
      </c>
    </row>
    <row r="1378" spans="1:10" ht="15.75" hidden="1" thickBot="1" x14ac:dyDescent="0.3">
      <c r="A1378" s="176"/>
      <c r="B1378" s="174"/>
      <c r="C1378" s="35" t="s">
        <v>335</v>
      </c>
      <c r="D1378" s="35" t="s">
        <v>69</v>
      </c>
      <c r="E1378" s="36">
        <v>1</v>
      </c>
      <c r="F1378" s="33" t="s">
        <v>416</v>
      </c>
      <c r="G1378" s="33" t="str">
        <f>IF(ISNUMBER(F1378),E1378*F1378,"")</f>
        <v/>
      </c>
      <c r="H1378" s="34"/>
      <c r="I1378" s="30"/>
      <c r="J1378" s="152">
        <v>0</v>
      </c>
    </row>
    <row r="1379" spans="1:10" ht="15.75" hidden="1" thickBot="1" x14ac:dyDescent="0.3">
      <c r="A1379" s="176"/>
      <c r="B1379" s="174"/>
      <c r="C1379" s="35" t="s">
        <v>5786</v>
      </c>
      <c r="D1379" s="35" t="s">
        <v>16</v>
      </c>
      <c r="E1379" s="36">
        <v>2</v>
      </c>
      <c r="F1379" s="33" t="s">
        <v>416</v>
      </c>
      <c r="G1379" s="33" t="str">
        <f>IF(ISNUMBER(F1379),E1379*F1379,"")</f>
        <v/>
      </c>
      <c r="H1379" s="34"/>
      <c r="I1379" s="30"/>
      <c r="J1379" s="152">
        <v>0</v>
      </c>
    </row>
    <row r="1380" spans="1:10" ht="15.75" hidden="1" thickBot="1" x14ac:dyDescent="0.3">
      <c r="A1380" s="177"/>
      <c r="B1380" s="175"/>
      <c r="C1380" s="35"/>
      <c r="D1380" s="35"/>
      <c r="E1380" s="36"/>
      <c r="F1380" s="30" t="s">
        <v>416</v>
      </c>
      <c r="G1380" s="30" t="str">
        <f>IF(ISNUMBER(F1380),E1380*F1380,"")</f>
        <v/>
      </c>
      <c r="H1380" s="34"/>
      <c r="I1380" s="30"/>
      <c r="J1380" s="152">
        <v>0</v>
      </c>
    </row>
    <row r="1381" spans="1:10" ht="15.75" hidden="1" thickBot="1" x14ac:dyDescent="0.3">
      <c r="A1381" s="170" t="s">
        <v>336</v>
      </c>
      <c r="B1381" s="173" t="str">
        <f>INDEX(Orçamentária!A:B,MATCH(Composições!A1381,Orçamentária!A:A,0),2)</f>
        <v>Caixa de passagem em PVC 150 x 150 x 75 mm</v>
      </c>
      <c r="C1381" s="40"/>
      <c r="D1381" s="25" t="s">
        <v>16</v>
      </c>
      <c r="E1381" s="26"/>
      <c r="F1381" s="41" t="s">
        <v>416</v>
      </c>
      <c r="G1381" s="27" t="str">
        <f>IF(ISNUMBER(F1381),E1381*F1381,"")</f>
        <v/>
      </c>
      <c r="H1381" s="28"/>
      <c r="I1381" s="29"/>
      <c r="J1381" s="152">
        <v>0</v>
      </c>
    </row>
    <row r="1382" spans="1:10" ht="15.75" hidden="1" thickBot="1" x14ac:dyDescent="0.3">
      <c r="A1382" s="176"/>
      <c r="B1382" s="174"/>
      <c r="C1382" s="31"/>
      <c r="D1382" s="31"/>
      <c r="E1382" s="32"/>
      <c r="F1382" s="42" t="s">
        <v>416</v>
      </c>
      <c r="G1382" s="30" t="str">
        <f>IF(ISNUMBER(F1382),E1382*F1382,"")</f>
        <v/>
      </c>
      <c r="H1382" s="34"/>
      <c r="I1382" s="30"/>
      <c r="J1382" s="152">
        <v>0</v>
      </c>
    </row>
    <row r="1383" spans="1:10" ht="15.75" hidden="1" thickBot="1" x14ac:dyDescent="0.3">
      <c r="A1383" s="176"/>
      <c r="B1383" s="174"/>
      <c r="C1383" s="35" t="s">
        <v>1018</v>
      </c>
      <c r="D1383" s="35" t="s">
        <v>583</v>
      </c>
      <c r="E1383" s="36">
        <v>0.34599999999999997</v>
      </c>
      <c r="F1383" s="30">
        <v>27.835000000000001</v>
      </c>
      <c r="G1383" s="33">
        <f>IF(ISNUMBER(F1383),E1383*F1383,"")</f>
        <v>9.6309100000000001</v>
      </c>
      <c r="H1383" s="38">
        <f>SUM(G1383:G1385)</f>
        <v>73.343932999999993</v>
      </c>
      <c r="I1383" s="39"/>
      <c r="J1383" s="152">
        <v>0</v>
      </c>
    </row>
    <row r="1384" spans="1:10" ht="15.75" hidden="1" thickBot="1" x14ac:dyDescent="0.3">
      <c r="A1384" s="176"/>
      <c r="B1384" s="174"/>
      <c r="C1384" s="35" t="s">
        <v>584</v>
      </c>
      <c r="D1384" s="35" t="s">
        <v>583</v>
      </c>
      <c r="E1384" s="36">
        <v>0.34599999999999997</v>
      </c>
      <c r="F1384" s="30">
        <v>20.225499999999997</v>
      </c>
      <c r="G1384" s="33">
        <f>IF(ISNUMBER(F1384),E1384*F1384,"")</f>
        <v>6.9980229999999981</v>
      </c>
      <c r="H1384" s="34"/>
      <c r="I1384" s="30"/>
      <c r="J1384" s="152">
        <v>0</v>
      </c>
    </row>
    <row r="1385" spans="1:10" ht="26.25" hidden="1" thickBot="1" x14ac:dyDescent="0.3">
      <c r="A1385" s="176"/>
      <c r="B1385" s="174"/>
      <c r="C1385" s="35" t="s">
        <v>337</v>
      </c>
      <c r="D1385" s="35" t="s">
        <v>213</v>
      </c>
      <c r="E1385" s="36">
        <v>1</v>
      </c>
      <c r="F1385" s="33">
        <v>56.715000000000003</v>
      </c>
      <c r="G1385" s="30">
        <f>IF(ISNUMBER(F1385),E1385*F1385,"")</f>
        <v>56.715000000000003</v>
      </c>
      <c r="H1385" s="34"/>
      <c r="I1385" s="30"/>
      <c r="J1385" s="152">
        <v>0</v>
      </c>
    </row>
    <row r="1386" spans="1:10" ht="15.75" hidden="1" thickBot="1" x14ac:dyDescent="0.3">
      <c r="A1386" s="177"/>
      <c r="B1386" s="175"/>
      <c r="C1386" s="35"/>
      <c r="D1386" s="35"/>
      <c r="E1386" s="36"/>
      <c r="F1386" s="30" t="s">
        <v>416</v>
      </c>
      <c r="G1386" s="30" t="str">
        <f>IF(ISNUMBER(F1386),E1386*F1386,"")</f>
        <v/>
      </c>
      <c r="H1386" s="34"/>
      <c r="I1386" s="30"/>
      <c r="J1386" s="152">
        <v>0</v>
      </c>
    </row>
    <row r="1387" spans="1:10" ht="15.75" hidden="1" thickBot="1" x14ac:dyDescent="0.3">
      <c r="A1387" s="170" t="s">
        <v>338</v>
      </c>
      <c r="B1387" s="173" t="str">
        <f>INDEX(Orçamentária!A:B,MATCH(Composições!A1387,Orçamentária!A:A,0),2)</f>
        <v>Caixa para piso elevado</v>
      </c>
      <c r="C1387" s="40"/>
      <c r="D1387" s="25" t="s">
        <v>16</v>
      </c>
      <c r="E1387" s="26"/>
      <c r="F1387" s="41" t="s">
        <v>416</v>
      </c>
      <c r="G1387" s="27" t="str">
        <f>IF(ISNUMBER(F1387),E1387*F1387,"")</f>
        <v/>
      </c>
      <c r="H1387" s="28"/>
      <c r="I1387" s="29"/>
      <c r="J1387" s="152">
        <v>0</v>
      </c>
    </row>
    <row r="1388" spans="1:10" ht="15.75" hidden="1" thickBot="1" x14ac:dyDescent="0.3">
      <c r="A1388" s="176"/>
      <c r="B1388" s="174"/>
      <c r="C1388" s="31"/>
      <c r="D1388" s="31"/>
      <c r="E1388" s="32"/>
      <c r="F1388" s="42" t="s">
        <v>416</v>
      </c>
      <c r="G1388" s="30" t="str">
        <f>IF(ISNUMBER(F1388),E1388*F1388,"")</f>
        <v/>
      </c>
      <c r="H1388" s="34"/>
      <c r="I1388" s="30"/>
      <c r="J1388" s="152">
        <v>0</v>
      </c>
    </row>
    <row r="1389" spans="1:10" ht="15.75" hidden="1" thickBot="1" x14ac:dyDescent="0.3">
      <c r="A1389" s="176"/>
      <c r="B1389" s="174"/>
      <c r="C1389" s="35" t="s">
        <v>1018</v>
      </c>
      <c r="D1389" s="35" t="s">
        <v>583</v>
      </c>
      <c r="E1389" s="36">
        <v>0.34599999999999997</v>
      </c>
      <c r="F1389" s="30">
        <v>27.835000000000001</v>
      </c>
      <c r="G1389" s="30">
        <f>IF(ISNUMBER(F1389),E1389*F1389,"")</f>
        <v>9.6309100000000001</v>
      </c>
      <c r="H1389" s="38">
        <f>SUM(G1389:G1391)</f>
        <v>17.098973999999998</v>
      </c>
      <c r="I1389" s="39"/>
      <c r="J1389" s="152">
        <v>0</v>
      </c>
    </row>
    <row r="1390" spans="1:10" ht="15.75" hidden="1" thickBot="1" x14ac:dyDescent="0.3">
      <c r="A1390" s="176"/>
      <c r="B1390" s="174"/>
      <c r="C1390" s="35" t="s">
        <v>1017</v>
      </c>
      <c r="D1390" s="35" t="s">
        <v>583</v>
      </c>
      <c r="E1390" s="36">
        <v>0.34599999999999997</v>
      </c>
      <c r="F1390" s="30">
        <v>21.584</v>
      </c>
      <c r="G1390" s="30">
        <f>IF(ISNUMBER(F1390),E1390*F1390,"")</f>
        <v>7.4680639999999991</v>
      </c>
      <c r="H1390" s="34"/>
      <c r="I1390" s="30"/>
      <c r="J1390" s="152">
        <v>0</v>
      </c>
    </row>
    <row r="1391" spans="1:10" ht="26.25" hidden="1" thickBot="1" x14ac:dyDescent="0.3">
      <c r="A1391" s="176"/>
      <c r="B1391" s="174"/>
      <c r="C1391" s="35" t="s">
        <v>339</v>
      </c>
      <c r="D1391" s="46" t="s">
        <v>16</v>
      </c>
      <c r="E1391" s="36">
        <v>1</v>
      </c>
      <c r="F1391" s="33" t="s">
        <v>416</v>
      </c>
      <c r="G1391" s="30" t="str">
        <f>IF(ISNUMBER(F1391),E1391*F1391,"")</f>
        <v/>
      </c>
      <c r="H1391" s="34"/>
      <c r="I1391" s="30"/>
      <c r="J1391" s="152">
        <v>0</v>
      </c>
    </row>
    <row r="1392" spans="1:10" ht="15.75" hidden="1" thickBot="1" x14ac:dyDescent="0.3">
      <c r="A1392" s="176"/>
      <c r="B1392" s="174"/>
      <c r="C1392" s="35"/>
      <c r="D1392" s="46"/>
      <c r="E1392" s="36"/>
      <c r="F1392" s="33" t="s">
        <v>416</v>
      </c>
      <c r="G1392" s="30" t="str">
        <f>IF(ISNUMBER(F1392),E1392*F1392,"")</f>
        <v/>
      </c>
      <c r="H1392" s="34"/>
      <c r="I1392" s="30"/>
      <c r="J1392" s="152">
        <v>0</v>
      </c>
    </row>
    <row r="1393" spans="1:10" ht="15.75" hidden="1" thickBot="1" x14ac:dyDescent="0.3">
      <c r="A1393" s="170" t="s">
        <v>340</v>
      </c>
      <c r="B1393" s="173" t="str">
        <f>INDEX(Orçamentária!A:B,MATCH(Composições!A1393,Orçamentária!A:A,0),2)</f>
        <v>Canaleta em alumínio aparente 73 mm x 25 mm</v>
      </c>
      <c r="C1393" s="40"/>
      <c r="D1393" s="25" t="s">
        <v>69</v>
      </c>
      <c r="E1393" s="26"/>
      <c r="F1393" s="41" t="s">
        <v>416</v>
      </c>
      <c r="G1393" s="27" t="str">
        <f>IF(ISNUMBER(F1393),E1393*F1393,"")</f>
        <v/>
      </c>
      <c r="H1393" s="28"/>
      <c r="I1393" s="29"/>
      <c r="J1393" s="152">
        <v>0</v>
      </c>
    </row>
    <row r="1394" spans="1:10" ht="15.75" hidden="1" thickBot="1" x14ac:dyDescent="0.3">
      <c r="A1394" s="176"/>
      <c r="B1394" s="174"/>
      <c r="C1394" s="31"/>
      <c r="D1394" s="31"/>
      <c r="E1394" s="32"/>
      <c r="F1394" s="42" t="s">
        <v>416</v>
      </c>
      <c r="G1394" s="30" t="str">
        <f>IF(ISNUMBER(F1394),E1394*F1394,"")</f>
        <v/>
      </c>
      <c r="H1394" s="34"/>
      <c r="I1394" s="30"/>
      <c r="J1394" s="152">
        <v>0</v>
      </c>
    </row>
    <row r="1395" spans="1:10" ht="26.25" hidden="1" thickBot="1" x14ac:dyDescent="0.3">
      <c r="A1395" s="176"/>
      <c r="B1395" s="174"/>
      <c r="C1395" s="35" t="s">
        <v>341</v>
      </c>
      <c r="D1395" s="35" t="s">
        <v>69</v>
      </c>
      <c r="E1395" s="36">
        <v>1.1499999999999999</v>
      </c>
      <c r="F1395" s="33" t="s">
        <v>416</v>
      </c>
      <c r="G1395" s="33" t="str">
        <f>IF(ISNUMBER(F1395),E1395*F1395,"")</f>
        <v/>
      </c>
      <c r="H1395" s="38">
        <f>SUM(G1395:G1397)</f>
        <v>8.8954199999999997</v>
      </c>
      <c r="I1395" s="39"/>
      <c r="J1395" s="152">
        <v>0</v>
      </c>
    </row>
    <row r="1396" spans="1:10" ht="15.75" hidden="1" thickBot="1" x14ac:dyDescent="0.3">
      <c r="A1396" s="176"/>
      <c r="B1396" s="174"/>
      <c r="C1396" s="35" t="s">
        <v>1017</v>
      </c>
      <c r="D1396" s="35" t="s">
        <v>583</v>
      </c>
      <c r="E1396" s="36">
        <v>0.18</v>
      </c>
      <c r="F1396" s="30">
        <v>21.584</v>
      </c>
      <c r="G1396" s="33">
        <f>IF(ISNUMBER(F1396),E1396*F1396,"")</f>
        <v>3.8851199999999997</v>
      </c>
      <c r="H1396" s="34"/>
      <c r="I1396" s="30"/>
      <c r="J1396" s="152">
        <v>0</v>
      </c>
    </row>
    <row r="1397" spans="1:10" ht="15.75" hidden="1" thickBot="1" x14ac:dyDescent="0.3">
      <c r="A1397" s="176"/>
      <c r="B1397" s="174"/>
      <c r="C1397" s="35" t="s">
        <v>1018</v>
      </c>
      <c r="D1397" s="35" t="s">
        <v>583</v>
      </c>
      <c r="E1397" s="36">
        <v>0.18</v>
      </c>
      <c r="F1397" s="30">
        <v>27.835000000000001</v>
      </c>
      <c r="G1397" s="33">
        <f>IF(ISNUMBER(F1397),E1397*F1397,"")</f>
        <v>5.0103</v>
      </c>
      <c r="H1397" s="34"/>
      <c r="I1397" s="30"/>
      <c r="J1397" s="152">
        <v>0</v>
      </c>
    </row>
    <row r="1398" spans="1:10" ht="15.75" hidden="1" thickBot="1" x14ac:dyDescent="0.3">
      <c r="A1398" s="177"/>
      <c r="B1398" s="175"/>
      <c r="C1398" s="35"/>
      <c r="D1398" s="35"/>
      <c r="E1398" s="36"/>
      <c r="F1398" s="30" t="s">
        <v>416</v>
      </c>
      <c r="G1398" s="30" t="str">
        <f>IF(ISNUMBER(F1398),E1398*F1398,"")</f>
        <v/>
      </c>
      <c r="H1398" s="34"/>
      <c r="I1398" s="30"/>
      <c r="J1398" s="152">
        <v>0</v>
      </c>
    </row>
    <row r="1399" spans="1:10" ht="15.75" hidden="1" thickBot="1" x14ac:dyDescent="0.3">
      <c r="A1399" s="170" t="s">
        <v>342</v>
      </c>
      <c r="B1399" s="173" t="str">
        <f>INDEX(Orçamentária!A:B,MATCH(Composições!A1399,Orçamentária!A:A,0),2)</f>
        <v>Condulete de alumínio de 1"</v>
      </c>
      <c r="C1399" s="40"/>
      <c r="D1399" s="25" t="s">
        <v>16</v>
      </c>
      <c r="E1399" s="26"/>
      <c r="F1399" s="41" t="s">
        <v>416</v>
      </c>
      <c r="G1399" s="27" t="str">
        <f>IF(ISNUMBER(F1399),E1399*F1399,"")</f>
        <v/>
      </c>
      <c r="H1399" s="28"/>
      <c r="I1399" s="29"/>
      <c r="J1399" s="152">
        <v>0</v>
      </c>
    </row>
    <row r="1400" spans="1:10" ht="15.75" hidden="1" thickBot="1" x14ac:dyDescent="0.3">
      <c r="A1400" s="176"/>
      <c r="B1400" s="174"/>
      <c r="C1400" s="31"/>
      <c r="D1400" s="31"/>
      <c r="E1400" s="32"/>
      <c r="F1400" s="42" t="s">
        <v>416</v>
      </c>
      <c r="G1400" s="30" t="str">
        <f>IF(ISNUMBER(F1400),E1400*F1400,"")</f>
        <v/>
      </c>
      <c r="H1400" s="34"/>
      <c r="I1400" s="30"/>
      <c r="J1400" s="152">
        <v>0</v>
      </c>
    </row>
    <row r="1401" spans="1:10" ht="15.75" hidden="1" thickBot="1" x14ac:dyDescent="0.3">
      <c r="A1401" s="176"/>
      <c r="B1401" s="174"/>
      <c r="C1401" s="35" t="s">
        <v>1017</v>
      </c>
      <c r="D1401" s="35" t="s">
        <v>583</v>
      </c>
      <c r="E1401" s="36">
        <v>0.53849999999999998</v>
      </c>
      <c r="F1401" s="30">
        <v>21.584</v>
      </c>
      <c r="G1401" s="33">
        <f>IF(ISNUMBER(F1401),E1401*F1401,"")</f>
        <v>11.622983999999999</v>
      </c>
      <c r="H1401" s="38">
        <f>SUM(G1401:G1404)</f>
        <v>43.693131499999993</v>
      </c>
      <c r="I1401" s="39"/>
      <c r="J1401" s="152">
        <v>0</v>
      </c>
    </row>
    <row r="1402" spans="1:10" ht="15.75" hidden="1" thickBot="1" x14ac:dyDescent="0.3">
      <c r="A1402" s="176"/>
      <c r="B1402" s="174"/>
      <c r="C1402" s="35" t="s">
        <v>1018</v>
      </c>
      <c r="D1402" s="35" t="s">
        <v>583</v>
      </c>
      <c r="E1402" s="36">
        <v>0.53849999999999998</v>
      </c>
      <c r="F1402" s="30">
        <v>27.835000000000001</v>
      </c>
      <c r="G1402" s="33">
        <f>IF(ISNUMBER(F1402),E1402*F1402,"")</f>
        <v>14.9891475</v>
      </c>
      <c r="H1402" s="34"/>
      <c r="I1402" s="30"/>
      <c r="J1402" s="152">
        <v>0</v>
      </c>
    </row>
    <row r="1403" spans="1:10" ht="39" hidden="1" thickBot="1" x14ac:dyDescent="0.3">
      <c r="A1403" s="176"/>
      <c r="B1403" s="174"/>
      <c r="C1403" s="35" t="s">
        <v>8010</v>
      </c>
      <c r="D1403" s="35" t="s">
        <v>213</v>
      </c>
      <c r="E1403" s="36">
        <v>2</v>
      </c>
      <c r="F1403" s="33">
        <v>0.3705</v>
      </c>
      <c r="G1403" s="33">
        <f>IF(ISNUMBER(F1403),E1403*F1403,"")</f>
        <v>0.74099999999999999</v>
      </c>
      <c r="H1403" s="34"/>
      <c r="I1403" s="30"/>
      <c r="J1403" s="152">
        <v>0</v>
      </c>
    </row>
    <row r="1404" spans="1:10" ht="26.25" hidden="1" thickBot="1" x14ac:dyDescent="0.3">
      <c r="A1404" s="176"/>
      <c r="B1404" s="174"/>
      <c r="C1404" s="35" t="s">
        <v>8078</v>
      </c>
      <c r="D1404" s="35" t="s">
        <v>213</v>
      </c>
      <c r="E1404" s="36">
        <v>1</v>
      </c>
      <c r="F1404" s="33">
        <v>16.34</v>
      </c>
      <c r="G1404" s="30">
        <f>IF(ISNUMBER(F1404),E1404*F1404,"")</f>
        <v>16.34</v>
      </c>
      <c r="H1404" s="34"/>
      <c r="I1404" s="30"/>
      <c r="J1404" s="152">
        <v>0</v>
      </c>
    </row>
    <row r="1405" spans="1:10" ht="15.75" hidden="1" thickBot="1" x14ac:dyDescent="0.3">
      <c r="A1405" s="177"/>
      <c r="B1405" s="175"/>
      <c r="C1405" s="35"/>
      <c r="D1405" s="35"/>
      <c r="E1405" s="36"/>
      <c r="F1405" s="30" t="s">
        <v>416</v>
      </c>
      <c r="G1405" s="30" t="str">
        <f>IF(ISNUMBER(F1405),E1405*F1405,"")</f>
        <v/>
      </c>
      <c r="H1405" s="34"/>
      <c r="I1405" s="30"/>
      <c r="J1405" s="152">
        <v>0</v>
      </c>
    </row>
    <row r="1406" spans="1:10" ht="15.75" hidden="1" thickBot="1" x14ac:dyDescent="0.3">
      <c r="A1406" s="170" t="s">
        <v>343</v>
      </c>
      <c r="B1406" s="173" t="str">
        <f>INDEX(Orçamentária!A:B,MATCH(Composições!A1406,Orçamentária!A:A,0),2)</f>
        <v>Eletrocalha 100 x 50 mm</v>
      </c>
      <c r="C1406" s="40"/>
      <c r="D1406" s="25" t="s">
        <v>69</v>
      </c>
      <c r="E1406" s="26"/>
      <c r="F1406" s="41" t="s">
        <v>416</v>
      </c>
      <c r="G1406" s="27" t="str">
        <f>IF(ISNUMBER(F1406),E1406*F1406,"")</f>
        <v/>
      </c>
      <c r="H1406" s="28"/>
      <c r="I1406" s="29"/>
      <c r="J1406" s="152">
        <v>0</v>
      </c>
    </row>
    <row r="1407" spans="1:10" ht="15.75" hidden="1" thickBot="1" x14ac:dyDescent="0.3">
      <c r="A1407" s="176"/>
      <c r="B1407" s="174"/>
      <c r="C1407" s="31"/>
      <c r="D1407" s="31"/>
      <c r="E1407" s="32"/>
      <c r="F1407" s="42" t="s">
        <v>416</v>
      </c>
      <c r="G1407" s="30" t="str">
        <f>IF(ISNUMBER(F1407),E1407*F1407,"")</f>
        <v/>
      </c>
      <c r="H1407" s="34"/>
      <c r="I1407" s="30"/>
      <c r="J1407" s="152">
        <v>0</v>
      </c>
    </row>
    <row r="1408" spans="1:10" ht="15.75" hidden="1" thickBot="1" x14ac:dyDescent="0.3">
      <c r="A1408" s="176"/>
      <c r="B1408" s="174"/>
      <c r="C1408" s="35" t="s">
        <v>1018</v>
      </c>
      <c r="D1408" s="35" t="s">
        <v>583</v>
      </c>
      <c r="E1408" s="36">
        <v>0.45</v>
      </c>
      <c r="F1408" s="30">
        <v>27.835000000000001</v>
      </c>
      <c r="G1408" s="30">
        <f>IF(ISNUMBER(F1408),E1408*F1408,"")</f>
        <v>12.52575</v>
      </c>
      <c r="H1408" s="38">
        <f>SUM(G1408:G1419)</f>
        <v>36.2743763</v>
      </c>
      <c r="I1408" s="39"/>
      <c r="J1408" s="152">
        <v>0</v>
      </c>
    </row>
    <row r="1409" spans="1:10" ht="15.75" hidden="1" thickBot="1" x14ac:dyDescent="0.3">
      <c r="A1409" s="176"/>
      <c r="B1409" s="174"/>
      <c r="C1409" s="35" t="s">
        <v>1017</v>
      </c>
      <c r="D1409" s="35" t="s">
        <v>583</v>
      </c>
      <c r="E1409" s="36">
        <v>0.45</v>
      </c>
      <c r="F1409" s="30">
        <v>21.584</v>
      </c>
      <c r="G1409" s="30">
        <f>IF(ISNUMBER(F1409),E1409*F1409,"")</f>
        <v>9.7127999999999997</v>
      </c>
      <c r="H1409" s="34"/>
      <c r="I1409" s="30"/>
      <c r="J1409" s="152">
        <v>0</v>
      </c>
    </row>
    <row r="1410" spans="1:10" ht="26.25" hidden="1" thickBot="1" x14ac:dyDescent="0.3">
      <c r="A1410" s="176"/>
      <c r="B1410" s="174"/>
      <c r="C1410" s="35" t="s">
        <v>344</v>
      </c>
      <c r="D1410" s="35" t="s">
        <v>107</v>
      </c>
      <c r="E1410" s="36">
        <v>0.67</v>
      </c>
      <c r="F1410" s="30">
        <v>9.1579999999999995</v>
      </c>
      <c r="G1410" s="30">
        <f>IF(ISNUMBER(F1410),E1410*F1410,"")</f>
        <v>6.1358600000000001</v>
      </c>
      <c r="H1410" s="61"/>
      <c r="I1410" s="1"/>
      <c r="J1410" s="152">
        <v>0</v>
      </c>
    </row>
    <row r="1411" spans="1:10" ht="26.25" hidden="1" thickBot="1" x14ac:dyDescent="0.3">
      <c r="A1411" s="176"/>
      <c r="B1411" s="174"/>
      <c r="C1411" s="35" t="s">
        <v>345</v>
      </c>
      <c r="D1411" s="35" t="s">
        <v>69</v>
      </c>
      <c r="E1411" s="36">
        <v>1.05</v>
      </c>
      <c r="F1411" s="33" t="s">
        <v>416</v>
      </c>
      <c r="G1411" s="30" t="str">
        <f>IF(ISNUMBER(F1411),E1411*F1411,"")</f>
        <v/>
      </c>
      <c r="H1411" s="34"/>
      <c r="I1411" s="30"/>
      <c r="J1411" s="152">
        <v>0</v>
      </c>
    </row>
    <row r="1412" spans="1:10" ht="15.75" hidden="1" thickBot="1" x14ac:dyDescent="0.3">
      <c r="A1412" s="176"/>
      <c r="B1412" s="174"/>
      <c r="C1412" s="35" t="s">
        <v>346</v>
      </c>
      <c r="D1412" s="35" t="s">
        <v>69</v>
      </c>
      <c r="E1412" s="36">
        <v>0.8</v>
      </c>
      <c r="F1412" s="30">
        <v>5.0349999999999993</v>
      </c>
      <c r="G1412" s="30">
        <f>IF(ISNUMBER(F1412),E1412*F1412,"")</f>
        <v>4.0279999999999996</v>
      </c>
      <c r="H1412" s="34"/>
      <c r="I1412" s="30"/>
      <c r="J1412" s="152">
        <v>0</v>
      </c>
    </row>
    <row r="1413" spans="1:10" ht="15.75" hidden="1" thickBot="1" x14ac:dyDescent="0.3">
      <c r="A1413" s="176"/>
      <c r="B1413" s="174"/>
      <c r="C1413" s="35" t="s">
        <v>347</v>
      </c>
      <c r="D1413" s="35" t="s">
        <v>213</v>
      </c>
      <c r="E1413" s="36">
        <v>4.0033000000000003</v>
      </c>
      <c r="F1413" s="33">
        <v>0.30399999999999999</v>
      </c>
      <c r="G1413" s="30">
        <f>IF(ISNUMBER(F1413),E1413*F1413,"")</f>
        <v>1.2170032</v>
      </c>
      <c r="H1413" s="34"/>
      <c r="I1413" s="30"/>
      <c r="J1413" s="152">
        <v>0</v>
      </c>
    </row>
    <row r="1414" spans="1:10" ht="15.75" hidden="1" thickBot="1" x14ac:dyDescent="0.3">
      <c r="A1414" s="176"/>
      <c r="B1414" s="174"/>
      <c r="C1414" s="35" t="s">
        <v>348</v>
      </c>
      <c r="D1414" s="35" t="s">
        <v>107</v>
      </c>
      <c r="E1414" s="36">
        <v>4.0033000000000003</v>
      </c>
      <c r="F1414" s="30">
        <v>5.6999999999999995E-2</v>
      </c>
      <c r="G1414" s="30">
        <f>IF(ISNUMBER(F1414),E1414*F1414,"")</f>
        <v>0.2281881</v>
      </c>
      <c r="H1414" s="34"/>
      <c r="I1414" s="30"/>
      <c r="J1414" s="152">
        <v>0</v>
      </c>
    </row>
    <row r="1415" spans="1:10" ht="15.75" hidden="1" thickBot="1" x14ac:dyDescent="0.3">
      <c r="A1415" s="176"/>
      <c r="B1415" s="174"/>
      <c r="C1415" s="35" t="s">
        <v>349</v>
      </c>
      <c r="D1415" s="35" t="s">
        <v>107</v>
      </c>
      <c r="E1415" s="36">
        <v>0.67</v>
      </c>
      <c r="F1415" s="30">
        <v>0</v>
      </c>
      <c r="G1415" s="30">
        <f>IF(ISNUMBER(F1415),E1415*F1415,"")</f>
        <v>0</v>
      </c>
      <c r="H1415" s="34"/>
      <c r="I1415" s="30"/>
      <c r="J1415" s="152">
        <v>0</v>
      </c>
    </row>
    <row r="1416" spans="1:10" ht="15.75" hidden="1" thickBot="1" x14ac:dyDescent="0.3">
      <c r="A1416" s="176"/>
      <c r="B1416" s="174"/>
      <c r="C1416" s="35" t="s">
        <v>350</v>
      </c>
      <c r="D1416" s="35" t="s">
        <v>107</v>
      </c>
      <c r="E1416" s="36">
        <v>1.05</v>
      </c>
      <c r="F1416" s="30">
        <v>1.5864999999999998</v>
      </c>
      <c r="G1416" s="30">
        <f>IF(ISNUMBER(F1416),E1416*F1416,"")</f>
        <v>1.6658249999999999</v>
      </c>
      <c r="H1416" s="34"/>
      <c r="I1416" s="30"/>
      <c r="J1416" s="152">
        <v>0</v>
      </c>
    </row>
    <row r="1417" spans="1:10" ht="15.75" hidden="1" thickBot="1" x14ac:dyDescent="0.3">
      <c r="A1417" s="176"/>
      <c r="B1417" s="174"/>
      <c r="C1417" s="35" t="s">
        <v>351</v>
      </c>
      <c r="D1417" s="35" t="s">
        <v>16</v>
      </c>
      <c r="E1417" s="36">
        <v>2.67</v>
      </c>
      <c r="F1417" s="30">
        <v>0.28499999999999998</v>
      </c>
      <c r="G1417" s="30">
        <f>IF(ISNUMBER(F1417),E1417*F1417,"")</f>
        <v>0.7609499999999999</v>
      </c>
      <c r="H1417" s="34"/>
      <c r="I1417" s="30"/>
      <c r="J1417" s="152">
        <v>0</v>
      </c>
    </row>
    <row r="1418" spans="1:10" ht="15.75" hidden="1" thickBot="1" x14ac:dyDescent="0.3">
      <c r="A1418" s="176"/>
      <c r="B1418" s="174"/>
      <c r="C1418" s="35" t="s">
        <v>352</v>
      </c>
      <c r="D1418" s="35" t="s">
        <v>107</v>
      </c>
      <c r="E1418" s="36">
        <v>0.66669999999999996</v>
      </c>
      <c r="F1418" s="30">
        <v>0</v>
      </c>
      <c r="G1418" s="30">
        <f>IF(ISNUMBER(F1418),E1418*F1418,"")</f>
        <v>0</v>
      </c>
      <c r="H1418" s="34"/>
      <c r="I1418" s="30"/>
      <c r="J1418" s="152">
        <v>0</v>
      </c>
    </row>
    <row r="1419" spans="1:10" ht="26.25" hidden="1" thickBot="1" x14ac:dyDescent="0.3">
      <c r="A1419" s="176"/>
      <c r="B1419" s="174"/>
      <c r="C1419" s="35" t="s">
        <v>353</v>
      </c>
      <c r="D1419" s="35" t="s">
        <v>69</v>
      </c>
      <c r="E1419" s="36">
        <v>1.05</v>
      </c>
      <c r="F1419" s="33" t="s">
        <v>416</v>
      </c>
      <c r="G1419" s="30" t="str">
        <f>IF(ISNUMBER(F1419),E1419*F1419,"")</f>
        <v/>
      </c>
      <c r="H1419" s="34"/>
      <c r="I1419" s="30"/>
      <c r="J1419" s="152">
        <v>0</v>
      </c>
    </row>
    <row r="1420" spans="1:10" ht="15.75" hidden="1" thickBot="1" x14ac:dyDescent="0.3">
      <c r="A1420" s="177"/>
      <c r="B1420" s="175"/>
      <c r="C1420" s="35"/>
      <c r="D1420" s="35"/>
      <c r="E1420" s="36"/>
      <c r="F1420" s="30" t="s">
        <v>416</v>
      </c>
      <c r="G1420" s="30" t="str">
        <f>IF(ISNUMBER(F1420),E1420*F1420,"")</f>
        <v/>
      </c>
      <c r="H1420" s="34"/>
      <c r="I1420" s="30"/>
      <c r="J1420" s="152">
        <v>0</v>
      </c>
    </row>
    <row r="1421" spans="1:10" ht="15.75" hidden="1" thickBot="1" x14ac:dyDescent="0.3">
      <c r="A1421" s="170" t="s">
        <v>354</v>
      </c>
      <c r="B1421" s="173" t="str">
        <f>INDEX(Orçamentária!A:B,MATCH(Composições!A1421,Orçamentária!A:A,0),2)</f>
        <v>Eletrocalha 200 x 100 mm</v>
      </c>
      <c r="C1421" s="40"/>
      <c r="D1421" s="25" t="s">
        <v>69</v>
      </c>
      <c r="E1421" s="26"/>
      <c r="F1421" s="41" t="s">
        <v>416</v>
      </c>
      <c r="G1421" s="27" t="str">
        <f>IF(ISNUMBER(F1421),E1421*F1421,"")</f>
        <v/>
      </c>
      <c r="H1421" s="28"/>
      <c r="I1421" s="29"/>
      <c r="J1421" s="152">
        <v>0</v>
      </c>
    </row>
    <row r="1422" spans="1:10" ht="15.75" hidden="1" thickBot="1" x14ac:dyDescent="0.3">
      <c r="A1422" s="176"/>
      <c r="B1422" s="174"/>
      <c r="C1422" s="31"/>
      <c r="D1422" s="31"/>
      <c r="E1422" s="32"/>
      <c r="F1422" s="42" t="s">
        <v>416</v>
      </c>
      <c r="G1422" s="30" t="str">
        <f>IF(ISNUMBER(F1422),E1422*F1422,"")</f>
        <v/>
      </c>
      <c r="H1422" s="34"/>
      <c r="I1422" s="30"/>
      <c r="J1422" s="152">
        <v>0</v>
      </c>
    </row>
    <row r="1423" spans="1:10" ht="15.75" hidden="1" thickBot="1" x14ac:dyDescent="0.3">
      <c r="A1423" s="176"/>
      <c r="B1423" s="174"/>
      <c r="C1423" s="35" t="s">
        <v>1018</v>
      </c>
      <c r="D1423" s="35" t="s">
        <v>583</v>
      </c>
      <c r="E1423" s="36">
        <v>0.6</v>
      </c>
      <c r="F1423" s="30">
        <v>27.835000000000001</v>
      </c>
      <c r="G1423" s="30">
        <f>IF(ISNUMBER(F1423),E1423*F1423,"")</f>
        <v>16.701000000000001</v>
      </c>
      <c r="H1423" s="38">
        <f>SUM(G1423:G1434)</f>
        <v>55.357228649999996</v>
      </c>
      <c r="I1423" s="39"/>
      <c r="J1423" s="152">
        <v>0</v>
      </c>
    </row>
    <row r="1424" spans="1:10" ht="15.75" hidden="1" thickBot="1" x14ac:dyDescent="0.3">
      <c r="A1424" s="176"/>
      <c r="B1424" s="174"/>
      <c r="C1424" s="35" t="s">
        <v>1017</v>
      </c>
      <c r="D1424" s="35" t="s">
        <v>583</v>
      </c>
      <c r="E1424" s="36">
        <v>0.6</v>
      </c>
      <c r="F1424" s="30">
        <v>21.584</v>
      </c>
      <c r="G1424" s="30">
        <f>IF(ISNUMBER(F1424),E1424*F1424,"")</f>
        <v>12.9504</v>
      </c>
      <c r="H1424" s="34"/>
      <c r="I1424" s="30"/>
      <c r="J1424" s="152">
        <v>0</v>
      </c>
    </row>
    <row r="1425" spans="1:10" ht="26.25" hidden="1" thickBot="1" x14ac:dyDescent="0.3">
      <c r="A1425" s="176"/>
      <c r="B1425" s="174"/>
      <c r="C1425" s="35" t="s">
        <v>344</v>
      </c>
      <c r="D1425" s="35" t="s">
        <v>107</v>
      </c>
      <c r="E1425" s="36">
        <v>1.3332999999999999</v>
      </c>
      <c r="F1425" s="30">
        <v>9.1579999999999995</v>
      </c>
      <c r="G1425" s="30">
        <f>IF(ISNUMBER(F1425),E1425*F1425,"")</f>
        <v>12.210361399999998</v>
      </c>
      <c r="H1425" s="61"/>
      <c r="I1425" s="1"/>
      <c r="J1425" s="152">
        <v>0</v>
      </c>
    </row>
    <row r="1426" spans="1:10" ht="26.25" hidden="1" thickBot="1" x14ac:dyDescent="0.3">
      <c r="A1426" s="176"/>
      <c r="B1426" s="174"/>
      <c r="C1426" s="35" t="s">
        <v>355</v>
      </c>
      <c r="D1426" s="35" t="s">
        <v>69</v>
      </c>
      <c r="E1426" s="36">
        <v>1.05</v>
      </c>
      <c r="F1426" s="33" t="s">
        <v>416</v>
      </c>
      <c r="G1426" s="30" t="str">
        <f>IF(ISNUMBER(F1426),E1426*F1426,"")</f>
        <v/>
      </c>
      <c r="H1426" s="34"/>
      <c r="I1426" s="30"/>
      <c r="J1426" s="152">
        <v>0</v>
      </c>
    </row>
    <row r="1427" spans="1:10" ht="15.75" hidden="1" thickBot="1" x14ac:dyDescent="0.3">
      <c r="A1427" s="176"/>
      <c r="B1427" s="174"/>
      <c r="C1427" s="35" t="s">
        <v>346</v>
      </c>
      <c r="D1427" s="35" t="s">
        <v>69</v>
      </c>
      <c r="E1427" s="36">
        <v>1.6</v>
      </c>
      <c r="F1427" s="30">
        <v>5.0349999999999993</v>
      </c>
      <c r="G1427" s="30">
        <f>IF(ISNUMBER(F1427),E1427*F1427,"")</f>
        <v>8.0559999999999992</v>
      </c>
      <c r="H1427" s="34"/>
      <c r="I1427" s="30"/>
      <c r="J1427" s="152">
        <v>0</v>
      </c>
    </row>
    <row r="1428" spans="1:10" ht="15.75" hidden="1" thickBot="1" x14ac:dyDescent="0.3">
      <c r="A1428" s="176"/>
      <c r="B1428" s="174"/>
      <c r="C1428" s="35" t="s">
        <v>347</v>
      </c>
      <c r="D1428" s="35" t="s">
        <v>213</v>
      </c>
      <c r="E1428" s="36">
        <v>5.3367000000000004</v>
      </c>
      <c r="F1428" s="33">
        <v>0.30399999999999999</v>
      </c>
      <c r="G1428" s="30">
        <f>IF(ISNUMBER(F1428),E1428*F1428,"")</f>
        <v>1.6223568000000002</v>
      </c>
      <c r="H1428" s="34"/>
      <c r="I1428" s="30"/>
      <c r="J1428" s="152">
        <v>0</v>
      </c>
    </row>
    <row r="1429" spans="1:10" ht="15.75" hidden="1" thickBot="1" x14ac:dyDescent="0.3">
      <c r="A1429" s="176"/>
      <c r="B1429" s="174"/>
      <c r="C1429" s="35" t="s">
        <v>348</v>
      </c>
      <c r="D1429" s="35" t="s">
        <v>107</v>
      </c>
      <c r="E1429" s="36">
        <v>5.34</v>
      </c>
      <c r="F1429" s="30">
        <v>5.6999999999999995E-2</v>
      </c>
      <c r="G1429" s="30">
        <f>IF(ISNUMBER(F1429),E1429*F1429,"")</f>
        <v>0.30437999999999998</v>
      </c>
      <c r="H1429" s="34"/>
      <c r="I1429" s="30"/>
      <c r="J1429" s="152">
        <v>0</v>
      </c>
    </row>
    <row r="1430" spans="1:10" ht="15.75" hidden="1" thickBot="1" x14ac:dyDescent="0.3">
      <c r="A1430" s="176"/>
      <c r="B1430" s="174"/>
      <c r="C1430" s="35" t="s">
        <v>356</v>
      </c>
      <c r="D1430" s="35" t="s">
        <v>107</v>
      </c>
      <c r="E1430" s="36">
        <v>0.67</v>
      </c>
      <c r="F1430" s="30">
        <v>0</v>
      </c>
      <c r="G1430" s="30">
        <f>IF(ISNUMBER(F1430),E1430*F1430,"")</f>
        <v>0</v>
      </c>
      <c r="H1430" s="34"/>
      <c r="I1430" s="30"/>
      <c r="J1430" s="152">
        <v>0</v>
      </c>
    </row>
    <row r="1431" spans="1:10" ht="15.75" hidden="1" thickBot="1" x14ac:dyDescent="0.3">
      <c r="A1431" s="176"/>
      <c r="B1431" s="174"/>
      <c r="C1431" s="35" t="s">
        <v>350</v>
      </c>
      <c r="D1431" s="35" t="s">
        <v>107</v>
      </c>
      <c r="E1431" s="36">
        <v>1.3332999999999999</v>
      </c>
      <c r="F1431" s="30">
        <v>1.5864999999999998</v>
      </c>
      <c r="G1431" s="30">
        <f>IF(ISNUMBER(F1431),E1431*F1431,"")</f>
        <v>2.1152804499999998</v>
      </c>
      <c r="H1431" s="34"/>
      <c r="I1431" s="30"/>
      <c r="J1431" s="152">
        <v>0</v>
      </c>
    </row>
    <row r="1432" spans="1:10" ht="15.75" hidden="1" thickBot="1" x14ac:dyDescent="0.3">
      <c r="A1432" s="176"/>
      <c r="B1432" s="174"/>
      <c r="C1432" s="35" t="s">
        <v>351</v>
      </c>
      <c r="D1432" s="35" t="s">
        <v>16</v>
      </c>
      <c r="E1432" s="36">
        <v>2.67</v>
      </c>
      <c r="F1432" s="30">
        <v>0.28499999999999998</v>
      </c>
      <c r="G1432" s="30">
        <f>IF(ISNUMBER(F1432),E1432*F1432,"")</f>
        <v>0.7609499999999999</v>
      </c>
      <c r="H1432" s="34"/>
      <c r="I1432" s="30"/>
      <c r="J1432" s="152">
        <v>0</v>
      </c>
    </row>
    <row r="1433" spans="1:10" ht="15.75" hidden="1" thickBot="1" x14ac:dyDescent="0.3">
      <c r="A1433" s="176"/>
      <c r="B1433" s="174"/>
      <c r="C1433" s="35" t="s">
        <v>357</v>
      </c>
      <c r="D1433" s="35" t="s">
        <v>107</v>
      </c>
      <c r="E1433" s="36">
        <v>0.67</v>
      </c>
      <c r="F1433" s="30">
        <v>0.95</v>
      </c>
      <c r="G1433" s="30">
        <f>IF(ISNUMBER(F1433),E1433*F1433,"")</f>
        <v>0.63649999999999995</v>
      </c>
      <c r="H1433" s="34"/>
      <c r="I1433" s="30"/>
      <c r="J1433" s="152">
        <v>0</v>
      </c>
    </row>
    <row r="1434" spans="1:10" ht="26.25" hidden="1" thickBot="1" x14ac:dyDescent="0.3">
      <c r="A1434" s="176"/>
      <c r="B1434" s="174"/>
      <c r="C1434" s="35" t="s">
        <v>358</v>
      </c>
      <c r="D1434" s="35" t="s">
        <v>69</v>
      </c>
      <c r="E1434" s="36">
        <v>1.05</v>
      </c>
      <c r="F1434" s="33" t="s">
        <v>416</v>
      </c>
      <c r="G1434" s="30" t="str">
        <f>IF(ISNUMBER(F1434),E1434*F1434,"")</f>
        <v/>
      </c>
      <c r="H1434" s="34"/>
      <c r="I1434" s="30"/>
      <c r="J1434" s="152">
        <v>0</v>
      </c>
    </row>
    <row r="1435" spans="1:10" ht="15.75" hidden="1" thickBot="1" x14ac:dyDescent="0.3">
      <c r="A1435" s="177"/>
      <c r="B1435" s="175"/>
      <c r="C1435" s="35"/>
      <c r="D1435" s="35"/>
      <c r="E1435" s="36"/>
      <c r="F1435" s="30" t="s">
        <v>416</v>
      </c>
      <c r="G1435" s="30" t="str">
        <f>IF(ISNUMBER(F1435),E1435*F1435,"")</f>
        <v/>
      </c>
      <c r="H1435" s="34"/>
      <c r="I1435" s="30"/>
      <c r="J1435" s="152">
        <v>0</v>
      </c>
    </row>
    <row r="1436" spans="1:10" ht="15.75" hidden="1" thickBot="1" x14ac:dyDescent="0.3">
      <c r="A1436" s="170" t="s">
        <v>359</v>
      </c>
      <c r="B1436" s="173" t="str">
        <f>INDEX(Orçamentária!A:B,MATCH(Composições!A1436,Orçamentária!A:A,0),2)</f>
        <v>Eletrocalha 200 x 50 mm</v>
      </c>
      <c r="C1436" s="40"/>
      <c r="D1436" s="25" t="s">
        <v>69</v>
      </c>
      <c r="E1436" s="26"/>
      <c r="F1436" s="41" t="s">
        <v>416</v>
      </c>
      <c r="G1436" s="27" t="str">
        <f>IF(ISNUMBER(F1436),E1436*F1436,"")</f>
        <v/>
      </c>
      <c r="H1436" s="28"/>
      <c r="I1436" s="29"/>
      <c r="J1436" s="152">
        <v>0</v>
      </c>
    </row>
    <row r="1437" spans="1:10" ht="15.75" hidden="1" thickBot="1" x14ac:dyDescent="0.3">
      <c r="A1437" s="176"/>
      <c r="B1437" s="174"/>
      <c r="C1437" s="31"/>
      <c r="D1437" s="31"/>
      <c r="E1437" s="32"/>
      <c r="F1437" s="42" t="s">
        <v>416</v>
      </c>
      <c r="G1437" s="30" t="str">
        <f>IF(ISNUMBER(F1437),E1437*F1437,"")</f>
        <v/>
      </c>
      <c r="H1437" s="34"/>
      <c r="I1437" s="30"/>
      <c r="J1437" s="152">
        <v>0</v>
      </c>
    </row>
    <row r="1438" spans="1:10" ht="15.75" hidden="1" thickBot="1" x14ac:dyDescent="0.3">
      <c r="A1438" s="176"/>
      <c r="B1438" s="174"/>
      <c r="C1438" s="35" t="s">
        <v>1018</v>
      </c>
      <c r="D1438" s="35" t="s">
        <v>583</v>
      </c>
      <c r="E1438" s="36">
        <v>0.5</v>
      </c>
      <c r="F1438" s="30">
        <v>27.835000000000001</v>
      </c>
      <c r="G1438" s="30">
        <f>IF(ISNUMBER(F1438),E1438*F1438,"")</f>
        <v>13.9175</v>
      </c>
      <c r="H1438" s="38">
        <f>SUM(G1438:G1449)</f>
        <v>49.778828649999994</v>
      </c>
      <c r="I1438" s="39"/>
      <c r="J1438" s="152">
        <v>0</v>
      </c>
    </row>
    <row r="1439" spans="1:10" ht="15.75" hidden="1" thickBot="1" x14ac:dyDescent="0.3">
      <c r="A1439" s="176"/>
      <c r="B1439" s="174"/>
      <c r="C1439" s="35" t="s">
        <v>1017</v>
      </c>
      <c r="D1439" s="35" t="s">
        <v>583</v>
      </c>
      <c r="E1439" s="36">
        <v>0.5</v>
      </c>
      <c r="F1439" s="30">
        <v>21.584</v>
      </c>
      <c r="G1439" s="30">
        <f>IF(ISNUMBER(F1439),E1439*F1439,"")</f>
        <v>10.792</v>
      </c>
      <c r="H1439" s="34"/>
      <c r="I1439" s="30"/>
      <c r="J1439" s="152">
        <v>0</v>
      </c>
    </row>
    <row r="1440" spans="1:10" ht="26.25" hidden="1" thickBot="1" x14ac:dyDescent="0.3">
      <c r="A1440" s="176"/>
      <c r="B1440" s="174"/>
      <c r="C1440" s="35" t="s">
        <v>344</v>
      </c>
      <c r="D1440" s="35" t="s">
        <v>107</v>
      </c>
      <c r="E1440" s="36">
        <v>1.3332999999999999</v>
      </c>
      <c r="F1440" s="30">
        <v>9.1579999999999995</v>
      </c>
      <c r="G1440" s="30">
        <f>IF(ISNUMBER(F1440),E1440*F1440,"")</f>
        <v>12.210361399999998</v>
      </c>
      <c r="H1440" s="61"/>
      <c r="I1440" s="1"/>
      <c r="J1440" s="152">
        <v>0</v>
      </c>
    </row>
    <row r="1441" spans="1:10" ht="26.25" hidden="1" thickBot="1" x14ac:dyDescent="0.3">
      <c r="A1441" s="176"/>
      <c r="B1441" s="174"/>
      <c r="C1441" s="35" t="s">
        <v>360</v>
      </c>
      <c r="D1441" s="35" t="s">
        <v>69</v>
      </c>
      <c r="E1441" s="36">
        <v>1.05</v>
      </c>
      <c r="F1441" s="33" t="s">
        <v>416</v>
      </c>
      <c r="G1441" s="30" t="str">
        <f>IF(ISNUMBER(F1441),E1441*F1441,"")</f>
        <v/>
      </c>
      <c r="H1441" s="34"/>
      <c r="I1441" s="30"/>
      <c r="J1441" s="152">
        <v>0</v>
      </c>
    </row>
    <row r="1442" spans="1:10" ht="15.75" hidden="1" thickBot="1" x14ac:dyDescent="0.3">
      <c r="A1442" s="176"/>
      <c r="B1442" s="174"/>
      <c r="C1442" s="35" t="s">
        <v>346</v>
      </c>
      <c r="D1442" s="35" t="s">
        <v>69</v>
      </c>
      <c r="E1442" s="36">
        <v>1.6</v>
      </c>
      <c r="F1442" s="30">
        <v>5.0349999999999993</v>
      </c>
      <c r="G1442" s="30">
        <f>IF(ISNUMBER(F1442),E1442*F1442,"")</f>
        <v>8.0559999999999992</v>
      </c>
      <c r="H1442" s="34"/>
      <c r="I1442" s="30"/>
      <c r="J1442" s="152">
        <v>0</v>
      </c>
    </row>
    <row r="1443" spans="1:10" ht="15.75" hidden="1" thickBot="1" x14ac:dyDescent="0.3">
      <c r="A1443" s="176"/>
      <c r="B1443" s="174"/>
      <c r="C1443" s="35" t="s">
        <v>347</v>
      </c>
      <c r="D1443" s="35" t="s">
        <v>213</v>
      </c>
      <c r="E1443" s="36">
        <v>5.3367000000000004</v>
      </c>
      <c r="F1443" s="33">
        <v>0.30399999999999999</v>
      </c>
      <c r="G1443" s="30">
        <f>IF(ISNUMBER(F1443),E1443*F1443,"")</f>
        <v>1.6223568000000002</v>
      </c>
      <c r="H1443" s="34"/>
      <c r="I1443" s="30"/>
      <c r="J1443" s="152">
        <v>0</v>
      </c>
    </row>
    <row r="1444" spans="1:10" ht="15.75" hidden="1" thickBot="1" x14ac:dyDescent="0.3">
      <c r="A1444" s="176"/>
      <c r="B1444" s="174"/>
      <c r="C1444" s="35" t="s">
        <v>348</v>
      </c>
      <c r="D1444" s="35" t="s">
        <v>107</v>
      </c>
      <c r="E1444" s="36">
        <v>5.34</v>
      </c>
      <c r="F1444" s="30">
        <v>5.6999999999999995E-2</v>
      </c>
      <c r="G1444" s="30">
        <f>IF(ISNUMBER(F1444),E1444*F1444,"")</f>
        <v>0.30437999999999998</v>
      </c>
      <c r="H1444" s="34"/>
      <c r="I1444" s="30"/>
      <c r="J1444" s="152">
        <v>0</v>
      </c>
    </row>
    <row r="1445" spans="1:10" ht="15.75" hidden="1" thickBot="1" x14ac:dyDescent="0.3">
      <c r="A1445" s="176"/>
      <c r="B1445" s="174"/>
      <c r="C1445" s="35" t="s">
        <v>361</v>
      </c>
      <c r="D1445" s="35" t="s">
        <v>107</v>
      </c>
      <c r="E1445" s="36">
        <v>0.67</v>
      </c>
      <c r="F1445" s="30">
        <v>0</v>
      </c>
      <c r="G1445" s="30">
        <f>IF(ISNUMBER(F1445),E1445*F1445,"")</f>
        <v>0</v>
      </c>
      <c r="H1445" s="34"/>
      <c r="I1445" s="30"/>
      <c r="J1445" s="152">
        <v>0</v>
      </c>
    </row>
    <row r="1446" spans="1:10" ht="15.75" hidden="1" thickBot="1" x14ac:dyDescent="0.3">
      <c r="A1446" s="176"/>
      <c r="B1446" s="174"/>
      <c r="C1446" s="35" t="s">
        <v>350</v>
      </c>
      <c r="D1446" s="35" t="s">
        <v>107</v>
      </c>
      <c r="E1446" s="36">
        <v>1.3332999999999999</v>
      </c>
      <c r="F1446" s="30">
        <v>1.5864999999999998</v>
      </c>
      <c r="G1446" s="30">
        <f>IF(ISNUMBER(F1446),E1446*F1446,"")</f>
        <v>2.1152804499999998</v>
      </c>
      <c r="H1446" s="34"/>
      <c r="I1446" s="30"/>
      <c r="J1446" s="152">
        <v>0</v>
      </c>
    </row>
    <row r="1447" spans="1:10" ht="15.75" hidden="1" thickBot="1" x14ac:dyDescent="0.3">
      <c r="A1447" s="176"/>
      <c r="B1447" s="174"/>
      <c r="C1447" s="35" t="s">
        <v>351</v>
      </c>
      <c r="D1447" s="35" t="s">
        <v>16</v>
      </c>
      <c r="E1447" s="36">
        <v>2.67</v>
      </c>
      <c r="F1447" s="30">
        <v>0.28499999999999998</v>
      </c>
      <c r="G1447" s="30">
        <f>IF(ISNUMBER(F1447),E1447*F1447,"")</f>
        <v>0.7609499999999999</v>
      </c>
      <c r="H1447" s="34"/>
      <c r="I1447" s="30"/>
      <c r="J1447" s="152">
        <v>0</v>
      </c>
    </row>
    <row r="1448" spans="1:10" ht="15.75" hidden="1" thickBot="1" x14ac:dyDescent="0.3">
      <c r="A1448" s="176"/>
      <c r="B1448" s="174"/>
      <c r="C1448" s="35" t="s">
        <v>352</v>
      </c>
      <c r="D1448" s="35" t="s">
        <v>107</v>
      </c>
      <c r="E1448" s="36">
        <v>0.67</v>
      </c>
      <c r="F1448" s="30">
        <v>0</v>
      </c>
      <c r="G1448" s="30">
        <f>IF(ISNUMBER(F1448),E1448*F1448,"")</f>
        <v>0</v>
      </c>
      <c r="H1448" s="34"/>
      <c r="I1448" s="30"/>
      <c r="J1448" s="152">
        <v>0</v>
      </c>
    </row>
    <row r="1449" spans="1:10" ht="26.25" hidden="1" thickBot="1" x14ac:dyDescent="0.3">
      <c r="A1449" s="176"/>
      <c r="B1449" s="174"/>
      <c r="C1449" s="35" t="s">
        <v>358</v>
      </c>
      <c r="D1449" s="35" t="s">
        <v>69</v>
      </c>
      <c r="E1449" s="36">
        <v>1.05</v>
      </c>
      <c r="F1449" s="33" t="s">
        <v>416</v>
      </c>
      <c r="G1449" s="30" t="str">
        <f>IF(ISNUMBER(F1449),E1449*F1449,"")</f>
        <v/>
      </c>
      <c r="H1449" s="34"/>
      <c r="I1449" s="30"/>
      <c r="J1449" s="152">
        <v>0</v>
      </c>
    </row>
    <row r="1450" spans="1:10" ht="15.75" hidden="1" thickBot="1" x14ac:dyDescent="0.3">
      <c r="A1450" s="177"/>
      <c r="B1450" s="175"/>
      <c r="C1450" s="35"/>
      <c r="D1450" s="35"/>
      <c r="E1450" s="36"/>
      <c r="F1450" s="30" t="s">
        <v>416</v>
      </c>
      <c r="G1450" s="30" t="str">
        <f>IF(ISNUMBER(F1450),E1450*F1450,"")</f>
        <v/>
      </c>
      <c r="H1450" s="34"/>
      <c r="I1450" s="30"/>
      <c r="J1450" s="152">
        <v>0</v>
      </c>
    </row>
    <row r="1451" spans="1:10" ht="15.75" hidden="1" thickBot="1" x14ac:dyDescent="0.3">
      <c r="A1451" s="170" t="s">
        <v>362</v>
      </c>
      <c r="B1451" s="173" t="str">
        <f>INDEX(Orçamentária!A:B,MATCH(Composições!A1451,Orçamentária!A:A,0),2)</f>
        <v>Eletrocalha 300 x 100 mm</v>
      </c>
      <c r="C1451" s="40"/>
      <c r="D1451" s="25" t="s">
        <v>69</v>
      </c>
      <c r="E1451" s="26"/>
      <c r="F1451" s="41" t="s">
        <v>416</v>
      </c>
      <c r="G1451" s="27" t="str">
        <f>IF(ISNUMBER(F1451),E1451*F1451,"")</f>
        <v/>
      </c>
      <c r="H1451" s="28"/>
      <c r="I1451" s="29"/>
      <c r="J1451" s="152">
        <v>0</v>
      </c>
    </row>
    <row r="1452" spans="1:10" ht="15.75" hidden="1" thickBot="1" x14ac:dyDescent="0.3">
      <c r="A1452" s="176"/>
      <c r="B1452" s="174"/>
      <c r="C1452" s="31"/>
      <c r="D1452" s="31"/>
      <c r="E1452" s="32"/>
      <c r="F1452" s="42" t="s">
        <v>416</v>
      </c>
      <c r="G1452" s="30" t="str">
        <f>IF(ISNUMBER(F1452),E1452*F1452,"")</f>
        <v/>
      </c>
      <c r="H1452" s="34"/>
      <c r="I1452" s="30"/>
      <c r="J1452" s="152">
        <v>0</v>
      </c>
    </row>
    <row r="1453" spans="1:10" ht="15.75" hidden="1" thickBot="1" x14ac:dyDescent="0.3">
      <c r="A1453" s="176"/>
      <c r="B1453" s="174"/>
      <c r="C1453" s="35" t="s">
        <v>1018</v>
      </c>
      <c r="D1453" s="35" t="s">
        <v>583</v>
      </c>
      <c r="E1453" s="36">
        <v>0.65</v>
      </c>
      <c r="F1453" s="30">
        <v>27.835000000000001</v>
      </c>
      <c r="G1453" s="30">
        <f>IF(ISNUMBER(F1453),E1453*F1453,"")</f>
        <v>18.092750000000002</v>
      </c>
      <c r="H1453" s="38">
        <f>SUM(G1453:G1464)</f>
        <v>58.464678649999996</v>
      </c>
      <c r="I1453" s="39"/>
      <c r="J1453" s="152">
        <v>0</v>
      </c>
    </row>
    <row r="1454" spans="1:10" ht="15.75" hidden="1" thickBot="1" x14ac:dyDescent="0.3">
      <c r="A1454" s="176"/>
      <c r="B1454" s="174"/>
      <c r="C1454" s="35" t="s">
        <v>1017</v>
      </c>
      <c r="D1454" s="35" t="s">
        <v>583</v>
      </c>
      <c r="E1454" s="36">
        <v>0.65</v>
      </c>
      <c r="F1454" s="30">
        <v>21.584</v>
      </c>
      <c r="G1454" s="30">
        <f>IF(ISNUMBER(F1454),E1454*F1454,"")</f>
        <v>14.0296</v>
      </c>
      <c r="H1454" s="34"/>
      <c r="I1454" s="30"/>
      <c r="J1454" s="152">
        <v>0</v>
      </c>
    </row>
    <row r="1455" spans="1:10" ht="26.25" hidden="1" thickBot="1" x14ac:dyDescent="0.3">
      <c r="A1455" s="176"/>
      <c r="B1455" s="174"/>
      <c r="C1455" s="35" t="s">
        <v>344</v>
      </c>
      <c r="D1455" s="35" t="s">
        <v>107</v>
      </c>
      <c r="E1455" s="36">
        <v>1.3332999999999999</v>
      </c>
      <c r="F1455" s="30">
        <v>9.1579999999999995</v>
      </c>
      <c r="G1455" s="30">
        <f>IF(ISNUMBER(F1455),E1455*F1455,"")</f>
        <v>12.210361399999998</v>
      </c>
      <c r="H1455" s="61"/>
      <c r="I1455" s="1"/>
      <c r="J1455" s="152">
        <v>0</v>
      </c>
    </row>
    <row r="1456" spans="1:10" ht="26.25" hidden="1" thickBot="1" x14ac:dyDescent="0.3">
      <c r="A1456" s="176"/>
      <c r="B1456" s="174"/>
      <c r="C1456" s="35" t="s">
        <v>363</v>
      </c>
      <c r="D1456" s="35" t="s">
        <v>69</v>
      </c>
      <c r="E1456" s="36">
        <v>1.05</v>
      </c>
      <c r="F1456" s="33" t="s">
        <v>416</v>
      </c>
      <c r="G1456" s="30" t="str">
        <f>IF(ISNUMBER(F1456),E1456*F1456,"")</f>
        <v/>
      </c>
      <c r="H1456" s="34"/>
      <c r="I1456" s="30"/>
      <c r="J1456" s="152">
        <v>0</v>
      </c>
    </row>
    <row r="1457" spans="1:10" ht="15.75" hidden="1" thickBot="1" x14ac:dyDescent="0.3">
      <c r="A1457" s="176"/>
      <c r="B1457" s="174"/>
      <c r="C1457" s="35" t="s">
        <v>346</v>
      </c>
      <c r="D1457" s="35" t="s">
        <v>69</v>
      </c>
      <c r="E1457" s="36">
        <v>1.6</v>
      </c>
      <c r="F1457" s="30">
        <v>5.0349999999999993</v>
      </c>
      <c r="G1457" s="30">
        <f>IF(ISNUMBER(F1457),E1457*F1457,"")</f>
        <v>8.0559999999999992</v>
      </c>
      <c r="H1457" s="34"/>
      <c r="I1457" s="30"/>
      <c r="J1457" s="152">
        <v>0</v>
      </c>
    </row>
    <row r="1458" spans="1:10" ht="15.75" hidden="1" thickBot="1" x14ac:dyDescent="0.3">
      <c r="A1458" s="176"/>
      <c r="B1458" s="174"/>
      <c r="C1458" s="35" t="s">
        <v>347</v>
      </c>
      <c r="D1458" s="35" t="s">
        <v>213</v>
      </c>
      <c r="E1458" s="36">
        <v>5.3367000000000004</v>
      </c>
      <c r="F1458" s="33">
        <v>0.30399999999999999</v>
      </c>
      <c r="G1458" s="30">
        <f>IF(ISNUMBER(F1458),E1458*F1458,"")</f>
        <v>1.6223568000000002</v>
      </c>
      <c r="H1458" s="34"/>
      <c r="I1458" s="30"/>
      <c r="J1458" s="152">
        <v>0</v>
      </c>
    </row>
    <row r="1459" spans="1:10" ht="15.75" hidden="1" thickBot="1" x14ac:dyDescent="0.3">
      <c r="A1459" s="176"/>
      <c r="B1459" s="174"/>
      <c r="C1459" s="35" t="s">
        <v>348</v>
      </c>
      <c r="D1459" s="35" t="s">
        <v>107</v>
      </c>
      <c r="E1459" s="36">
        <v>5.34</v>
      </c>
      <c r="F1459" s="30">
        <v>5.6999999999999995E-2</v>
      </c>
      <c r="G1459" s="30">
        <f>IF(ISNUMBER(F1459),E1459*F1459,"")</f>
        <v>0.30437999999999998</v>
      </c>
      <c r="H1459" s="34"/>
      <c r="I1459" s="30"/>
      <c r="J1459" s="152">
        <v>0</v>
      </c>
    </row>
    <row r="1460" spans="1:10" ht="15.75" hidden="1" thickBot="1" x14ac:dyDescent="0.3">
      <c r="A1460" s="176"/>
      <c r="B1460" s="174"/>
      <c r="C1460" s="35" t="s">
        <v>364</v>
      </c>
      <c r="D1460" s="35" t="s">
        <v>107</v>
      </c>
      <c r="E1460" s="36">
        <v>0.67</v>
      </c>
      <c r="F1460" s="30">
        <v>0.95</v>
      </c>
      <c r="G1460" s="30">
        <f>IF(ISNUMBER(F1460),E1460*F1460,"")</f>
        <v>0.63649999999999995</v>
      </c>
      <c r="H1460" s="34"/>
      <c r="I1460" s="30"/>
      <c r="J1460" s="152">
        <v>0</v>
      </c>
    </row>
    <row r="1461" spans="1:10" ht="15.75" hidden="1" thickBot="1" x14ac:dyDescent="0.3">
      <c r="A1461" s="176"/>
      <c r="B1461" s="174"/>
      <c r="C1461" s="35" t="s">
        <v>350</v>
      </c>
      <c r="D1461" s="35" t="s">
        <v>107</v>
      </c>
      <c r="E1461" s="36">
        <v>1.3332999999999999</v>
      </c>
      <c r="F1461" s="30">
        <v>1.5864999999999998</v>
      </c>
      <c r="G1461" s="30">
        <f>IF(ISNUMBER(F1461),E1461*F1461,"")</f>
        <v>2.1152804499999998</v>
      </c>
      <c r="H1461" s="34"/>
      <c r="I1461" s="30"/>
      <c r="J1461" s="152">
        <v>0</v>
      </c>
    </row>
    <row r="1462" spans="1:10" ht="15.75" hidden="1" thickBot="1" x14ac:dyDescent="0.3">
      <c r="A1462" s="176"/>
      <c r="B1462" s="174"/>
      <c r="C1462" s="35" t="s">
        <v>351</v>
      </c>
      <c r="D1462" s="35" t="s">
        <v>16</v>
      </c>
      <c r="E1462" s="36">
        <v>2.67</v>
      </c>
      <c r="F1462" s="30">
        <v>0.28499999999999998</v>
      </c>
      <c r="G1462" s="30">
        <f>IF(ISNUMBER(F1462),E1462*F1462,"")</f>
        <v>0.7609499999999999</v>
      </c>
      <c r="H1462" s="34"/>
      <c r="I1462" s="30"/>
      <c r="J1462" s="152">
        <v>0</v>
      </c>
    </row>
    <row r="1463" spans="1:10" ht="15.75" hidden="1" thickBot="1" x14ac:dyDescent="0.3">
      <c r="A1463" s="176"/>
      <c r="B1463" s="174"/>
      <c r="C1463" s="35" t="s">
        <v>357</v>
      </c>
      <c r="D1463" s="35" t="s">
        <v>107</v>
      </c>
      <c r="E1463" s="36">
        <v>0.67</v>
      </c>
      <c r="F1463" s="30">
        <v>0.95</v>
      </c>
      <c r="G1463" s="30">
        <f>IF(ISNUMBER(F1463),E1463*F1463,"")</f>
        <v>0.63649999999999995</v>
      </c>
      <c r="H1463" s="34"/>
      <c r="I1463" s="30"/>
      <c r="J1463" s="152">
        <v>0</v>
      </c>
    </row>
    <row r="1464" spans="1:10" ht="26.25" hidden="1" thickBot="1" x14ac:dyDescent="0.3">
      <c r="A1464" s="176"/>
      <c r="B1464" s="174"/>
      <c r="C1464" s="35" t="s">
        <v>365</v>
      </c>
      <c r="D1464" s="35" t="s">
        <v>69</v>
      </c>
      <c r="E1464" s="36">
        <v>1.05</v>
      </c>
      <c r="F1464" s="33" t="s">
        <v>416</v>
      </c>
      <c r="G1464" s="30" t="str">
        <f>IF(ISNUMBER(F1464),E1464*F1464,"")</f>
        <v/>
      </c>
      <c r="H1464" s="34"/>
      <c r="I1464" s="30"/>
      <c r="J1464" s="152">
        <v>0</v>
      </c>
    </row>
    <row r="1465" spans="1:10" ht="15.75" hidden="1" thickBot="1" x14ac:dyDescent="0.3">
      <c r="A1465" s="177"/>
      <c r="B1465" s="175"/>
      <c r="C1465" s="35"/>
      <c r="D1465" s="35"/>
      <c r="E1465" s="36"/>
      <c r="F1465" s="30" t="s">
        <v>416</v>
      </c>
      <c r="G1465" s="30" t="str">
        <f>IF(ISNUMBER(F1465),E1465*F1465,"")</f>
        <v/>
      </c>
      <c r="H1465" s="34"/>
      <c r="I1465" s="30"/>
      <c r="J1465" s="152">
        <v>0</v>
      </c>
    </row>
    <row r="1466" spans="1:10" ht="15.75" hidden="1" thickBot="1" x14ac:dyDescent="0.3">
      <c r="A1466" s="170" t="s">
        <v>366</v>
      </c>
      <c r="B1466" s="173" t="str">
        <f>INDEX(Orçamentária!A:B,MATCH(Composições!A1466,Orçamentária!A:A,0),2)</f>
        <v>Eletrocalha 300 x 50 mm</v>
      </c>
      <c r="C1466" s="40"/>
      <c r="D1466" s="25" t="s">
        <v>69</v>
      </c>
      <c r="E1466" s="26"/>
      <c r="F1466" s="41" t="s">
        <v>416</v>
      </c>
      <c r="G1466" s="27" t="str">
        <f>IF(ISNUMBER(F1466),E1466*F1466,"")</f>
        <v/>
      </c>
      <c r="H1466" s="28"/>
      <c r="I1466" s="29"/>
      <c r="J1466" s="152">
        <v>0</v>
      </c>
    </row>
    <row r="1467" spans="1:10" ht="15.75" hidden="1" thickBot="1" x14ac:dyDescent="0.3">
      <c r="A1467" s="176"/>
      <c r="B1467" s="174"/>
      <c r="C1467" s="31"/>
      <c r="D1467" s="31"/>
      <c r="E1467" s="32"/>
      <c r="F1467" s="42" t="s">
        <v>416</v>
      </c>
      <c r="G1467" s="30" t="str">
        <f>IF(ISNUMBER(F1467),E1467*F1467,"")</f>
        <v/>
      </c>
      <c r="H1467" s="34"/>
      <c r="I1467" s="30"/>
      <c r="J1467" s="152">
        <v>0</v>
      </c>
    </row>
    <row r="1468" spans="1:10" ht="15.75" hidden="1" thickBot="1" x14ac:dyDescent="0.3">
      <c r="A1468" s="176"/>
      <c r="B1468" s="174"/>
      <c r="C1468" s="35" t="s">
        <v>1018</v>
      </c>
      <c r="D1468" s="35" t="s">
        <v>583</v>
      </c>
      <c r="E1468" s="36">
        <v>0.55000000000000004</v>
      </c>
      <c r="F1468" s="30">
        <v>27.835000000000001</v>
      </c>
      <c r="G1468" s="30">
        <f>IF(ISNUMBER(F1468),E1468*F1468,"")</f>
        <v>15.309250000000002</v>
      </c>
      <c r="H1468" s="38">
        <f>SUM(G1468:G1479)</f>
        <v>52.249778649999996</v>
      </c>
      <c r="I1468" s="39"/>
      <c r="J1468" s="152">
        <v>0</v>
      </c>
    </row>
    <row r="1469" spans="1:10" ht="15.75" hidden="1" thickBot="1" x14ac:dyDescent="0.3">
      <c r="A1469" s="176"/>
      <c r="B1469" s="174"/>
      <c r="C1469" s="35" t="s">
        <v>1017</v>
      </c>
      <c r="D1469" s="35" t="s">
        <v>583</v>
      </c>
      <c r="E1469" s="36">
        <v>0.55000000000000004</v>
      </c>
      <c r="F1469" s="30">
        <v>21.584</v>
      </c>
      <c r="G1469" s="30">
        <f>IF(ISNUMBER(F1469),E1469*F1469,"")</f>
        <v>11.8712</v>
      </c>
      <c r="H1469" s="34"/>
      <c r="I1469" s="30"/>
      <c r="J1469" s="152">
        <v>0</v>
      </c>
    </row>
    <row r="1470" spans="1:10" ht="26.25" hidden="1" thickBot="1" x14ac:dyDescent="0.3">
      <c r="A1470" s="176"/>
      <c r="B1470" s="174"/>
      <c r="C1470" s="35" t="s">
        <v>344</v>
      </c>
      <c r="D1470" s="35" t="s">
        <v>107</v>
      </c>
      <c r="E1470" s="36">
        <v>1.3332999999999999</v>
      </c>
      <c r="F1470" s="30">
        <v>9.1579999999999995</v>
      </c>
      <c r="G1470" s="30">
        <f>IF(ISNUMBER(F1470),E1470*F1470,"")</f>
        <v>12.210361399999998</v>
      </c>
      <c r="H1470" s="61"/>
      <c r="I1470" s="1"/>
      <c r="J1470" s="152">
        <v>0</v>
      </c>
    </row>
    <row r="1471" spans="1:10" ht="26.25" hidden="1" thickBot="1" x14ac:dyDescent="0.3">
      <c r="A1471" s="176"/>
      <c r="B1471" s="174"/>
      <c r="C1471" s="35" t="s">
        <v>367</v>
      </c>
      <c r="D1471" s="35" t="s">
        <v>69</v>
      </c>
      <c r="E1471" s="36">
        <v>1.05</v>
      </c>
      <c r="F1471" s="33" t="s">
        <v>416</v>
      </c>
      <c r="G1471" s="30" t="str">
        <f>IF(ISNUMBER(F1471),E1471*F1471,"")</f>
        <v/>
      </c>
      <c r="H1471" s="34"/>
      <c r="I1471" s="30"/>
      <c r="J1471" s="152">
        <v>0</v>
      </c>
    </row>
    <row r="1472" spans="1:10" ht="15.75" hidden="1" thickBot="1" x14ac:dyDescent="0.3">
      <c r="A1472" s="176"/>
      <c r="B1472" s="174"/>
      <c r="C1472" s="35" t="s">
        <v>346</v>
      </c>
      <c r="D1472" s="35" t="s">
        <v>69</v>
      </c>
      <c r="E1472" s="36">
        <v>1.6</v>
      </c>
      <c r="F1472" s="30">
        <v>5.0349999999999993</v>
      </c>
      <c r="G1472" s="30">
        <f>IF(ISNUMBER(F1472),E1472*F1472,"")</f>
        <v>8.0559999999999992</v>
      </c>
      <c r="H1472" s="34"/>
      <c r="I1472" s="30"/>
      <c r="J1472" s="152">
        <v>0</v>
      </c>
    </row>
    <row r="1473" spans="1:10" ht="15.75" hidden="1" thickBot="1" x14ac:dyDescent="0.3">
      <c r="A1473" s="176"/>
      <c r="B1473" s="174"/>
      <c r="C1473" s="35" t="s">
        <v>347</v>
      </c>
      <c r="D1473" s="35" t="s">
        <v>213</v>
      </c>
      <c r="E1473" s="36">
        <v>5.3367000000000004</v>
      </c>
      <c r="F1473" s="33">
        <v>0.30399999999999999</v>
      </c>
      <c r="G1473" s="30">
        <f>IF(ISNUMBER(F1473),E1473*F1473,"")</f>
        <v>1.6223568000000002</v>
      </c>
      <c r="H1473" s="34"/>
      <c r="I1473" s="30"/>
      <c r="J1473" s="152">
        <v>0</v>
      </c>
    </row>
    <row r="1474" spans="1:10" ht="15.75" hidden="1" thickBot="1" x14ac:dyDescent="0.3">
      <c r="A1474" s="176"/>
      <c r="B1474" s="174"/>
      <c r="C1474" s="35" t="s">
        <v>348</v>
      </c>
      <c r="D1474" s="35" t="s">
        <v>107</v>
      </c>
      <c r="E1474" s="36">
        <v>5.34</v>
      </c>
      <c r="F1474" s="30">
        <v>5.6999999999999995E-2</v>
      </c>
      <c r="G1474" s="30">
        <f>IF(ISNUMBER(F1474),E1474*F1474,"")</f>
        <v>0.30437999999999998</v>
      </c>
      <c r="H1474" s="34"/>
      <c r="I1474" s="30"/>
      <c r="J1474" s="152">
        <v>0</v>
      </c>
    </row>
    <row r="1475" spans="1:10" ht="15.75" hidden="1" thickBot="1" x14ac:dyDescent="0.3">
      <c r="A1475" s="176"/>
      <c r="B1475" s="174"/>
      <c r="C1475" s="35" t="s">
        <v>368</v>
      </c>
      <c r="D1475" s="35" t="s">
        <v>107</v>
      </c>
      <c r="E1475" s="36">
        <v>0.67</v>
      </c>
      <c r="F1475" s="30">
        <v>0</v>
      </c>
      <c r="G1475" s="30">
        <f>IF(ISNUMBER(F1475),E1475*F1475,"")</f>
        <v>0</v>
      </c>
      <c r="H1475" s="34"/>
      <c r="I1475" s="30"/>
      <c r="J1475" s="152">
        <v>0</v>
      </c>
    </row>
    <row r="1476" spans="1:10" ht="15.75" hidden="1" thickBot="1" x14ac:dyDescent="0.3">
      <c r="A1476" s="176"/>
      <c r="B1476" s="174"/>
      <c r="C1476" s="35" t="s">
        <v>350</v>
      </c>
      <c r="D1476" s="35" t="s">
        <v>107</v>
      </c>
      <c r="E1476" s="36">
        <v>1.3332999999999999</v>
      </c>
      <c r="F1476" s="30">
        <v>1.5864999999999998</v>
      </c>
      <c r="G1476" s="30">
        <f>IF(ISNUMBER(F1476),E1476*F1476,"")</f>
        <v>2.1152804499999998</v>
      </c>
      <c r="H1476" s="34"/>
      <c r="I1476" s="30"/>
      <c r="J1476" s="152">
        <v>0</v>
      </c>
    </row>
    <row r="1477" spans="1:10" ht="15.75" hidden="1" thickBot="1" x14ac:dyDescent="0.3">
      <c r="A1477" s="176"/>
      <c r="B1477" s="174"/>
      <c r="C1477" s="35" t="s">
        <v>351</v>
      </c>
      <c r="D1477" s="35" t="s">
        <v>16</v>
      </c>
      <c r="E1477" s="36">
        <v>2.67</v>
      </c>
      <c r="F1477" s="30">
        <v>0.28499999999999998</v>
      </c>
      <c r="G1477" s="30">
        <f>IF(ISNUMBER(F1477),E1477*F1477,"")</f>
        <v>0.7609499999999999</v>
      </c>
      <c r="H1477" s="34"/>
      <c r="I1477" s="30"/>
      <c r="J1477" s="152">
        <v>0</v>
      </c>
    </row>
    <row r="1478" spans="1:10" ht="15.75" hidden="1" thickBot="1" x14ac:dyDescent="0.3">
      <c r="A1478" s="176"/>
      <c r="B1478" s="174"/>
      <c r="C1478" s="35" t="s">
        <v>352</v>
      </c>
      <c r="D1478" s="35" t="s">
        <v>107</v>
      </c>
      <c r="E1478" s="36">
        <v>0.67</v>
      </c>
      <c r="F1478" s="30">
        <v>0</v>
      </c>
      <c r="G1478" s="30">
        <f>IF(ISNUMBER(F1478),E1478*F1478,"")</f>
        <v>0</v>
      </c>
      <c r="H1478" s="34"/>
      <c r="I1478" s="30"/>
      <c r="J1478" s="152">
        <v>0</v>
      </c>
    </row>
    <row r="1479" spans="1:10" ht="26.25" hidden="1" thickBot="1" x14ac:dyDescent="0.3">
      <c r="A1479" s="176"/>
      <c r="B1479" s="174"/>
      <c r="C1479" s="35" t="s">
        <v>365</v>
      </c>
      <c r="D1479" s="35" t="s">
        <v>69</v>
      </c>
      <c r="E1479" s="36">
        <v>1.05</v>
      </c>
      <c r="F1479" s="33" t="s">
        <v>416</v>
      </c>
      <c r="G1479" s="30" t="str">
        <f>IF(ISNUMBER(F1479),E1479*F1479,"")</f>
        <v/>
      </c>
      <c r="H1479" s="34"/>
      <c r="I1479" s="30"/>
      <c r="J1479" s="152">
        <v>0</v>
      </c>
    </row>
    <row r="1480" spans="1:10" ht="15.75" hidden="1" thickBot="1" x14ac:dyDescent="0.3">
      <c r="A1480" s="177"/>
      <c r="B1480" s="175"/>
      <c r="C1480" s="35"/>
      <c r="D1480" s="35"/>
      <c r="E1480" s="36"/>
      <c r="F1480" s="30" t="s">
        <v>416</v>
      </c>
      <c r="G1480" s="30" t="str">
        <f>IF(ISNUMBER(F1480),E1480*F1480,"")</f>
        <v/>
      </c>
      <c r="H1480" s="34"/>
      <c r="I1480" s="30"/>
      <c r="J1480" s="152">
        <v>0</v>
      </c>
    </row>
    <row r="1481" spans="1:10" ht="15.75" hidden="1" thickBot="1" x14ac:dyDescent="0.3">
      <c r="A1481" s="170" t="s">
        <v>369</v>
      </c>
      <c r="B1481" s="173" t="str">
        <f>INDEX(Orçamentária!A:B,MATCH(Composições!A1481,Orçamentária!A:A,0),2)</f>
        <v>Eletrocalha 400 x 50 mm</v>
      </c>
      <c r="C1481" s="40"/>
      <c r="D1481" s="25" t="s">
        <v>69</v>
      </c>
      <c r="E1481" s="26"/>
      <c r="F1481" s="41" t="s">
        <v>416</v>
      </c>
      <c r="G1481" s="27" t="str">
        <f>IF(ISNUMBER(F1481),E1481*F1481,"")</f>
        <v/>
      </c>
      <c r="H1481" s="28"/>
      <c r="I1481" s="29"/>
      <c r="J1481" s="152">
        <v>0</v>
      </c>
    </row>
    <row r="1482" spans="1:10" ht="15.75" hidden="1" thickBot="1" x14ac:dyDescent="0.3">
      <c r="A1482" s="176"/>
      <c r="B1482" s="174"/>
      <c r="C1482" s="31"/>
      <c r="D1482" s="31"/>
      <c r="E1482" s="32"/>
      <c r="F1482" s="42" t="s">
        <v>416</v>
      </c>
      <c r="G1482" s="30" t="str">
        <f>IF(ISNUMBER(F1482),E1482*F1482,"")</f>
        <v/>
      </c>
      <c r="H1482" s="34"/>
      <c r="I1482" s="30"/>
      <c r="J1482" s="152">
        <v>0</v>
      </c>
    </row>
    <row r="1483" spans="1:10" ht="15.75" hidden="1" thickBot="1" x14ac:dyDescent="0.3">
      <c r="A1483" s="176"/>
      <c r="B1483" s="174"/>
      <c r="C1483" s="35" t="s">
        <v>1018</v>
      </c>
      <c r="D1483" s="35" t="s">
        <v>583</v>
      </c>
      <c r="E1483" s="36">
        <v>0.55000000000000004</v>
      </c>
      <c r="F1483" s="30">
        <v>27.835000000000001</v>
      </c>
      <c r="G1483" s="30">
        <f>IF(ISNUMBER(F1483),E1483*F1483,"")</f>
        <v>15.309250000000002</v>
      </c>
      <c r="H1483" s="38">
        <f>SUM(G1483:G1494)</f>
        <v>52.249778649999996</v>
      </c>
      <c r="I1483" s="39"/>
      <c r="J1483" s="152">
        <v>0</v>
      </c>
    </row>
    <row r="1484" spans="1:10" ht="15.75" hidden="1" thickBot="1" x14ac:dyDescent="0.3">
      <c r="A1484" s="176"/>
      <c r="B1484" s="174"/>
      <c r="C1484" s="35" t="s">
        <v>1017</v>
      </c>
      <c r="D1484" s="35" t="s">
        <v>583</v>
      </c>
      <c r="E1484" s="36">
        <v>0.55000000000000004</v>
      </c>
      <c r="F1484" s="30">
        <v>21.584</v>
      </c>
      <c r="G1484" s="30">
        <f>IF(ISNUMBER(F1484),E1484*F1484,"")</f>
        <v>11.8712</v>
      </c>
      <c r="H1484" s="34"/>
      <c r="I1484" s="30"/>
      <c r="J1484" s="152">
        <v>0</v>
      </c>
    </row>
    <row r="1485" spans="1:10" ht="26.25" hidden="1" thickBot="1" x14ac:dyDescent="0.3">
      <c r="A1485" s="176"/>
      <c r="B1485" s="174"/>
      <c r="C1485" s="35" t="s">
        <v>344</v>
      </c>
      <c r="D1485" s="35" t="s">
        <v>107</v>
      </c>
      <c r="E1485" s="36">
        <v>1.3332999999999999</v>
      </c>
      <c r="F1485" s="30">
        <v>9.1579999999999995</v>
      </c>
      <c r="G1485" s="30">
        <f>IF(ISNUMBER(F1485),E1485*F1485,"")</f>
        <v>12.210361399999998</v>
      </c>
      <c r="H1485" s="61"/>
      <c r="I1485" s="1"/>
      <c r="J1485" s="152">
        <v>0</v>
      </c>
    </row>
    <row r="1486" spans="1:10" ht="26.25" hidden="1" thickBot="1" x14ac:dyDescent="0.3">
      <c r="A1486" s="176"/>
      <c r="B1486" s="174"/>
      <c r="C1486" s="35" t="s">
        <v>370</v>
      </c>
      <c r="D1486" s="35" t="s">
        <v>69</v>
      </c>
      <c r="E1486" s="36">
        <v>1.05</v>
      </c>
      <c r="F1486" s="33" t="s">
        <v>416</v>
      </c>
      <c r="G1486" s="30" t="str">
        <f>IF(ISNUMBER(F1486),E1486*F1486,"")</f>
        <v/>
      </c>
      <c r="H1486" s="34"/>
      <c r="I1486" s="30"/>
      <c r="J1486" s="152">
        <v>0</v>
      </c>
    </row>
    <row r="1487" spans="1:10" ht="15.75" hidden="1" thickBot="1" x14ac:dyDescent="0.3">
      <c r="A1487" s="176"/>
      <c r="B1487" s="174"/>
      <c r="C1487" s="35" t="s">
        <v>346</v>
      </c>
      <c r="D1487" s="35" t="s">
        <v>69</v>
      </c>
      <c r="E1487" s="36">
        <v>1.6</v>
      </c>
      <c r="F1487" s="30">
        <v>5.0349999999999993</v>
      </c>
      <c r="G1487" s="30">
        <f>IF(ISNUMBER(F1487),E1487*F1487,"")</f>
        <v>8.0559999999999992</v>
      </c>
      <c r="H1487" s="34"/>
      <c r="I1487" s="30"/>
      <c r="J1487" s="152">
        <v>0</v>
      </c>
    </row>
    <row r="1488" spans="1:10" ht="15.75" hidden="1" thickBot="1" x14ac:dyDescent="0.3">
      <c r="A1488" s="176"/>
      <c r="B1488" s="174"/>
      <c r="C1488" s="35" t="s">
        <v>347</v>
      </c>
      <c r="D1488" s="35" t="s">
        <v>213</v>
      </c>
      <c r="E1488" s="36">
        <v>5.3367000000000004</v>
      </c>
      <c r="F1488" s="33">
        <v>0.30399999999999999</v>
      </c>
      <c r="G1488" s="30">
        <f>IF(ISNUMBER(F1488),E1488*F1488,"")</f>
        <v>1.6223568000000002</v>
      </c>
      <c r="H1488" s="34"/>
      <c r="I1488" s="30"/>
      <c r="J1488" s="152">
        <v>0</v>
      </c>
    </row>
    <row r="1489" spans="1:10" ht="15.75" hidden="1" thickBot="1" x14ac:dyDescent="0.3">
      <c r="A1489" s="176"/>
      <c r="B1489" s="174"/>
      <c r="C1489" s="35" t="s">
        <v>348</v>
      </c>
      <c r="D1489" s="35" t="s">
        <v>107</v>
      </c>
      <c r="E1489" s="36">
        <v>5.34</v>
      </c>
      <c r="F1489" s="30">
        <v>5.6999999999999995E-2</v>
      </c>
      <c r="G1489" s="30">
        <f>IF(ISNUMBER(F1489),E1489*F1489,"")</f>
        <v>0.30437999999999998</v>
      </c>
      <c r="H1489" s="34"/>
      <c r="I1489" s="30"/>
      <c r="J1489" s="152">
        <v>0</v>
      </c>
    </row>
    <row r="1490" spans="1:10" ht="15.75" hidden="1" thickBot="1" x14ac:dyDescent="0.3">
      <c r="A1490" s="176"/>
      <c r="B1490" s="174"/>
      <c r="C1490" s="35" t="s">
        <v>371</v>
      </c>
      <c r="D1490" s="35" t="s">
        <v>107</v>
      </c>
      <c r="E1490" s="36">
        <v>0.67</v>
      </c>
      <c r="F1490" s="30">
        <v>0</v>
      </c>
      <c r="G1490" s="30">
        <f>IF(ISNUMBER(F1490),E1490*F1490,"")</f>
        <v>0</v>
      </c>
      <c r="H1490" s="34"/>
      <c r="I1490" s="30"/>
      <c r="J1490" s="152">
        <v>0</v>
      </c>
    </row>
    <row r="1491" spans="1:10" ht="15.75" hidden="1" thickBot="1" x14ac:dyDescent="0.3">
      <c r="A1491" s="176"/>
      <c r="B1491" s="174"/>
      <c r="C1491" s="35" t="s">
        <v>350</v>
      </c>
      <c r="D1491" s="35" t="s">
        <v>107</v>
      </c>
      <c r="E1491" s="36">
        <v>1.3332999999999999</v>
      </c>
      <c r="F1491" s="30">
        <v>1.5864999999999998</v>
      </c>
      <c r="G1491" s="30">
        <f>IF(ISNUMBER(F1491),E1491*F1491,"")</f>
        <v>2.1152804499999998</v>
      </c>
      <c r="H1491" s="34"/>
      <c r="I1491" s="30"/>
      <c r="J1491" s="152">
        <v>0</v>
      </c>
    </row>
    <row r="1492" spans="1:10" ht="15.75" hidden="1" thickBot="1" x14ac:dyDescent="0.3">
      <c r="A1492" s="176"/>
      <c r="B1492" s="174"/>
      <c r="C1492" s="35" t="s">
        <v>351</v>
      </c>
      <c r="D1492" s="35" t="s">
        <v>16</v>
      </c>
      <c r="E1492" s="36">
        <v>2.67</v>
      </c>
      <c r="F1492" s="30">
        <v>0.28499999999999998</v>
      </c>
      <c r="G1492" s="30">
        <f>IF(ISNUMBER(F1492),E1492*F1492,"")</f>
        <v>0.7609499999999999</v>
      </c>
      <c r="H1492" s="34"/>
      <c r="I1492" s="30"/>
      <c r="J1492" s="152">
        <v>0</v>
      </c>
    </row>
    <row r="1493" spans="1:10" ht="15.75" hidden="1" thickBot="1" x14ac:dyDescent="0.3">
      <c r="A1493" s="176"/>
      <c r="B1493" s="174"/>
      <c r="C1493" s="35" t="s">
        <v>352</v>
      </c>
      <c r="D1493" s="35" t="s">
        <v>107</v>
      </c>
      <c r="E1493" s="36">
        <v>0.67</v>
      </c>
      <c r="F1493" s="30">
        <v>0</v>
      </c>
      <c r="G1493" s="30">
        <f>IF(ISNUMBER(F1493),E1493*F1493,"")</f>
        <v>0</v>
      </c>
      <c r="H1493" s="34"/>
      <c r="I1493" s="30"/>
      <c r="J1493" s="152">
        <v>0</v>
      </c>
    </row>
    <row r="1494" spans="1:10" ht="26.25" hidden="1" thickBot="1" x14ac:dyDescent="0.3">
      <c r="A1494" s="176"/>
      <c r="B1494" s="174"/>
      <c r="C1494" s="35" t="s">
        <v>372</v>
      </c>
      <c r="D1494" s="35" t="s">
        <v>69</v>
      </c>
      <c r="E1494" s="36">
        <v>1.05</v>
      </c>
      <c r="F1494" s="33" t="s">
        <v>416</v>
      </c>
      <c r="G1494" s="30" t="str">
        <f>IF(ISNUMBER(F1494),E1494*F1494,"")</f>
        <v/>
      </c>
      <c r="H1494" s="34"/>
      <c r="I1494" s="30"/>
      <c r="J1494" s="152">
        <v>0</v>
      </c>
    </row>
    <row r="1495" spans="1:10" ht="15.75" hidden="1" thickBot="1" x14ac:dyDescent="0.3">
      <c r="A1495" s="177"/>
      <c r="B1495" s="175"/>
      <c r="C1495" s="35"/>
      <c r="D1495" s="35"/>
      <c r="E1495" s="36"/>
      <c r="F1495" s="30" t="s">
        <v>416</v>
      </c>
      <c r="G1495" s="30" t="str">
        <f>IF(ISNUMBER(F1495),E1495*F1495,"")</f>
        <v/>
      </c>
      <c r="H1495" s="34"/>
      <c r="I1495" s="30"/>
      <c r="J1495" s="152">
        <v>0</v>
      </c>
    </row>
    <row r="1496" spans="1:10" ht="15.75" hidden="1" thickBot="1" x14ac:dyDescent="0.3">
      <c r="A1496" s="170" t="s">
        <v>373</v>
      </c>
      <c r="B1496" s="173" t="str">
        <f>INDEX(Orçamentária!A:B,MATCH(Composições!A1496,Orçamentária!A:A,0),2)</f>
        <v>Eletrocalha 50 x 50 mm</v>
      </c>
      <c r="C1496" s="40"/>
      <c r="D1496" s="25" t="s">
        <v>69</v>
      </c>
      <c r="E1496" s="26"/>
      <c r="F1496" s="41" t="s">
        <v>416</v>
      </c>
      <c r="G1496" s="27" t="str">
        <f>IF(ISNUMBER(F1496),E1496*F1496,"")</f>
        <v/>
      </c>
      <c r="H1496" s="28"/>
      <c r="I1496" s="29"/>
      <c r="J1496" s="152">
        <v>0</v>
      </c>
    </row>
    <row r="1497" spans="1:10" ht="15.75" hidden="1" thickBot="1" x14ac:dyDescent="0.3">
      <c r="A1497" s="171"/>
      <c r="B1497" s="174"/>
      <c r="C1497" s="31"/>
      <c r="D1497" s="31"/>
      <c r="E1497" s="32"/>
      <c r="F1497" s="42" t="s">
        <v>416</v>
      </c>
      <c r="G1497" s="30" t="str">
        <f>IF(ISNUMBER(F1497),E1497*F1497,"")</f>
        <v/>
      </c>
      <c r="H1497" s="34"/>
      <c r="I1497" s="30"/>
      <c r="J1497" s="152">
        <v>0</v>
      </c>
    </row>
    <row r="1498" spans="1:10" ht="15.75" hidden="1" thickBot="1" x14ac:dyDescent="0.3">
      <c r="A1498" s="171"/>
      <c r="B1498" s="174"/>
      <c r="C1498" s="35" t="s">
        <v>1018</v>
      </c>
      <c r="D1498" s="35" t="s">
        <v>583</v>
      </c>
      <c r="E1498" s="36">
        <v>0.45</v>
      </c>
      <c r="F1498" s="30">
        <v>27.835000000000001</v>
      </c>
      <c r="G1498" s="30">
        <f>IF(ISNUMBER(F1498),E1498*F1498,"")</f>
        <v>12.52575</v>
      </c>
      <c r="H1498" s="38">
        <f>SUM(G1498:G1509)</f>
        <v>36.2743763</v>
      </c>
      <c r="I1498" s="39"/>
      <c r="J1498" s="152">
        <v>0</v>
      </c>
    </row>
    <row r="1499" spans="1:10" ht="15.75" hidden="1" thickBot="1" x14ac:dyDescent="0.3">
      <c r="A1499" s="171"/>
      <c r="B1499" s="174"/>
      <c r="C1499" s="35" t="s">
        <v>1017</v>
      </c>
      <c r="D1499" s="35" t="s">
        <v>583</v>
      </c>
      <c r="E1499" s="36">
        <v>0.45</v>
      </c>
      <c r="F1499" s="30">
        <v>21.584</v>
      </c>
      <c r="G1499" s="30">
        <f>IF(ISNUMBER(F1499),E1499*F1499,"")</f>
        <v>9.7127999999999997</v>
      </c>
      <c r="H1499" s="34"/>
      <c r="I1499" s="30"/>
      <c r="J1499" s="152">
        <v>0</v>
      </c>
    </row>
    <row r="1500" spans="1:10" ht="26.25" hidden="1" thickBot="1" x14ac:dyDescent="0.3">
      <c r="A1500" s="171"/>
      <c r="B1500" s="174"/>
      <c r="C1500" s="35" t="s">
        <v>344</v>
      </c>
      <c r="D1500" s="35" t="s">
        <v>107</v>
      </c>
      <c r="E1500" s="36">
        <v>0.67</v>
      </c>
      <c r="F1500" s="30">
        <v>9.1579999999999995</v>
      </c>
      <c r="G1500" s="30">
        <f>IF(ISNUMBER(F1500),E1500*F1500,"")</f>
        <v>6.1358600000000001</v>
      </c>
      <c r="H1500" s="61"/>
      <c r="I1500" s="1"/>
      <c r="J1500" s="152">
        <v>0</v>
      </c>
    </row>
    <row r="1501" spans="1:10" ht="26.25" hidden="1" thickBot="1" x14ac:dyDescent="0.3">
      <c r="A1501" s="171"/>
      <c r="B1501" s="174"/>
      <c r="C1501" s="35" t="s">
        <v>374</v>
      </c>
      <c r="D1501" s="35" t="s">
        <v>69</v>
      </c>
      <c r="E1501" s="36">
        <v>1.05</v>
      </c>
      <c r="F1501" s="33" t="s">
        <v>416</v>
      </c>
      <c r="G1501" s="30" t="str">
        <f>IF(ISNUMBER(F1501),E1501*F1501,"")</f>
        <v/>
      </c>
      <c r="H1501" s="34"/>
      <c r="I1501" s="30"/>
      <c r="J1501" s="152">
        <v>0</v>
      </c>
    </row>
    <row r="1502" spans="1:10" ht="15.75" hidden="1" thickBot="1" x14ac:dyDescent="0.3">
      <c r="A1502" s="171"/>
      <c r="B1502" s="174"/>
      <c r="C1502" s="35" t="s">
        <v>346</v>
      </c>
      <c r="D1502" s="35" t="s">
        <v>69</v>
      </c>
      <c r="E1502" s="36">
        <v>0.8</v>
      </c>
      <c r="F1502" s="30">
        <v>5.0349999999999993</v>
      </c>
      <c r="G1502" s="30">
        <f>IF(ISNUMBER(F1502),E1502*F1502,"")</f>
        <v>4.0279999999999996</v>
      </c>
      <c r="H1502" s="34"/>
      <c r="I1502" s="30"/>
      <c r="J1502" s="152">
        <v>0</v>
      </c>
    </row>
    <row r="1503" spans="1:10" ht="15.75" hidden="1" thickBot="1" x14ac:dyDescent="0.3">
      <c r="A1503" s="171"/>
      <c r="B1503" s="174"/>
      <c r="C1503" s="35" t="s">
        <v>347</v>
      </c>
      <c r="D1503" s="35" t="s">
        <v>213</v>
      </c>
      <c r="E1503" s="36">
        <v>4.0033000000000003</v>
      </c>
      <c r="F1503" s="33">
        <v>0.30399999999999999</v>
      </c>
      <c r="G1503" s="30">
        <f>IF(ISNUMBER(F1503),E1503*F1503,"")</f>
        <v>1.2170032</v>
      </c>
      <c r="H1503" s="34"/>
      <c r="I1503" s="30"/>
      <c r="J1503" s="152">
        <v>0</v>
      </c>
    </row>
    <row r="1504" spans="1:10" ht="15.75" hidden="1" thickBot="1" x14ac:dyDescent="0.3">
      <c r="A1504" s="171"/>
      <c r="B1504" s="174"/>
      <c r="C1504" s="35" t="s">
        <v>348</v>
      </c>
      <c r="D1504" s="35" t="s">
        <v>107</v>
      </c>
      <c r="E1504" s="36">
        <v>4.0033000000000003</v>
      </c>
      <c r="F1504" s="30">
        <v>5.6999999999999995E-2</v>
      </c>
      <c r="G1504" s="30">
        <f>IF(ISNUMBER(F1504),E1504*F1504,"")</f>
        <v>0.2281881</v>
      </c>
      <c r="H1504" s="34"/>
      <c r="I1504" s="30"/>
      <c r="J1504" s="152">
        <v>0</v>
      </c>
    </row>
    <row r="1505" spans="1:10" ht="15.75" hidden="1" thickBot="1" x14ac:dyDescent="0.3">
      <c r="A1505" s="171"/>
      <c r="B1505" s="174"/>
      <c r="C1505" s="35" t="s">
        <v>375</v>
      </c>
      <c r="D1505" s="35" t="s">
        <v>107</v>
      </c>
      <c r="E1505" s="36">
        <v>0.67</v>
      </c>
      <c r="F1505" s="30">
        <v>0</v>
      </c>
      <c r="G1505" s="30">
        <f>IF(ISNUMBER(F1505),E1505*F1505,"")</f>
        <v>0</v>
      </c>
      <c r="H1505" s="34"/>
      <c r="I1505" s="30"/>
      <c r="J1505" s="152">
        <v>0</v>
      </c>
    </row>
    <row r="1506" spans="1:10" ht="15.75" hidden="1" thickBot="1" x14ac:dyDescent="0.3">
      <c r="A1506" s="171"/>
      <c r="B1506" s="174"/>
      <c r="C1506" s="35" t="s">
        <v>350</v>
      </c>
      <c r="D1506" s="35" t="s">
        <v>107</v>
      </c>
      <c r="E1506" s="36">
        <v>1.05</v>
      </c>
      <c r="F1506" s="30">
        <v>1.5864999999999998</v>
      </c>
      <c r="G1506" s="30">
        <f>IF(ISNUMBER(F1506),E1506*F1506,"")</f>
        <v>1.6658249999999999</v>
      </c>
      <c r="H1506" s="34"/>
      <c r="I1506" s="30"/>
      <c r="J1506" s="152">
        <v>0</v>
      </c>
    </row>
    <row r="1507" spans="1:10" ht="15.75" hidden="1" thickBot="1" x14ac:dyDescent="0.3">
      <c r="A1507" s="171"/>
      <c r="B1507" s="174"/>
      <c r="C1507" s="35" t="s">
        <v>351</v>
      </c>
      <c r="D1507" s="35" t="s">
        <v>16</v>
      </c>
      <c r="E1507" s="36">
        <v>2.67</v>
      </c>
      <c r="F1507" s="30">
        <v>0.28499999999999998</v>
      </c>
      <c r="G1507" s="30">
        <f>IF(ISNUMBER(F1507),E1507*F1507,"")</f>
        <v>0.7609499999999999</v>
      </c>
      <c r="H1507" s="34"/>
      <c r="I1507" s="30"/>
      <c r="J1507" s="152">
        <v>0</v>
      </c>
    </row>
    <row r="1508" spans="1:10" ht="15.75" hidden="1" thickBot="1" x14ac:dyDescent="0.3">
      <c r="A1508" s="171"/>
      <c r="B1508" s="174"/>
      <c r="C1508" s="35" t="s">
        <v>352</v>
      </c>
      <c r="D1508" s="35" t="s">
        <v>107</v>
      </c>
      <c r="E1508" s="36">
        <v>0.66669999999999996</v>
      </c>
      <c r="F1508" s="30">
        <v>0</v>
      </c>
      <c r="G1508" s="30">
        <f>IF(ISNUMBER(F1508),E1508*F1508,"")</f>
        <v>0</v>
      </c>
      <c r="H1508" s="34"/>
      <c r="I1508" s="30"/>
      <c r="J1508" s="152">
        <v>0</v>
      </c>
    </row>
    <row r="1509" spans="1:10" ht="26.25" hidden="1" thickBot="1" x14ac:dyDescent="0.3">
      <c r="A1509" s="171"/>
      <c r="B1509" s="174"/>
      <c r="C1509" s="35" t="s">
        <v>376</v>
      </c>
      <c r="D1509" s="35" t="s">
        <v>69</v>
      </c>
      <c r="E1509" s="36">
        <v>1.05</v>
      </c>
      <c r="F1509" s="33" t="s">
        <v>416</v>
      </c>
      <c r="G1509" s="30" t="str">
        <f>IF(ISNUMBER(F1509),E1509*F1509,"")</f>
        <v/>
      </c>
      <c r="H1509" s="34"/>
      <c r="I1509" s="30"/>
      <c r="J1509" s="152">
        <v>0</v>
      </c>
    </row>
    <row r="1510" spans="1:10" ht="15.75" hidden="1" thickBot="1" x14ac:dyDescent="0.3">
      <c r="A1510" s="172"/>
      <c r="B1510" s="175"/>
      <c r="C1510" s="35"/>
      <c r="D1510" s="35"/>
      <c r="E1510" s="36"/>
      <c r="F1510" s="30" t="s">
        <v>416</v>
      </c>
      <c r="G1510" s="30" t="str">
        <f>IF(ISNUMBER(F1510),E1510*F1510,"")</f>
        <v/>
      </c>
      <c r="H1510" s="34"/>
      <c r="I1510" s="30"/>
      <c r="J1510" s="152">
        <v>0</v>
      </c>
    </row>
    <row r="1511" spans="1:10" ht="15.75" hidden="1" thickBot="1" x14ac:dyDescent="0.3">
      <c r="A1511" s="170" t="s">
        <v>377</v>
      </c>
      <c r="B1511" s="173" t="str">
        <f>INDEX(Orçamentária!A:B,MATCH(Composições!A1511,Orçamentária!A:A,0),2)</f>
        <v>Eletroduto de aço galvanizado de 1 1/2"</v>
      </c>
      <c r="C1511" s="40"/>
      <c r="D1511" s="25" t="s">
        <v>69</v>
      </c>
      <c r="E1511" s="26"/>
      <c r="F1511" s="41" t="s">
        <v>416</v>
      </c>
      <c r="G1511" s="27" t="str">
        <f>IF(ISNUMBER(F1511),E1511*F1511,"")</f>
        <v/>
      </c>
      <c r="H1511" s="28"/>
      <c r="I1511" s="29"/>
      <c r="J1511" s="152">
        <v>0</v>
      </c>
    </row>
    <row r="1512" spans="1:10" ht="15.75" hidden="1" thickBot="1" x14ac:dyDescent="0.3">
      <c r="A1512" s="176"/>
      <c r="B1512" s="174"/>
      <c r="C1512" s="31"/>
      <c r="D1512" s="31"/>
      <c r="E1512" s="32"/>
      <c r="F1512" s="42" t="s">
        <v>416</v>
      </c>
      <c r="G1512" s="30" t="str">
        <f>IF(ISNUMBER(F1512),E1512*F1512,"")</f>
        <v/>
      </c>
      <c r="H1512" s="34"/>
      <c r="I1512" s="30"/>
      <c r="J1512" s="152">
        <v>0</v>
      </c>
    </row>
    <row r="1513" spans="1:10" ht="15.75" hidden="1" thickBot="1" x14ac:dyDescent="0.3">
      <c r="A1513" s="176"/>
      <c r="B1513" s="174"/>
      <c r="C1513" s="35" t="s">
        <v>378</v>
      </c>
      <c r="D1513" s="35" t="s">
        <v>69</v>
      </c>
      <c r="E1513" s="36">
        <v>1.05</v>
      </c>
      <c r="F1513" s="30">
        <v>0</v>
      </c>
      <c r="G1513" s="33">
        <f>IF(ISNUMBER(F1513),E1513*F1513,"")</f>
        <v>0</v>
      </c>
      <c r="H1513" s="38">
        <f>SUM(G1513:G1515)</f>
        <v>37.064250000000001</v>
      </c>
      <c r="I1513" s="39"/>
      <c r="J1513" s="152">
        <v>0</v>
      </c>
    </row>
    <row r="1514" spans="1:10" ht="15.75" hidden="1" thickBot="1" x14ac:dyDescent="0.3">
      <c r="A1514" s="176"/>
      <c r="B1514" s="174"/>
      <c r="C1514" s="35" t="s">
        <v>1018</v>
      </c>
      <c r="D1514" s="35" t="s">
        <v>583</v>
      </c>
      <c r="E1514" s="36">
        <v>0.75</v>
      </c>
      <c r="F1514" s="30">
        <v>27.835000000000001</v>
      </c>
      <c r="G1514" s="33">
        <f>IF(ISNUMBER(F1514),E1514*F1514,"")</f>
        <v>20.876249999999999</v>
      </c>
      <c r="H1514" s="34"/>
      <c r="I1514" s="30"/>
      <c r="J1514" s="152">
        <v>0</v>
      </c>
    </row>
    <row r="1515" spans="1:10" ht="15.75" hidden="1" thickBot="1" x14ac:dyDescent="0.3">
      <c r="A1515" s="176"/>
      <c r="B1515" s="174"/>
      <c r="C1515" s="35" t="s">
        <v>1017</v>
      </c>
      <c r="D1515" s="35" t="s">
        <v>583</v>
      </c>
      <c r="E1515" s="36">
        <v>0.75</v>
      </c>
      <c r="F1515" s="30">
        <v>21.584</v>
      </c>
      <c r="G1515" s="33">
        <f>IF(ISNUMBER(F1515),E1515*F1515,"")</f>
        <v>16.187999999999999</v>
      </c>
      <c r="H1515" s="34"/>
      <c r="I1515" s="30"/>
      <c r="J1515" s="152">
        <v>0</v>
      </c>
    </row>
    <row r="1516" spans="1:10" ht="15.75" hidden="1" thickBot="1" x14ac:dyDescent="0.3">
      <c r="A1516" s="177"/>
      <c r="B1516" s="175"/>
      <c r="C1516" s="35"/>
      <c r="D1516" s="35"/>
      <c r="E1516" s="36"/>
      <c r="F1516" s="30" t="s">
        <v>416</v>
      </c>
      <c r="G1516" s="30" t="str">
        <f>IF(ISNUMBER(F1516),E1516*F1516,"")</f>
        <v/>
      </c>
      <c r="H1516" s="34"/>
      <c r="I1516" s="30"/>
      <c r="J1516" s="152">
        <v>0</v>
      </c>
    </row>
    <row r="1517" spans="1:10" ht="15.75" thickBot="1" x14ac:dyDescent="0.3">
      <c r="A1517" s="170" t="s">
        <v>379</v>
      </c>
      <c r="B1517" s="173" t="str">
        <f>INDEX(Orçamentária!A:B,MATCH(Composições!A1517,Orçamentária!A:A,0),2)</f>
        <v>Eletroduto de aço galvanizado de 1 1/4"</v>
      </c>
      <c r="C1517" s="40"/>
      <c r="D1517" s="25" t="s">
        <v>69</v>
      </c>
      <c r="E1517" s="26"/>
      <c r="F1517" s="41" t="s">
        <v>416</v>
      </c>
      <c r="G1517" s="27" t="str">
        <f>IF(ISNUMBER(F1517),E1517*F1517,"")</f>
        <v/>
      </c>
      <c r="H1517" s="28"/>
      <c r="I1517" s="29"/>
      <c r="J1517" s="152">
        <v>28</v>
      </c>
    </row>
    <row r="1518" spans="1:10" x14ac:dyDescent="0.25">
      <c r="A1518" s="176"/>
      <c r="B1518" s="174"/>
      <c r="C1518" s="31"/>
      <c r="D1518" s="31"/>
      <c r="E1518" s="32"/>
      <c r="F1518" s="42" t="s">
        <v>416</v>
      </c>
      <c r="G1518" s="30" t="str">
        <f>IF(ISNUMBER(F1518),E1518*F1518,"")</f>
        <v/>
      </c>
      <c r="H1518" s="34"/>
      <c r="I1518" s="30"/>
      <c r="J1518" s="152">
        <v>28</v>
      </c>
    </row>
    <row r="1519" spans="1:10" x14ac:dyDescent="0.25">
      <c r="A1519" s="176"/>
      <c r="B1519" s="174"/>
      <c r="C1519" s="35" t="s">
        <v>380</v>
      </c>
      <c r="D1519" s="35" t="s">
        <v>69</v>
      </c>
      <c r="E1519" s="36">
        <v>1.05</v>
      </c>
      <c r="F1519" s="30">
        <v>23.873499999999996</v>
      </c>
      <c r="G1519" s="33">
        <f>IF(ISNUMBER(F1519),E1519*F1519,"")</f>
        <v>25.067174999999999</v>
      </c>
      <c r="H1519" s="38">
        <f>SUM(G1519:G1521)</f>
        <v>62.131424999999993</v>
      </c>
      <c r="I1519" s="39"/>
      <c r="J1519" s="152">
        <v>28</v>
      </c>
    </row>
    <row r="1520" spans="1:10" x14ac:dyDescent="0.25">
      <c r="A1520" s="176"/>
      <c r="B1520" s="174"/>
      <c r="C1520" s="35" t="s">
        <v>1018</v>
      </c>
      <c r="D1520" s="35" t="s">
        <v>583</v>
      </c>
      <c r="E1520" s="36">
        <v>0.75</v>
      </c>
      <c r="F1520" s="30">
        <v>27.835000000000001</v>
      </c>
      <c r="G1520" s="33">
        <f>IF(ISNUMBER(F1520),E1520*F1520,"")</f>
        <v>20.876249999999999</v>
      </c>
      <c r="H1520" s="34"/>
      <c r="I1520" s="30"/>
      <c r="J1520" s="152">
        <v>28</v>
      </c>
    </row>
    <row r="1521" spans="1:10" x14ac:dyDescent="0.25">
      <c r="A1521" s="176"/>
      <c r="B1521" s="174"/>
      <c r="C1521" s="35" t="s">
        <v>1017</v>
      </c>
      <c r="D1521" s="35" t="s">
        <v>583</v>
      </c>
      <c r="E1521" s="36">
        <v>0.75</v>
      </c>
      <c r="F1521" s="30">
        <v>21.584</v>
      </c>
      <c r="G1521" s="33">
        <f>IF(ISNUMBER(F1521),E1521*F1521,"")</f>
        <v>16.187999999999999</v>
      </c>
      <c r="H1521" s="34"/>
      <c r="I1521" s="30"/>
      <c r="J1521" s="152">
        <v>28</v>
      </c>
    </row>
    <row r="1522" spans="1:10" ht="15.75" thickBot="1" x14ac:dyDescent="0.3">
      <c r="A1522" s="177"/>
      <c r="B1522" s="175"/>
      <c r="C1522" s="35"/>
      <c r="D1522" s="35"/>
      <c r="E1522" s="36"/>
      <c r="F1522" s="30" t="s">
        <v>416</v>
      </c>
      <c r="G1522" s="30" t="str">
        <f>IF(ISNUMBER(F1522),E1522*F1522,"")</f>
        <v/>
      </c>
      <c r="H1522" s="34"/>
      <c r="I1522" s="30"/>
      <c r="J1522" s="152">
        <v>28</v>
      </c>
    </row>
    <row r="1523" spans="1:10" ht="15.75" thickBot="1" x14ac:dyDescent="0.3">
      <c r="A1523" s="170" t="s">
        <v>381</v>
      </c>
      <c r="B1523" s="173" t="str">
        <f>INDEX(Orçamentária!A:B,MATCH(Composições!A1523,Orçamentária!A:A,0),2)</f>
        <v>Eletroduto de aço galvanizado de 1"</v>
      </c>
      <c r="C1523" s="40"/>
      <c r="D1523" s="25" t="s">
        <v>69</v>
      </c>
      <c r="E1523" s="26"/>
      <c r="F1523" s="41" t="s">
        <v>416</v>
      </c>
      <c r="G1523" s="27" t="str">
        <f>IF(ISNUMBER(F1523),E1523*F1523,"")</f>
        <v/>
      </c>
      <c r="H1523" s="28"/>
      <c r="I1523" s="29"/>
      <c r="J1523" s="152">
        <v>60</v>
      </c>
    </row>
    <row r="1524" spans="1:10" x14ac:dyDescent="0.25">
      <c r="A1524" s="176"/>
      <c r="B1524" s="174"/>
      <c r="C1524" s="31"/>
      <c r="D1524" s="31"/>
      <c r="E1524" s="32"/>
      <c r="F1524" s="42" t="s">
        <v>416</v>
      </c>
      <c r="G1524" s="30" t="str">
        <f>IF(ISNUMBER(F1524),E1524*F1524,"")</f>
        <v/>
      </c>
      <c r="H1524" s="34"/>
      <c r="I1524" s="30"/>
      <c r="J1524" s="152">
        <v>60</v>
      </c>
    </row>
    <row r="1525" spans="1:10" x14ac:dyDescent="0.25">
      <c r="A1525" s="176"/>
      <c r="B1525" s="174"/>
      <c r="C1525" s="35" t="s">
        <v>382</v>
      </c>
      <c r="D1525" s="35" t="s">
        <v>69</v>
      </c>
      <c r="E1525" s="36">
        <v>1.05</v>
      </c>
      <c r="F1525" s="30">
        <v>13.603999999999999</v>
      </c>
      <c r="G1525" s="33">
        <f>IF(ISNUMBER(F1525),E1525*F1525,"")</f>
        <v>14.2842</v>
      </c>
      <c r="H1525" s="38">
        <f>SUM(G1525:G1527)</f>
        <v>38.993700000000004</v>
      </c>
      <c r="I1525" s="39"/>
      <c r="J1525" s="152">
        <v>60</v>
      </c>
    </row>
    <row r="1526" spans="1:10" x14ac:dyDescent="0.25">
      <c r="A1526" s="176"/>
      <c r="B1526" s="174"/>
      <c r="C1526" s="35" t="s">
        <v>1018</v>
      </c>
      <c r="D1526" s="35" t="s">
        <v>583</v>
      </c>
      <c r="E1526" s="36">
        <v>0.5</v>
      </c>
      <c r="F1526" s="30">
        <v>27.835000000000001</v>
      </c>
      <c r="G1526" s="33">
        <f>IF(ISNUMBER(F1526),E1526*F1526,"")</f>
        <v>13.9175</v>
      </c>
      <c r="H1526" s="34"/>
      <c r="I1526" s="30"/>
      <c r="J1526" s="152">
        <v>60</v>
      </c>
    </row>
    <row r="1527" spans="1:10" x14ac:dyDescent="0.25">
      <c r="A1527" s="176"/>
      <c r="B1527" s="174"/>
      <c r="C1527" s="35" t="s">
        <v>1017</v>
      </c>
      <c r="D1527" s="35" t="s">
        <v>583</v>
      </c>
      <c r="E1527" s="36">
        <v>0.5</v>
      </c>
      <c r="F1527" s="30">
        <v>21.584</v>
      </c>
      <c r="G1527" s="33">
        <f>IF(ISNUMBER(F1527),E1527*F1527,"")</f>
        <v>10.792</v>
      </c>
      <c r="H1527" s="34"/>
      <c r="I1527" s="30"/>
      <c r="J1527" s="152">
        <v>60</v>
      </c>
    </row>
    <row r="1528" spans="1:10" ht="15.75" thickBot="1" x14ac:dyDescent="0.3">
      <c r="A1528" s="177"/>
      <c r="B1528" s="175"/>
      <c r="C1528" s="35"/>
      <c r="D1528" s="35"/>
      <c r="E1528" s="36"/>
      <c r="F1528" s="30" t="s">
        <v>416</v>
      </c>
      <c r="G1528" s="30" t="str">
        <f>IF(ISNUMBER(F1528),E1528*F1528,"")</f>
        <v/>
      </c>
      <c r="H1528" s="34"/>
      <c r="I1528" s="30"/>
      <c r="J1528" s="152">
        <v>60</v>
      </c>
    </row>
    <row r="1529" spans="1:10" ht="15.75" hidden="1" thickBot="1" x14ac:dyDescent="0.3">
      <c r="A1529" s="170" t="s">
        <v>383</v>
      </c>
      <c r="B1529" s="173" t="str">
        <f>INDEX(Orçamentária!A:B,MATCH(Composições!A1529,Orçamentária!A:A,0),2)</f>
        <v>Eletroduto de aço galvanizado de 2"</v>
      </c>
      <c r="C1529" s="40"/>
      <c r="D1529" s="25" t="s">
        <v>69</v>
      </c>
      <c r="E1529" s="26"/>
      <c r="F1529" s="41" t="s">
        <v>416</v>
      </c>
      <c r="G1529" s="27" t="str">
        <f>IF(ISNUMBER(F1529),E1529*F1529,"")</f>
        <v/>
      </c>
      <c r="H1529" s="28"/>
      <c r="I1529" s="29"/>
      <c r="J1529" s="152">
        <v>0</v>
      </c>
    </row>
    <row r="1530" spans="1:10" ht="15.75" hidden="1" thickBot="1" x14ac:dyDescent="0.3">
      <c r="A1530" s="176"/>
      <c r="B1530" s="174"/>
      <c r="C1530" s="31"/>
      <c r="D1530" s="31"/>
      <c r="E1530" s="32"/>
      <c r="F1530" s="42" t="s">
        <v>416</v>
      </c>
      <c r="G1530" s="30" t="str">
        <f>IF(ISNUMBER(F1530),E1530*F1530,"")</f>
        <v/>
      </c>
      <c r="H1530" s="34"/>
      <c r="I1530" s="30"/>
      <c r="J1530" s="152">
        <v>0</v>
      </c>
    </row>
    <row r="1531" spans="1:10" ht="15.75" hidden="1" thickBot="1" x14ac:dyDescent="0.3">
      <c r="A1531" s="176"/>
      <c r="B1531" s="174"/>
      <c r="C1531" s="35" t="s">
        <v>384</v>
      </c>
      <c r="D1531" s="35" t="s">
        <v>69</v>
      </c>
      <c r="E1531" s="36">
        <v>1.05</v>
      </c>
      <c r="F1531" s="30">
        <v>0</v>
      </c>
      <c r="G1531" s="33">
        <f>IF(ISNUMBER(F1531),E1531*F1531,"")</f>
        <v>0</v>
      </c>
      <c r="H1531" s="38">
        <f>SUM(G1531:G1533)</f>
        <v>37.064250000000001</v>
      </c>
      <c r="I1531" s="39"/>
      <c r="J1531" s="152">
        <v>0</v>
      </c>
    </row>
    <row r="1532" spans="1:10" ht="15.75" hidden="1" thickBot="1" x14ac:dyDescent="0.3">
      <c r="A1532" s="176"/>
      <c r="B1532" s="174"/>
      <c r="C1532" s="35" t="s">
        <v>1018</v>
      </c>
      <c r="D1532" s="35" t="s">
        <v>583</v>
      </c>
      <c r="E1532" s="36">
        <v>0.75</v>
      </c>
      <c r="F1532" s="30">
        <v>27.835000000000001</v>
      </c>
      <c r="G1532" s="33">
        <f>IF(ISNUMBER(F1532),E1532*F1532,"")</f>
        <v>20.876249999999999</v>
      </c>
      <c r="H1532" s="34"/>
      <c r="I1532" s="30"/>
      <c r="J1532" s="152">
        <v>0</v>
      </c>
    </row>
    <row r="1533" spans="1:10" ht="15.75" hidden="1" thickBot="1" x14ac:dyDescent="0.3">
      <c r="A1533" s="176"/>
      <c r="B1533" s="174"/>
      <c r="C1533" s="35" t="s">
        <v>1017</v>
      </c>
      <c r="D1533" s="35" t="s">
        <v>583</v>
      </c>
      <c r="E1533" s="36">
        <v>0.75</v>
      </c>
      <c r="F1533" s="30">
        <v>21.584</v>
      </c>
      <c r="G1533" s="33">
        <f>IF(ISNUMBER(F1533),E1533*F1533,"")</f>
        <v>16.187999999999999</v>
      </c>
      <c r="H1533" s="34"/>
      <c r="I1533" s="30"/>
      <c r="J1533" s="152">
        <v>0</v>
      </c>
    </row>
    <row r="1534" spans="1:10" ht="15.75" hidden="1" thickBot="1" x14ac:dyDescent="0.3">
      <c r="A1534" s="177"/>
      <c r="B1534" s="175"/>
      <c r="C1534" s="35"/>
      <c r="D1534" s="35"/>
      <c r="E1534" s="36"/>
      <c r="F1534" s="30" t="s">
        <v>416</v>
      </c>
      <c r="G1534" s="30" t="str">
        <f>IF(ISNUMBER(F1534),E1534*F1534,"")</f>
        <v/>
      </c>
      <c r="H1534" s="34"/>
      <c r="I1534" s="30"/>
      <c r="J1534" s="152">
        <v>0</v>
      </c>
    </row>
    <row r="1535" spans="1:10" ht="15.75" hidden="1" thickBot="1" x14ac:dyDescent="0.3">
      <c r="A1535" s="170" t="s">
        <v>386</v>
      </c>
      <c r="B1535" s="173" t="str">
        <f>INDEX(Orçamentária!A:B,MATCH(Composições!A1535,Orçamentária!A:A,0),2)</f>
        <v>Eletroduto de aço galvanizado de 3/4"</v>
      </c>
      <c r="C1535" s="40"/>
      <c r="D1535" s="25" t="s">
        <v>69</v>
      </c>
      <c r="E1535" s="26"/>
      <c r="F1535" s="41" t="s">
        <v>416</v>
      </c>
      <c r="G1535" s="27" t="str">
        <f>IF(ISNUMBER(F1535),E1535*F1535,"")</f>
        <v/>
      </c>
      <c r="H1535" s="28"/>
      <c r="I1535" s="29"/>
      <c r="J1535" s="152">
        <v>0</v>
      </c>
    </row>
    <row r="1536" spans="1:10" ht="15.75" hidden="1" thickBot="1" x14ac:dyDescent="0.3">
      <c r="A1536" s="176"/>
      <c r="B1536" s="174"/>
      <c r="C1536" s="31"/>
      <c r="D1536" s="31"/>
      <c r="E1536" s="32"/>
      <c r="F1536" s="42" t="s">
        <v>416</v>
      </c>
      <c r="G1536" s="30" t="str">
        <f>IF(ISNUMBER(F1536),E1536*F1536,"")</f>
        <v/>
      </c>
      <c r="H1536" s="34"/>
      <c r="I1536" s="30"/>
      <c r="J1536" s="152">
        <v>0</v>
      </c>
    </row>
    <row r="1537" spans="1:10" ht="15.75" hidden="1" thickBot="1" x14ac:dyDescent="0.3">
      <c r="A1537" s="176"/>
      <c r="B1537" s="174"/>
      <c r="C1537" s="35" t="s">
        <v>387</v>
      </c>
      <c r="D1537" s="35" t="s">
        <v>69</v>
      </c>
      <c r="E1537" s="36">
        <v>1.05</v>
      </c>
      <c r="F1537" s="30">
        <v>0</v>
      </c>
      <c r="G1537" s="33">
        <f>IF(ISNUMBER(F1537),E1537*F1537,"")</f>
        <v>0</v>
      </c>
      <c r="H1537" s="38">
        <f>SUM(G1537:G1539)</f>
        <v>24.709499999999998</v>
      </c>
      <c r="I1537" s="39"/>
      <c r="J1537" s="152">
        <v>0</v>
      </c>
    </row>
    <row r="1538" spans="1:10" ht="15.75" hidden="1" thickBot="1" x14ac:dyDescent="0.3">
      <c r="A1538" s="176"/>
      <c r="B1538" s="174"/>
      <c r="C1538" s="35" t="s">
        <v>1018</v>
      </c>
      <c r="D1538" s="35" t="s">
        <v>583</v>
      </c>
      <c r="E1538" s="36">
        <v>0.5</v>
      </c>
      <c r="F1538" s="30">
        <v>27.835000000000001</v>
      </c>
      <c r="G1538" s="33">
        <f>IF(ISNUMBER(F1538),E1538*F1538,"")</f>
        <v>13.9175</v>
      </c>
      <c r="H1538" s="34"/>
      <c r="I1538" s="30"/>
      <c r="J1538" s="152">
        <v>0</v>
      </c>
    </row>
    <row r="1539" spans="1:10" ht="15.75" hidden="1" thickBot="1" x14ac:dyDescent="0.3">
      <c r="A1539" s="176"/>
      <c r="B1539" s="174"/>
      <c r="C1539" s="35" t="s">
        <v>1017</v>
      </c>
      <c r="D1539" s="35" t="s">
        <v>583</v>
      </c>
      <c r="E1539" s="36">
        <v>0.5</v>
      </c>
      <c r="F1539" s="30">
        <v>21.584</v>
      </c>
      <c r="G1539" s="33">
        <f>IF(ISNUMBER(F1539),E1539*F1539,"")</f>
        <v>10.792</v>
      </c>
      <c r="H1539" s="34"/>
      <c r="I1539" s="30"/>
      <c r="J1539" s="152">
        <v>0</v>
      </c>
    </row>
    <row r="1540" spans="1:10" ht="15.75" hidden="1" thickBot="1" x14ac:dyDescent="0.3">
      <c r="A1540" s="177"/>
      <c r="B1540" s="175"/>
      <c r="C1540" s="35"/>
      <c r="D1540" s="35"/>
      <c r="E1540" s="36"/>
      <c r="F1540" s="30" t="s">
        <v>416</v>
      </c>
      <c r="G1540" s="30" t="str">
        <f>IF(ISNUMBER(F1540),E1540*F1540,"")</f>
        <v/>
      </c>
      <c r="H1540" s="34"/>
      <c r="I1540" s="30"/>
      <c r="J1540" s="152">
        <v>0</v>
      </c>
    </row>
    <row r="1541" spans="1:10" ht="15.75" thickBot="1" x14ac:dyDescent="0.3">
      <c r="A1541" s="170" t="s">
        <v>388</v>
      </c>
      <c r="B1541" s="173" t="str">
        <f>INDEX(Orçamentária!A:B,MATCH(Composições!A1541,Orçamentária!A:A,0),2)</f>
        <v>Eletroduto de PVC Corrugado Reforçado 1'' (DE 32 mm)</v>
      </c>
      <c r="C1541" s="40"/>
      <c r="D1541" s="25" t="s">
        <v>69</v>
      </c>
      <c r="E1541" s="26"/>
      <c r="F1541" s="41" t="s">
        <v>416</v>
      </c>
      <c r="G1541" s="27" t="str">
        <f>IF(ISNUMBER(F1541),E1541*F1541,"")</f>
        <v/>
      </c>
      <c r="H1541" s="28"/>
      <c r="I1541" s="29"/>
      <c r="J1541" s="152">
        <v>30</v>
      </c>
    </row>
    <row r="1542" spans="1:10" x14ac:dyDescent="0.25">
      <c r="A1542" s="176"/>
      <c r="B1542" s="174"/>
      <c r="C1542" s="31"/>
      <c r="D1542" s="31"/>
      <c r="E1542" s="32"/>
      <c r="F1542" s="42" t="s">
        <v>416</v>
      </c>
      <c r="G1542" s="30" t="str">
        <f>IF(ISNUMBER(F1542),E1542*F1542,"")</f>
        <v/>
      </c>
      <c r="H1542" s="34"/>
      <c r="I1542" s="30"/>
      <c r="J1542" s="152">
        <v>30</v>
      </c>
    </row>
    <row r="1543" spans="1:10" ht="25.5" x14ac:dyDescent="0.25">
      <c r="A1543" s="176"/>
      <c r="B1543" s="174"/>
      <c r="C1543" s="35" t="s">
        <v>8150</v>
      </c>
      <c r="D1543" s="35" t="s">
        <v>385</v>
      </c>
      <c r="E1543" s="36">
        <v>1.1000000000000001</v>
      </c>
      <c r="F1543" s="33">
        <v>8.6449999999999996</v>
      </c>
      <c r="G1543" s="33">
        <f>IF(ISNUMBER(F1543),E1543*F1543,"")</f>
        <v>9.509500000000001</v>
      </c>
      <c r="H1543" s="38">
        <f>SUM(G1543:G1546)</f>
        <v>16.956635500000001</v>
      </c>
      <c r="I1543" s="39"/>
      <c r="J1543" s="152">
        <v>30</v>
      </c>
    </row>
    <row r="1544" spans="1:10" x14ac:dyDescent="0.25">
      <c r="A1544" s="176"/>
      <c r="B1544" s="174"/>
      <c r="C1544" s="35" t="s">
        <v>1018</v>
      </c>
      <c r="D1544" s="35" t="s">
        <v>583</v>
      </c>
      <c r="E1544" s="36">
        <v>0.09</v>
      </c>
      <c r="F1544" s="30">
        <v>27.835000000000001</v>
      </c>
      <c r="G1544" s="33">
        <f>IF(ISNUMBER(F1544),E1544*F1544,"")</f>
        <v>2.50515</v>
      </c>
      <c r="H1544" s="34"/>
      <c r="I1544" s="30"/>
      <c r="J1544" s="152">
        <v>30</v>
      </c>
    </row>
    <row r="1545" spans="1:10" x14ac:dyDescent="0.25">
      <c r="A1545" s="176"/>
      <c r="B1545" s="174"/>
      <c r="C1545" s="35" t="s">
        <v>1017</v>
      </c>
      <c r="D1545" s="35" t="s">
        <v>583</v>
      </c>
      <c r="E1545" s="36">
        <v>0.09</v>
      </c>
      <c r="F1545" s="30">
        <v>21.584</v>
      </c>
      <c r="G1545" s="33">
        <f>IF(ISNUMBER(F1545),E1545*F1545,"")</f>
        <v>1.9425599999999998</v>
      </c>
      <c r="H1545" s="34"/>
      <c r="I1545" s="30"/>
      <c r="J1545" s="152">
        <v>30</v>
      </c>
    </row>
    <row r="1546" spans="1:10" ht="38.25" x14ac:dyDescent="0.25">
      <c r="A1546" s="176"/>
      <c r="B1546" s="174"/>
      <c r="C1546" s="35" t="s">
        <v>389</v>
      </c>
      <c r="D1546" s="35" t="s">
        <v>69</v>
      </c>
      <c r="E1546" s="36">
        <v>1</v>
      </c>
      <c r="F1546" s="33">
        <v>2.9994255000000005</v>
      </c>
      <c r="G1546" s="30">
        <f>IF(ISNUMBER(F1546),E1546*F1546,"")</f>
        <v>2.9994255000000005</v>
      </c>
      <c r="H1546" s="34"/>
      <c r="I1546" s="30"/>
      <c r="J1546" s="152">
        <v>30</v>
      </c>
    </row>
    <row r="1547" spans="1:10" ht="15.75" thickBot="1" x14ac:dyDescent="0.3">
      <c r="A1547" s="177"/>
      <c r="B1547" s="175"/>
      <c r="C1547" s="35"/>
      <c r="D1547" s="35"/>
      <c r="E1547" s="36"/>
      <c r="F1547" s="30" t="s">
        <v>416</v>
      </c>
      <c r="G1547" s="30" t="str">
        <f>IF(ISNUMBER(F1547),E1547*F1547,"")</f>
        <v/>
      </c>
      <c r="H1547" s="34"/>
      <c r="I1547" s="30"/>
      <c r="J1547" s="152">
        <v>30</v>
      </c>
    </row>
    <row r="1548" spans="1:10" ht="15.75" hidden="1" thickBot="1" x14ac:dyDescent="0.3">
      <c r="A1548" s="170" t="s">
        <v>390</v>
      </c>
      <c r="B1548" s="173" t="str">
        <f>INDEX(Orçamentária!A:B,MATCH(Composições!A1548,Orçamentária!A:A,0),2)</f>
        <v>Eletroduto de PVC Corrugado Reforçado 3/4'' (DE 25 mm)</v>
      </c>
      <c r="C1548" s="40"/>
      <c r="D1548" s="25" t="s">
        <v>69</v>
      </c>
      <c r="E1548" s="26"/>
      <c r="F1548" s="41" t="s">
        <v>416</v>
      </c>
      <c r="G1548" s="27" t="str">
        <f>IF(ISNUMBER(F1548),E1548*F1548,"")</f>
        <v/>
      </c>
      <c r="H1548" s="28"/>
      <c r="I1548" s="29"/>
      <c r="J1548" s="152">
        <v>0</v>
      </c>
    </row>
    <row r="1549" spans="1:10" ht="15.75" hidden="1" thickBot="1" x14ac:dyDescent="0.3">
      <c r="A1549" s="176"/>
      <c r="B1549" s="174"/>
      <c r="C1549" s="31"/>
      <c r="D1549" s="31"/>
      <c r="E1549" s="32"/>
      <c r="F1549" s="42" t="s">
        <v>416</v>
      </c>
      <c r="G1549" s="30" t="str">
        <f>IF(ISNUMBER(F1549),E1549*F1549,"")</f>
        <v/>
      </c>
      <c r="H1549" s="34"/>
      <c r="I1549" s="30"/>
      <c r="J1549" s="152">
        <v>0</v>
      </c>
    </row>
    <row r="1550" spans="1:10" ht="15.75" hidden="1" thickBot="1" x14ac:dyDescent="0.3">
      <c r="A1550" s="176"/>
      <c r="B1550" s="174"/>
      <c r="C1550" s="35" t="s">
        <v>1018</v>
      </c>
      <c r="D1550" s="35" t="s">
        <v>583</v>
      </c>
      <c r="E1550" s="36">
        <v>7.0000000000000007E-2</v>
      </c>
      <c r="F1550" s="30">
        <v>27.835000000000001</v>
      </c>
      <c r="G1550" s="30">
        <f>IF(ISNUMBER(F1550),E1550*F1550,"")</f>
        <v>1.9484500000000002</v>
      </c>
      <c r="H1550" s="38">
        <f>SUM(G1550:G1553)</f>
        <v>11.401605500000002</v>
      </c>
      <c r="I1550" s="39"/>
      <c r="J1550" s="152">
        <v>0</v>
      </c>
    </row>
    <row r="1551" spans="1:10" ht="15.75" hidden="1" thickBot="1" x14ac:dyDescent="0.3">
      <c r="A1551" s="176"/>
      <c r="B1551" s="174"/>
      <c r="C1551" s="35" t="s">
        <v>1017</v>
      </c>
      <c r="D1551" s="35" t="s">
        <v>583</v>
      </c>
      <c r="E1551" s="36">
        <v>7.0000000000000007E-2</v>
      </c>
      <c r="F1551" s="30">
        <v>21.584</v>
      </c>
      <c r="G1551" s="30">
        <f>IF(ISNUMBER(F1551),E1551*F1551,"")</f>
        <v>1.5108800000000002</v>
      </c>
      <c r="H1551" s="34"/>
      <c r="I1551" s="30"/>
      <c r="J1551" s="152">
        <v>0</v>
      </c>
    </row>
    <row r="1552" spans="1:10" ht="26.25" hidden="1" thickBot="1" x14ac:dyDescent="0.3">
      <c r="A1552" s="176"/>
      <c r="B1552" s="174"/>
      <c r="C1552" s="35" t="s">
        <v>8149</v>
      </c>
      <c r="D1552" s="35" t="s">
        <v>385</v>
      </c>
      <c r="E1552" s="36">
        <v>1.1000000000000001</v>
      </c>
      <c r="F1552" s="33">
        <v>4.4935</v>
      </c>
      <c r="G1552" s="30">
        <f>IF(ISNUMBER(F1552),E1552*F1552,"")</f>
        <v>4.9428500000000009</v>
      </c>
      <c r="H1552" s="34"/>
      <c r="I1552" s="30"/>
      <c r="J1552" s="152">
        <v>0</v>
      </c>
    </row>
    <row r="1553" spans="1:10" ht="39" hidden="1" thickBot="1" x14ac:dyDescent="0.3">
      <c r="A1553" s="176"/>
      <c r="B1553" s="174"/>
      <c r="C1553" s="35" t="s">
        <v>389</v>
      </c>
      <c r="D1553" s="35" t="s">
        <v>69</v>
      </c>
      <c r="E1553" s="36">
        <v>1</v>
      </c>
      <c r="F1553" s="33">
        <v>2.9994255000000005</v>
      </c>
      <c r="G1553" s="30">
        <f>IF(ISNUMBER(F1553),E1553*F1553,"")</f>
        <v>2.9994255000000005</v>
      </c>
      <c r="H1553" s="34"/>
      <c r="I1553" s="30"/>
      <c r="J1553" s="152">
        <v>0</v>
      </c>
    </row>
    <row r="1554" spans="1:10" ht="15.75" hidden="1" thickBot="1" x14ac:dyDescent="0.3">
      <c r="A1554" s="177"/>
      <c r="B1554" s="175"/>
      <c r="C1554" s="35"/>
      <c r="D1554" s="35"/>
      <c r="E1554" s="36"/>
      <c r="F1554" s="30" t="s">
        <v>416</v>
      </c>
      <c r="G1554" s="30" t="str">
        <f>IF(ISNUMBER(F1554),E1554*F1554,"")</f>
        <v/>
      </c>
      <c r="H1554" s="34"/>
      <c r="I1554" s="30"/>
      <c r="J1554" s="152">
        <v>0</v>
      </c>
    </row>
    <row r="1555" spans="1:10" ht="15.75" thickBot="1" x14ac:dyDescent="0.3">
      <c r="A1555" s="170" t="s">
        <v>391</v>
      </c>
      <c r="B1555" s="173" t="str">
        <f>INDEX(Orçamentária!A:B,MATCH(Composições!A1555,Orçamentária!A:A,0),2)</f>
        <v>Eletroduto flexível metálico com capa de PVC 1’’</v>
      </c>
      <c r="C1555" s="40"/>
      <c r="D1555" s="25" t="s">
        <v>69</v>
      </c>
      <c r="E1555" s="26"/>
      <c r="F1555" s="41" t="s">
        <v>416</v>
      </c>
      <c r="G1555" s="27" t="str">
        <f>IF(ISNUMBER(F1555),E1555*F1555,"")</f>
        <v/>
      </c>
      <c r="H1555" s="28"/>
      <c r="I1555" s="29"/>
      <c r="J1555" s="152">
        <v>28</v>
      </c>
    </row>
    <row r="1556" spans="1:10" x14ac:dyDescent="0.25">
      <c r="A1556" s="176"/>
      <c r="B1556" s="174"/>
      <c r="C1556" s="31"/>
      <c r="D1556" s="31"/>
      <c r="E1556" s="32"/>
      <c r="F1556" s="42" t="s">
        <v>416</v>
      </c>
      <c r="G1556" s="30" t="str">
        <f>IF(ISNUMBER(F1556),E1556*F1556,"")</f>
        <v/>
      </c>
      <c r="H1556" s="34"/>
      <c r="I1556" s="30"/>
      <c r="J1556" s="152">
        <v>28</v>
      </c>
    </row>
    <row r="1557" spans="1:10" ht="38.25" x14ac:dyDescent="0.25">
      <c r="A1557" s="176"/>
      <c r="B1557" s="174"/>
      <c r="C1557" s="35" t="s">
        <v>8146</v>
      </c>
      <c r="D1557" s="35" t="s">
        <v>385</v>
      </c>
      <c r="E1557" s="36">
        <v>1.1000000000000001</v>
      </c>
      <c r="F1557" s="33">
        <v>13.8225</v>
      </c>
      <c r="G1557" s="30">
        <f>IF(ISNUMBER(F1557),E1557*F1557,"")</f>
        <v>15.204750000000001</v>
      </c>
      <c r="H1557" s="38">
        <f>SUM(G1557:G1560)</f>
        <v>20.534668</v>
      </c>
      <c r="I1557" s="39"/>
      <c r="J1557" s="152">
        <v>28</v>
      </c>
    </row>
    <row r="1558" spans="1:10" ht="25.5" x14ac:dyDescent="0.25">
      <c r="A1558" s="176"/>
      <c r="B1558" s="174"/>
      <c r="C1558" s="35" t="s">
        <v>3060</v>
      </c>
      <c r="D1558" s="35" t="s">
        <v>773</v>
      </c>
      <c r="E1558" s="36">
        <v>2E-3</v>
      </c>
      <c r="F1558" s="33">
        <v>21.042499999999997</v>
      </c>
      <c r="G1558" s="30">
        <f>IF(ISNUMBER(F1558),E1558*F1558,"")</f>
        <v>4.2084999999999997E-2</v>
      </c>
      <c r="H1558" s="34"/>
      <c r="I1558" s="30"/>
      <c r="J1558" s="152">
        <v>28</v>
      </c>
    </row>
    <row r="1559" spans="1:10" x14ac:dyDescent="0.25">
      <c r="A1559" s="176"/>
      <c r="B1559" s="174"/>
      <c r="C1559" s="35" t="s">
        <v>1017</v>
      </c>
      <c r="D1559" s="35" t="s">
        <v>583</v>
      </c>
      <c r="E1559" s="36">
        <v>0.107</v>
      </c>
      <c r="F1559" s="30">
        <v>21.584</v>
      </c>
      <c r="G1559" s="30">
        <f>IF(ISNUMBER(F1559),E1559*F1559,"")</f>
        <v>2.309488</v>
      </c>
      <c r="H1559" s="34"/>
      <c r="I1559" s="30"/>
      <c r="J1559" s="152">
        <v>28</v>
      </c>
    </row>
    <row r="1560" spans="1:10" x14ac:dyDescent="0.25">
      <c r="A1560" s="176"/>
      <c r="B1560" s="174"/>
      <c r="C1560" s="35" t="s">
        <v>1018</v>
      </c>
      <c r="D1560" s="35" t="s">
        <v>583</v>
      </c>
      <c r="E1560" s="36">
        <v>0.107</v>
      </c>
      <c r="F1560" s="30">
        <v>27.835000000000001</v>
      </c>
      <c r="G1560" s="30">
        <f>IF(ISNUMBER(F1560),E1560*F1560,"")</f>
        <v>2.978345</v>
      </c>
      <c r="H1560" s="34"/>
      <c r="I1560" s="30"/>
      <c r="J1560" s="152">
        <v>28</v>
      </c>
    </row>
    <row r="1561" spans="1:10" ht="15.75" thickBot="1" x14ac:dyDescent="0.3">
      <c r="A1561" s="177"/>
      <c r="B1561" s="175"/>
      <c r="C1561" s="35"/>
      <c r="D1561" s="35"/>
      <c r="E1561" s="36"/>
      <c r="F1561" s="30" t="s">
        <v>416</v>
      </c>
      <c r="G1561" s="30" t="str">
        <f>IF(ISNUMBER(F1561),E1561*F1561,"")</f>
        <v/>
      </c>
      <c r="H1561" s="34"/>
      <c r="I1561" s="30"/>
      <c r="J1561" s="152">
        <v>28</v>
      </c>
    </row>
    <row r="1562" spans="1:10" ht="15.75" hidden="1" thickBot="1" x14ac:dyDescent="0.3">
      <c r="A1562" s="170" t="s">
        <v>392</v>
      </c>
      <c r="B1562" s="173" t="str">
        <f>INDEX(Orçamentária!A:B,MATCH(Composições!A1562,Orçamentária!A:A,0),2)</f>
        <v>Eletroduto flexível metálico com capa de PVC 3/4"</v>
      </c>
      <c r="C1562" s="40"/>
      <c r="D1562" s="25" t="s">
        <v>69</v>
      </c>
      <c r="E1562" s="26"/>
      <c r="F1562" s="41" t="s">
        <v>416</v>
      </c>
      <c r="G1562" s="27" t="str">
        <f>IF(ISNUMBER(F1562),E1562*F1562,"")</f>
        <v/>
      </c>
      <c r="H1562" s="28"/>
      <c r="I1562" s="29"/>
      <c r="J1562" s="152">
        <v>0</v>
      </c>
    </row>
    <row r="1563" spans="1:10" ht="15.75" hidden="1" thickBot="1" x14ac:dyDescent="0.3">
      <c r="A1563" s="176"/>
      <c r="B1563" s="174"/>
      <c r="C1563" s="31"/>
      <c r="D1563" s="31"/>
      <c r="E1563" s="32"/>
      <c r="F1563" s="42" t="s">
        <v>416</v>
      </c>
      <c r="G1563" s="30" t="str">
        <f>IF(ISNUMBER(F1563),E1563*F1563,"")</f>
        <v/>
      </c>
      <c r="H1563" s="34"/>
      <c r="I1563" s="30"/>
      <c r="J1563" s="152">
        <v>0</v>
      </c>
    </row>
    <row r="1564" spans="1:10" ht="39" hidden="1" thickBot="1" x14ac:dyDescent="0.3">
      <c r="A1564" s="176"/>
      <c r="B1564" s="174"/>
      <c r="C1564" s="35" t="s">
        <v>8145</v>
      </c>
      <c r="D1564" s="35" t="s">
        <v>385</v>
      </c>
      <c r="E1564" s="36">
        <v>1.1000000000000001</v>
      </c>
      <c r="F1564" s="33">
        <v>10.535499999999999</v>
      </c>
      <c r="G1564" s="33">
        <f>IF(ISNUMBER(F1564),E1564*F1564,"")</f>
        <v>11.58905</v>
      </c>
      <c r="H1564" s="38">
        <f>SUM(G1564:G1567)</f>
        <v>15.926379499999999</v>
      </c>
      <c r="I1564" s="39"/>
      <c r="J1564" s="152">
        <v>0</v>
      </c>
    </row>
    <row r="1565" spans="1:10" ht="26.25" hidden="1" thickBot="1" x14ac:dyDescent="0.3">
      <c r="A1565" s="176"/>
      <c r="B1565" s="174"/>
      <c r="C1565" s="35" t="s">
        <v>3060</v>
      </c>
      <c r="D1565" s="35" t="s">
        <v>773</v>
      </c>
      <c r="E1565" s="36">
        <v>1.8E-3</v>
      </c>
      <c r="F1565" s="33">
        <v>21.042499999999997</v>
      </c>
      <c r="G1565" s="33">
        <f>IF(ISNUMBER(F1565),E1565*F1565,"")</f>
        <v>3.7876499999999994E-2</v>
      </c>
      <c r="H1565" s="34"/>
      <c r="I1565" s="30"/>
      <c r="J1565" s="152">
        <v>0</v>
      </c>
    </row>
    <row r="1566" spans="1:10" ht="15.75" hidden="1" thickBot="1" x14ac:dyDescent="0.3">
      <c r="A1566" s="176"/>
      <c r="B1566" s="174"/>
      <c r="C1566" s="35" t="s">
        <v>1017</v>
      </c>
      <c r="D1566" s="35" t="s">
        <v>583</v>
      </c>
      <c r="E1566" s="36">
        <v>8.6999999999999994E-2</v>
      </c>
      <c r="F1566" s="30">
        <v>21.584</v>
      </c>
      <c r="G1566" s="33">
        <f>IF(ISNUMBER(F1566),E1566*F1566,"")</f>
        <v>1.8778079999999999</v>
      </c>
      <c r="H1566" s="34"/>
      <c r="I1566" s="30"/>
      <c r="J1566" s="152">
        <v>0</v>
      </c>
    </row>
    <row r="1567" spans="1:10" ht="15.75" hidden="1" thickBot="1" x14ac:dyDescent="0.3">
      <c r="A1567" s="176"/>
      <c r="B1567" s="174"/>
      <c r="C1567" s="35" t="s">
        <v>1018</v>
      </c>
      <c r="D1567" s="35" t="s">
        <v>583</v>
      </c>
      <c r="E1567" s="36">
        <v>8.6999999999999994E-2</v>
      </c>
      <c r="F1567" s="30">
        <v>27.835000000000001</v>
      </c>
      <c r="G1567" s="33">
        <f>IF(ISNUMBER(F1567),E1567*F1567,"")</f>
        <v>2.4216449999999998</v>
      </c>
      <c r="H1567" s="34"/>
      <c r="I1567" s="30"/>
      <c r="J1567" s="152">
        <v>0</v>
      </c>
    </row>
    <row r="1568" spans="1:10" ht="15.75" hidden="1" thickBot="1" x14ac:dyDescent="0.3">
      <c r="A1568" s="177"/>
      <c r="B1568" s="175"/>
      <c r="C1568" s="35"/>
      <c r="D1568" s="35"/>
      <c r="E1568" s="36"/>
      <c r="F1568" s="30" t="s">
        <v>416</v>
      </c>
      <c r="G1568" s="30" t="str">
        <f>IF(ISNUMBER(F1568),E1568*F1568,"")</f>
        <v/>
      </c>
      <c r="H1568" s="34"/>
      <c r="I1568" s="30"/>
      <c r="J1568" s="152">
        <v>0</v>
      </c>
    </row>
    <row r="1569" spans="1:10" ht="15.75" thickBot="1" x14ac:dyDescent="0.3">
      <c r="A1569" s="170" t="s">
        <v>393</v>
      </c>
      <c r="B1569" s="173" t="str">
        <f>INDEX(Orçamentária!A:B,MATCH(Composições!A1569,Orçamentária!A:A,0),2)</f>
        <v>Perfilado 38 x 38 mm</v>
      </c>
      <c r="C1569" s="40"/>
      <c r="D1569" s="25" t="s">
        <v>69</v>
      </c>
      <c r="E1569" s="26"/>
      <c r="F1569" s="41" t="s">
        <v>416</v>
      </c>
      <c r="G1569" s="27" t="str">
        <f>IF(ISNUMBER(F1569),E1569*F1569,"")</f>
        <v/>
      </c>
      <c r="H1569" s="28"/>
      <c r="I1569" s="29"/>
      <c r="J1569" s="152">
        <v>110</v>
      </c>
    </row>
    <row r="1570" spans="1:10" x14ac:dyDescent="0.25">
      <c r="A1570" s="176"/>
      <c r="B1570" s="174"/>
      <c r="C1570" s="31"/>
      <c r="D1570" s="31"/>
      <c r="E1570" s="32"/>
      <c r="F1570" s="42" t="s">
        <v>416</v>
      </c>
      <c r="G1570" s="30" t="str">
        <f>IF(ISNUMBER(F1570),E1570*F1570,"")</f>
        <v/>
      </c>
      <c r="H1570" s="34"/>
      <c r="I1570" s="30"/>
      <c r="J1570" s="152">
        <v>110</v>
      </c>
    </row>
    <row r="1571" spans="1:10" x14ac:dyDescent="0.25">
      <c r="A1571" s="176"/>
      <c r="B1571" s="174"/>
      <c r="C1571" s="35" t="s">
        <v>394</v>
      </c>
      <c r="D1571" s="35" t="s">
        <v>69</v>
      </c>
      <c r="E1571" s="36">
        <v>1.05</v>
      </c>
      <c r="F1571" s="33">
        <v>22.43</v>
      </c>
      <c r="G1571" s="33">
        <f>IF(ISNUMBER(F1571),E1571*F1571,"")</f>
        <v>23.551500000000001</v>
      </c>
      <c r="H1571" s="38">
        <f>SUM(G1571:G1582)</f>
        <v>79.041202349999992</v>
      </c>
      <c r="I1571" s="39"/>
      <c r="J1571" s="152">
        <v>110</v>
      </c>
    </row>
    <row r="1572" spans="1:10" x14ac:dyDescent="0.25">
      <c r="A1572" s="176"/>
      <c r="B1572" s="174"/>
      <c r="C1572" s="35" t="s">
        <v>1017</v>
      </c>
      <c r="D1572" s="35" t="s">
        <v>583</v>
      </c>
      <c r="E1572" s="36">
        <v>0.45</v>
      </c>
      <c r="F1572" s="30">
        <v>21.584</v>
      </c>
      <c r="G1572" s="33">
        <f>IF(ISNUMBER(F1572),E1572*F1572,"")</f>
        <v>9.7127999999999997</v>
      </c>
      <c r="H1572" s="34"/>
      <c r="I1572" s="30"/>
      <c r="J1572" s="152">
        <v>110</v>
      </c>
    </row>
    <row r="1573" spans="1:10" x14ac:dyDescent="0.25">
      <c r="A1573" s="176"/>
      <c r="B1573" s="174"/>
      <c r="C1573" s="35" t="s">
        <v>1018</v>
      </c>
      <c r="D1573" s="35" t="s">
        <v>583</v>
      </c>
      <c r="E1573" s="36">
        <v>0.45</v>
      </c>
      <c r="F1573" s="30">
        <v>27.835000000000001</v>
      </c>
      <c r="G1573" s="33">
        <f>IF(ISNUMBER(F1573),E1573*F1573,"")</f>
        <v>12.52575</v>
      </c>
      <c r="H1573" s="34"/>
      <c r="I1573" s="30"/>
      <c r="J1573" s="152">
        <v>110</v>
      </c>
    </row>
    <row r="1574" spans="1:10" ht="25.5" x14ac:dyDescent="0.25">
      <c r="A1574" s="176"/>
      <c r="B1574" s="174"/>
      <c r="C1574" s="35" t="s">
        <v>344</v>
      </c>
      <c r="D1574" s="35" t="s">
        <v>107</v>
      </c>
      <c r="E1574" s="36">
        <v>0.67</v>
      </c>
      <c r="F1574" s="30">
        <v>9.1579999999999995</v>
      </c>
      <c r="G1574" s="33">
        <f>IF(ISNUMBER(F1574),E1574*F1574,"")</f>
        <v>6.1358600000000001</v>
      </c>
      <c r="H1574" s="34"/>
      <c r="I1574" s="30"/>
      <c r="J1574" s="152">
        <v>110</v>
      </c>
    </row>
    <row r="1575" spans="1:10" x14ac:dyDescent="0.25">
      <c r="A1575" s="176"/>
      <c r="B1575" s="174"/>
      <c r="C1575" s="35" t="s">
        <v>395</v>
      </c>
      <c r="D1575" s="35" t="s">
        <v>107</v>
      </c>
      <c r="E1575" s="36">
        <v>0.67</v>
      </c>
      <c r="F1575" s="30">
        <v>3.1159999999999997</v>
      </c>
      <c r="G1575" s="33">
        <f>IF(ISNUMBER(F1575),E1575*F1575,"")</f>
        <v>2.08772</v>
      </c>
      <c r="H1575" s="34"/>
      <c r="I1575" s="30"/>
      <c r="J1575" s="152">
        <v>110</v>
      </c>
    </row>
    <row r="1576" spans="1:10" x14ac:dyDescent="0.25">
      <c r="A1576" s="176"/>
      <c r="B1576" s="174"/>
      <c r="C1576" s="35" t="s">
        <v>346</v>
      </c>
      <c r="D1576" s="35" t="s">
        <v>69</v>
      </c>
      <c r="E1576" s="36">
        <v>0.8</v>
      </c>
      <c r="F1576" s="30">
        <v>5.0349999999999993</v>
      </c>
      <c r="G1576" s="33">
        <f>IF(ISNUMBER(F1576),E1576*F1576,"")</f>
        <v>4.0279999999999996</v>
      </c>
      <c r="H1576" s="34"/>
      <c r="I1576" s="30"/>
      <c r="J1576" s="152">
        <v>110</v>
      </c>
    </row>
    <row r="1577" spans="1:10" x14ac:dyDescent="0.25">
      <c r="A1577" s="176"/>
      <c r="B1577" s="174"/>
      <c r="C1577" s="35" t="s">
        <v>347</v>
      </c>
      <c r="D1577" s="35" t="s">
        <v>213</v>
      </c>
      <c r="E1577" s="36">
        <v>2.6633</v>
      </c>
      <c r="F1577" s="33">
        <v>0.30399999999999999</v>
      </c>
      <c r="G1577" s="33">
        <f>IF(ISNUMBER(F1577),E1577*F1577,"")</f>
        <v>0.80964320000000001</v>
      </c>
      <c r="H1577" s="34"/>
      <c r="I1577" s="30"/>
      <c r="J1577" s="152">
        <v>110</v>
      </c>
    </row>
    <row r="1578" spans="1:10" x14ac:dyDescent="0.25">
      <c r="A1578" s="176"/>
      <c r="B1578" s="174"/>
      <c r="C1578" s="35" t="s">
        <v>348</v>
      </c>
      <c r="D1578" s="35" t="s">
        <v>107</v>
      </c>
      <c r="E1578" s="36">
        <v>2.6633</v>
      </c>
      <c r="F1578" s="30">
        <v>5.6999999999999995E-2</v>
      </c>
      <c r="G1578" s="33">
        <f>IF(ISNUMBER(F1578),E1578*F1578,"")</f>
        <v>0.15180809999999997</v>
      </c>
      <c r="H1578" s="34"/>
      <c r="I1578" s="30"/>
      <c r="J1578" s="152">
        <v>110</v>
      </c>
    </row>
    <row r="1579" spans="1:10" x14ac:dyDescent="0.25">
      <c r="A1579" s="176"/>
      <c r="B1579" s="174"/>
      <c r="C1579" s="35" t="s">
        <v>350</v>
      </c>
      <c r="D1579" s="35" t="s">
        <v>107</v>
      </c>
      <c r="E1579" s="36">
        <v>0.67</v>
      </c>
      <c r="F1579" s="30">
        <v>1.5864999999999998</v>
      </c>
      <c r="G1579" s="33">
        <f>IF(ISNUMBER(F1579),E1579*F1579,"")</f>
        <v>1.0629549999999999</v>
      </c>
      <c r="H1579" s="34"/>
      <c r="I1579" s="30"/>
      <c r="J1579" s="152">
        <v>110</v>
      </c>
    </row>
    <row r="1580" spans="1:10" x14ac:dyDescent="0.25">
      <c r="A1580" s="176"/>
      <c r="B1580" s="174"/>
      <c r="C1580" s="35" t="s">
        <v>351</v>
      </c>
      <c r="D1580" s="35" t="s">
        <v>16</v>
      </c>
      <c r="E1580" s="36">
        <v>1.33</v>
      </c>
      <c r="F1580" s="30">
        <v>0.28499999999999998</v>
      </c>
      <c r="G1580" s="33">
        <f>IF(ISNUMBER(F1580),E1580*F1580,"")</f>
        <v>0.37905</v>
      </c>
      <c r="H1580" s="34"/>
      <c r="I1580" s="30"/>
      <c r="J1580" s="152">
        <v>110</v>
      </c>
    </row>
    <row r="1581" spans="1:10" x14ac:dyDescent="0.25">
      <c r="A1581" s="176"/>
      <c r="B1581" s="174"/>
      <c r="C1581" s="35" t="s">
        <v>396</v>
      </c>
      <c r="D1581" s="35" t="s">
        <v>107</v>
      </c>
      <c r="E1581" s="36">
        <v>0.33329999999999999</v>
      </c>
      <c r="F1581" s="30">
        <v>4.0185000000000004</v>
      </c>
      <c r="G1581" s="33">
        <f>IF(ISNUMBER(F1581),E1581*F1581,"")</f>
        <v>1.33936605</v>
      </c>
      <c r="H1581" s="34"/>
      <c r="I1581" s="30"/>
      <c r="J1581" s="152">
        <v>110</v>
      </c>
    </row>
    <row r="1582" spans="1:10" x14ac:dyDescent="0.25">
      <c r="A1582" s="176"/>
      <c r="B1582" s="174"/>
      <c r="C1582" s="35" t="s">
        <v>397</v>
      </c>
      <c r="D1582" s="35" t="s">
        <v>69</v>
      </c>
      <c r="E1582" s="36">
        <v>1.05</v>
      </c>
      <c r="F1582" s="30">
        <v>16.434999999999999</v>
      </c>
      <c r="G1582" s="33">
        <f>IF(ISNUMBER(F1582),E1582*F1582,"")</f>
        <v>17.25675</v>
      </c>
      <c r="H1582" s="34"/>
      <c r="I1582" s="30"/>
      <c r="J1582" s="152">
        <v>110</v>
      </c>
    </row>
    <row r="1583" spans="1:10" ht="15.75" thickBot="1" x14ac:dyDescent="0.3">
      <c r="A1583" s="177"/>
      <c r="B1583" s="175"/>
      <c r="C1583" s="35"/>
      <c r="D1583" s="35"/>
      <c r="E1583" s="36"/>
      <c r="F1583" s="30" t="s">
        <v>416</v>
      </c>
      <c r="G1583" s="30" t="str">
        <f>IF(ISNUMBER(F1583),E1583*F1583,"")</f>
        <v/>
      </c>
      <c r="H1583" s="34"/>
      <c r="I1583" s="30"/>
      <c r="J1583" s="152">
        <v>110</v>
      </c>
    </row>
    <row r="1584" spans="1:10" ht="15.75" hidden="1" thickBot="1" x14ac:dyDescent="0.3">
      <c r="A1584" s="170" t="s">
        <v>398</v>
      </c>
      <c r="B1584" s="173" t="str">
        <f>INDEX(Orçamentária!A:B,MATCH(Composições!A1584,Orçamentária!A:A,0),2)</f>
        <v xml:space="preserve">Espelho 4 x 2" </v>
      </c>
      <c r="C1584" s="40"/>
      <c r="D1584" s="25" t="s">
        <v>16</v>
      </c>
      <c r="E1584" s="26"/>
      <c r="F1584" s="41" t="s">
        <v>416</v>
      </c>
      <c r="G1584" s="27" t="str">
        <f>IF(ISNUMBER(F1584),E1584*F1584,"")</f>
        <v/>
      </c>
      <c r="H1584" s="28"/>
      <c r="I1584" s="29"/>
      <c r="J1584" s="152">
        <v>0</v>
      </c>
    </row>
    <row r="1585" spans="1:10" ht="15.75" hidden="1" thickBot="1" x14ac:dyDescent="0.3">
      <c r="A1585" s="176"/>
      <c r="B1585" s="174"/>
      <c r="C1585" s="31"/>
      <c r="D1585" s="31"/>
      <c r="E1585" s="32"/>
      <c r="F1585" s="42" t="s">
        <v>416</v>
      </c>
      <c r="G1585" s="30" t="str">
        <f>IF(ISNUMBER(F1585),E1585*F1585,"")</f>
        <v/>
      </c>
      <c r="H1585" s="34"/>
      <c r="I1585" s="30"/>
      <c r="J1585" s="152">
        <v>0</v>
      </c>
    </row>
    <row r="1586" spans="1:10" ht="26.25" hidden="1" thickBot="1" x14ac:dyDescent="0.3">
      <c r="A1586" s="176"/>
      <c r="B1586" s="174"/>
      <c r="C1586" s="35" t="s">
        <v>8158</v>
      </c>
      <c r="D1586" s="35" t="s">
        <v>213</v>
      </c>
      <c r="E1586" s="36">
        <v>1</v>
      </c>
      <c r="F1586" s="33">
        <v>3.2204999999999999</v>
      </c>
      <c r="G1586" s="33">
        <f>IF(ISNUMBER(F1586),E1586*F1586,"")</f>
        <v>3.2204999999999999</v>
      </c>
      <c r="H1586" s="38">
        <f>SUM(G1586:G1588)</f>
        <v>7.3419799999999995</v>
      </c>
      <c r="I1586" s="39"/>
      <c r="J1586" s="152">
        <v>0</v>
      </c>
    </row>
    <row r="1587" spans="1:10" ht="39" hidden="1" thickBot="1" x14ac:dyDescent="0.3">
      <c r="A1587" s="176"/>
      <c r="B1587" s="174"/>
      <c r="C1587" s="35" t="s">
        <v>8377</v>
      </c>
      <c r="D1587" s="35" t="s">
        <v>213</v>
      </c>
      <c r="E1587" s="36">
        <v>1</v>
      </c>
      <c r="F1587" s="33">
        <v>1.6719999999999999</v>
      </c>
      <c r="G1587" s="33">
        <f>IF(ISNUMBER(F1587),E1587*F1587,"")</f>
        <v>1.6719999999999999</v>
      </c>
      <c r="H1587" s="34"/>
      <c r="I1587" s="30"/>
      <c r="J1587" s="152">
        <v>0</v>
      </c>
    </row>
    <row r="1588" spans="1:10" ht="15.75" hidden="1" thickBot="1" x14ac:dyDescent="0.3">
      <c r="A1588" s="176"/>
      <c r="B1588" s="174"/>
      <c r="C1588" s="35" t="s">
        <v>1018</v>
      </c>
      <c r="D1588" s="35" t="s">
        <v>583</v>
      </c>
      <c r="E1588" s="36">
        <v>8.7999999999999995E-2</v>
      </c>
      <c r="F1588" s="30">
        <v>27.835000000000001</v>
      </c>
      <c r="G1588" s="33">
        <f>IF(ISNUMBER(F1588),E1588*F1588,"")</f>
        <v>2.4494799999999999</v>
      </c>
      <c r="H1588" s="34"/>
      <c r="I1588" s="30"/>
      <c r="J1588" s="152">
        <v>0</v>
      </c>
    </row>
    <row r="1589" spans="1:10" ht="15.75" hidden="1" thickBot="1" x14ac:dyDescent="0.3">
      <c r="A1589" s="177"/>
      <c r="B1589" s="175"/>
      <c r="C1589" s="35"/>
      <c r="D1589" s="35"/>
      <c r="E1589" s="36"/>
      <c r="F1589" s="30" t="s">
        <v>416</v>
      </c>
      <c r="G1589" s="30" t="str">
        <f>IF(ISNUMBER(F1589),E1589*F1589,"")</f>
        <v/>
      </c>
      <c r="H1589" s="34"/>
      <c r="I1589" s="30"/>
      <c r="J1589" s="152">
        <v>0</v>
      </c>
    </row>
    <row r="1590" spans="1:10" ht="15.75" hidden="1" thickBot="1" x14ac:dyDescent="0.3">
      <c r="A1590" s="170" t="s">
        <v>399</v>
      </c>
      <c r="B1590" s="173" t="str">
        <f>INDEX(Orçamentária!A:B,MATCH(Composições!A1590,Orçamentária!A:A,0),2)</f>
        <v xml:space="preserve">Espelho 4 x 4" </v>
      </c>
      <c r="C1590" s="40"/>
      <c r="D1590" s="25" t="s">
        <v>16</v>
      </c>
      <c r="E1590" s="26"/>
      <c r="F1590" s="41" t="s">
        <v>416</v>
      </c>
      <c r="G1590" s="27" t="str">
        <f>IF(ISNUMBER(F1590),E1590*F1590,"")</f>
        <v/>
      </c>
      <c r="H1590" s="28"/>
      <c r="I1590" s="29"/>
      <c r="J1590" s="152">
        <v>0</v>
      </c>
    </row>
    <row r="1591" spans="1:10" ht="15.75" hidden="1" thickBot="1" x14ac:dyDescent="0.3">
      <c r="A1591" s="176"/>
      <c r="B1591" s="174"/>
      <c r="C1591" s="31"/>
      <c r="D1591" s="31"/>
      <c r="E1591" s="32"/>
      <c r="F1591" s="42" t="s">
        <v>416</v>
      </c>
      <c r="G1591" s="30" t="str">
        <f>IF(ISNUMBER(F1591),E1591*F1591,"")</f>
        <v/>
      </c>
      <c r="H1591" s="34"/>
      <c r="I1591" s="30"/>
      <c r="J1591" s="152">
        <v>0</v>
      </c>
    </row>
    <row r="1592" spans="1:10" ht="26.25" hidden="1" thickBot="1" x14ac:dyDescent="0.3">
      <c r="A1592" s="176"/>
      <c r="B1592" s="174"/>
      <c r="C1592" s="35" t="s">
        <v>8159</v>
      </c>
      <c r="D1592" s="35" t="s">
        <v>213</v>
      </c>
      <c r="E1592" s="36">
        <v>1</v>
      </c>
      <c r="F1592" s="33">
        <v>6.5359999999999996</v>
      </c>
      <c r="G1592" s="30">
        <f>IF(ISNUMBER(F1592),E1592*F1592,"")</f>
        <v>6.5359999999999996</v>
      </c>
      <c r="H1592" s="38">
        <f>SUM(G1592:G1594)</f>
        <v>12.166839999999999</v>
      </c>
      <c r="I1592" s="39"/>
      <c r="J1592" s="152">
        <v>0</v>
      </c>
    </row>
    <row r="1593" spans="1:10" ht="39" hidden="1" thickBot="1" x14ac:dyDescent="0.3">
      <c r="A1593" s="176"/>
      <c r="B1593" s="174"/>
      <c r="C1593" s="35" t="s">
        <v>8378</v>
      </c>
      <c r="D1593" s="35" t="s">
        <v>213</v>
      </c>
      <c r="E1593" s="36">
        <v>1</v>
      </c>
      <c r="F1593" s="33">
        <v>2.7359999999999998</v>
      </c>
      <c r="G1593" s="33">
        <f>IF(ISNUMBER(F1593),E1593*F1593,"")</f>
        <v>2.7359999999999998</v>
      </c>
      <c r="H1593" s="34"/>
      <c r="I1593" s="30"/>
      <c r="J1593" s="152">
        <v>0</v>
      </c>
    </row>
    <row r="1594" spans="1:10" ht="15.75" hidden="1" thickBot="1" x14ac:dyDescent="0.3">
      <c r="A1594" s="176"/>
      <c r="B1594" s="174"/>
      <c r="C1594" s="35" t="s">
        <v>1018</v>
      </c>
      <c r="D1594" s="35" t="s">
        <v>583</v>
      </c>
      <c r="E1594" s="36">
        <v>0.104</v>
      </c>
      <c r="F1594" s="30">
        <v>27.835000000000001</v>
      </c>
      <c r="G1594" s="33">
        <f>IF(ISNUMBER(F1594),E1594*F1594,"")</f>
        <v>2.8948399999999999</v>
      </c>
      <c r="H1594" s="34"/>
      <c r="I1594" s="30"/>
      <c r="J1594" s="152">
        <v>0</v>
      </c>
    </row>
    <row r="1595" spans="1:10" ht="15.75" hidden="1" thickBot="1" x14ac:dyDescent="0.3">
      <c r="A1595" s="177"/>
      <c r="B1595" s="175"/>
      <c r="C1595" s="35"/>
      <c r="D1595" s="35"/>
      <c r="E1595" s="36"/>
      <c r="F1595" s="30" t="s">
        <v>416</v>
      </c>
      <c r="G1595" s="30" t="str">
        <f>IF(ISNUMBER(F1595),E1595*F1595,"")</f>
        <v/>
      </c>
      <c r="H1595" s="34"/>
      <c r="I1595" s="30"/>
      <c r="J1595" s="152">
        <v>0</v>
      </c>
    </row>
    <row r="1596" spans="1:10" ht="15.75" hidden="1" thickBot="1" x14ac:dyDescent="0.3">
      <c r="A1596" s="170" t="s">
        <v>400</v>
      </c>
      <c r="B1596" s="173" t="str">
        <f>INDEX(Orçamentária!A:B,MATCH(Composições!A1596,Orçamentária!A:A,0),2)</f>
        <v>Espelho cego redondo</v>
      </c>
      <c r="C1596" s="40"/>
      <c r="D1596" s="25" t="s">
        <v>16</v>
      </c>
      <c r="E1596" s="26"/>
      <c r="F1596" s="41" t="s">
        <v>416</v>
      </c>
      <c r="G1596" s="27" t="str">
        <f>IF(ISNUMBER(F1596),E1596*F1596,"")</f>
        <v/>
      </c>
      <c r="H1596" s="28"/>
      <c r="I1596" s="29"/>
      <c r="J1596" s="152">
        <v>0</v>
      </c>
    </row>
    <row r="1597" spans="1:10" ht="15.75" hidden="1" thickBot="1" x14ac:dyDescent="0.3">
      <c r="A1597" s="176"/>
      <c r="B1597" s="174"/>
      <c r="C1597" s="31"/>
      <c r="D1597" s="31"/>
      <c r="E1597" s="32"/>
      <c r="F1597" s="42" t="s">
        <v>416</v>
      </c>
      <c r="G1597" s="30" t="str">
        <f>IF(ISNUMBER(F1597),E1597*F1597,"")</f>
        <v/>
      </c>
      <c r="H1597" s="34"/>
      <c r="I1597" s="30"/>
      <c r="J1597" s="152">
        <v>0</v>
      </c>
    </row>
    <row r="1598" spans="1:10" ht="15.75" hidden="1" thickBot="1" x14ac:dyDescent="0.3">
      <c r="A1598" s="176"/>
      <c r="B1598" s="174"/>
      <c r="C1598" s="35" t="s">
        <v>401</v>
      </c>
      <c r="D1598" s="35" t="s">
        <v>16</v>
      </c>
      <c r="E1598" s="36">
        <v>1</v>
      </c>
      <c r="F1598" s="33" t="s">
        <v>416</v>
      </c>
      <c r="G1598" s="30" t="str">
        <f>IF(ISNUMBER(F1598),E1598*F1598,"")</f>
        <v/>
      </c>
      <c r="H1598" s="38">
        <f>SUM(G1598:G1600)</f>
        <v>5.6308399999999992</v>
      </c>
      <c r="I1598" s="39"/>
      <c r="J1598" s="152">
        <v>0</v>
      </c>
    </row>
    <row r="1599" spans="1:10" ht="39" hidden="1" thickBot="1" x14ac:dyDescent="0.3">
      <c r="A1599" s="176"/>
      <c r="B1599" s="174"/>
      <c r="C1599" s="35" t="s">
        <v>8378</v>
      </c>
      <c r="D1599" s="35" t="s">
        <v>213</v>
      </c>
      <c r="E1599" s="36">
        <v>1</v>
      </c>
      <c r="F1599" s="33">
        <v>2.7359999999999998</v>
      </c>
      <c r="G1599" s="33">
        <f>IF(ISNUMBER(F1599),E1599*F1599,"")</f>
        <v>2.7359999999999998</v>
      </c>
      <c r="H1599" s="34"/>
      <c r="I1599" s="30"/>
      <c r="J1599" s="152">
        <v>0</v>
      </c>
    </row>
    <row r="1600" spans="1:10" ht="15.75" hidden="1" thickBot="1" x14ac:dyDescent="0.3">
      <c r="A1600" s="176"/>
      <c r="B1600" s="174"/>
      <c r="C1600" s="35" t="s">
        <v>1018</v>
      </c>
      <c r="D1600" s="35" t="s">
        <v>583</v>
      </c>
      <c r="E1600" s="36">
        <v>0.104</v>
      </c>
      <c r="F1600" s="30">
        <v>27.835000000000001</v>
      </c>
      <c r="G1600" s="33">
        <f>IF(ISNUMBER(F1600),E1600*F1600,"")</f>
        <v>2.8948399999999999</v>
      </c>
      <c r="H1600" s="34"/>
      <c r="I1600" s="30"/>
      <c r="J1600" s="152">
        <v>0</v>
      </c>
    </row>
    <row r="1601" spans="1:10" ht="15.75" hidden="1" thickBot="1" x14ac:dyDescent="0.3">
      <c r="A1601" s="177"/>
      <c r="B1601" s="175"/>
      <c r="C1601" s="35"/>
      <c r="D1601" s="35"/>
      <c r="E1601" s="36"/>
      <c r="F1601" s="30" t="s">
        <v>416</v>
      </c>
      <c r="G1601" s="30" t="str">
        <f>IF(ISNUMBER(F1601),E1601*F1601,"")</f>
        <v/>
      </c>
      <c r="H1601" s="34"/>
      <c r="I1601" s="30"/>
      <c r="J1601" s="152">
        <v>0</v>
      </c>
    </row>
    <row r="1602" spans="1:10" ht="15.75" thickBot="1" x14ac:dyDescent="0.3">
      <c r="A1602" s="170" t="s">
        <v>402</v>
      </c>
      <c r="B1602" s="173" t="str">
        <f>INDEX(Orçamentária!A:B,MATCH(Composições!A1602,Orçamentária!A:A,0),2)</f>
        <v>Interruptor para condulete</v>
      </c>
      <c r="C1602" s="40"/>
      <c r="D1602" s="25" t="s">
        <v>16</v>
      </c>
      <c r="E1602" s="26"/>
      <c r="F1602" s="41" t="s">
        <v>416</v>
      </c>
      <c r="G1602" s="27" t="str">
        <f>IF(ISNUMBER(F1602),E1602*F1602,"")</f>
        <v/>
      </c>
      <c r="H1602" s="28"/>
      <c r="I1602" s="29"/>
      <c r="J1602" s="152">
        <v>31</v>
      </c>
    </row>
    <row r="1603" spans="1:10" x14ac:dyDescent="0.25">
      <c r="A1603" s="176"/>
      <c r="B1603" s="174"/>
      <c r="C1603" s="31"/>
      <c r="D1603" s="31"/>
      <c r="E1603" s="32"/>
      <c r="F1603" s="42" t="s">
        <v>416</v>
      </c>
      <c r="G1603" s="30" t="str">
        <f>IF(ISNUMBER(F1603),E1603*F1603,"")</f>
        <v/>
      </c>
      <c r="H1603" s="34"/>
      <c r="I1603" s="30"/>
      <c r="J1603" s="152">
        <v>31</v>
      </c>
    </row>
    <row r="1604" spans="1:10" x14ac:dyDescent="0.25">
      <c r="A1604" s="176"/>
      <c r="B1604" s="174"/>
      <c r="C1604" s="35" t="s">
        <v>1018</v>
      </c>
      <c r="D1604" s="35" t="s">
        <v>583</v>
      </c>
      <c r="E1604" s="36">
        <f>0.3/2</f>
        <v>0.15</v>
      </c>
      <c r="F1604" s="30">
        <v>27.835000000000001</v>
      </c>
      <c r="G1604" s="33">
        <f>IF(ISNUMBER(F1604),E1604*F1604,"")</f>
        <v>4.1752500000000001</v>
      </c>
      <c r="H1604" s="38">
        <f>SUM(G1604:G1607)</f>
        <v>28.12285</v>
      </c>
      <c r="I1604" s="39"/>
      <c r="J1604" s="152">
        <v>31</v>
      </c>
    </row>
    <row r="1605" spans="1:10" x14ac:dyDescent="0.25">
      <c r="A1605" s="176"/>
      <c r="B1605" s="174"/>
      <c r="C1605" s="35" t="s">
        <v>1017</v>
      </c>
      <c r="D1605" s="35" t="s">
        <v>583</v>
      </c>
      <c r="E1605" s="36">
        <f>0.3/2</f>
        <v>0.15</v>
      </c>
      <c r="F1605" s="30">
        <v>21.584</v>
      </c>
      <c r="G1605" s="33">
        <f>IF(ISNUMBER(F1605),E1605*F1605,"")</f>
        <v>3.2376</v>
      </c>
      <c r="H1605" s="34"/>
      <c r="I1605" s="30"/>
      <c r="J1605" s="152">
        <v>31</v>
      </c>
    </row>
    <row r="1606" spans="1:10" ht="25.5" x14ac:dyDescent="0.25">
      <c r="A1606" s="176"/>
      <c r="B1606" s="174"/>
      <c r="C1606" s="35" t="s">
        <v>403</v>
      </c>
      <c r="D1606" s="35" t="s">
        <v>16</v>
      </c>
      <c r="E1606" s="36">
        <v>1</v>
      </c>
      <c r="F1606" s="33">
        <v>6.21</v>
      </c>
      <c r="G1606" s="33">
        <f>IF(ISNUMBER(F1606),E1606*F1606,"")</f>
        <v>6.21</v>
      </c>
      <c r="H1606" s="34"/>
      <c r="I1606" s="30"/>
      <c r="J1606" s="152">
        <v>31</v>
      </c>
    </row>
    <row r="1607" spans="1:10" ht="25.5" x14ac:dyDescent="0.25">
      <c r="A1607" s="176"/>
      <c r="B1607" s="174"/>
      <c r="C1607" s="35" t="s">
        <v>404</v>
      </c>
      <c r="D1607" s="35" t="s">
        <v>16</v>
      </c>
      <c r="E1607" s="36">
        <v>1</v>
      </c>
      <c r="F1607" s="33">
        <v>14.5</v>
      </c>
      <c r="G1607" s="30">
        <f>IF(ISNUMBER(F1607),E1607*F1607,"")</f>
        <v>14.5</v>
      </c>
      <c r="H1607" s="34"/>
      <c r="I1607" s="30"/>
      <c r="J1607" s="152">
        <v>31</v>
      </c>
    </row>
    <row r="1608" spans="1:10" ht="15.75" thickBot="1" x14ac:dyDescent="0.3">
      <c r="A1608" s="177"/>
      <c r="B1608" s="175"/>
      <c r="C1608" s="35"/>
      <c r="D1608" s="35"/>
      <c r="E1608" s="36"/>
      <c r="F1608" s="30" t="s">
        <v>416</v>
      </c>
      <c r="G1608" s="30" t="str">
        <f>IF(ISNUMBER(F1608),E1608*F1608,"")</f>
        <v/>
      </c>
      <c r="H1608" s="34"/>
      <c r="I1608" s="30"/>
      <c r="J1608" s="152">
        <v>31</v>
      </c>
    </row>
    <row r="1609" spans="1:10" ht="15.75" hidden="1" thickBot="1" x14ac:dyDescent="0.3">
      <c r="A1609" s="170" t="s">
        <v>405</v>
      </c>
      <c r="B1609" s="173" t="str">
        <f>INDEX(Orçamentária!A:B,MATCH(Composições!A1609,Orçamentária!A:A,0),2)</f>
        <v>Módulo cego</v>
      </c>
      <c r="C1609" s="40"/>
      <c r="D1609" s="25" t="s">
        <v>16</v>
      </c>
      <c r="E1609" s="26"/>
      <c r="F1609" s="41" t="s">
        <v>416</v>
      </c>
      <c r="G1609" s="27" t="str">
        <f>IF(ISNUMBER(F1609),E1609*F1609,"")</f>
        <v/>
      </c>
      <c r="H1609" s="28"/>
      <c r="I1609" s="29"/>
      <c r="J1609" s="152">
        <v>0</v>
      </c>
    </row>
    <row r="1610" spans="1:10" ht="15.75" hidden="1" thickBot="1" x14ac:dyDescent="0.3">
      <c r="A1610" s="176"/>
      <c r="B1610" s="174"/>
      <c r="C1610" s="31"/>
      <c r="D1610" s="31"/>
      <c r="E1610" s="32"/>
      <c r="F1610" s="42" t="s">
        <v>416</v>
      </c>
      <c r="G1610" s="30" t="str">
        <f>IF(ISNUMBER(F1610),E1610*F1610,"")</f>
        <v/>
      </c>
      <c r="H1610" s="34"/>
      <c r="I1610" s="30"/>
      <c r="J1610" s="152">
        <v>0</v>
      </c>
    </row>
    <row r="1611" spans="1:10" ht="15.75" hidden="1" thickBot="1" x14ac:dyDescent="0.3">
      <c r="A1611" s="176"/>
      <c r="B1611" s="174"/>
      <c r="C1611" s="35" t="s">
        <v>1018</v>
      </c>
      <c r="D1611" s="35" t="s">
        <v>583</v>
      </c>
      <c r="E1611" s="36">
        <v>0.1</v>
      </c>
      <c r="F1611" s="30">
        <v>27.835000000000001</v>
      </c>
      <c r="G1611" s="33">
        <f>IF(ISNUMBER(F1611),E1611*F1611,"")</f>
        <v>2.7835000000000001</v>
      </c>
      <c r="H1611" s="38">
        <f>SUM(G1611:G1612)</f>
        <v>2.7835000000000001</v>
      </c>
      <c r="I1611" s="39"/>
      <c r="J1611" s="152">
        <v>0</v>
      </c>
    </row>
    <row r="1612" spans="1:10" ht="15.75" hidden="1" thickBot="1" x14ac:dyDescent="0.3">
      <c r="A1612" s="176"/>
      <c r="B1612" s="174"/>
      <c r="C1612" s="35" t="s">
        <v>406</v>
      </c>
      <c r="D1612" s="35" t="s">
        <v>16</v>
      </c>
      <c r="E1612" s="36">
        <v>1</v>
      </c>
      <c r="F1612" s="33" t="s">
        <v>416</v>
      </c>
      <c r="G1612" s="30" t="str">
        <f>IF(ISNUMBER(F1612),E1612*F1612,"")</f>
        <v/>
      </c>
      <c r="H1612" s="34"/>
      <c r="I1612" s="30"/>
      <c r="J1612" s="152">
        <v>0</v>
      </c>
    </row>
    <row r="1613" spans="1:10" ht="15.75" hidden="1" thickBot="1" x14ac:dyDescent="0.3">
      <c r="A1613" s="177"/>
      <c r="B1613" s="175"/>
      <c r="C1613" s="35"/>
      <c r="D1613" s="35"/>
      <c r="E1613" s="36"/>
      <c r="F1613" s="30" t="s">
        <v>416</v>
      </c>
      <c r="G1613" s="30" t="str">
        <f>IF(ISNUMBER(F1613),E1613*F1613,"")</f>
        <v/>
      </c>
      <c r="H1613" s="34"/>
      <c r="I1613" s="30"/>
      <c r="J1613" s="152">
        <v>0</v>
      </c>
    </row>
    <row r="1614" spans="1:10" ht="15.75" hidden="1" thickBot="1" x14ac:dyDescent="0.3">
      <c r="A1614" s="170" t="s">
        <v>407</v>
      </c>
      <c r="B1614" s="173" t="str">
        <f>INDEX(Orçamentária!A:B,MATCH(Composições!A1614,Orçamentária!A:A,0),2)</f>
        <v>Módulo interruptor paralelo</v>
      </c>
      <c r="C1614" s="40"/>
      <c r="D1614" s="25" t="s">
        <v>16</v>
      </c>
      <c r="E1614" s="26"/>
      <c r="F1614" s="41" t="s">
        <v>416</v>
      </c>
      <c r="G1614" s="27" t="str">
        <f>IF(ISNUMBER(F1614),E1614*F1614,"")</f>
        <v/>
      </c>
      <c r="H1614" s="28"/>
      <c r="I1614" s="29"/>
      <c r="J1614" s="152">
        <v>0</v>
      </c>
    </row>
    <row r="1615" spans="1:10" ht="15.75" hidden="1" thickBot="1" x14ac:dyDescent="0.3">
      <c r="A1615" s="176"/>
      <c r="B1615" s="174"/>
      <c r="C1615" s="31"/>
      <c r="D1615" s="31"/>
      <c r="E1615" s="32"/>
      <c r="F1615" s="42" t="s">
        <v>416</v>
      </c>
      <c r="G1615" s="30" t="str">
        <f>IF(ISNUMBER(F1615),E1615*F1615,"")</f>
        <v/>
      </c>
      <c r="H1615" s="34"/>
      <c r="I1615" s="30"/>
      <c r="J1615" s="152">
        <v>0</v>
      </c>
    </row>
    <row r="1616" spans="1:10" ht="15.75" hidden="1" thickBot="1" x14ac:dyDescent="0.3">
      <c r="A1616" s="176"/>
      <c r="B1616" s="174"/>
      <c r="C1616" s="35" t="s">
        <v>8177</v>
      </c>
      <c r="D1616" s="35" t="s">
        <v>213</v>
      </c>
      <c r="E1616" s="36">
        <v>1</v>
      </c>
      <c r="F1616" s="33">
        <v>9.8895</v>
      </c>
      <c r="G1616" s="30">
        <f>IF(ISNUMBER(F1616),E1616*F1616,"")</f>
        <v>9.8895</v>
      </c>
      <c r="H1616" s="38">
        <f>SUM(G1616:G1618)</f>
        <v>25.110551999999998</v>
      </c>
      <c r="I1616" s="39"/>
      <c r="J1616" s="152">
        <v>0</v>
      </c>
    </row>
    <row r="1617" spans="1:10" ht="15.75" hidden="1" thickBot="1" x14ac:dyDescent="0.3">
      <c r="A1617" s="176"/>
      <c r="B1617" s="174"/>
      <c r="C1617" s="35" t="s">
        <v>1017</v>
      </c>
      <c r="D1617" s="35" t="s">
        <v>583</v>
      </c>
      <c r="E1617" s="36">
        <v>0.308</v>
      </c>
      <c r="F1617" s="30">
        <v>21.584</v>
      </c>
      <c r="G1617" s="33">
        <f>IF(ISNUMBER(F1617),E1617*F1617,"")</f>
        <v>6.6478719999999996</v>
      </c>
      <c r="H1617" s="34"/>
      <c r="I1617" s="30"/>
      <c r="J1617" s="152">
        <v>0</v>
      </c>
    </row>
    <row r="1618" spans="1:10" ht="15.75" hidden="1" thickBot="1" x14ac:dyDescent="0.3">
      <c r="A1618" s="176"/>
      <c r="B1618" s="174"/>
      <c r="C1618" s="35" t="s">
        <v>1018</v>
      </c>
      <c r="D1618" s="35" t="s">
        <v>583</v>
      </c>
      <c r="E1618" s="36">
        <v>0.308</v>
      </c>
      <c r="F1618" s="30">
        <v>27.835000000000001</v>
      </c>
      <c r="G1618" s="33">
        <f>IF(ISNUMBER(F1618),E1618*F1618,"")</f>
        <v>8.5731800000000007</v>
      </c>
      <c r="H1618" s="34"/>
      <c r="I1618" s="30"/>
      <c r="J1618" s="152">
        <v>0</v>
      </c>
    </row>
    <row r="1619" spans="1:10" ht="15.75" hidden="1" thickBot="1" x14ac:dyDescent="0.3">
      <c r="A1619" s="177"/>
      <c r="B1619" s="175"/>
      <c r="C1619" s="35"/>
      <c r="D1619" s="35"/>
      <c r="E1619" s="36"/>
      <c r="F1619" s="30" t="s">
        <v>416</v>
      </c>
      <c r="G1619" s="30" t="str">
        <f>IF(ISNUMBER(F1619),E1619*F1619,"")</f>
        <v/>
      </c>
      <c r="H1619" s="34"/>
      <c r="I1619" s="30"/>
      <c r="J1619" s="152">
        <v>0</v>
      </c>
    </row>
    <row r="1620" spans="1:10" ht="15.75" hidden="1" thickBot="1" x14ac:dyDescent="0.3">
      <c r="A1620" s="170" t="s">
        <v>408</v>
      </c>
      <c r="B1620" s="173" t="str">
        <f>INDEX(Orçamentária!A:B,MATCH(Composições!A1620,Orçamentária!A:A,0),2)</f>
        <v>Módulo interruptor simples</v>
      </c>
      <c r="C1620" s="40"/>
      <c r="D1620" s="25" t="s">
        <v>16</v>
      </c>
      <c r="E1620" s="26"/>
      <c r="F1620" s="41" t="s">
        <v>416</v>
      </c>
      <c r="G1620" s="27" t="str">
        <f>IF(ISNUMBER(F1620),E1620*F1620,"")</f>
        <v/>
      </c>
      <c r="H1620" s="28"/>
      <c r="I1620" s="29"/>
      <c r="J1620" s="152">
        <v>0</v>
      </c>
    </row>
    <row r="1621" spans="1:10" ht="15.75" hidden="1" thickBot="1" x14ac:dyDescent="0.3">
      <c r="A1621" s="176"/>
      <c r="B1621" s="174"/>
      <c r="C1621" s="31"/>
      <c r="D1621" s="31"/>
      <c r="E1621" s="32"/>
      <c r="F1621" s="42" t="s">
        <v>416</v>
      </c>
      <c r="G1621" s="30" t="str">
        <f>IF(ISNUMBER(F1621),E1621*F1621,"")</f>
        <v/>
      </c>
      <c r="H1621" s="34"/>
      <c r="I1621" s="30"/>
      <c r="J1621" s="152">
        <v>0</v>
      </c>
    </row>
    <row r="1622" spans="1:10" ht="15.75" hidden="1" thickBot="1" x14ac:dyDescent="0.3">
      <c r="A1622" s="176"/>
      <c r="B1622" s="174"/>
      <c r="C1622" s="35" t="s">
        <v>8178</v>
      </c>
      <c r="D1622" s="35" t="s">
        <v>213</v>
      </c>
      <c r="E1622" s="36">
        <v>1</v>
      </c>
      <c r="F1622" s="33">
        <v>7.5904999999999996</v>
      </c>
      <c r="G1622" s="30">
        <f>IF(ISNUMBER(F1622),E1622*F1622,"")</f>
        <v>7.5904999999999996</v>
      </c>
      <c r="H1622" s="38">
        <f>SUM(G1622:G1624)</f>
        <v>18.709775</v>
      </c>
      <c r="I1622" s="39"/>
      <c r="J1622" s="152">
        <v>0</v>
      </c>
    </row>
    <row r="1623" spans="1:10" ht="15.75" hidden="1" thickBot="1" x14ac:dyDescent="0.3">
      <c r="A1623" s="176"/>
      <c r="B1623" s="174"/>
      <c r="C1623" s="35" t="s">
        <v>1017</v>
      </c>
      <c r="D1623" s="35" t="s">
        <v>583</v>
      </c>
      <c r="E1623" s="36">
        <v>0.22500000000000001</v>
      </c>
      <c r="F1623" s="30">
        <v>21.584</v>
      </c>
      <c r="G1623" s="33">
        <f>IF(ISNUMBER(F1623),E1623*F1623,"")</f>
        <v>4.8563999999999998</v>
      </c>
      <c r="H1623" s="34"/>
      <c r="I1623" s="30"/>
      <c r="J1623" s="152">
        <v>0</v>
      </c>
    </row>
    <row r="1624" spans="1:10" ht="15.75" hidden="1" thickBot="1" x14ac:dyDescent="0.3">
      <c r="A1624" s="176"/>
      <c r="B1624" s="174"/>
      <c r="C1624" s="35" t="s">
        <v>1018</v>
      </c>
      <c r="D1624" s="35" t="s">
        <v>583</v>
      </c>
      <c r="E1624" s="36">
        <v>0.22500000000000001</v>
      </c>
      <c r="F1624" s="30">
        <v>27.835000000000001</v>
      </c>
      <c r="G1624" s="33">
        <f>IF(ISNUMBER(F1624),E1624*F1624,"")</f>
        <v>6.2628750000000002</v>
      </c>
      <c r="H1624" s="34"/>
      <c r="I1624" s="30"/>
      <c r="J1624" s="152">
        <v>0</v>
      </c>
    </row>
    <row r="1625" spans="1:10" ht="15.75" hidden="1" thickBot="1" x14ac:dyDescent="0.3">
      <c r="A1625" s="177"/>
      <c r="B1625" s="175"/>
      <c r="C1625" s="35"/>
      <c r="D1625" s="35"/>
      <c r="E1625" s="36"/>
      <c r="F1625" s="30" t="s">
        <v>416</v>
      </c>
      <c r="G1625" s="30" t="str">
        <f>IF(ISNUMBER(F1625),E1625*F1625,"")</f>
        <v/>
      </c>
      <c r="H1625" s="34"/>
      <c r="I1625" s="30"/>
      <c r="J1625" s="152">
        <v>0</v>
      </c>
    </row>
    <row r="1626" spans="1:10" ht="15.75" thickBot="1" x14ac:dyDescent="0.3">
      <c r="A1626" s="170" t="s">
        <v>409</v>
      </c>
      <c r="B1626" s="173" t="str">
        <f>INDEX(Orçamentária!A:B,MATCH(Composições!A1626,Orçamentária!A:A,0),2)</f>
        <v>Módulo para saída de fio</v>
      </c>
      <c r="C1626" s="40"/>
      <c r="D1626" s="25" t="s">
        <v>16</v>
      </c>
      <c r="E1626" s="26"/>
      <c r="F1626" s="41" t="s">
        <v>416</v>
      </c>
      <c r="G1626" s="27" t="str">
        <f>IF(ISNUMBER(F1626),E1626*F1626,"")</f>
        <v/>
      </c>
      <c r="H1626" s="28"/>
      <c r="I1626" s="29"/>
      <c r="J1626" s="152">
        <v>21</v>
      </c>
    </row>
    <row r="1627" spans="1:10" x14ac:dyDescent="0.25">
      <c r="A1627" s="176"/>
      <c r="B1627" s="174"/>
      <c r="C1627" s="31"/>
      <c r="D1627" s="31"/>
      <c r="E1627" s="32"/>
      <c r="F1627" s="42" t="s">
        <v>416</v>
      </c>
      <c r="G1627" s="30" t="str">
        <f>IF(ISNUMBER(F1627),E1627*F1627,"")</f>
        <v/>
      </c>
      <c r="H1627" s="34"/>
      <c r="I1627" s="30"/>
      <c r="J1627" s="152">
        <v>21</v>
      </c>
    </row>
    <row r="1628" spans="1:10" x14ac:dyDescent="0.25">
      <c r="A1628" s="176"/>
      <c r="B1628" s="174"/>
      <c r="C1628" s="35" t="s">
        <v>1018</v>
      </c>
      <c r="D1628" s="35" t="s">
        <v>583</v>
      </c>
      <c r="E1628" s="36">
        <v>0.1</v>
      </c>
      <c r="F1628" s="30">
        <v>27.835000000000001</v>
      </c>
      <c r="G1628" s="33">
        <f>IF(ISNUMBER(F1628),E1628*F1628,"")</f>
        <v>2.7835000000000001</v>
      </c>
      <c r="H1628" s="38">
        <f>SUM(G1628:G1629)</f>
        <v>5.5335000000000001</v>
      </c>
      <c r="I1628" s="39"/>
      <c r="J1628" s="152">
        <v>21</v>
      </c>
    </row>
    <row r="1629" spans="1:10" x14ac:dyDescent="0.25">
      <c r="A1629" s="176"/>
      <c r="B1629" s="174"/>
      <c r="C1629" s="35" t="s">
        <v>410</v>
      </c>
      <c r="D1629" s="35" t="s">
        <v>16</v>
      </c>
      <c r="E1629" s="36">
        <v>1</v>
      </c>
      <c r="F1629" s="33">
        <v>2.75</v>
      </c>
      <c r="G1629" s="30">
        <f>IF(ISNUMBER(F1629),E1629*F1629,"")</f>
        <v>2.75</v>
      </c>
      <c r="H1629" s="34"/>
      <c r="I1629" s="30"/>
      <c r="J1629" s="152">
        <v>21</v>
      </c>
    </row>
    <row r="1630" spans="1:10" ht="15.75" thickBot="1" x14ac:dyDescent="0.3">
      <c r="A1630" s="177"/>
      <c r="B1630" s="175"/>
      <c r="C1630" s="35"/>
      <c r="D1630" s="35"/>
      <c r="E1630" s="36"/>
      <c r="F1630" s="30" t="s">
        <v>416</v>
      </c>
      <c r="G1630" s="30" t="str">
        <f>IF(ISNUMBER(F1630),E1630*F1630,"")</f>
        <v/>
      </c>
      <c r="H1630" s="34"/>
      <c r="I1630" s="30"/>
      <c r="J1630" s="152">
        <v>21</v>
      </c>
    </row>
    <row r="1631" spans="1:10" ht="15.75" hidden="1" thickBot="1" x14ac:dyDescent="0.3">
      <c r="A1631" s="170" t="s">
        <v>411</v>
      </c>
      <c r="B1631" s="173" t="str">
        <f>INDEX(Orçamentária!A:B,MATCH(Composições!A1631,Orçamentária!A:A,0),2)</f>
        <v>Módulo sensor de presença</v>
      </c>
      <c r="C1631" s="40"/>
      <c r="D1631" s="25" t="s">
        <v>16</v>
      </c>
      <c r="E1631" s="26"/>
      <c r="F1631" s="41" t="s">
        <v>416</v>
      </c>
      <c r="G1631" s="27" t="str">
        <f>IF(ISNUMBER(F1631),E1631*F1631,"")</f>
        <v/>
      </c>
      <c r="H1631" s="28"/>
      <c r="I1631" s="29"/>
      <c r="J1631" s="152">
        <v>0</v>
      </c>
    </row>
    <row r="1632" spans="1:10" ht="15.75" hidden="1" thickBot="1" x14ac:dyDescent="0.3">
      <c r="A1632" s="176"/>
      <c r="B1632" s="174"/>
      <c r="C1632" s="31"/>
      <c r="D1632" s="31"/>
      <c r="E1632" s="32"/>
      <c r="F1632" s="42" t="s">
        <v>416</v>
      </c>
      <c r="G1632" s="30" t="str">
        <f>IF(ISNUMBER(F1632),E1632*F1632,"")</f>
        <v/>
      </c>
      <c r="H1632" s="34"/>
      <c r="I1632" s="30"/>
      <c r="J1632" s="152">
        <v>0</v>
      </c>
    </row>
    <row r="1633" spans="1:10" ht="15.75" hidden="1" thickBot="1" x14ac:dyDescent="0.3">
      <c r="A1633" s="176"/>
      <c r="B1633" s="174"/>
      <c r="C1633" s="35" t="s">
        <v>1018</v>
      </c>
      <c r="D1633" s="35" t="s">
        <v>583</v>
      </c>
      <c r="E1633" s="36">
        <v>0.308</v>
      </c>
      <c r="F1633" s="30">
        <v>27.835000000000001</v>
      </c>
      <c r="G1633" s="33">
        <f>IF(ISNUMBER(F1633),E1633*F1633,"")</f>
        <v>8.5731800000000007</v>
      </c>
      <c r="H1633" s="38">
        <f>SUM(G1633:G1635)</f>
        <v>15.221052</v>
      </c>
      <c r="I1633" s="39"/>
      <c r="J1633" s="152">
        <v>0</v>
      </c>
    </row>
    <row r="1634" spans="1:10" ht="15.75" hidden="1" thickBot="1" x14ac:dyDescent="0.3">
      <c r="A1634" s="176"/>
      <c r="B1634" s="174"/>
      <c r="C1634" s="35" t="s">
        <v>1017</v>
      </c>
      <c r="D1634" s="35" t="s">
        <v>583</v>
      </c>
      <c r="E1634" s="36">
        <v>0.308</v>
      </c>
      <c r="F1634" s="30">
        <v>21.584</v>
      </c>
      <c r="G1634" s="33">
        <f>IF(ISNUMBER(F1634),E1634*F1634,"")</f>
        <v>6.6478719999999996</v>
      </c>
      <c r="H1634" s="44"/>
      <c r="I1634" s="45"/>
      <c r="J1634" s="152">
        <v>0</v>
      </c>
    </row>
    <row r="1635" spans="1:10" ht="15.75" hidden="1" thickBot="1" x14ac:dyDescent="0.3">
      <c r="A1635" s="176"/>
      <c r="B1635" s="174"/>
      <c r="C1635" s="35" t="s">
        <v>412</v>
      </c>
      <c r="D1635" s="35" t="s">
        <v>16</v>
      </c>
      <c r="E1635" s="36">
        <v>1</v>
      </c>
      <c r="F1635" s="33" t="s">
        <v>416</v>
      </c>
      <c r="G1635" s="30" t="str">
        <f>IF(ISNUMBER(F1635),E1635*F1635,"")</f>
        <v/>
      </c>
      <c r="H1635" s="34"/>
      <c r="I1635" s="30"/>
      <c r="J1635" s="152">
        <v>0</v>
      </c>
    </row>
    <row r="1636" spans="1:10" ht="15.75" hidden="1" thickBot="1" x14ac:dyDescent="0.3">
      <c r="A1636" s="177"/>
      <c r="B1636" s="175"/>
      <c r="C1636" s="51"/>
      <c r="D1636" s="35"/>
      <c r="E1636" s="36"/>
      <c r="F1636" s="30" t="s">
        <v>416</v>
      </c>
      <c r="G1636" s="30" t="str">
        <f>IF(ISNUMBER(F1636),E1636*F1636,"")</f>
        <v/>
      </c>
      <c r="H1636" s="34"/>
      <c r="I1636" s="30"/>
      <c r="J1636" s="152">
        <v>0</v>
      </c>
    </row>
    <row r="1637" spans="1:10" ht="15.75" hidden="1" thickBot="1" x14ac:dyDescent="0.3">
      <c r="A1637" s="170" t="s">
        <v>413</v>
      </c>
      <c r="B1637" s="173" t="str">
        <f>INDEX(Orçamentária!A:B,MATCH(Composições!A1637,Orçamentária!A:A,0),2)</f>
        <v>Módulo tomada 10 A</v>
      </c>
      <c r="C1637" s="40"/>
      <c r="D1637" s="25" t="s">
        <v>16</v>
      </c>
      <c r="E1637" s="26"/>
      <c r="F1637" s="41" t="s">
        <v>416</v>
      </c>
      <c r="G1637" s="27" t="str">
        <f>IF(ISNUMBER(F1637),E1637*F1637,"")</f>
        <v/>
      </c>
      <c r="H1637" s="28"/>
      <c r="I1637" s="29"/>
      <c r="J1637" s="152">
        <v>0</v>
      </c>
    </row>
    <row r="1638" spans="1:10" ht="15.75" hidden="1" thickBot="1" x14ac:dyDescent="0.3">
      <c r="A1638" s="176"/>
      <c r="B1638" s="174"/>
      <c r="C1638" s="31"/>
      <c r="D1638" s="31"/>
      <c r="E1638" s="32"/>
      <c r="F1638" s="42" t="s">
        <v>416</v>
      </c>
      <c r="G1638" s="30" t="str">
        <f>IF(ISNUMBER(F1638),E1638*F1638,"")</f>
        <v/>
      </c>
      <c r="H1638" s="34"/>
      <c r="I1638" s="30"/>
      <c r="J1638" s="152">
        <v>0</v>
      </c>
    </row>
    <row r="1639" spans="1:10" ht="15.75" hidden="1" thickBot="1" x14ac:dyDescent="0.3">
      <c r="A1639" s="176"/>
      <c r="B1639" s="174"/>
      <c r="C1639" s="35" t="s">
        <v>8521</v>
      </c>
      <c r="D1639" s="35" t="s">
        <v>213</v>
      </c>
      <c r="E1639" s="36">
        <v>1</v>
      </c>
      <c r="F1639" s="33">
        <v>8.6449999999999996</v>
      </c>
      <c r="G1639" s="30">
        <f>IF(ISNUMBER(F1639),E1639*F1639,"")</f>
        <v>8.6449999999999996</v>
      </c>
      <c r="H1639" s="38">
        <f>SUM(G1639:G1641)</f>
        <v>20.258465000000001</v>
      </c>
      <c r="I1639" s="39"/>
      <c r="J1639" s="152">
        <v>0</v>
      </c>
    </row>
    <row r="1640" spans="1:10" ht="15.75" hidden="1" thickBot="1" x14ac:dyDescent="0.3">
      <c r="A1640" s="176"/>
      <c r="B1640" s="174"/>
      <c r="C1640" s="35" t="s">
        <v>1017</v>
      </c>
      <c r="D1640" s="35" t="s">
        <v>583</v>
      </c>
      <c r="E1640" s="36">
        <v>0.23499999999999999</v>
      </c>
      <c r="F1640" s="30">
        <v>21.584</v>
      </c>
      <c r="G1640" s="33">
        <f>IF(ISNUMBER(F1640),E1640*F1640,"")</f>
        <v>5.0722399999999999</v>
      </c>
      <c r="H1640" s="34"/>
      <c r="I1640" s="30"/>
      <c r="J1640" s="152">
        <v>0</v>
      </c>
    </row>
    <row r="1641" spans="1:10" ht="15.75" hidden="1" thickBot="1" x14ac:dyDescent="0.3">
      <c r="A1641" s="176"/>
      <c r="B1641" s="174"/>
      <c r="C1641" s="35" t="s">
        <v>1018</v>
      </c>
      <c r="D1641" s="35" t="s">
        <v>583</v>
      </c>
      <c r="E1641" s="36">
        <v>0.23499999999999999</v>
      </c>
      <c r="F1641" s="30">
        <v>27.835000000000001</v>
      </c>
      <c r="G1641" s="33">
        <f>IF(ISNUMBER(F1641),E1641*F1641,"")</f>
        <v>6.5412249999999998</v>
      </c>
      <c r="H1641" s="34"/>
      <c r="I1641" s="30"/>
      <c r="J1641" s="152">
        <v>0</v>
      </c>
    </row>
    <row r="1642" spans="1:10" ht="15.75" hidden="1" thickBot="1" x14ac:dyDescent="0.3">
      <c r="A1642" s="177"/>
      <c r="B1642" s="175"/>
      <c r="C1642" s="35"/>
      <c r="D1642" s="35"/>
      <c r="E1642" s="36"/>
      <c r="F1642" s="30" t="s">
        <v>416</v>
      </c>
      <c r="G1642" s="30" t="str">
        <f>IF(ISNUMBER(F1642),E1642*F1642,"")</f>
        <v/>
      </c>
      <c r="H1642" s="34"/>
      <c r="I1642" s="30"/>
      <c r="J1642" s="152">
        <v>0</v>
      </c>
    </row>
    <row r="1643" spans="1:10" ht="15.75" hidden="1" thickBot="1" x14ac:dyDescent="0.3">
      <c r="A1643" s="170" t="s">
        <v>414</v>
      </c>
      <c r="B1643" s="173" t="str">
        <f>INDEX(Orçamentária!A:B,MATCH(Composições!A1643,Orçamentária!A:A,0),2)</f>
        <v>Módulo tomada 20 A</v>
      </c>
      <c r="C1643" s="40"/>
      <c r="D1643" s="25" t="s">
        <v>16</v>
      </c>
      <c r="E1643" s="26"/>
      <c r="F1643" s="41" t="s">
        <v>416</v>
      </c>
      <c r="G1643" s="27" t="str">
        <f>IF(ISNUMBER(F1643),E1643*F1643,"")</f>
        <v/>
      </c>
      <c r="H1643" s="28"/>
      <c r="I1643" s="29"/>
      <c r="J1643" s="152">
        <v>0</v>
      </c>
    </row>
    <row r="1644" spans="1:10" ht="15.75" hidden="1" thickBot="1" x14ac:dyDescent="0.3">
      <c r="A1644" s="176"/>
      <c r="B1644" s="174"/>
      <c r="C1644" s="31"/>
      <c r="D1644" s="31"/>
      <c r="E1644" s="32"/>
      <c r="F1644" s="42" t="s">
        <v>416</v>
      </c>
      <c r="G1644" s="30" t="str">
        <f>IF(ISNUMBER(F1644),E1644*F1644,"")</f>
        <v/>
      </c>
      <c r="H1644" s="34"/>
      <c r="I1644" s="30"/>
      <c r="J1644" s="152">
        <v>0</v>
      </c>
    </row>
    <row r="1645" spans="1:10" ht="15.75" hidden="1" thickBot="1" x14ac:dyDescent="0.3">
      <c r="A1645" s="176"/>
      <c r="B1645" s="174"/>
      <c r="C1645" s="35" t="s">
        <v>8522</v>
      </c>
      <c r="D1645" s="35" t="s">
        <v>213</v>
      </c>
      <c r="E1645" s="36">
        <v>1</v>
      </c>
      <c r="F1645" s="33">
        <v>11.058</v>
      </c>
      <c r="G1645" s="30">
        <f>IF(ISNUMBER(F1645),E1645*F1645,"")</f>
        <v>11.058</v>
      </c>
      <c r="H1645" s="38">
        <f>SUM(G1645:G1647)</f>
        <v>22.671465000000001</v>
      </c>
      <c r="I1645" s="39"/>
      <c r="J1645" s="152">
        <v>0</v>
      </c>
    </row>
    <row r="1646" spans="1:10" ht="15.75" hidden="1" thickBot="1" x14ac:dyDescent="0.3">
      <c r="A1646" s="176"/>
      <c r="B1646" s="174"/>
      <c r="C1646" s="35" t="s">
        <v>1017</v>
      </c>
      <c r="D1646" s="35" t="s">
        <v>583</v>
      </c>
      <c r="E1646" s="36">
        <v>0.23499999999999999</v>
      </c>
      <c r="F1646" s="30">
        <v>21.584</v>
      </c>
      <c r="G1646" s="33">
        <f>IF(ISNUMBER(F1646),E1646*F1646,"")</f>
        <v>5.0722399999999999</v>
      </c>
      <c r="H1646" s="34"/>
      <c r="I1646" s="30"/>
      <c r="J1646" s="152">
        <v>0</v>
      </c>
    </row>
    <row r="1647" spans="1:10" ht="15.75" hidden="1" thickBot="1" x14ac:dyDescent="0.3">
      <c r="A1647" s="176"/>
      <c r="B1647" s="174"/>
      <c r="C1647" s="35" t="s">
        <v>1018</v>
      </c>
      <c r="D1647" s="35" t="s">
        <v>583</v>
      </c>
      <c r="E1647" s="36">
        <v>0.23499999999999999</v>
      </c>
      <c r="F1647" s="30">
        <v>27.835000000000001</v>
      </c>
      <c r="G1647" s="33">
        <f>IF(ISNUMBER(F1647),E1647*F1647,"")</f>
        <v>6.5412249999999998</v>
      </c>
      <c r="H1647" s="34"/>
      <c r="I1647" s="30"/>
      <c r="J1647" s="152">
        <v>0</v>
      </c>
    </row>
    <row r="1648" spans="1:10" ht="15.75" hidden="1" thickBot="1" x14ac:dyDescent="0.3">
      <c r="A1648" s="177"/>
      <c r="B1648" s="175"/>
      <c r="C1648" s="35"/>
      <c r="D1648" s="35"/>
      <c r="E1648" s="36"/>
      <c r="F1648" s="30" t="s">
        <v>416</v>
      </c>
      <c r="G1648" s="30" t="str">
        <f>IF(ISNUMBER(F1648),E1648*F1648,"")</f>
        <v/>
      </c>
      <c r="H1648" s="34"/>
      <c r="I1648" s="30"/>
      <c r="J1648" s="152">
        <v>0</v>
      </c>
    </row>
    <row r="1649" spans="1:10" ht="15.75" hidden="1" thickBot="1" x14ac:dyDescent="0.3">
      <c r="A1649" s="170" t="s">
        <v>415</v>
      </c>
      <c r="B1649" s="173" t="str">
        <f>INDEX(Orçamentária!A:B,MATCH(Composições!A1649,Orçamentária!A:A,0),2)</f>
        <v>Porta equipamentos para canaleta de alumínio aparente</v>
      </c>
      <c r="C1649" s="40"/>
      <c r="D1649" s="25" t="s">
        <v>16</v>
      </c>
      <c r="E1649" s="26"/>
      <c r="F1649" s="41" t="s">
        <v>416</v>
      </c>
      <c r="G1649" s="27" t="str">
        <f>IF(ISNUMBER(F1649),E1649*F1649,"")</f>
        <v/>
      </c>
      <c r="H1649" s="28"/>
      <c r="I1649" s="29"/>
      <c r="J1649" s="152">
        <v>0</v>
      </c>
    </row>
    <row r="1650" spans="1:10" ht="15.75" hidden="1" thickBot="1" x14ac:dyDescent="0.3">
      <c r="A1650" s="176"/>
      <c r="B1650" s="174"/>
      <c r="C1650" s="31"/>
      <c r="D1650" s="31"/>
      <c r="E1650" s="32"/>
      <c r="F1650" s="42" t="s">
        <v>416</v>
      </c>
      <c r="G1650" s="30" t="str">
        <f>IF(ISNUMBER(F1650),E1650*F1650,"")</f>
        <v/>
      </c>
      <c r="H1650" s="34"/>
      <c r="I1650" s="30"/>
      <c r="J1650" s="152">
        <v>0</v>
      </c>
    </row>
    <row r="1651" spans="1:10" ht="15.75" hidden="1" thickBot="1" x14ac:dyDescent="0.3">
      <c r="A1651" s="176"/>
      <c r="B1651" s="174"/>
      <c r="C1651" s="35" t="s">
        <v>1017</v>
      </c>
      <c r="D1651" s="35" t="s">
        <v>583</v>
      </c>
      <c r="E1651" s="36">
        <f>0.35/2</f>
        <v>0.17499999999999999</v>
      </c>
      <c r="F1651" s="30">
        <v>21.584</v>
      </c>
      <c r="G1651" s="33">
        <f>IF(ISNUMBER(F1651),E1651*F1651,"")</f>
        <v>3.7771999999999997</v>
      </c>
      <c r="H1651" s="38">
        <f>SUM(G1651:G1653)</f>
        <v>8.6483249999999998</v>
      </c>
      <c r="I1651" s="39"/>
      <c r="J1651" s="152">
        <v>0</v>
      </c>
    </row>
    <row r="1652" spans="1:10" ht="15.75" hidden="1" thickBot="1" x14ac:dyDescent="0.3">
      <c r="A1652" s="176"/>
      <c r="B1652" s="174"/>
      <c r="C1652" s="35" t="s">
        <v>1018</v>
      </c>
      <c r="D1652" s="35" t="s">
        <v>583</v>
      </c>
      <c r="E1652" s="36">
        <f>0.35/2</f>
        <v>0.17499999999999999</v>
      </c>
      <c r="F1652" s="30">
        <v>27.835000000000001</v>
      </c>
      <c r="G1652" s="33">
        <f>IF(ISNUMBER(F1652),E1652*F1652,"")</f>
        <v>4.8711250000000001</v>
      </c>
      <c r="H1652" s="62" t="s">
        <v>416</v>
      </c>
      <c r="I1652" s="63"/>
      <c r="J1652" s="152">
        <v>0</v>
      </c>
    </row>
    <row r="1653" spans="1:10" ht="15.75" hidden="1" thickBot="1" x14ac:dyDescent="0.3">
      <c r="A1653" s="176"/>
      <c r="B1653" s="174"/>
      <c r="C1653" s="35" t="s">
        <v>417</v>
      </c>
      <c r="D1653" s="35" t="s">
        <v>16</v>
      </c>
      <c r="E1653" s="36">
        <v>1</v>
      </c>
      <c r="F1653" s="33" t="s">
        <v>416</v>
      </c>
      <c r="G1653" s="33" t="str">
        <f>IF(ISNUMBER(F1653),E1653*F1653,"")</f>
        <v/>
      </c>
      <c r="H1653" s="34"/>
      <c r="I1653" s="30"/>
      <c r="J1653" s="152">
        <v>0</v>
      </c>
    </row>
    <row r="1654" spans="1:10" ht="15.75" hidden="1" thickBot="1" x14ac:dyDescent="0.3">
      <c r="A1654" s="177"/>
      <c r="B1654" s="175"/>
      <c r="C1654" s="35"/>
      <c r="D1654" s="35"/>
      <c r="E1654" s="36"/>
      <c r="F1654" s="30" t="s">
        <v>416</v>
      </c>
      <c r="G1654" s="30" t="str">
        <f>IF(ISNUMBER(F1654),E1654*F1654,"")</f>
        <v/>
      </c>
      <c r="H1654" s="34"/>
      <c r="I1654" s="30"/>
      <c r="J1654" s="152">
        <v>0</v>
      </c>
    </row>
    <row r="1655" spans="1:10" ht="15.75" hidden="1" thickBot="1" x14ac:dyDescent="0.3">
      <c r="A1655" s="170" t="s">
        <v>418</v>
      </c>
      <c r="B1655" s="173" t="str">
        <f>INDEX(Orçamentária!A:B,MATCH(Composições!A1655,Orçamentária!A:A,0),2)</f>
        <v>Tampa cega metálica para caixas de piso 4 x 2"</v>
      </c>
      <c r="C1655" s="40"/>
      <c r="D1655" s="25" t="s">
        <v>16</v>
      </c>
      <c r="E1655" s="26"/>
      <c r="F1655" s="41" t="s">
        <v>416</v>
      </c>
      <c r="G1655" s="27" t="str">
        <f>IF(ISNUMBER(F1655),E1655*F1655,"")</f>
        <v/>
      </c>
      <c r="H1655" s="28"/>
      <c r="I1655" s="29"/>
      <c r="J1655" s="152">
        <v>0</v>
      </c>
    </row>
    <row r="1656" spans="1:10" ht="15.75" hidden="1" thickBot="1" x14ac:dyDescent="0.3">
      <c r="A1656" s="176"/>
      <c r="B1656" s="174"/>
      <c r="C1656" s="31"/>
      <c r="D1656" s="31"/>
      <c r="E1656" s="32"/>
      <c r="F1656" s="42" t="s">
        <v>416</v>
      </c>
      <c r="G1656" s="30" t="str">
        <f>IF(ISNUMBER(F1656),E1656*F1656,"")</f>
        <v/>
      </c>
      <c r="H1656" s="34"/>
      <c r="I1656" s="30"/>
      <c r="J1656" s="152">
        <v>0</v>
      </c>
    </row>
    <row r="1657" spans="1:10" ht="15.75" hidden="1" thickBot="1" x14ac:dyDescent="0.3">
      <c r="A1657" s="176"/>
      <c r="B1657" s="174"/>
      <c r="C1657" s="35" t="s">
        <v>1017</v>
      </c>
      <c r="D1657" s="35" t="s">
        <v>583</v>
      </c>
      <c r="E1657" s="36">
        <v>0.1</v>
      </c>
      <c r="F1657" s="30">
        <v>21.584</v>
      </c>
      <c r="G1657" s="30">
        <f>IF(ISNUMBER(F1657),E1657*F1657,"")</f>
        <v>2.1583999999999999</v>
      </c>
      <c r="H1657" s="38">
        <f>SUM(G1657:G1658)</f>
        <v>2.1583999999999999</v>
      </c>
      <c r="I1657" s="39"/>
      <c r="J1657" s="152">
        <v>0</v>
      </c>
    </row>
    <row r="1658" spans="1:10" ht="15.75" hidden="1" thickBot="1" x14ac:dyDescent="0.3">
      <c r="A1658" s="176"/>
      <c r="B1658" s="174"/>
      <c r="C1658" s="35" t="s">
        <v>419</v>
      </c>
      <c r="D1658" s="35" t="s">
        <v>16</v>
      </c>
      <c r="E1658" s="36">
        <v>1</v>
      </c>
      <c r="F1658" s="33" t="s">
        <v>416</v>
      </c>
      <c r="G1658" s="30" t="str">
        <f>IF(ISNUMBER(F1658),E1658*F1658,"")</f>
        <v/>
      </c>
      <c r="H1658" s="34"/>
      <c r="I1658" s="30"/>
      <c r="J1658" s="152">
        <v>0</v>
      </c>
    </row>
    <row r="1659" spans="1:10" ht="15.75" hidden="1" thickBot="1" x14ac:dyDescent="0.3">
      <c r="A1659" s="177"/>
      <c r="B1659" s="175"/>
      <c r="C1659" s="35"/>
      <c r="D1659" s="35"/>
      <c r="E1659" s="36"/>
      <c r="F1659" s="30" t="s">
        <v>416</v>
      </c>
      <c r="G1659" s="30" t="str">
        <f>IF(ISNUMBER(F1659),E1659*F1659,"")</f>
        <v/>
      </c>
      <c r="H1659" s="34"/>
      <c r="I1659" s="30"/>
      <c r="J1659" s="152">
        <v>0</v>
      </c>
    </row>
    <row r="1660" spans="1:10" ht="15.75" hidden="1" thickBot="1" x14ac:dyDescent="0.3">
      <c r="A1660" s="170" t="s">
        <v>420</v>
      </c>
      <c r="B1660" s="173" t="str">
        <f>INDEX(Orçamentária!A:B,MATCH(Composições!A1660,Orçamentária!A:A,0),2)</f>
        <v xml:space="preserve">Tampa cega metálica para caixas de piso 4 x 4" </v>
      </c>
      <c r="C1660" s="40"/>
      <c r="D1660" s="25" t="s">
        <v>16</v>
      </c>
      <c r="E1660" s="26"/>
      <c r="F1660" s="41" t="s">
        <v>416</v>
      </c>
      <c r="G1660" s="27" t="str">
        <f>IF(ISNUMBER(F1660),E1660*F1660,"")</f>
        <v/>
      </c>
      <c r="H1660" s="28"/>
      <c r="I1660" s="29"/>
      <c r="J1660" s="152">
        <v>0</v>
      </c>
    </row>
    <row r="1661" spans="1:10" ht="15.75" hidden="1" thickBot="1" x14ac:dyDescent="0.3">
      <c r="A1661" s="176"/>
      <c r="B1661" s="174"/>
      <c r="C1661" s="31"/>
      <c r="D1661" s="31"/>
      <c r="E1661" s="32"/>
      <c r="F1661" s="42" t="s">
        <v>416</v>
      </c>
      <c r="G1661" s="30" t="str">
        <f>IF(ISNUMBER(F1661),E1661*F1661,"")</f>
        <v/>
      </c>
      <c r="H1661" s="34"/>
      <c r="I1661" s="30"/>
      <c r="J1661" s="152">
        <v>0</v>
      </c>
    </row>
    <row r="1662" spans="1:10" ht="15.75" hidden="1" thickBot="1" x14ac:dyDescent="0.3">
      <c r="A1662" s="176"/>
      <c r="B1662" s="174"/>
      <c r="C1662" s="35" t="s">
        <v>1017</v>
      </c>
      <c r="D1662" s="35" t="s">
        <v>583</v>
      </c>
      <c r="E1662" s="36">
        <v>0.1</v>
      </c>
      <c r="F1662" s="30">
        <v>21.584</v>
      </c>
      <c r="G1662" s="30">
        <f>IF(ISNUMBER(F1662),E1662*F1662,"")</f>
        <v>2.1583999999999999</v>
      </c>
      <c r="H1662" s="38">
        <f>SUM(G1662:G1663)</f>
        <v>2.1583999999999999</v>
      </c>
      <c r="I1662" s="39"/>
      <c r="J1662" s="152">
        <v>0</v>
      </c>
    </row>
    <row r="1663" spans="1:10" ht="15.75" hidden="1" thickBot="1" x14ac:dyDescent="0.3">
      <c r="A1663" s="176"/>
      <c r="B1663" s="174"/>
      <c r="C1663" s="35" t="s">
        <v>421</v>
      </c>
      <c r="D1663" s="35" t="s">
        <v>16</v>
      </c>
      <c r="E1663" s="36">
        <v>1</v>
      </c>
      <c r="F1663" s="33" t="s">
        <v>416</v>
      </c>
      <c r="G1663" s="30" t="str">
        <f>IF(ISNUMBER(F1663),E1663*F1663,"")</f>
        <v/>
      </c>
      <c r="H1663" s="34"/>
      <c r="I1663" s="30"/>
      <c r="J1663" s="152">
        <v>0</v>
      </c>
    </row>
    <row r="1664" spans="1:10" ht="15.75" hidden="1" thickBot="1" x14ac:dyDescent="0.3">
      <c r="A1664" s="177"/>
      <c r="B1664" s="175"/>
      <c r="C1664" s="35"/>
      <c r="D1664" s="35"/>
      <c r="E1664" s="36"/>
      <c r="F1664" s="30" t="s">
        <v>416</v>
      </c>
      <c r="G1664" s="30" t="str">
        <f>IF(ISNUMBER(F1664),E1664*F1664,"")</f>
        <v/>
      </c>
      <c r="H1664" s="34"/>
      <c r="I1664" s="30"/>
      <c r="J1664" s="152">
        <v>0</v>
      </c>
    </row>
    <row r="1665" spans="1:10" ht="15.75" hidden="1" thickBot="1" x14ac:dyDescent="0.3">
      <c r="A1665" s="170" t="s">
        <v>422</v>
      </c>
      <c r="B1665" s="173" t="str">
        <f>INDEX(Orçamentária!A:B,MATCH(Composições!A1665,Orçamentária!A:A,0),2)</f>
        <v>Tampa cega para condulete</v>
      </c>
      <c r="C1665" s="40"/>
      <c r="D1665" s="25" t="s">
        <v>16</v>
      </c>
      <c r="E1665" s="26"/>
      <c r="F1665" s="41" t="s">
        <v>416</v>
      </c>
      <c r="G1665" s="27" t="str">
        <f>IF(ISNUMBER(F1665),E1665*F1665,"")</f>
        <v/>
      </c>
      <c r="H1665" s="28"/>
      <c r="I1665" s="29"/>
      <c r="J1665" s="152">
        <v>0</v>
      </c>
    </row>
    <row r="1666" spans="1:10" ht="15.75" hidden="1" thickBot="1" x14ac:dyDescent="0.3">
      <c r="A1666" s="176"/>
      <c r="B1666" s="174"/>
      <c r="C1666" s="31"/>
      <c r="D1666" s="31"/>
      <c r="E1666" s="32"/>
      <c r="F1666" s="42" t="s">
        <v>416</v>
      </c>
      <c r="G1666" s="30" t="str">
        <f>IF(ISNUMBER(F1666),E1666*F1666,"")</f>
        <v/>
      </c>
      <c r="H1666" s="34"/>
      <c r="I1666" s="30"/>
      <c r="J1666" s="152">
        <v>0</v>
      </c>
    </row>
    <row r="1667" spans="1:10" ht="15.75" hidden="1" thickBot="1" x14ac:dyDescent="0.3">
      <c r="A1667" s="176"/>
      <c r="B1667" s="174"/>
      <c r="C1667" s="35" t="s">
        <v>1017</v>
      </c>
      <c r="D1667" s="35" t="s">
        <v>583</v>
      </c>
      <c r="E1667" s="36">
        <v>0.15</v>
      </c>
      <c r="F1667" s="30">
        <v>21.584</v>
      </c>
      <c r="G1667" s="33">
        <f>IF(ISNUMBER(F1667),E1667*F1667,"")</f>
        <v>3.2376</v>
      </c>
      <c r="H1667" s="38">
        <f>SUM(G1667:G1668)</f>
        <v>3.2376</v>
      </c>
      <c r="I1667" s="39"/>
      <c r="J1667" s="152">
        <v>0</v>
      </c>
    </row>
    <row r="1668" spans="1:10" ht="26.25" hidden="1" thickBot="1" x14ac:dyDescent="0.3">
      <c r="A1668" s="176"/>
      <c r="B1668" s="174"/>
      <c r="C1668" s="35" t="s">
        <v>423</v>
      </c>
      <c r="D1668" s="35" t="s">
        <v>16</v>
      </c>
      <c r="E1668" s="36">
        <v>1</v>
      </c>
      <c r="F1668" s="33" t="s">
        <v>416</v>
      </c>
      <c r="G1668" s="30" t="str">
        <f>IF(ISNUMBER(F1668),E1668*F1668,"")</f>
        <v/>
      </c>
      <c r="H1668" s="34"/>
      <c r="I1668" s="30"/>
      <c r="J1668" s="152">
        <v>0</v>
      </c>
    </row>
    <row r="1669" spans="1:10" ht="15.75" hidden="1" thickBot="1" x14ac:dyDescent="0.3">
      <c r="A1669" s="176"/>
      <c r="B1669" s="174"/>
      <c r="C1669" s="35"/>
      <c r="D1669" s="35"/>
      <c r="E1669" s="36"/>
      <c r="F1669" s="33" t="s">
        <v>416</v>
      </c>
      <c r="G1669" s="30" t="str">
        <f>IF(ISNUMBER(F1669),E1669*F1669,"")</f>
        <v/>
      </c>
      <c r="H1669" s="34"/>
      <c r="I1669" s="30"/>
      <c r="J1669" s="152">
        <v>0</v>
      </c>
    </row>
    <row r="1670" spans="1:10" ht="15.75" hidden="1" thickBot="1" x14ac:dyDescent="0.3">
      <c r="A1670" s="170" t="s">
        <v>424</v>
      </c>
      <c r="B1670" s="173" t="str">
        <f>INDEX(Orçamentária!A:B,MATCH(Composições!A1670,Orçamentária!A:A,0),2)</f>
        <v>Tampa RJ45 dupla para condulete</v>
      </c>
      <c r="C1670" s="40"/>
      <c r="D1670" s="25" t="s">
        <v>16</v>
      </c>
      <c r="E1670" s="26"/>
      <c r="F1670" s="41" t="s">
        <v>416</v>
      </c>
      <c r="G1670" s="27" t="str">
        <f>IF(ISNUMBER(F1670),E1670*F1670,"")</f>
        <v/>
      </c>
      <c r="H1670" s="28"/>
      <c r="I1670" s="29"/>
      <c r="J1670" s="152">
        <v>0</v>
      </c>
    </row>
    <row r="1671" spans="1:10" ht="15.75" hidden="1" thickBot="1" x14ac:dyDescent="0.3">
      <c r="A1671" s="176"/>
      <c r="B1671" s="174"/>
      <c r="C1671" s="31"/>
      <c r="D1671" s="31"/>
      <c r="E1671" s="32"/>
      <c r="F1671" s="42" t="s">
        <v>416</v>
      </c>
      <c r="G1671" s="30" t="str">
        <f>IF(ISNUMBER(F1671),E1671*F1671,"")</f>
        <v/>
      </c>
      <c r="H1671" s="34"/>
      <c r="I1671" s="30"/>
      <c r="J1671" s="152">
        <v>0</v>
      </c>
    </row>
    <row r="1672" spans="1:10" ht="15.75" hidden="1" thickBot="1" x14ac:dyDescent="0.3">
      <c r="A1672" s="176"/>
      <c r="B1672" s="174"/>
      <c r="C1672" s="35" t="s">
        <v>1017</v>
      </c>
      <c r="D1672" s="35" t="s">
        <v>583</v>
      </c>
      <c r="E1672" s="36">
        <v>0.15</v>
      </c>
      <c r="F1672" s="30">
        <v>21.584</v>
      </c>
      <c r="G1672" s="33">
        <f>IF(ISNUMBER(F1672),E1672*F1672,"")</f>
        <v>3.2376</v>
      </c>
      <c r="H1672" s="38">
        <f>SUM(G1672:G1674)</f>
        <v>7.4128500000000006</v>
      </c>
      <c r="I1672" s="39"/>
      <c r="J1672" s="152">
        <v>0</v>
      </c>
    </row>
    <row r="1673" spans="1:10" ht="15.75" hidden="1" thickBot="1" x14ac:dyDescent="0.3">
      <c r="A1673" s="176"/>
      <c r="B1673" s="174"/>
      <c r="C1673" s="35" t="s">
        <v>1018</v>
      </c>
      <c r="D1673" s="35" t="s">
        <v>583</v>
      </c>
      <c r="E1673" s="36">
        <v>0.15</v>
      </c>
      <c r="F1673" s="30">
        <v>27.835000000000001</v>
      </c>
      <c r="G1673" s="33">
        <f>IF(ISNUMBER(F1673),E1673*F1673,"")</f>
        <v>4.1752500000000001</v>
      </c>
      <c r="H1673" s="61"/>
      <c r="I1673" s="1"/>
      <c r="J1673" s="152">
        <v>0</v>
      </c>
    </row>
    <row r="1674" spans="1:10" ht="26.25" hidden="1" thickBot="1" x14ac:dyDescent="0.3">
      <c r="A1674" s="176"/>
      <c r="B1674" s="174"/>
      <c r="C1674" s="35" t="s">
        <v>425</v>
      </c>
      <c r="D1674" s="35" t="s">
        <v>16</v>
      </c>
      <c r="E1674" s="36">
        <v>1</v>
      </c>
      <c r="F1674" s="33" t="s">
        <v>416</v>
      </c>
      <c r="G1674" s="30" t="str">
        <f>IF(ISNUMBER(F1674),E1674*F1674,"")</f>
        <v/>
      </c>
      <c r="H1674" s="34"/>
      <c r="I1674" s="30"/>
      <c r="J1674" s="152">
        <v>0</v>
      </c>
    </row>
    <row r="1675" spans="1:10" ht="15.75" hidden="1" thickBot="1" x14ac:dyDescent="0.3">
      <c r="A1675" s="177"/>
      <c r="B1675" s="175"/>
      <c r="C1675" s="35"/>
      <c r="D1675" s="35"/>
      <c r="E1675" s="36"/>
      <c r="F1675" s="30" t="s">
        <v>416</v>
      </c>
      <c r="G1675" s="30" t="str">
        <f>IF(ISNUMBER(F1675),E1675*F1675,"")</f>
        <v/>
      </c>
      <c r="H1675" s="34"/>
      <c r="I1675" s="30"/>
      <c r="J1675" s="152">
        <v>0</v>
      </c>
    </row>
    <row r="1676" spans="1:10" ht="15.75" hidden="1" thickBot="1" x14ac:dyDescent="0.3">
      <c r="A1676" s="170" t="s">
        <v>426</v>
      </c>
      <c r="B1676" s="173" t="str">
        <f>INDEX(Orçamentária!A:B,MATCH(Composições!A1676,Orçamentária!A:A,0),2)</f>
        <v>Tomada para condulete</v>
      </c>
      <c r="C1676" s="40"/>
      <c r="D1676" s="25" t="s">
        <v>16</v>
      </c>
      <c r="E1676" s="26"/>
      <c r="F1676" s="41" t="s">
        <v>416</v>
      </c>
      <c r="G1676" s="27" t="str">
        <f>IF(ISNUMBER(F1676),E1676*F1676,"")</f>
        <v/>
      </c>
      <c r="H1676" s="28"/>
      <c r="I1676" s="29"/>
      <c r="J1676" s="152">
        <v>0</v>
      </c>
    </row>
    <row r="1677" spans="1:10" ht="15.75" hidden="1" thickBot="1" x14ac:dyDescent="0.3">
      <c r="A1677" s="176"/>
      <c r="B1677" s="174"/>
      <c r="C1677" s="31"/>
      <c r="D1677" s="31"/>
      <c r="E1677" s="32"/>
      <c r="F1677" s="42" t="s">
        <v>416</v>
      </c>
      <c r="G1677" s="30" t="str">
        <f>IF(ISNUMBER(F1677),E1677*F1677,"")</f>
        <v/>
      </c>
      <c r="H1677" s="34"/>
      <c r="I1677" s="30"/>
      <c r="J1677" s="152">
        <v>0</v>
      </c>
    </row>
    <row r="1678" spans="1:10" ht="15.75" hidden="1" thickBot="1" x14ac:dyDescent="0.3">
      <c r="A1678" s="176"/>
      <c r="B1678" s="174"/>
      <c r="C1678" s="35" t="s">
        <v>1018</v>
      </c>
      <c r="D1678" s="35" t="s">
        <v>583</v>
      </c>
      <c r="E1678" s="36">
        <v>0.308</v>
      </c>
      <c r="F1678" s="30">
        <v>27.835000000000001</v>
      </c>
      <c r="G1678" s="33">
        <f>IF(ISNUMBER(F1678),E1678*F1678,"")</f>
        <v>8.5731800000000007</v>
      </c>
      <c r="H1678" s="38">
        <f>SUM(G1678:G1681)</f>
        <v>21.431052000000001</v>
      </c>
      <c r="I1678" s="39"/>
      <c r="J1678" s="152">
        <v>0</v>
      </c>
    </row>
    <row r="1679" spans="1:10" ht="15.75" hidden="1" thickBot="1" x14ac:dyDescent="0.3">
      <c r="A1679" s="176"/>
      <c r="B1679" s="174"/>
      <c r="C1679" s="35" t="s">
        <v>1017</v>
      </c>
      <c r="D1679" s="35" t="s">
        <v>583</v>
      </c>
      <c r="E1679" s="36">
        <v>0.308</v>
      </c>
      <c r="F1679" s="30">
        <v>21.584</v>
      </c>
      <c r="G1679" s="33">
        <f>IF(ISNUMBER(F1679),E1679*F1679,"")</f>
        <v>6.6478719999999996</v>
      </c>
      <c r="H1679" s="34"/>
      <c r="I1679" s="30"/>
      <c r="J1679" s="152">
        <v>0</v>
      </c>
    </row>
    <row r="1680" spans="1:10" ht="26.25" hidden="1" thickBot="1" x14ac:dyDescent="0.3">
      <c r="A1680" s="176"/>
      <c r="B1680" s="174"/>
      <c r="C1680" s="35" t="s">
        <v>403</v>
      </c>
      <c r="D1680" s="35" t="s">
        <v>16</v>
      </c>
      <c r="E1680" s="36">
        <v>1</v>
      </c>
      <c r="F1680" s="33">
        <v>6.21</v>
      </c>
      <c r="G1680" s="33">
        <f>IF(ISNUMBER(F1680),E1680*F1680,"")</f>
        <v>6.21</v>
      </c>
      <c r="H1680" s="34"/>
      <c r="I1680" s="30"/>
      <c r="J1680" s="152">
        <v>0</v>
      </c>
    </row>
    <row r="1681" spans="1:10" ht="26.25" hidden="1" thickBot="1" x14ac:dyDescent="0.3">
      <c r="A1681" s="176"/>
      <c r="B1681" s="174"/>
      <c r="C1681" s="35" t="s">
        <v>5554</v>
      </c>
      <c r="D1681" s="35" t="s">
        <v>16</v>
      </c>
      <c r="E1681" s="36">
        <v>1</v>
      </c>
      <c r="F1681" s="33" t="s">
        <v>416</v>
      </c>
      <c r="G1681" s="30" t="str">
        <f>IF(ISNUMBER(F1681),E1681*F1681,"")</f>
        <v/>
      </c>
      <c r="H1681" s="34"/>
      <c r="I1681" s="30"/>
      <c r="J1681" s="152">
        <v>0</v>
      </c>
    </row>
    <row r="1682" spans="1:10" ht="15.75" hidden="1" thickBot="1" x14ac:dyDescent="0.3">
      <c r="A1682" s="177"/>
      <c r="B1682" s="175"/>
      <c r="C1682" s="35"/>
      <c r="D1682" s="35"/>
      <c r="E1682" s="36"/>
      <c r="F1682" s="30" t="s">
        <v>416</v>
      </c>
      <c r="G1682" s="30" t="str">
        <f>IF(ISNUMBER(F1682),E1682*F1682,"")</f>
        <v/>
      </c>
      <c r="H1682" s="34"/>
      <c r="I1682" s="30"/>
      <c r="J1682" s="152">
        <v>0</v>
      </c>
    </row>
    <row r="1683" spans="1:10" ht="15.75" hidden="1" thickBot="1" x14ac:dyDescent="0.3">
      <c r="A1683" s="170" t="s">
        <v>427</v>
      </c>
      <c r="B1683" s="173" t="str">
        <f>INDEX(Orçamentária!A:B,MATCH(Composições!A1683,Orçamentária!A:A,0),2)</f>
        <v>Tomada para perfilado e eletrocalha</v>
      </c>
      <c r="C1683" s="40"/>
      <c r="D1683" s="25" t="s">
        <v>16</v>
      </c>
      <c r="E1683" s="26"/>
      <c r="F1683" s="41" t="s">
        <v>416</v>
      </c>
      <c r="G1683" s="27" t="str">
        <f>IF(ISNUMBER(F1683),E1683*F1683,"")</f>
        <v/>
      </c>
      <c r="H1683" s="28"/>
      <c r="I1683" s="29"/>
      <c r="J1683" s="152">
        <v>0</v>
      </c>
    </row>
    <row r="1684" spans="1:10" ht="15.75" hidden="1" thickBot="1" x14ac:dyDescent="0.3">
      <c r="A1684" s="176"/>
      <c r="B1684" s="174"/>
      <c r="C1684" s="31"/>
      <c r="D1684" s="31"/>
      <c r="E1684" s="32"/>
      <c r="F1684" s="42" t="s">
        <v>416</v>
      </c>
      <c r="G1684" s="30" t="str">
        <f>IF(ISNUMBER(F1684),E1684*F1684,"")</f>
        <v/>
      </c>
      <c r="H1684" s="34"/>
      <c r="I1684" s="30"/>
      <c r="J1684" s="152">
        <v>0</v>
      </c>
    </row>
    <row r="1685" spans="1:10" ht="15.75" hidden="1" thickBot="1" x14ac:dyDescent="0.3">
      <c r="A1685" s="176"/>
      <c r="B1685" s="174"/>
      <c r="C1685" s="35" t="s">
        <v>1017</v>
      </c>
      <c r="D1685" s="35" t="s">
        <v>583</v>
      </c>
      <c r="E1685" s="36">
        <v>0.65</v>
      </c>
      <c r="F1685" s="30">
        <v>21.584</v>
      </c>
      <c r="G1685" s="33">
        <f>IF(ISNUMBER(F1685),E1685*F1685,"")</f>
        <v>14.0296</v>
      </c>
      <c r="H1685" s="38">
        <f>SUM(G1685:G1688)</f>
        <v>32.122350000000004</v>
      </c>
      <c r="I1685" s="39"/>
      <c r="J1685" s="152">
        <v>0</v>
      </c>
    </row>
    <row r="1686" spans="1:10" ht="15.75" hidden="1" thickBot="1" x14ac:dyDescent="0.3">
      <c r="A1686" s="176"/>
      <c r="B1686" s="174"/>
      <c r="C1686" s="35" t="s">
        <v>1018</v>
      </c>
      <c r="D1686" s="35" t="s">
        <v>583</v>
      </c>
      <c r="E1686" s="36">
        <v>0.65</v>
      </c>
      <c r="F1686" s="30">
        <v>27.835000000000001</v>
      </c>
      <c r="G1686" s="33">
        <f>IF(ISNUMBER(F1686),E1686*F1686,"")</f>
        <v>18.092750000000002</v>
      </c>
      <c r="H1686" s="34"/>
      <c r="I1686" s="30"/>
      <c r="J1686" s="152">
        <v>0</v>
      </c>
    </row>
    <row r="1687" spans="1:10" ht="15.75" hidden="1" thickBot="1" x14ac:dyDescent="0.3">
      <c r="A1687" s="176"/>
      <c r="B1687" s="174"/>
      <c r="C1687" s="35" t="s">
        <v>428</v>
      </c>
      <c r="D1687" s="35" t="s">
        <v>16</v>
      </c>
      <c r="E1687" s="36">
        <v>1</v>
      </c>
      <c r="F1687" s="30">
        <v>0</v>
      </c>
      <c r="G1687" s="30">
        <f>IF(ISNUMBER(F1687),E1687*F1687,"")</f>
        <v>0</v>
      </c>
      <c r="H1687" s="34"/>
      <c r="I1687" s="30"/>
      <c r="J1687" s="152">
        <v>0</v>
      </c>
    </row>
    <row r="1688" spans="1:10" ht="15.75" hidden="1" thickBot="1" x14ac:dyDescent="0.3">
      <c r="A1688" s="176"/>
      <c r="B1688" s="174"/>
      <c r="C1688" s="35" t="s">
        <v>429</v>
      </c>
      <c r="D1688" s="35" t="s">
        <v>16</v>
      </c>
      <c r="E1688" s="36">
        <v>1</v>
      </c>
      <c r="F1688" s="30">
        <v>0</v>
      </c>
      <c r="G1688" s="30">
        <f>IF(ISNUMBER(F1688),E1688*F1688,"")</f>
        <v>0</v>
      </c>
      <c r="H1688" s="34"/>
      <c r="I1688" s="30"/>
      <c r="J1688" s="152">
        <v>0</v>
      </c>
    </row>
    <row r="1689" spans="1:10" ht="15.75" hidden="1" thickBot="1" x14ac:dyDescent="0.3">
      <c r="A1689" s="177"/>
      <c r="B1689" s="175"/>
      <c r="C1689" s="35"/>
      <c r="D1689" s="35"/>
      <c r="E1689" s="36"/>
      <c r="F1689" s="30" t="s">
        <v>416</v>
      </c>
      <c r="G1689" s="30" t="str">
        <f>IF(ISNUMBER(F1689),E1689*F1689,"")</f>
        <v/>
      </c>
      <c r="H1689" s="34"/>
      <c r="I1689" s="30"/>
      <c r="J1689" s="152">
        <v>0</v>
      </c>
    </row>
    <row r="1690" spans="1:10" ht="15.75" hidden="1" thickBot="1" x14ac:dyDescent="0.3">
      <c r="A1690" s="170" t="s">
        <v>430</v>
      </c>
      <c r="B1690" s="173" t="str">
        <f>INDEX(Orçamentária!A:B,MATCH(Composições!A1690,Orçamentária!A:A,0),2)</f>
        <v>Bloco autônomo de emergência</v>
      </c>
      <c r="C1690" s="40"/>
      <c r="D1690" s="25" t="s">
        <v>16</v>
      </c>
      <c r="E1690" s="26"/>
      <c r="F1690" s="41" t="s">
        <v>416</v>
      </c>
      <c r="G1690" s="27" t="str">
        <f>IF(ISNUMBER(F1690),E1690*F1690,"")</f>
        <v/>
      </c>
      <c r="H1690" s="28"/>
      <c r="I1690" s="29"/>
      <c r="J1690" s="152">
        <v>0</v>
      </c>
    </row>
    <row r="1691" spans="1:10" ht="15.75" hidden="1" thickBot="1" x14ac:dyDescent="0.3">
      <c r="A1691" s="176"/>
      <c r="B1691" s="174"/>
      <c r="C1691" s="31"/>
      <c r="D1691" s="31"/>
      <c r="E1691" s="32"/>
      <c r="F1691" s="42" t="s">
        <v>416</v>
      </c>
      <c r="G1691" s="30" t="str">
        <f>IF(ISNUMBER(F1691),E1691*F1691,"")</f>
        <v/>
      </c>
      <c r="H1691" s="34"/>
      <c r="I1691" s="30"/>
      <c r="J1691" s="152">
        <v>0</v>
      </c>
    </row>
    <row r="1692" spans="1:10" ht="39" hidden="1" thickBot="1" x14ac:dyDescent="0.3">
      <c r="A1692" s="176"/>
      <c r="B1692" s="174"/>
      <c r="C1692" s="35" t="s">
        <v>431</v>
      </c>
      <c r="D1692" s="35" t="s">
        <v>107</v>
      </c>
      <c r="E1692" s="36">
        <v>1</v>
      </c>
      <c r="F1692" s="33" t="s">
        <v>416</v>
      </c>
      <c r="G1692" s="30" t="str">
        <f>IF(ISNUMBER(F1692),E1692*F1692,"")</f>
        <v/>
      </c>
      <c r="H1692" s="38">
        <f>SUM(G1692:G1694)</f>
        <v>6.6108656999999997</v>
      </c>
      <c r="I1692" s="39"/>
      <c r="J1692" s="152">
        <v>0</v>
      </c>
    </row>
    <row r="1693" spans="1:10" ht="15.75" hidden="1" thickBot="1" x14ac:dyDescent="0.3">
      <c r="A1693" s="176"/>
      <c r="B1693" s="174"/>
      <c r="C1693" s="35" t="s">
        <v>1017</v>
      </c>
      <c r="D1693" s="35" t="s">
        <v>583</v>
      </c>
      <c r="E1693" s="36">
        <v>7.4800000000000005E-2</v>
      </c>
      <c r="F1693" s="30">
        <v>21.584</v>
      </c>
      <c r="G1693" s="30">
        <f>IF(ISNUMBER(F1693),E1693*F1693,"")</f>
        <v>1.6144832</v>
      </c>
      <c r="H1693" s="34"/>
      <c r="I1693" s="30"/>
      <c r="J1693" s="152">
        <v>0</v>
      </c>
    </row>
    <row r="1694" spans="1:10" ht="15.75" hidden="1" thickBot="1" x14ac:dyDescent="0.3">
      <c r="A1694" s="176"/>
      <c r="B1694" s="174"/>
      <c r="C1694" s="35" t="s">
        <v>1018</v>
      </c>
      <c r="D1694" s="35" t="s">
        <v>583</v>
      </c>
      <c r="E1694" s="36">
        <v>0.17949999999999999</v>
      </c>
      <c r="F1694" s="30">
        <v>27.835000000000001</v>
      </c>
      <c r="G1694" s="30">
        <f>IF(ISNUMBER(F1694),E1694*F1694,"")</f>
        <v>4.9963825000000002</v>
      </c>
      <c r="H1694" s="34"/>
      <c r="I1694" s="30"/>
      <c r="J1694" s="152">
        <v>0</v>
      </c>
    </row>
    <row r="1695" spans="1:10" ht="15.75" hidden="1" thickBot="1" x14ac:dyDescent="0.3">
      <c r="A1695" s="177"/>
      <c r="B1695" s="175"/>
      <c r="C1695" s="35"/>
      <c r="D1695" s="35"/>
      <c r="E1695" s="36"/>
      <c r="F1695" s="30" t="s">
        <v>416</v>
      </c>
      <c r="G1695" s="30" t="str">
        <f>IF(ISNUMBER(F1695),E1695*F1695,"")</f>
        <v/>
      </c>
      <c r="H1695" s="34"/>
      <c r="I1695" s="30"/>
      <c r="J1695" s="152">
        <v>0</v>
      </c>
    </row>
    <row r="1696" spans="1:10" ht="15.75" hidden="1" thickBot="1" x14ac:dyDescent="0.3">
      <c r="A1696" s="170" t="s">
        <v>432</v>
      </c>
      <c r="B1696" s="173" t="str">
        <f>INDEX(Orçamentária!A:B,MATCH(Composições!A1696,Orçamentária!A:A,0),2)</f>
        <v>Instalação de luminária reaproveitada</v>
      </c>
      <c r="C1696" s="40"/>
      <c r="D1696" s="25" t="s">
        <v>16</v>
      </c>
      <c r="E1696" s="26"/>
      <c r="F1696" s="41" t="s">
        <v>416</v>
      </c>
      <c r="G1696" s="27" t="str">
        <f>IF(ISNUMBER(F1696),E1696*F1696,"")</f>
        <v/>
      </c>
      <c r="H1696" s="28"/>
      <c r="I1696" s="29"/>
      <c r="J1696" s="152">
        <v>0</v>
      </c>
    </row>
    <row r="1697" spans="1:10" ht="15.75" hidden="1" thickBot="1" x14ac:dyDescent="0.3">
      <c r="A1697" s="176"/>
      <c r="B1697" s="174"/>
      <c r="C1697" s="31"/>
      <c r="D1697" s="31"/>
      <c r="E1697" s="32"/>
      <c r="F1697" s="42" t="s">
        <v>416</v>
      </c>
      <c r="G1697" s="30" t="str">
        <f>IF(ISNUMBER(F1697),E1697*F1697,"")</f>
        <v/>
      </c>
      <c r="H1697" s="34"/>
      <c r="I1697" s="30"/>
      <c r="J1697" s="152">
        <v>0</v>
      </c>
    </row>
    <row r="1698" spans="1:10" ht="15.75" hidden="1" thickBot="1" x14ac:dyDescent="0.3">
      <c r="A1698" s="176"/>
      <c r="B1698" s="174"/>
      <c r="C1698" s="35" t="s">
        <v>1017</v>
      </c>
      <c r="D1698" s="35" t="s">
        <v>583</v>
      </c>
      <c r="E1698" s="36">
        <v>0.14799999999999999</v>
      </c>
      <c r="F1698" s="30">
        <v>21.584</v>
      </c>
      <c r="G1698" s="30">
        <f>IF(ISNUMBER(F1698),E1698*F1698,"")</f>
        <v>3.1944319999999999</v>
      </c>
      <c r="H1698" s="38">
        <f>SUM(G1698:G1702)</f>
        <v>13.078640500000002</v>
      </c>
      <c r="I1698" s="39"/>
      <c r="J1698" s="152">
        <v>0</v>
      </c>
    </row>
    <row r="1699" spans="1:10" ht="15.75" hidden="1" thickBot="1" x14ac:dyDescent="0.3">
      <c r="A1699" s="176"/>
      <c r="B1699" s="174"/>
      <c r="C1699" s="35" t="s">
        <v>1018</v>
      </c>
      <c r="D1699" s="35" t="s">
        <v>583</v>
      </c>
      <c r="E1699" s="36">
        <v>0.35510000000000003</v>
      </c>
      <c r="F1699" s="30">
        <v>27.835000000000001</v>
      </c>
      <c r="G1699" s="30">
        <f>IF(ISNUMBER(F1699),E1699*F1699,"")</f>
        <v>9.8842085000000015</v>
      </c>
      <c r="H1699" s="44"/>
      <c r="I1699" s="45"/>
      <c r="J1699" s="152">
        <v>0</v>
      </c>
    </row>
    <row r="1700" spans="1:10" ht="26.25" hidden="1" thickBot="1" x14ac:dyDescent="0.3">
      <c r="A1700" s="176"/>
      <c r="B1700" s="174"/>
      <c r="C1700" s="35" t="s">
        <v>433</v>
      </c>
      <c r="D1700" s="35" t="s">
        <v>69</v>
      </c>
      <c r="E1700" s="36">
        <v>1.5</v>
      </c>
      <c r="F1700" s="33" t="s">
        <v>416</v>
      </c>
      <c r="G1700" s="30" t="str">
        <f>IF(ISNUMBER(F1700),E1700*F1700,"")</f>
        <v/>
      </c>
      <c r="H1700" s="34"/>
      <c r="I1700" s="30"/>
      <c r="J1700" s="152">
        <v>0</v>
      </c>
    </row>
    <row r="1701" spans="1:10" ht="15.75" hidden="1" thickBot="1" x14ac:dyDescent="0.3">
      <c r="A1701" s="176"/>
      <c r="B1701" s="174"/>
      <c r="C1701" s="35" t="s">
        <v>434</v>
      </c>
      <c r="D1701" s="35" t="s">
        <v>107</v>
      </c>
      <c r="E1701" s="36">
        <v>1</v>
      </c>
      <c r="F1701" s="33" t="s">
        <v>416</v>
      </c>
      <c r="G1701" s="30" t="str">
        <f>IF(ISNUMBER(F1701),E1701*F1701,"")</f>
        <v/>
      </c>
      <c r="H1701" s="34"/>
      <c r="I1701" s="30"/>
      <c r="J1701" s="152">
        <v>0</v>
      </c>
    </row>
    <row r="1702" spans="1:10" ht="15.75" hidden="1" thickBot="1" x14ac:dyDescent="0.3">
      <c r="A1702" s="176"/>
      <c r="B1702" s="174"/>
      <c r="C1702" s="35" t="s">
        <v>435</v>
      </c>
      <c r="D1702" s="35" t="s">
        <v>107</v>
      </c>
      <c r="E1702" s="36">
        <v>1</v>
      </c>
      <c r="F1702" s="33" t="s">
        <v>416</v>
      </c>
      <c r="G1702" s="30" t="str">
        <f>IF(ISNUMBER(F1702),E1702*F1702,"")</f>
        <v/>
      </c>
      <c r="H1702" s="34"/>
      <c r="I1702" s="30"/>
      <c r="J1702" s="152">
        <v>0</v>
      </c>
    </row>
    <row r="1703" spans="1:10" ht="15.75" hidden="1" thickBot="1" x14ac:dyDescent="0.3">
      <c r="A1703" s="177"/>
      <c r="B1703" s="175"/>
      <c r="C1703" s="35"/>
      <c r="D1703" s="35"/>
      <c r="E1703" s="36"/>
      <c r="F1703" s="30" t="s">
        <v>416</v>
      </c>
      <c r="G1703" s="30" t="str">
        <f>IF(ISNUMBER(F1703),E1703*F1703,"")</f>
        <v/>
      </c>
      <c r="H1703" s="34"/>
      <c r="I1703" s="30"/>
      <c r="J1703" s="152">
        <v>0</v>
      </c>
    </row>
    <row r="1704" spans="1:10" ht="15.75" hidden="1" thickBot="1" x14ac:dyDescent="0.3">
      <c r="A1704" s="170" t="s">
        <v>436</v>
      </c>
      <c r="B1704" s="173" t="str">
        <f>INDEX(Orçamentária!A:B,MATCH(Composições!A1704,Orçamentária!A:A,0),2)</f>
        <v>Luminária 2x14 W de embutir</v>
      </c>
      <c r="C1704" s="40"/>
      <c r="D1704" s="25" t="s">
        <v>16</v>
      </c>
      <c r="E1704" s="26"/>
      <c r="F1704" s="41" t="s">
        <v>416</v>
      </c>
      <c r="G1704" s="27" t="str">
        <f>IF(ISNUMBER(F1704),E1704*F1704,"")</f>
        <v/>
      </c>
      <c r="H1704" s="28"/>
      <c r="I1704" s="29"/>
      <c r="J1704" s="152">
        <v>0</v>
      </c>
    </row>
    <row r="1705" spans="1:10" ht="15.75" hidden="1" thickBot="1" x14ac:dyDescent="0.3">
      <c r="A1705" s="176"/>
      <c r="B1705" s="174"/>
      <c r="C1705" s="31"/>
      <c r="D1705" s="31"/>
      <c r="E1705" s="32"/>
      <c r="F1705" s="42" t="s">
        <v>416</v>
      </c>
      <c r="G1705" s="30" t="str">
        <f>IF(ISNUMBER(F1705),E1705*F1705,"")</f>
        <v/>
      </c>
      <c r="H1705" s="34"/>
      <c r="I1705" s="30"/>
      <c r="J1705" s="152">
        <v>0</v>
      </c>
    </row>
    <row r="1706" spans="1:10" ht="26.25" hidden="1" thickBot="1" x14ac:dyDescent="0.3">
      <c r="A1706" s="176"/>
      <c r="B1706" s="174"/>
      <c r="C1706" s="35" t="s">
        <v>437</v>
      </c>
      <c r="D1706" s="35" t="s">
        <v>107</v>
      </c>
      <c r="E1706" s="36">
        <v>1</v>
      </c>
      <c r="F1706" s="33" t="s">
        <v>416</v>
      </c>
      <c r="G1706" s="33" t="str">
        <f>IF(ISNUMBER(F1706),E1706*F1706,"")</f>
        <v/>
      </c>
      <c r="H1706" s="38">
        <f>SUM(G1706:G1713)</f>
        <v>13.078640500000002</v>
      </c>
      <c r="I1706" s="39"/>
      <c r="J1706" s="152">
        <v>0</v>
      </c>
    </row>
    <row r="1707" spans="1:10" ht="26.25" hidden="1" thickBot="1" x14ac:dyDescent="0.3">
      <c r="A1707" s="176"/>
      <c r="B1707" s="174"/>
      <c r="C1707" s="35" t="s">
        <v>5553</v>
      </c>
      <c r="D1707" s="35" t="s">
        <v>107</v>
      </c>
      <c r="E1707" s="36">
        <v>1</v>
      </c>
      <c r="F1707" s="33" t="s">
        <v>416</v>
      </c>
      <c r="G1707" s="33" t="str">
        <f>IF(ISNUMBER(F1707),E1707*F1707,"")</f>
        <v/>
      </c>
      <c r="H1707" s="44"/>
      <c r="I1707" s="45"/>
      <c r="J1707" s="152">
        <v>0</v>
      </c>
    </row>
    <row r="1708" spans="1:10" ht="26.25" hidden="1" thickBot="1" x14ac:dyDescent="0.3">
      <c r="A1708" s="176"/>
      <c r="B1708" s="174"/>
      <c r="C1708" s="35" t="s">
        <v>438</v>
      </c>
      <c r="D1708" s="35" t="s">
        <v>107</v>
      </c>
      <c r="E1708" s="36">
        <v>2</v>
      </c>
      <c r="F1708" s="33" t="s">
        <v>416</v>
      </c>
      <c r="G1708" s="33" t="str">
        <f>IF(ISNUMBER(F1708),E1708*F1708,"")</f>
        <v/>
      </c>
      <c r="H1708" s="44"/>
      <c r="I1708" s="45"/>
      <c r="J1708" s="152">
        <v>0</v>
      </c>
    </row>
    <row r="1709" spans="1:10" ht="26.25" hidden="1" thickBot="1" x14ac:dyDescent="0.3">
      <c r="A1709" s="176"/>
      <c r="B1709" s="174"/>
      <c r="C1709" s="35" t="s">
        <v>433</v>
      </c>
      <c r="D1709" s="35" t="s">
        <v>69</v>
      </c>
      <c r="E1709" s="36">
        <v>1.5</v>
      </c>
      <c r="F1709" s="33" t="s">
        <v>416</v>
      </c>
      <c r="G1709" s="30" t="str">
        <f>IF(ISNUMBER(F1709),E1709*F1709,"")</f>
        <v/>
      </c>
      <c r="H1709" s="34"/>
      <c r="I1709" s="30"/>
      <c r="J1709" s="152">
        <v>0</v>
      </c>
    </row>
    <row r="1710" spans="1:10" ht="15.75" hidden="1" thickBot="1" x14ac:dyDescent="0.3">
      <c r="A1710" s="176"/>
      <c r="B1710" s="174"/>
      <c r="C1710" s="35" t="s">
        <v>434</v>
      </c>
      <c r="D1710" s="35" t="s">
        <v>107</v>
      </c>
      <c r="E1710" s="36">
        <v>1</v>
      </c>
      <c r="F1710" s="33" t="s">
        <v>416</v>
      </c>
      <c r="G1710" s="30" t="str">
        <f>IF(ISNUMBER(F1710),E1710*F1710,"")</f>
        <v/>
      </c>
      <c r="H1710" s="34"/>
      <c r="I1710" s="30"/>
      <c r="J1710" s="152">
        <v>0</v>
      </c>
    </row>
    <row r="1711" spans="1:10" ht="15.75" hidden="1" thickBot="1" x14ac:dyDescent="0.3">
      <c r="A1711" s="176"/>
      <c r="B1711" s="174"/>
      <c r="C1711" s="35" t="s">
        <v>435</v>
      </c>
      <c r="D1711" s="35" t="s">
        <v>107</v>
      </c>
      <c r="E1711" s="36">
        <v>1</v>
      </c>
      <c r="F1711" s="33" t="s">
        <v>416</v>
      </c>
      <c r="G1711" s="30" t="str">
        <f>IF(ISNUMBER(F1711),E1711*F1711,"")</f>
        <v/>
      </c>
      <c r="H1711" s="34"/>
      <c r="I1711" s="30"/>
      <c r="J1711" s="152">
        <v>0</v>
      </c>
    </row>
    <row r="1712" spans="1:10" ht="15.75" hidden="1" thickBot="1" x14ac:dyDescent="0.3">
      <c r="A1712" s="176"/>
      <c r="B1712" s="174"/>
      <c r="C1712" s="35" t="s">
        <v>1017</v>
      </c>
      <c r="D1712" s="35" t="s">
        <v>583</v>
      </c>
      <c r="E1712" s="36">
        <v>0.14799999999999999</v>
      </c>
      <c r="F1712" s="30">
        <v>21.584</v>
      </c>
      <c r="G1712" s="33">
        <f>IF(ISNUMBER(F1712),E1712*F1712,"")</f>
        <v>3.1944319999999999</v>
      </c>
      <c r="H1712" s="34"/>
      <c r="I1712" s="30"/>
      <c r="J1712" s="152">
        <v>0</v>
      </c>
    </row>
    <row r="1713" spans="1:10" ht="15.75" hidden="1" thickBot="1" x14ac:dyDescent="0.3">
      <c r="A1713" s="176"/>
      <c r="B1713" s="174"/>
      <c r="C1713" s="35" t="s">
        <v>1018</v>
      </c>
      <c r="D1713" s="35" t="s">
        <v>583</v>
      </c>
      <c r="E1713" s="36">
        <v>0.35510000000000003</v>
      </c>
      <c r="F1713" s="30">
        <v>27.835000000000001</v>
      </c>
      <c r="G1713" s="30">
        <f>IF(ISNUMBER(F1713),E1713*F1713,"")</f>
        <v>9.8842085000000015</v>
      </c>
      <c r="H1713" s="34"/>
      <c r="I1713" s="30"/>
      <c r="J1713" s="152">
        <v>0</v>
      </c>
    </row>
    <row r="1714" spans="1:10" ht="15.75" hidden="1" thickBot="1" x14ac:dyDescent="0.3">
      <c r="A1714" s="177"/>
      <c r="B1714" s="175"/>
      <c r="C1714" s="35"/>
      <c r="D1714" s="35"/>
      <c r="E1714" s="36"/>
      <c r="F1714" s="30" t="s">
        <v>416</v>
      </c>
      <c r="G1714" s="30" t="str">
        <f>IF(ISNUMBER(F1714),E1714*F1714,"")</f>
        <v/>
      </c>
      <c r="H1714" s="34"/>
      <c r="I1714" s="30"/>
      <c r="J1714" s="152">
        <v>0</v>
      </c>
    </row>
    <row r="1715" spans="1:10" ht="15.75" hidden="1" thickBot="1" x14ac:dyDescent="0.3">
      <c r="A1715" s="170" t="s">
        <v>439</v>
      </c>
      <c r="B1715" s="173" t="str">
        <f>INDEX(Orçamentária!A:B,MATCH(Composições!A1715,Orçamentária!A:A,0),2)</f>
        <v>Luminária 2x14 W de sobrepor</v>
      </c>
      <c r="C1715" s="40"/>
      <c r="D1715" s="25" t="s">
        <v>16</v>
      </c>
      <c r="E1715" s="26"/>
      <c r="F1715" s="41" t="s">
        <v>416</v>
      </c>
      <c r="G1715" s="27" t="str">
        <f>IF(ISNUMBER(F1715),E1715*F1715,"")</f>
        <v/>
      </c>
      <c r="H1715" s="28"/>
      <c r="I1715" s="29"/>
      <c r="J1715" s="152">
        <v>0</v>
      </c>
    </row>
    <row r="1716" spans="1:10" ht="15.75" hidden="1" thickBot="1" x14ac:dyDescent="0.3">
      <c r="A1716" s="176"/>
      <c r="B1716" s="174"/>
      <c r="C1716" s="31"/>
      <c r="D1716" s="31"/>
      <c r="E1716" s="32"/>
      <c r="F1716" s="42" t="s">
        <v>416</v>
      </c>
      <c r="G1716" s="30" t="str">
        <f>IF(ISNUMBER(F1716),E1716*F1716,"")</f>
        <v/>
      </c>
      <c r="H1716" s="34"/>
      <c r="I1716" s="30"/>
      <c r="J1716" s="152">
        <v>0</v>
      </c>
    </row>
    <row r="1717" spans="1:10" ht="26.25" hidden="1" thickBot="1" x14ac:dyDescent="0.3">
      <c r="A1717" s="176"/>
      <c r="B1717" s="174"/>
      <c r="C1717" s="35" t="s">
        <v>440</v>
      </c>
      <c r="D1717" s="35" t="s">
        <v>107</v>
      </c>
      <c r="E1717" s="36">
        <v>1</v>
      </c>
      <c r="F1717" s="33" t="s">
        <v>416</v>
      </c>
      <c r="G1717" s="33" t="str">
        <f>IF(ISNUMBER(F1717),E1717*F1717,"")</f>
        <v/>
      </c>
      <c r="H1717" s="38">
        <f>SUM(G1717:G1724)</f>
        <v>15.262380800000001</v>
      </c>
      <c r="I1717" s="39"/>
      <c r="J1717" s="152">
        <v>0</v>
      </c>
    </row>
    <row r="1718" spans="1:10" ht="26.25" hidden="1" thickBot="1" x14ac:dyDescent="0.3">
      <c r="A1718" s="176"/>
      <c r="B1718" s="174"/>
      <c r="C1718" s="35" t="s">
        <v>5553</v>
      </c>
      <c r="D1718" s="35" t="s">
        <v>107</v>
      </c>
      <c r="E1718" s="36">
        <v>1</v>
      </c>
      <c r="F1718" s="33" t="s">
        <v>416</v>
      </c>
      <c r="G1718" s="33" t="str">
        <f>IF(ISNUMBER(F1718),E1718*F1718,"")</f>
        <v/>
      </c>
      <c r="H1718" s="44"/>
      <c r="I1718" s="45"/>
      <c r="J1718" s="152">
        <v>0</v>
      </c>
    </row>
    <row r="1719" spans="1:10" ht="26.25" hidden="1" thickBot="1" x14ac:dyDescent="0.3">
      <c r="A1719" s="176"/>
      <c r="B1719" s="174"/>
      <c r="C1719" s="35" t="s">
        <v>438</v>
      </c>
      <c r="D1719" s="35" t="s">
        <v>107</v>
      </c>
      <c r="E1719" s="36">
        <v>2</v>
      </c>
      <c r="F1719" s="33" t="s">
        <v>416</v>
      </c>
      <c r="G1719" s="33" t="str">
        <f>IF(ISNUMBER(F1719),E1719*F1719,"")</f>
        <v/>
      </c>
      <c r="H1719" s="44"/>
      <c r="I1719" s="45"/>
      <c r="J1719" s="152">
        <v>0</v>
      </c>
    </row>
    <row r="1720" spans="1:10" ht="26.25" hidden="1" thickBot="1" x14ac:dyDescent="0.3">
      <c r="A1720" s="176"/>
      <c r="B1720" s="174"/>
      <c r="C1720" s="35" t="s">
        <v>433</v>
      </c>
      <c r="D1720" s="35" t="s">
        <v>69</v>
      </c>
      <c r="E1720" s="36">
        <v>1.5</v>
      </c>
      <c r="F1720" s="33" t="s">
        <v>416</v>
      </c>
      <c r="G1720" s="30" t="str">
        <f>IF(ISNUMBER(F1720),E1720*F1720,"")</f>
        <v/>
      </c>
      <c r="H1720" s="34"/>
      <c r="I1720" s="30"/>
      <c r="J1720" s="152">
        <v>0</v>
      </c>
    </row>
    <row r="1721" spans="1:10" ht="15.75" hidden="1" thickBot="1" x14ac:dyDescent="0.3">
      <c r="A1721" s="176"/>
      <c r="B1721" s="174"/>
      <c r="C1721" s="35" t="s">
        <v>434</v>
      </c>
      <c r="D1721" s="35" t="s">
        <v>107</v>
      </c>
      <c r="E1721" s="36">
        <v>1</v>
      </c>
      <c r="F1721" s="33" t="s">
        <v>416</v>
      </c>
      <c r="G1721" s="30" t="str">
        <f>IF(ISNUMBER(F1721),E1721*F1721,"")</f>
        <v/>
      </c>
      <c r="H1721" s="34"/>
      <c r="I1721" s="30"/>
      <c r="J1721" s="152">
        <v>0</v>
      </c>
    </row>
    <row r="1722" spans="1:10" ht="15.75" hidden="1" thickBot="1" x14ac:dyDescent="0.3">
      <c r="A1722" s="176"/>
      <c r="B1722" s="174"/>
      <c r="C1722" s="35" t="s">
        <v>435</v>
      </c>
      <c r="D1722" s="35" t="s">
        <v>107</v>
      </c>
      <c r="E1722" s="36">
        <v>1</v>
      </c>
      <c r="F1722" s="33" t="s">
        <v>416</v>
      </c>
      <c r="G1722" s="30" t="str">
        <f>IF(ISNUMBER(F1722),E1722*F1722,"")</f>
        <v/>
      </c>
      <c r="H1722" s="34"/>
      <c r="I1722" s="30"/>
      <c r="J1722" s="152">
        <v>0</v>
      </c>
    </row>
    <row r="1723" spans="1:10" ht="15.75" hidden="1" thickBot="1" x14ac:dyDescent="0.3">
      <c r="A1723" s="176"/>
      <c r="B1723" s="174"/>
      <c r="C1723" s="35" t="s">
        <v>1017</v>
      </c>
      <c r="D1723" s="35" t="s">
        <v>583</v>
      </c>
      <c r="E1723" s="36">
        <v>0.17269999999999999</v>
      </c>
      <c r="F1723" s="30">
        <v>21.584</v>
      </c>
      <c r="G1723" s="30">
        <f>IF(ISNUMBER(F1723),E1723*F1723,"")</f>
        <v>3.7275567999999999</v>
      </c>
      <c r="H1723" s="34"/>
      <c r="I1723" s="30"/>
      <c r="J1723" s="152">
        <v>0</v>
      </c>
    </row>
    <row r="1724" spans="1:10" ht="15.75" hidden="1" thickBot="1" x14ac:dyDescent="0.3">
      <c r="A1724" s="176"/>
      <c r="B1724" s="174"/>
      <c r="C1724" s="35" t="s">
        <v>1018</v>
      </c>
      <c r="D1724" s="35" t="s">
        <v>583</v>
      </c>
      <c r="E1724" s="36">
        <v>0.41439999999999999</v>
      </c>
      <c r="F1724" s="30">
        <v>27.835000000000001</v>
      </c>
      <c r="G1724" s="30">
        <f>IF(ISNUMBER(F1724),E1724*F1724,"")</f>
        <v>11.534824</v>
      </c>
      <c r="H1724" s="34"/>
      <c r="I1724" s="30"/>
      <c r="J1724" s="152">
        <v>0</v>
      </c>
    </row>
    <row r="1725" spans="1:10" ht="15.75" hidden="1" thickBot="1" x14ac:dyDescent="0.3">
      <c r="A1725" s="177"/>
      <c r="B1725" s="175"/>
      <c r="C1725" s="35"/>
      <c r="D1725" s="35"/>
      <c r="E1725" s="36"/>
      <c r="F1725" s="30" t="s">
        <v>416</v>
      </c>
      <c r="G1725" s="30" t="str">
        <f>IF(ISNUMBER(F1725),E1725*F1725,"")</f>
        <v/>
      </c>
      <c r="H1725" s="34"/>
      <c r="I1725" s="30"/>
      <c r="J1725" s="152">
        <v>0</v>
      </c>
    </row>
    <row r="1726" spans="1:10" ht="15.75" hidden="1" thickBot="1" x14ac:dyDescent="0.3">
      <c r="A1726" s="170" t="s">
        <v>441</v>
      </c>
      <c r="B1726" s="173" t="str">
        <f>INDEX(Orçamentária!A:B,MATCH(Composições!A1726,Orçamentária!A:A,0),2)</f>
        <v>Luminária 2x28 W de embutir</v>
      </c>
      <c r="C1726" s="40"/>
      <c r="D1726" s="25" t="s">
        <v>16</v>
      </c>
      <c r="E1726" s="26"/>
      <c r="F1726" s="41" t="s">
        <v>416</v>
      </c>
      <c r="G1726" s="27" t="str">
        <f>IF(ISNUMBER(F1726),E1726*F1726,"")</f>
        <v/>
      </c>
      <c r="H1726" s="28"/>
      <c r="I1726" s="29"/>
      <c r="J1726" s="152">
        <v>0</v>
      </c>
    </row>
    <row r="1727" spans="1:10" ht="15.75" hidden="1" thickBot="1" x14ac:dyDescent="0.3">
      <c r="A1727" s="176"/>
      <c r="B1727" s="174"/>
      <c r="C1727" s="31"/>
      <c r="D1727" s="31"/>
      <c r="E1727" s="32"/>
      <c r="F1727" s="42" t="s">
        <v>416</v>
      </c>
      <c r="G1727" s="30" t="str">
        <f>IF(ISNUMBER(F1727),E1727*F1727,"")</f>
        <v/>
      </c>
      <c r="H1727" s="34"/>
      <c r="I1727" s="30"/>
      <c r="J1727" s="152">
        <v>0</v>
      </c>
    </row>
    <row r="1728" spans="1:10" ht="26.25" hidden="1" thickBot="1" x14ac:dyDescent="0.3">
      <c r="A1728" s="176"/>
      <c r="B1728" s="174"/>
      <c r="C1728" s="35" t="s">
        <v>442</v>
      </c>
      <c r="D1728" s="35" t="s">
        <v>107</v>
      </c>
      <c r="E1728" s="36">
        <v>1</v>
      </c>
      <c r="F1728" s="33" t="s">
        <v>416</v>
      </c>
      <c r="G1728" s="30" t="str">
        <f>IF(ISNUMBER(F1728),E1728*F1728,"")</f>
        <v/>
      </c>
      <c r="H1728" s="38">
        <f>SUM(G1728:G1735)</f>
        <v>13.078640500000002</v>
      </c>
      <c r="I1728" s="39"/>
      <c r="J1728" s="152">
        <v>0</v>
      </c>
    </row>
    <row r="1729" spans="1:10" ht="26.25" hidden="1" thickBot="1" x14ac:dyDescent="0.3">
      <c r="A1729" s="176"/>
      <c r="B1729" s="174"/>
      <c r="C1729" s="35" t="s">
        <v>5552</v>
      </c>
      <c r="D1729" s="35" t="s">
        <v>107</v>
      </c>
      <c r="E1729" s="36">
        <v>1</v>
      </c>
      <c r="F1729" s="33" t="s">
        <v>416</v>
      </c>
      <c r="G1729" s="30" t="str">
        <f>IF(ISNUMBER(F1729),E1729*F1729,"")</f>
        <v/>
      </c>
      <c r="H1729" s="44"/>
      <c r="I1729" s="45"/>
      <c r="J1729" s="152">
        <v>0</v>
      </c>
    </row>
    <row r="1730" spans="1:10" ht="26.25" hidden="1" thickBot="1" x14ac:dyDescent="0.3">
      <c r="A1730" s="176"/>
      <c r="B1730" s="174"/>
      <c r="C1730" s="35" t="s">
        <v>443</v>
      </c>
      <c r="D1730" s="35" t="s">
        <v>107</v>
      </c>
      <c r="E1730" s="36">
        <v>2</v>
      </c>
      <c r="F1730" s="33" t="s">
        <v>416</v>
      </c>
      <c r="G1730" s="30" t="str">
        <f>IF(ISNUMBER(F1730),E1730*F1730,"")</f>
        <v/>
      </c>
      <c r="H1730" s="44"/>
      <c r="I1730" s="45"/>
      <c r="J1730" s="152">
        <v>0</v>
      </c>
    </row>
    <row r="1731" spans="1:10" ht="26.25" hidden="1" thickBot="1" x14ac:dyDescent="0.3">
      <c r="A1731" s="176"/>
      <c r="B1731" s="174"/>
      <c r="C1731" s="35" t="s">
        <v>433</v>
      </c>
      <c r="D1731" s="35" t="s">
        <v>69</v>
      </c>
      <c r="E1731" s="36">
        <v>1.5</v>
      </c>
      <c r="F1731" s="33" t="s">
        <v>416</v>
      </c>
      <c r="G1731" s="30" t="str">
        <f>IF(ISNUMBER(F1731),E1731*F1731,"")</f>
        <v/>
      </c>
      <c r="H1731" s="34"/>
      <c r="I1731" s="30"/>
      <c r="J1731" s="152">
        <v>0</v>
      </c>
    </row>
    <row r="1732" spans="1:10" ht="15.75" hidden="1" thickBot="1" x14ac:dyDescent="0.3">
      <c r="A1732" s="176"/>
      <c r="B1732" s="174"/>
      <c r="C1732" s="35" t="s">
        <v>434</v>
      </c>
      <c r="D1732" s="35" t="s">
        <v>107</v>
      </c>
      <c r="E1732" s="36">
        <v>1</v>
      </c>
      <c r="F1732" s="33" t="s">
        <v>416</v>
      </c>
      <c r="G1732" s="30" t="str">
        <f>IF(ISNUMBER(F1732),E1732*F1732,"")</f>
        <v/>
      </c>
      <c r="H1732" s="34"/>
      <c r="I1732" s="30"/>
      <c r="J1732" s="152">
        <v>0</v>
      </c>
    </row>
    <row r="1733" spans="1:10" ht="15.75" hidden="1" thickBot="1" x14ac:dyDescent="0.3">
      <c r="A1733" s="176"/>
      <c r="B1733" s="174"/>
      <c r="C1733" s="35" t="s">
        <v>435</v>
      </c>
      <c r="D1733" s="35" t="s">
        <v>107</v>
      </c>
      <c r="E1733" s="36">
        <v>1</v>
      </c>
      <c r="F1733" s="33" t="s">
        <v>416</v>
      </c>
      <c r="G1733" s="30" t="str">
        <f>IF(ISNUMBER(F1733),E1733*F1733,"")</f>
        <v/>
      </c>
      <c r="H1733" s="34"/>
      <c r="I1733" s="30"/>
      <c r="J1733" s="152">
        <v>0</v>
      </c>
    </row>
    <row r="1734" spans="1:10" ht="15.75" hidden="1" thickBot="1" x14ac:dyDescent="0.3">
      <c r="A1734" s="176"/>
      <c r="B1734" s="174"/>
      <c r="C1734" s="35" t="s">
        <v>1017</v>
      </c>
      <c r="D1734" s="35" t="s">
        <v>583</v>
      </c>
      <c r="E1734" s="36">
        <v>0.14799999999999999</v>
      </c>
      <c r="F1734" s="30">
        <v>21.584</v>
      </c>
      <c r="G1734" s="33">
        <f>IF(ISNUMBER(F1734),E1734*F1734,"")</f>
        <v>3.1944319999999999</v>
      </c>
      <c r="H1734" s="34"/>
      <c r="I1734" s="30"/>
      <c r="J1734" s="152">
        <v>0</v>
      </c>
    </row>
    <row r="1735" spans="1:10" ht="15.75" hidden="1" thickBot="1" x14ac:dyDescent="0.3">
      <c r="A1735" s="176"/>
      <c r="B1735" s="174"/>
      <c r="C1735" s="35" t="s">
        <v>1018</v>
      </c>
      <c r="D1735" s="35" t="s">
        <v>583</v>
      </c>
      <c r="E1735" s="36">
        <v>0.35510000000000003</v>
      </c>
      <c r="F1735" s="30">
        <v>27.835000000000001</v>
      </c>
      <c r="G1735" s="30">
        <f>IF(ISNUMBER(F1735),E1735*F1735,"")</f>
        <v>9.8842085000000015</v>
      </c>
      <c r="H1735" s="34"/>
      <c r="I1735" s="30"/>
      <c r="J1735" s="152">
        <v>0</v>
      </c>
    </row>
    <row r="1736" spans="1:10" ht="15.75" hidden="1" thickBot="1" x14ac:dyDescent="0.3">
      <c r="A1736" s="177"/>
      <c r="B1736" s="175"/>
      <c r="C1736" s="35"/>
      <c r="D1736" s="35"/>
      <c r="E1736" s="36"/>
      <c r="F1736" s="30" t="s">
        <v>416</v>
      </c>
      <c r="G1736" s="30" t="str">
        <f>IF(ISNUMBER(F1736),E1736*F1736,"")</f>
        <v/>
      </c>
      <c r="H1736" s="34"/>
      <c r="I1736" s="30"/>
      <c r="J1736" s="152">
        <v>0</v>
      </c>
    </row>
    <row r="1737" spans="1:10" ht="15.75" hidden="1" thickBot="1" x14ac:dyDescent="0.3">
      <c r="A1737" s="170" t="s">
        <v>444</v>
      </c>
      <c r="B1737" s="173" t="str">
        <f>INDEX(Orçamentária!A:B,MATCH(Composições!A1737,Orçamentária!A:A,0),2)</f>
        <v>Luminária 2x28 W de sobrepor</v>
      </c>
      <c r="C1737" s="40"/>
      <c r="D1737" s="25" t="s">
        <v>16</v>
      </c>
      <c r="E1737" s="26"/>
      <c r="F1737" s="41" t="s">
        <v>416</v>
      </c>
      <c r="G1737" s="27" t="str">
        <f>IF(ISNUMBER(F1737),E1737*F1737,"")</f>
        <v/>
      </c>
      <c r="H1737" s="28"/>
      <c r="I1737" s="29"/>
      <c r="J1737" s="152">
        <v>0</v>
      </c>
    </row>
    <row r="1738" spans="1:10" ht="15.75" hidden="1" thickBot="1" x14ac:dyDescent="0.3">
      <c r="A1738" s="176"/>
      <c r="B1738" s="174"/>
      <c r="C1738" s="31"/>
      <c r="D1738" s="31"/>
      <c r="E1738" s="32"/>
      <c r="F1738" s="42" t="s">
        <v>416</v>
      </c>
      <c r="G1738" s="30" t="str">
        <f>IF(ISNUMBER(F1738),E1738*F1738,"")</f>
        <v/>
      </c>
      <c r="H1738" s="34"/>
      <c r="I1738" s="30"/>
      <c r="J1738" s="152">
        <v>0</v>
      </c>
    </row>
    <row r="1739" spans="1:10" ht="26.25" hidden="1" thickBot="1" x14ac:dyDescent="0.3">
      <c r="A1739" s="176"/>
      <c r="B1739" s="174"/>
      <c r="C1739" s="35" t="s">
        <v>445</v>
      </c>
      <c r="D1739" s="35" t="s">
        <v>107</v>
      </c>
      <c r="E1739" s="36">
        <v>1</v>
      </c>
      <c r="F1739" s="33" t="s">
        <v>416</v>
      </c>
      <c r="G1739" s="30" t="str">
        <f>IF(ISNUMBER(F1739),E1739*F1739,"")</f>
        <v/>
      </c>
      <c r="H1739" s="38">
        <f>SUM(G1739:G1746)</f>
        <v>15.262380800000001</v>
      </c>
      <c r="I1739" s="39"/>
      <c r="J1739" s="152">
        <v>0</v>
      </c>
    </row>
    <row r="1740" spans="1:10" ht="26.25" hidden="1" thickBot="1" x14ac:dyDescent="0.3">
      <c r="A1740" s="176"/>
      <c r="B1740" s="174"/>
      <c r="C1740" s="35" t="s">
        <v>5552</v>
      </c>
      <c r="D1740" s="35" t="s">
        <v>107</v>
      </c>
      <c r="E1740" s="36">
        <v>1</v>
      </c>
      <c r="F1740" s="33" t="s">
        <v>416</v>
      </c>
      <c r="G1740" s="30" t="str">
        <f>IF(ISNUMBER(F1740),E1740*F1740,"")</f>
        <v/>
      </c>
      <c r="H1740" s="44"/>
      <c r="I1740" s="45"/>
      <c r="J1740" s="152">
        <v>0</v>
      </c>
    </row>
    <row r="1741" spans="1:10" ht="26.25" hidden="1" thickBot="1" x14ac:dyDescent="0.3">
      <c r="A1741" s="176"/>
      <c r="B1741" s="174"/>
      <c r="C1741" s="35" t="s">
        <v>443</v>
      </c>
      <c r="D1741" s="35" t="s">
        <v>107</v>
      </c>
      <c r="E1741" s="36">
        <v>2</v>
      </c>
      <c r="F1741" s="33" t="s">
        <v>416</v>
      </c>
      <c r="G1741" s="30" t="str">
        <f>IF(ISNUMBER(F1741),E1741*F1741,"")</f>
        <v/>
      </c>
      <c r="H1741" s="44"/>
      <c r="I1741" s="45"/>
      <c r="J1741" s="152">
        <v>0</v>
      </c>
    </row>
    <row r="1742" spans="1:10" ht="26.25" hidden="1" thickBot="1" x14ac:dyDescent="0.3">
      <c r="A1742" s="176"/>
      <c r="B1742" s="174"/>
      <c r="C1742" s="35" t="s">
        <v>433</v>
      </c>
      <c r="D1742" s="35" t="s">
        <v>69</v>
      </c>
      <c r="E1742" s="36">
        <v>1.5</v>
      </c>
      <c r="F1742" s="33" t="s">
        <v>416</v>
      </c>
      <c r="G1742" s="30" t="str">
        <f>IF(ISNUMBER(F1742),E1742*F1742,"")</f>
        <v/>
      </c>
      <c r="H1742" s="34"/>
      <c r="I1742" s="30"/>
      <c r="J1742" s="152">
        <v>0</v>
      </c>
    </row>
    <row r="1743" spans="1:10" ht="15.75" hidden="1" thickBot="1" x14ac:dyDescent="0.3">
      <c r="A1743" s="176"/>
      <c r="B1743" s="174"/>
      <c r="C1743" s="35" t="s">
        <v>434</v>
      </c>
      <c r="D1743" s="35" t="s">
        <v>107</v>
      </c>
      <c r="E1743" s="36">
        <v>1</v>
      </c>
      <c r="F1743" s="33" t="s">
        <v>416</v>
      </c>
      <c r="G1743" s="30" t="str">
        <f>IF(ISNUMBER(F1743),E1743*F1743,"")</f>
        <v/>
      </c>
      <c r="H1743" s="34"/>
      <c r="I1743" s="30"/>
      <c r="J1743" s="152">
        <v>0</v>
      </c>
    </row>
    <row r="1744" spans="1:10" ht="15.75" hidden="1" thickBot="1" x14ac:dyDescent="0.3">
      <c r="A1744" s="176"/>
      <c r="B1744" s="174"/>
      <c r="C1744" s="35" t="s">
        <v>435</v>
      </c>
      <c r="D1744" s="35" t="s">
        <v>107</v>
      </c>
      <c r="E1744" s="36">
        <v>1</v>
      </c>
      <c r="F1744" s="33" t="s">
        <v>416</v>
      </c>
      <c r="G1744" s="30" t="str">
        <f>IF(ISNUMBER(F1744),E1744*F1744,"")</f>
        <v/>
      </c>
      <c r="H1744" s="34"/>
      <c r="I1744" s="30"/>
      <c r="J1744" s="152">
        <v>0</v>
      </c>
    </row>
    <row r="1745" spans="1:10" ht="15.75" hidden="1" thickBot="1" x14ac:dyDescent="0.3">
      <c r="A1745" s="176"/>
      <c r="B1745" s="174"/>
      <c r="C1745" s="35" t="s">
        <v>1017</v>
      </c>
      <c r="D1745" s="35" t="s">
        <v>583</v>
      </c>
      <c r="E1745" s="36">
        <v>0.17269999999999999</v>
      </c>
      <c r="F1745" s="30">
        <v>21.584</v>
      </c>
      <c r="G1745" s="30">
        <f>IF(ISNUMBER(F1745),E1745*F1745,"")</f>
        <v>3.7275567999999999</v>
      </c>
      <c r="H1745" s="34"/>
      <c r="I1745" s="30"/>
      <c r="J1745" s="152">
        <v>0</v>
      </c>
    </row>
    <row r="1746" spans="1:10" ht="15.75" hidden="1" thickBot="1" x14ac:dyDescent="0.3">
      <c r="A1746" s="176"/>
      <c r="B1746" s="174"/>
      <c r="C1746" s="35" t="s">
        <v>1018</v>
      </c>
      <c r="D1746" s="35" t="s">
        <v>583</v>
      </c>
      <c r="E1746" s="36">
        <v>0.41439999999999999</v>
      </c>
      <c r="F1746" s="30">
        <v>27.835000000000001</v>
      </c>
      <c r="G1746" s="30">
        <f>IF(ISNUMBER(F1746),E1746*F1746,"")</f>
        <v>11.534824</v>
      </c>
      <c r="H1746" s="34"/>
      <c r="I1746" s="30"/>
      <c r="J1746" s="152">
        <v>0</v>
      </c>
    </row>
    <row r="1747" spans="1:10" ht="15.75" hidden="1" thickBot="1" x14ac:dyDescent="0.3">
      <c r="A1747" s="177"/>
      <c r="B1747" s="175"/>
      <c r="C1747" s="35"/>
      <c r="D1747" s="35"/>
      <c r="E1747" s="36"/>
      <c r="F1747" s="30" t="s">
        <v>416</v>
      </c>
      <c r="G1747" s="30" t="str">
        <f>IF(ISNUMBER(F1747),E1747*F1747,"")</f>
        <v/>
      </c>
      <c r="H1747" s="34"/>
      <c r="I1747" s="30"/>
      <c r="J1747" s="152">
        <v>0</v>
      </c>
    </row>
    <row r="1748" spans="1:10" ht="15.75" hidden="1" thickBot="1" x14ac:dyDescent="0.3">
      <c r="A1748" s="170" t="s">
        <v>446</v>
      </c>
      <c r="B1748" s="173" t="str">
        <f>INDEX(Orçamentária!A:B,MATCH(Composições!A1748,Orçamentária!A:A,0),2)</f>
        <v>Condutor 10 mm²</v>
      </c>
      <c r="C1748" s="40"/>
      <c r="D1748" s="25" t="s">
        <v>69</v>
      </c>
      <c r="E1748" s="26"/>
      <c r="F1748" s="41" t="s">
        <v>416</v>
      </c>
      <c r="G1748" s="27" t="str">
        <f>IF(ISNUMBER(F1748),E1748*F1748,"")</f>
        <v/>
      </c>
      <c r="H1748" s="28"/>
      <c r="I1748" s="29"/>
      <c r="J1748" s="152">
        <v>0</v>
      </c>
    </row>
    <row r="1749" spans="1:10" ht="15.75" hidden="1" thickBot="1" x14ac:dyDescent="0.3">
      <c r="A1749" s="176"/>
      <c r="B1749" s="174"/>
      <c r="C1749" s="31"/>
      <c r="D1749" s="31"/>
      <c r="E1749" s="32"/>
      <c r="F1749" s="42" t="s">
        <v>416</v>
      </c>
      <c r="G1749" s="30" t="str">
        <f>IF(ISNUMBER(F1749),E1749*F1749,"")</f>
        <v/>
      </c>
      <c r="H1749" s="34"/>
      <c r="I1749" s="30"/>
      <c r="J1749" s="152">
        <v>0</v>
      </c>
    </row>
    <row r="1750" spans="1:10" ht="15.75" hidden="1" thickBot="1" x14ac:dyDescent="0.3">
      <c r="A1750" s="176"/>
      <c r="B1750" s="174"/>
      <c r="C1750" s="35" t="s">
        <v>1017</v>
      </c>
      <c r="D1750" s="35" t="s">
        <v>583</v>
      </c>
      <c r="E1750" s="36">
        <v>8.9999999999999993E-3</v>
      </c>
      <c r="F1750" s="30">
        <v>21.584</v>
      </c>
      <c r="G1750" s="33">
        <f>IF(ISNUMBER(F1750),E1750*F1750,"")</f>
        <v>0.19425599999999998</v>
      </c>
      <c r="H1750" s="38">
        <f>SUM(G1750:G1753)</f>
        <v>0.48391099999999998</v>
      </c>
      <c r="I1750" s="39"/>
      <c r="J1750" s="152">
        <v>0</v>
      </c>
    </row>
    <row r="1751" spans="1:10" ht="15.75" hidden="1" thickBot="1" x14ac:dyDescent="0.3">
      <c r="A1751" s="176"/>
      <c r="B1751" s="174"/>
      <c r="C1751" s="35" t="s">
        <v>1018</v>
      </c>
      <c r="D1751" s="35" t="s">
        <v>583</v>
      </c>
      <c r="E1751" s="36">
        <v>8.9999999999999993E-3</v>
      </c>
      <c r="F1751" s="30">
        <v>27.835000000000001</v>
      </c>
      <c r="G1751" s="33">
        <f>IF(ISNUMBER(F1751),E1751*F1751,"")</f>
        <v>0.25051499999999999</v>
      </c>
      <c r="H1751" s="34"/>
      <c r="I1751" s="30"/>
      <c r="J1751" s="152">
        <v>0</v>
      </c>
    </row>
    <row r="1752" spans="1:10" ht="15.75" hidden="1" thickBot="1" x14ac:dyDescent="0.3">
      <c r="A1752" s="176"/>
      <c r="B1752" s="174"/>
      <c r="C1752" s="35" t="s">
        <v>447</v>
      </c>
      <c r="D1752" s="35" t="s">
        <v>69</v>
      </c>
      <c r="E1752" s="36">
        <v>1.0269999999999999</v>
      </c>
      <c r="F1752" s="33">
        <v>0</v>
      </c>
      <c r="G1752" s="33">
        <f>IF(ISNUMBER(F1752),E1752*F1752,"")</f>
        <v>0</v>
      </c>
      <c r="H1752" s="34"/>
      <c r="I1752" s="30"/>
      <c r="J1752" s="152">
        <v>0</v>
      </c>
    </row>
    <row r="1753" spans="1:10" ht="26.25" hidden="1" thickBot="1" x14ac:dyDescent="0.3">
      <c r="A1753" s="176"/>
      <c r="B1753" s="174"/>
      <c r="C1753" s="35" t="s">
        <v>8169</v>
      </c>
      <c r="D1753" s="35" t="s">
        <v>213</v>
      </c>
      <c r="E1753" s="36">
        <v>0.01</v>
      </c>
      <c r="F1753" s="33">
        <v>3.9139999999999997</v>
      </c>
      <c r="G1753" s="33">
        <f>IF(ISNUMBER(F1753),E1753*F1753,"")</f>
        <v>3.9140000000000001E-2</v>
      </c>
      <c r="H1753" s="34"/>
      <c r="I1753" s="30"/>
      <c r="J1753" s="152">
        <v>0</v>
      </c>
    </row>
    <row r="1754" spans="1:10" ht="15.75" hidden="1" thickBot="1" x14ac:dyDescent="0.3">
      <c r="A1754" s="177"/>
      <c r="B1754" s="175"/>
      <c r="C1754" s="35"/>
      <c r="D1754" s="35"/>
      <c r="E1754" s="36"/>
      <c r="F1754" s="30" t="s">
        <v>416</v>
      </c>
      <c r="G1754" s="30" t="str">
        <f>IF(ISNUMBER(F1754),E1754*F1754,"")</f>
        <v/>
      </c>
      <c r="H1754" s="34"/>
      <c r="I1754" s="30"/>
      <c r="J1754" s="152">
        <v>0</v>
      </c>
    </row>
    <row r="1755" spans="1:10" ht="15.75" thickBot="1" x14ac:dyDescent="0.3">
      <c r="A1755" s="170" t="s">
        <v>448</v>
      </c>
      <c r="B1755" s="173" t="str">
        <f>INDEX(Orçamentária!A:B,MATCH(Composições!A1755,Orçamentária!A:A,0),2)</f>
        <v>Condutor 16 mm²</v>
      </c>
      <c r="C1755" s="40"/>
      <c r="D1755" s="25" t="s">
        <v>69</v>
      </c>
      <c r="E1755" s="26"/>
      <c r="F1755" s="41" t="s">
        <v>416</v>
      </c>
      <c r="G1755" s="27" t="str">
        <f>IF(ISNUMBER(F1755),E1755*F1755,"")</f>
        <v/>
      </c>
      <c r="H1755" s="28"/>
      <c r="I1755" s="29"/>
      <c r="J1755" s="152">
        <v>500</v>
      </c>
    </row>
    <row r="1756" spans="1:10" x14ac:dyDescent="0.25">
      <c r="A1756" s="176"/>
      <c r="B1756" s="174"/>
      <c r="C1756" s="31"/>
      <c r="D1756" s="31"/>
      <c r="E1756" s="32"/>
      <c r="F1756" s="42" t="s">
        <v>416</v>
      </c>
      <c r="G1756" s="30" t="str">
        <f>IF(ISNUMBER(F1756),E1756*F1756,"")</f>
        <v/>
      </c>
      <c r="H1756" s="34"/>
      <c r="I1756" s="30"/>
      <c r="J1756" s="152">
        <v>500</v>
      </c>
    </row>
    <row r="1757" spans="1:10" x14ac:dyDescent="0.25">
      <c r="A1757" s="176"/>
      <c r="B1757" s="174"/>
      <c r="C1757" s="35" t="s">
        <v>1017</v>
      </c>
      <c r="D1757" s="35" t="s">
        <v>583</v>
      </c>
      <c r="E1757" s="36">
        <v>1.2999999999999999E-2</v>
      </c>
      <c r="F1757" s="30">
        <v>21.584</v>
      </c>
      <c r="G1757" s="33">
        <f>IF(ISNUMBER(F1757),E1757*F1757,"")</f>
        <v>0.28059200000000001</v>
      </c>
      <c r="H1757" s="38">
        <f>SUM(G1757:G1760)</f>
        <v>23.277640999999996</v>
      </c>
      <c r="I1757" s="39"/>
      <c r="J1757" s="152">
        <v>500</v>
      </c>
    </row>
    <row r="1758" spans="1:10" x14ac:dyDescent="0.25">
      <c r="A1758" s="176"/>
      <c r="B1758" s="174"/>
      <c r="C1758" s="35" t="s">
        <v>1018</v>
      </c>
      <c r="D1758" s="35" t="s">
        <v>583</v>
      </c>
      <c r="E1758" s="36">
        <v>1.2999999999999999E-2</v>
      </c>
      <c r="F1758" s="30">
        <v>27.835000000000001</v>
      </c>
      <c r="G1758" s="33">
        <f>IF(ISNUMBER(F1758),E1758*F1758,"")</f>
        <v>0.36185499999999998</v>
      </c>
      <c r="H1758" s="34"/>
      <c r="I1758" s="30"/>
      <c r="J1758" s="152">
        <v>500</v>
      </c>
    </row>
    <row r="1759" spans="1:10" x14ac:dyDescent="0.25">
      <c r="A1759" s="176"/>
      <c r="B1759" s="174"/>
      <c r="C1759" s="35" t="s">
        <v>449</v>
      </c>
      <c r="D1759" s="35" t="s">
        <v>69</v>
      </c>
      <c r="E1759" s="36">
        <v>1.0269999999999999</v>
      </c>
      <c r="F1759" s="33">
        <v>22.001999999999999</v>
      </c>
      <c r="G1759" s="33">
        <f>IF(ISNUMBER(F1759),E1759*F1759,"")</f>
        <v>22.596053999999995</v>
      </c>
      <c r="H1759" s="34"/>
      <c r="I1759" s="30"/>
      <c r="J1759" s="152">
        <v>500</v>
      </c>
    </row>
    <row r="1760" spans="1:10" ht="25.5" x14ac:dyDescent="0.25">
      <c r="A1760" s="176"/>
      <c r="B1760" s="174"/>
      <c r="C1760" s="35" t="s">
        <v>8169</v>
      </c>
      <c r="D1760" s="35" t="s">
        <v>213</v>
      </c>
      <c r="E1760" s="36">
        <v>0.01</v>
      </c>
      <c r="F1760" s="33">
        <v>3.9139999999999997</v>
      </c>
      <c r="G1760" s="33">
        <f>IF(ISNUMBER(F1760),E1760*F1760,"")</f>
        <v>3.9140000000000001E-2</v>
      </c>
      <c r="H1760" s="34"/>
      <c r="I1760" s="30"/>
      <c r="J1760" s="152">
        <v>500</v>
      </c>
    </row>
    <row r="1761" spans="1:10" ht="15.75" thickBot="1" x14ac:dyDescent="0.3">
      <c r="A1761" s="177"/>
      <c r="B1761" s="175"/>
      <c r="C1761" s="35"/>
      <c r="D1761" s="35"/>
      <c r="E1761" s="36"/>
      <c r="F1761" s="30" t="s">
        <v>416</v>
      </c>
      <c r="G1761" s="30" t="str">
        <f>IF(ISNUMBER(F1761),E1761*F1761,"")</f>
        <v/>
      </c>
      <c r="H1761" s="34"/>
      <c r="I1761" s="30"/>
      <c r="J1761" s="152">
        <v>500</v>
      </c>
    </row>
    <row r="1762" spans="1:10" ht="15.75" thickBot="1" x14ac:dyDescent="0.3">
      <c r="A1762" s="170" t="s">
        <v>450</v>
      </c>
      <c r="B1762" s="173" t="str">
        <f>INDEX(Orçamentária!A:B,MATCH(Composições!A1762,Orçamentária!A:A,0),2)</f>
        <v>Condutor 2,5 mm²</v>
      </c>
      <c r="C1762" s="40"/>
      <c r="D1762" s="25" t="s">
        <v>69</v>
      </c>
      <c r="E1762" s="26"/>
      <c r="F1762" s="41" t="s">
        <v>416</v>
      </c>
      <c r="G1762" s="27" t="str">
        <f>IF(ISNUMBER(F1762),E1762*F1762,"")</f>
        <v/>
      </c>
      <c r="H1762" s="28"/>
      <c r="I1762" s="29"/>
      <c r="J1762" s="152">
        <v>2200</v>
      </c>
    </row>
    <row r="1763" spans="1:10" x14ac:dyDescent="0.25">
      <c r="A1763" s="176"/>
      <c r="B1763" s="174"/>
      <c r="C1763" s="31"/>
      <c r="D1763" s="31"/>
      <c r="E1763" s="32"/>
      <c r="F1763" s="42" t="s">
        <v>416</v>
      </c>
      <c r="G1763" s="30" t="str">
        <f>IF(ISNUMBER(F1763),E1763*F1763,"")</f>
        <v/>
      </c>
      <c r="H1763" s="34"/>
      <c r="I1763" s="30"/>
      <c r="J1763" s="152">
        <v>2200</v>
      </c>
    </row>
    <row r="1764" spans="1:10" x14ac:dyDescent="0.25">
      <c r="A1764" s="176"/>
      <c r="B1764" s="174"/>
      <c r="C1764" s="35" t="s">
        <v>1017</v>
      </c>
      <c r="D1764" s="35" t="s">
        <v>583</v>
      </c>
      <c r="E1764" s="36">
        <v>0.03</v>
      </c>
      <c r="F1764" s="30">
        <v>21.584</v>
      </c>
      <c r="G1764" s="33">
        <f>IF(ISNUMBER(F1764),E1764*F1764,"")</f>
        <v>0.64751999999999998</v>
      </c>
      <c r="H1764" s="38">
        <f>SUM(G1764:G1767)</f>
        <v>4.564195999999999</v>
      </c>
      <c r="I1764" s="39"/>
      <c r="J1764" s="152">
        <v>2200</v>
      </c>
    </row>
    <row r="1765" spans="1:10" x14ac:dyDescent="0.25">
      <c r="A1765" s="176"/>
      <c r="B1765" s="174"/>
      <c r="C1765" s="35" t="s">
        <v>1018</v>
      </c>
      <c r="D1765" s="35" t="s">
        <v>583</v>
      </c>
      <c r="E1765" s="36">
        <v>0.03</v>
      </c>
      <c r="F1765" s="30">
        <v>27.835000000000001</v>
      </c>
      <c r="G1765" s="33">
        <f>IF(ISNUMBER(F1765),E1765*F1765,"")</f>
        <v>0.83504999999999996</v>
      </c>
      <c r="H1765" s="34"/>
      <c r="I1765" s="30"/>
      <c r="J1765" s="152">
        <v>2200</v>
      </c>
    </row>
    <row r="1766" spans="1:10" ht="25.5" x14ac:dyDescent="0.25">
      <c r="A1766" s="176"/>
      <c r="B1766" s="174"/>
      <c r="C1766" s="35" t="s">
        <v>451</v>
      </c>
      <c r="D1766" s="35" t="s">
        <v>69</v>
      </c>
      <c r="E1766" s="36">
        <v>1.19</v>
      </c>
      <c r="F1766" s="33">
        <v>2.56</v>
      </c>
      <c r="G1766" s="33">
        <f>IF(ISNUMBER(F1766),E1766*F1766,"")</f>
        <v>3.0463999999999998</v>
      </c>
      <c r="H1766" s="34"/>
      <c r="I1766" s="30"/>
      <c r="J1766" s="152">
        <v>2200</v>
      </c>
    </row>
    <row r="1767" spans="1:10" ht="25.5" x14ac:dyDescent="0.25">
      <c r="A1767" s="176"/>
      <c r="B1767" s="174"/>
      <c r="C1767" s="35" t="s">
        <v>8169</v>
      </c>
      <c r="D1767" s="35" t="s">
        <v>213</v>
      </c>
      <c r="E1767" s="36">
        <v>8.9999999999999993E-3</v>
      </c>
      <c r="F1767" s="33">
        <v>3.9139999999999997</v>
      </c>
      <c r="G1767" s="33">
        <f>IF(ISNUMBER(F1767),E1767*F1767,"")</f>
        <v>3.5225999999999993E-2</v>
      </c>
      <c r="H1767" s="34"/>
      <c r="I1767" s="30"/>
      <c r="J1767" s="152">
        <v>2200</v>
      </c>
    </row>
    <row r="1768" spans="1:10" ht="15.75" thickBot="1" x14ac:dyDescent="0.3">
      <c r="A1768" s="177"/>
      <c r="B1768" s="175"/>
      <c r="C1768" s="35"/>
      <c r="D1768" s="35"/>
      <c r="E1768" s="36"/>
      <c r="F1768" s="30" t="s">
        <v>416</v>
      </c>
      <c r="G1768" s="30" t="str">
        <f>IF(ISNUMBER(F1768),E1768*F1768,"")</f>
        <v/>
      </c>
      <c r="H1768" s="34"/>
      <c r="I1768" s="30"/>
      <c r="J1768" s="152">
        <v>2200</v>
      </c>
    </row>
    <row r="1769" spans="1:10" ht="15.75" thickBot="1" x14ac:dyDescent="0.3">
      <c r="A1769" s="170" t="s">
        <v>452</v>
      </c>
      <c r="B1769" s="173" t="str">
        <f>INDEX(Orçamentária!A:B,MATCH(Composições!A1769,Orçamentária!A:A,0),2)</f>
        <v>Condutor 3x2,5 mm²</v>
      </c>
      <c r="C1769" s="40"/>
      <c r="D1769" s="25" t="s">
        <v>69</v>
      </c>
      <c r="E1769" s="26"/>
      <c r="F1769" s="41" t="s">
        <v>416</v>
      </c>
      <c r="G1769" s="27" t="str">
        <f>IF(ISNUMBER(F1769),E1769*F1769,"")</f>
        <v/>
      </c>
      <c r="H1769" s="28"/>
      <c r="I1769" s="29"/>
      <c r="J1769" s="152">
        <v>32</v>
      </c>
    </row>
    <row r="1770" spans="1:10" x14ac:dyDescent="0.25">
      <c r="A1770" s="176"/>
      <c r="B1770" s="174"/>
      <c r="C1770" s="31"/>
      <c r="D1770" s="31"/>
      <c r="E1770" s="32"/>
      <c r="F1770" s="42" t="s">
        <v>416</v>
      </c>
      <c r="G1770" s="30" t="str">
        <f>IF(ISNUMBER(F1770),E1770*F1770,"")</f>
        <v/>
      </c>
      <c r="H1770" s="34"/>
      <c r="I1770" s="30"/>
      <c r="J1770" s="152">
        <v>32</v>
      </c>
    </row>
    <row r="1771" spans="1:10" x14ac:dyDescent="0.25">
      <c r="A1771" s="176"/>
      <c r="B1771" s="174"/>
      <c r="C1771" s="35" t="s">
        <v>1017</v>
      </c>
      <c r="D1771" s="35" t="s">
        <v>583</v>
      </c>
      <c r="E1771" s="36">
        <v>5.1999999999999998E-2</v>
      </c>
      <c r="F1771" s="30">
        <v>21.584</v>
      </c>
      <c r="G1771" s="33">
        <f>IF(ISNUMBER(F1771),E1771*F1771,"")</f>
        <v>1.122368</v>
      </c>
      <c r="H1771" s="38">
        <f>SUM(G1771:G1774)</f>
        <v>12.470113999999997</v>
      </c>
      <c r="I1771" s="39"/>
      <c r="J1771" s="152">
        <v>32</v>
      </c>
    </row>
    <row r="1772" spans="1:10" x14ac:dyDescent="0.25">
      <c r="A1772" s="176"/>
      <c r="B1772" s="174"/>
      <c r="C1772" s="35" t="s">
        <v>1018</v>
      </c>
      <c r="D1772" s="35" t="s">
        <v>583</v>
      </c>
      <c r="E1772" s="36">
        <v>5.1999999999999998E-2</v>
      </c>
      <c r="F1772" s="30">
        <v>27.835000000000001</v>
      </c>
      <c r="G1772" s="33">
        <f>IF(ISNUMBER(F1772),E1772*F1772,"")</f>
        <v>1.4474199999999999</v>
      </c>
      <c r="H1772" s="34"/>
      <c r="I1772" s="30"/>
      <c r="J1772" s="152">
        <v>32</v>
      </c>
    </row>
    <row r="1773" spans="1:10" ht="25.5" x14ac:dyDescent="0.25">
      <c r="A1773" s="176"/>
      <c r="B1773" s="174"/>
      <c r="C1773" s="35" t="s">
        <v>453</v>
      </c>
      <c r="D1773" s="35" t="s">
        <v>69</v>
      </c>
      <c r="E1773" s="36">
        <v>1.19</v>
      </c>
      <c r="F1773" s="33">
        <v>8.2899999999999991</v>
      </c>
      <c r="G1773" s="33">
        <f>IF(ISNUMBER(F1773),E1773*F1773,"")</f>
        <v>9.8650999999999982</v>
      </c>
      <c r="H1773" s="34"/>
      <c r="I1773" s="30"/>
      <c r="J1773" s="152">
        <v>32</v>
      </c>
    </row>
    <row r="1774" spans="1:10" ht="25.5" x14ac:dyDescent="0.25">
      <c r="A1774" s="176"/>
      <c r="B1774" s="174"/>
      <c r="C1774" s="35" t="s">
        <v>8169</v>
      </c>
      <c r="D1774" s="35" t="s">
        <v>213</v>
      </c>
      <c r="E1774" s="36">
        <v>8.9999999999999993E-3</v>
      </c>
      <c r="F1774" s="33">
        <v>3.9139999999999997</v>
      </c>
      <c r="G1774" s="33">
        <f>IF(ISNUMBER(F1774),E1774*F1774,"")</f>
        <v>3.5225999999999993E-2</v>
      </c>
      <c r="H1774" s="34"/>
      <c r="I1774" s="30"/>
      <c r="J1774" s="152">
        <v>32</v>
      </c>
    </row>
    <row r="1775" spans="1:10" ht="15.75" thickBot="1" x14ac:dyDescent="0.3">
      <c r="A1775" s="177"/>
      <c r="B1775" s="175"/>
      <c r="C1775" s="35"/>
      <c r="D1775" s="35"/>
      <c r="E1775" s="36"/>
      <c r="F1775" s="30" t="s">
        <v>416</v>
      </c>
      <c r="G1775" s="30" t="str">
        <f>IF(ISNUMBER(F1775),E1775*F1775,"")</f>
        <v/>
      </c>
      <c r="H1775" s="34"/>
      <c r="I1775" s="30"/>
      <c r="J1775" s="152">
        <v>32</v>
      </c>
    </row>
    <row r="1776" spans="1:10" ht="15.75" hidden="1" thickBot="1" x14ac:dyDescent="0.3">
      <c r="A1776" s="170" t="s">
        <v>454</v>
      </c>
      <c r="B1776" s="173" t="str">
        <f>INDEX(Orçamentária!A:B,MATCH(Composições!A1776,Orçamentária!A:A,0),2)</f>
        <v>Condutor 4 mm²</v>
      </c>
      <c r="C1776" s="40"/>
      <c r="D1776" s="25" t="s">
        <v>69</v>
      </c>
      <c r="E1776" s="26"/>
      <c r="F1776" s="41" t="s">
        <v>416</v>
      </c>
      <c r="G1776" s="27" t="str">
        <f>IF(ISNUMBER(F1776),E1776*F1776,"")</f>
        <v/>
      </c>
      <c r="H1776" s="28"/>
      <c r="I1776" s="29"/>
      <c r="J1776" s="152">
        <v>0</v>
      </c>
    </row>
    <row r="1777" spans="1:10" ht="15.75" hidden="1" thickBot="1" x14ac:dyDescent="0.3">
      <c r="A1777" s="176"/>
      <c r="B1777" s="174"/>
      <c r="C1777" s="31"/>
      <c r="D1777" s="31"/>
      <c r="E1777" s="32"/>
      <c r="F1777" s="42" t="s">
        <v>416</v>
      </c>
      <c r="G1777" s="30" t="str">
        <f>IF(ISNUMBER(F1777),E1777*F1777,"")</f>
        <v/>
      </c>
      <c r="H1777" s="34"/>
      <c r="I1777" s="30"/>
      <c r="J1777" s="152">
        <v>0</v>
      </c>
    </row>
    <row r="1778" spans="1:10" ht="15.75" hidden="1" thickBot="1" x14ac:dyDescent="0.3">
      <c r="A1778" s="176"/>
      <c r="B1778" s="174"/>
      <c r="C1778" s="35" t="s">
        <v>1017</v>
      </c>
      <c r="D1778" s="35" t="s">
        <v>583</v>
      </c>
      <c r="E1778" s="36">
        <v>0.04</v>
      </c>
      <c r="F1778" s="30">
        <v>21.584</v>
      </c>
      <c r="G1778" s="33">
        <f>IF(ISNUMBER(F1778),E1778*F1778,"")</f>
        <v>0.86336000000000002</v>
      </c>
      <c r="H1778" s="38">
        <f>SUM(G1778:G1781)</f>
        <v>2.0119860000000003</v>
      </c>
      <c r="I1778" s="39"/>
      <c r="J1778" s="152">
        <v>0</v>
      </c>
    </row>
    <row r="1779" spans="1:10" ht="15.75" hidden="1" thickBot="1" x14ac:dyDescent="0.3">
      <c r="A1779" s="176"/>
      <c r="B1779" s="174"/>
      <c r="C1779" s="35" t="s">
        <v>1018</v>
      </c>
      <c r="D1779" s="35" t="s">
        <v>583</v>
      </c>
      <c r="E1779" s="36">
        <v>0.04</v>
      </c>
      <c r="F1779" s="30">
        <v>27.835000000000001</v>
      </c>
      <c r="G1779" s="33">
        <f>IF(ISNUMBER(F1779),E1779*F1779,"")</f>
        <v>1.1134000000000002</v>
      </c>
      <c r="H1779" s="34"/>
      <c r="I1779" s="30"/>
      <c r="J1779" s="152">
        <v>0</v>
      </c>
    </row>
    <row r="1780" spans="1:10" ht="26.25" hidden="1" thickBot="1" x14ac:dyDescent="0.3">
      <c r="A1780" s="176"/>
      <c r="B1780" s="174"/>
      <c r="C1780" s="35" t="s">
        <v>455</v>
      </c>
      <c r="D1780" s="35" t="s">
        <v>69</v>
      </c>
      <c r="E1780" s="36">
        <v>1.19</v>
      </c>
      <c r="F1780" s="33" t="s">
        <v>416</v>
      </c>
      <c r="G1780" s="33" t="str">
        <f>IF(ISNUMBER(F1780),E1780*F1780,"")</f>
        <v/>
      </c>
      <c r="H1780" s="34"/>
      <c r="I1780" s="30"/>
      <c r="J1780" s="152">
        <v>0</v>
      </c>
    </row>
    <row r="1781" spans="1:10" ht="26.25" hidden="1" thickBot="1" x14ac:dyDescent="0.3">
      <c r="A1781" s="176"/>
      <c r="B1781" s="174"/>
      <c r="C1781" s="35" t="s">
        <v>8169</v>
      </c>
      <c r="D1781" s="35" t="s">
        <v>213</v>
      </c>
      <c r="E1781" s="36">
        <v>8.9999999999999993E-3</v>
      </c>
      <c r="F1781" s="33">
        <v>3.9139999999999997</v>
      </c>
      <c r="G1781" s="33">
        <f>IF(ISNUMBER(F1781),E1781*F1781,"")</f>
        <v>3.5225999999999993E-2</v>
      </c>
      <c r="H1781" s="34"/>
      <c r="I1781" s="30"/>
      <c r="J1781" s="152">
        <v>0</v>
      </c>
    </row>
    <row r="1782" spans="1:10" ht="15.75" hidden="1" thickBot="1" x14ac:dyDescent="0.3">
      <c r="A1782" s="177"/>
      <c r="B1782" s="175"/>
      <c r="C1782" s="35"/>
      <c r="D1782" s="35"/>
      <c r="E1782" s="36"/>
      <c r="F1782" s="30" t="s">
        <v>416</v>
      </c>
      <c r="G1782" s="30" t="str">
        <f>IF(ISNUMBER(F1782),E1782*F1782,"")</f>
        <v/>
      </c>
      <c r="H1782" s="34"/>
      <c r="I1782" s="30"/>
      <c r="J1782" s="152">
        <v>0</v>
      </c>
    </row>
    <row r="1783" spans="1:10" ht="15.75" thickBot="1" x14ac:dyDescent="0.3">
      <c r="A1783" s="170" t="s">
        <v>456</v>
      </c>
      <c r="B1783" s="173" t="str">
        <f>INDEX(Orçamentária!A:B,MATCH(Composições!A1783,Orçamentária!A:A,0),2)</f>
        <v>Condutor 4x2,5 mm²</v>
      </c>
      <c r="C1783" s="40"/>
      <c r="D1783" s="25" t="s">
        <v>69</v>
      </c>
      <c r="E1783" s="26"/>
      <c r="F1783" s="41" t="s">
        <v>416</v>
      </c>
      <c r="G1783" s="27" t="str">
        <f>IF(ISNUMBER(F1783),E1783*F1783,"")</f>
        <v/>
      </c>
      <c r="H1783" s="28"/>
      <c r="I1783" s="29"/>
      <c r="J1783" s="152">
        <v>222</v>
      </c>
    </row>
    <row r="1784" spans="1:10" x14ac:dyDescent="0.25">
      <c r="A1784" s="176"/>
      <c r="B1784" s="174"/>
      <c r="C1784" s="31"/>
      <c r="D1784" s="31"/>
      <c r="E1784" s="32"/>
      <c r="F1784" s="42" t="s">
        <v>416</v>
      </c>
      <c r="G1784" s="30" t="str">
        <f>IF(ISNUMBER(F1784),E1784*F1784,"")</f>
        <v/>
      </c>
      <c r="H1784" s="34"/>
      <c r="I1784" s="30"/>
      <c r="J1784" s="152">
        <v>222</v>
      </c>
    </row>
    <row r="1785" spans="1:10" x14ac:dyDescent="0.25">
      <c r="A1785" s="176"/>
      <c r="B1785" s="174"/>
      <c r="C1785" s="35" t="s">
        <v>1017</v>
      </c>
      <c r="D1785" s="35" t="s">
        <v>583</v>
      </c>
      <c r="E1785" s="36">
        <v>8.9999999999999993E-3</v>
      </c>
      <c r="F1785" s="30">
        <v>21.584</v>
      </c>
      <c r="G1785" s="33">
        <f>IF(ISNUMBER(F1785),E1785*F1785,"")</f>
        <v>0.19425599999999998</v>
      </c>
      <c r="H1785" s="38">
        <f>SUM(G1785:G1788)</f>
        <v>11.513890999999999</v>
      </c>
      <c r="I1785" s="39"/>
      <c r="J1785" s="152">
        <v>222</v>
      </c>
    </row>
    <row r="1786" spans="1:10" x14ac:dyDescent="0.25">
      <c r="A1786" s="176"/>
      <c r="B1786" s="174"/>
      <c r="C1786" s="35" t="s">
        <v>1018</v>
      </c>
      <c r="D1786" s="35" t="s">
        <v>583</v>
      </c>
      <c r="E1786" s="36">
        <v>8.9999999999999993E-3</v>
      </c>
      <c r="F1786" s="30">
        <v>27.835000000000001</v>
      </c>
      <c r="G1786" s="33">
        <f>IF(ISNUMBER(F1786),E1786*F1786,"")</f>
        <v>0.25051499999999999</v>
      </c>
      <c r="H1786" s="34"/>
      <c r="I1786" s="30"/>
      <c r="J1786" s="152">
        <v>222</v>
      </c>
    </row>
    <row r="1787" spans="1:10" ht="25.5" x14ac:dyDescent="0.25">
      <c r="A1787" s="176"/>
      <c r="B1787" s="174"/>
      <c r="C1787" s="35" t="s">
        <v>457</v>
      </c>
      <c r="D1787" s="35" t="s">
        <v>69</v>
      </c>
      <c r="E1787" s="36">
        <v>1.0269999999999999</v>
      </c>
      <c r="F1787" s="33">
        <v>10.74</v>
      </c>
      <c r="G1787" s="33">
        <f>IF(ISNUMBER(F1787),E1787*F1787,"")</f>
        <v>11.02998</v>
      </c>
      <c r="H1787" s="34"/>
      <c r="I1787" s="30"/>
      <c r="J1787" s="152">
        <v>222</v>
      </c>
    </row>
    <row r="1788" spans="1:10" ht="25.5" x14ac:dyDescent="0.25">
      <c r="A1788" s="176"/>
      <c r="B1788" s="174"/>
      <c r="C1788" s="35" t="s">
        <v>8169</v>
      </c>
      <c r="D1788" s="35" t="s">
        <v>213</v>
      </c>
      <c r="E1788" s="36">
        <v>0.01</v>
      </c>
      <c r="F1788" s="33">
        <v>3.9139999999999997</v>
      </c>
      <c r="G1788" s="33">
        <f>IF(ISNUMBER(F1788),E1788*F1788,"")</f>
        <v>3.9140000000000001E-2</v>
      </c>
      <c r="H1788" s="34"/>
      <c r="I1788" s="30"/>
      <c r="J1788" s="152">
        <v>222</v>
      </c>
    </row>
    <row r="1789" spans="1:10" ht="15.75" thickBot="1" x14ac:dyDescent="0.3">
      <c r="A1789" s="177"/>
      <c r="B1789" s="175"/>
      <c r="C1789" s="35"/>
      <c r="D1789" s="35"/>
      <c r="E1789" s="36"/>
      <c r="F1789" s="30" t="s">
        <v>416</v>
      </c>
      <c r="G1789" s="30" t="str">
        <f>IF(ISNUMBER(F1789),E1789*F1789,"")</f>
        <v/>
      </c>
      <c r="H1789" s="34"/>
      <c r="I1789" s="30"/>
      <c r="J1789" s="152">
        <v>222</v>
      </c>
    </row>
    <row r="1790" spans="1:10" ht="15.75" thickBot="1" x14ac:dyDescent="0.3">
      <c r="A1790" s="170" t="s">
        <v>458</v>
      </c>
      <c r="B1790" s="173" t="str">
        <f>INDEX(Orçamentária!A:B,MATCH(Composições!A1790,Orçamentária!A:A,0),2)</f>
        <v>Condutor 6 mm²</v>
      </c>
      <c r="C1790" s="40"/>
      <c r="D1790" s="25" t="s">
        <v>69</v>
      </c>
      <c r="E1790" s="26"/>
      <c r="F1790" s="41" t="s">
        <v>416</v>
      </c>
      <c r="G1790" s="27" t="str">
        <f>IF(ISNUMBER(F1790),E1790*F1790,"")</f>
        <v/>
      </c>
      <c r="H1790" s="28"/>
      <c r="I1790" s="29"/>
      <c r="J1790" s="152">
        <v>110</v>
      </c>
    </row>
    <row r="1791" spans="1:10" x14ac:dyDescent="0.25">
      <c r="A1791" s="176"/>
      <c r="B1791" s="174"/>
      <c r="C1791" s="31"/>
      <c r="D1791" s="31"/>
      <c r="E1791" s="32"/>
      <c r="F1791" s="42" t="s">
        <v>416</v>
      </c>
      <c r="G1791" s="30" t="str">
        <f>IF(ISNUMBER(F1791),E1791*F1791,"")</f>
        <v/>
      </c>
      <c r="H1791" s="34"/>
      <c r="I1791" s="30"/>
      <c r="J1791" s="152">
        <v>110</v>
      </c>
    </row>
    <row r="1792" spans="1:10" x14ac:dyDescent="0.25">
      <c r="A1792" s="176"/>
      <c r="B1792" s="174"/>
      <c r="C1792" s="35" t="s">
        <v>1017</v>
      </c>
      <c r="D1792" s="35" t="s">
        <v>583</v>
      </c>
      <c r="E1792" s="36">
        <v>5.1999999999999998E-2</v>
      </c>
      <c r="F1792" s="30">
        <v>21.584</v>
      </c>
      <c r="G1792" s="30">
        <f>IF(ISNUMBER(F1792),E1792*F1792,"")</f>
        <v>1.122368</v>
      </c>
      <c r="H1792" s="38">
        <f>SUM(G1792:G1795)</f>
        <v>9.280914000000001</v>
      </c>
      <c r="I1792" s="39"/>
      <c r="J1792" s="152">
        <v>110</v>
      </c>
    </row>
    <row r="1793" spans="1:10" x14ac:dyDescent="0.25">
      <c r="A1793" s="176"/>
      <c r="B1793" s="174"/>
      <c r="C1793" s="35" t="s">
        <v>1018</v>
      </c>
      <c r="D1793" s="35" t="s">
        <v>583</v>
      </c>
      <c r="E1793" s="36">
        <v>5.1999999999999998E-2</v>
      </c>
      <c r="F1793" s="30">
        <v>27.835000000000001</v>
      </c>
      <c r="G1793" s="30">
        <f>IF(ISNUMBER(F1793),E1793*F1793,"")</f>
        <v>1.4474199999999999</v>
      </c>
      <c r="H1793" s="34"/>
      <c r="I1793" s="30"/>
      <c r="J1793" s="152">
        <v>110</v>
      </c>
    </row>
    <row r="1794" spans="1:10" ht="25.5" x14ac:dyDescent="0.25">
      <c r="A1794" s="176"/>
      <c r="B1794" s="174"/>
      <c r="C1794" s="35" t="s">
        <v>459</v>
      </c>
      <c r="D1794" s="35" t="s">
        <v>69</v>
      </c>
      <c r="E1794" s="36">
        <v>1.19</v>
      </c>
      <c r="F1794" s="33">
        <v>5.61</v>
      </c>
      <c r="G1794" s="30">
        <f>IF(ISNUMBER(F1794),E1794*F1794,"")</f>
        <v>6.6759000000000004</v>
      </c>
      <c r="H1794" s="34"/>
      <c r="I1794" s="30"/>
      <c r="J1794" s="152">
        <v>110</v>
      </c>
    </row>
    <row r="1795" spans="1:10" ht="25.5" x14ac:dyDescent="0.25">
      <c r="A1795" s="176"/>
      <c r="B1795" s="174"/>
      <c r="C1795" s="35" t="s">
        <v>8169</v>
      </c>
      <c r="D1795" s="35" t="s">
        <v>213</v>
      </c>
      <c r="E1795" s="36">
        <v>8.9999999999999993E-3</v>
      </c>
      <c r="F1795" s="33">
        <v>3.9139999999999997</v>
      </c>
      <c r="G1795" s="30">
        <f>IF(ISNUMBER(F1795),E1795*F1795,"")</f>
        <v>3.5225999999999993E-2</v>
      </c>
      <c r="H1795" s="34"/>
      <c r="I1795" s="30"/>
      <c r="J1795" s="152">
        <v>110</v>
      </c>
    </row>
    <row r="1796" spans="1:10" ht="15.75" thickBot="1" x14ac:dyDescent="0.3">
      <c r="A1796" s="177"/>
      <c r="B1796" s="175"/>
      <c r="C1796" s="35"/>
      <c r="D1796" s="35"/>
      <c r="E1796" s="36"/>
      <c r="F1796" s="30" t="s">
        <v>416</v>
      </c>
      <c r="G1796" s="30" t="str">
        <f>IF(ISNUMBER(F1796),E1796*F1796,"")</f>
        <v/>
      </c>
      <c r="H1796" s="34"/>
      <c r="I1796" s="30"/>
      <c r="J1796" s="152">
        <v>110</v>
      </c>
    </row>
    <row r="1797" spans="1:10" ht="15.75" thickBot="1" x14ac:dyDescent="0.3">
      <c r="A1797" s="170" t="s">
        <v>460</v>
      </c>
      <c r="B1797" s="173" t="str">
        <f>INDEX(Orçamentária!A:B,MATCH(Composições!A1797,Orçamentária!A:A,0),2)</f>
        <v>Quadro elétrico TTA</v>
      </c>
      <c r="C1797" s="40"/>
      <c r="D1797" s="25" t="s">
        <v>16</v>
      </c>
      <c r="E1797" s="26"/>
      <c r="F1797" s="41" t="s">
        <v>416</v>
      </c>
      <c r="G1797" s="27" t="str">
        <f>IF(ISNUMBER(F1797),E1797*F1797,"")</f>
        <v/>
      </c>
      <c r="H1797" s="28"/>
      <c r="I1797" s="29"/>
      <c r="J1797" s="152">
        <v>1</v>
      </c>
    </row>
    <row r="1798" spans="1:10" x14ac:dyDescent="0.25">
      <c r="A1798" s="176"/>
      <c r="B1798" s="174"/>
      <c r="C1798" s="31"/>
      <c r="D1798" s="31"/>
      <c r="E1798" s="32"/>
      <c r="F1798" s="42" t="s">
        <v>416</v>
      </c>
      <c r="G1798" s="30" t="str">
        <f>IF(ISNUMBER(F1798),E1798*F1798,"")</f>
        <v/>
      </c>
      <c r="H1798" s="34"/>
      <c r="I1798" s="30"/>
      <c r="J1798" s="152">
        <v>1</v>
      </c>
    </row>
    <row r="1799" spans="1:10" ht="25.5" x14ac:dyDescent="0.25">
      <c r="A1799" s="176"/>
      <c r="B1799" s="174"/>
      <c r="C1799" s="35" t="s">
        <v>6941</v>
      </c>
      <c r="D1799" s="46" t="s">
        <v>16</v>
      </c>
      <c r="E1799" s="36">
        <v>1</v>
      </c>
      <c r="F1799" s="33">
        <v>8246</v>
      </c>
      <c r="G1799" s="30">
        <f>IF(ISNUMBER(F1799),E1799*F1799,"")</f>
        <v>8246</v>
      </c>
      <c r="H1799" s="38">
        <f>SUM(G1799:G1802)</f>
        <v>8293.4176084402498</v>
      </c>
      <c r="I1799" s="39"/>
      <c r="J1799" s="152">
        <v>1</v>
      </c>
    </row>
    <row r="1800" spans="1:10" ht="38.25" x14ac:dyDescent="0.25">
      <c r="A1800" s="176"/>
      <c r="B1800" s="174"/>
      <c r="C1800" s="35" t="s">
        <v>2897</v>
      </c>
      <c r="D1800" s="46" t="s">
        <v>87</v>
      </c>
      <c r="E1800" s="36">
        <v>1.9199999999999998E-2</v>
      </c>
      <c r="F1800" s="30">
        <v>838.58271563799997</v>
      </c>
      <c r="G1800" s="30">
        <f>IF(ISNUMBER(F1800),E1800*F1800,"")</f>
        <v>16.100788140249598</v>
      </c>
      <c r="H1800" s="34"/>
      <c r="I1800" s="30"/>
      <c r="J1800" s="152">
        <v>1</v>
      </c>
    </row>
    <row r="1801" spans="1:10" x14ac:dyDescent="0.25">
      <c r="A1801" s="176"/>
      <c r="B1801" s="174"/>
      <c r="C1801" s="35" t="s">
        <v>1017</v>
      </c>
      <c r="D1801" s="35" t="s">
        <v>583</v>
      </c>
      <c r="E1801" s="36">
        <v>0.63370000000000004</v>
      </c>
      <c r="F1801" s="30">
        <v>21.584</v>
      </c>
      <c r="G1801" s="30">
        <f>IF(ISNUMBER(F1801),E1801*F1801,"")</f>
        <v>13.677780800000001</v>
      </c>
      <c r="H1801" s="34"/>
      <c r="I1801" s="30"/>
      <c r="J1801" s="152">
        <v>1</v>
      </c>
    </row>
    <row r="1802" spans="1:10" x14ac:dyDescent="0.25">
      <c r="A1802" s="176"/>
      <c r="B1802" s="174"/>
      <c r="C1802" s="35" t="s">
        <v>1018</v>
      </c>
      <c r="D1802" s="35" t="s">
        <v>583</v>
      </c>
      <c r="E1802" s="36">
        <v>0.63370000000000004</v>
      </c>
      <c r="F1802" s="30">
        <v>27.835000000000001</v>
      </c>
      <c r="G1802" s="33">
        <f>IF(ISNUMBER(F1802),E1802*F1802,"")</f>
        <v>17.639039500000003</v>
      </c>
      <c r="H1802" s="34"/>
      <c r="I1802" s="30"/>
      <c r="J1802" s="152">
        <v>1</v>
      </c>
    </row>
    <row r="1803" spans="1:10" ht="15.75" thickBot="1" x14ac:dyDescent="0.3">
      <c r="A1803" s="176"/>
      <c r="B1803" s="175"/>
      <c r="C1803" s="35"/>
      <c r="D1803" s="35"/>
      <c r="E1803" s="36"/>
      <c r="F1803" s="30" t="s">
        <v>416</v>
      </c>
      <c r="G1803" s="30" t="str">
        <f>IF(ISNUMBER(F1803),E1803*F1803,"")</f>
        <v/>
      </c>
      <c r="H1803" s="34"/>
      <c r="I1803" s="30"/>
      <c r="J1803" s="152">
        <v>1</v>
      </c>
    </row>
    <row r="1804" spans="1:10" ht="15.75" hidden="1" thickBot="1" x14ac:dyDescent="0.3">
      <c r="A1804" s="170" t="s">
        <v>461</v>
      </c>
      <c r="B1804" s="173" t="str">
        <f>INDEX(Orçamentária!A:B,MATCH(Composições!A1804,Orçamentária!A:A,0),2)</f>
        <v>Instalação de fancolete reaproveitado</v>
      </c>
      <c r="C1804" s="40"/>
      <c r="D1804" s="25" t="s">
        <v>16</v>
      </c>
      <c r="E1804" s="26"/>
      <c r="F1804" s="41" t="s">
        <v>416</v>
      </c>
      <c r="G1804" s="27" t="str">
        <f>IF(ISNUMBER(F1804),E1804*F1804,"")</f>
        <v/>
      </c>
      <c r="H1804" s="28"/>
      <c r="I1804" s="29"/>
      <c r="J1804" s="152">
        <v>0</v>
      </c>
    </row>
    <row r="1805" spans="1:10" ht="15.75" hidden="1" thickBot="1" x14ac:dyDescent="0.3">
      <c r="A1805" s="176"/>
      <c r="B1805" s="174"/>
      <c r="C1805" s="31"/>
      <c r="D1805" s="31"/>
      <c r="E1805" s="32"/>
      <c r="F1805" s="42" t="s">
        <v>416</v>
      </c>
      <c r="G1805" s="30" t="str">
        <f>IF(ISNUMBER(F1805),E1805*F1805,"")</f>
        <v/>
      </c>
      <c r="H1805" s="34"/>
      <c r="I1805" s="30"/>
      <c r="J1805" s="152">
        <v>0</v>
      </c>
    </row>
    <row r="1806" spans="1:10" ht="26.25" hidden="1" thickBot="1" x14ac:dyDescent="0.3">
      <c r="A1806" s="176"/>
      <c r="B1806" s="174"/>
      <c r="C1806" s="35" t="s">
        <v>2901</v>
      </c>
      <c r="D1806" s="35" t="s">
        <v>583</v>
      </c>
      <c r="E1806" s="36">
        <v>2</v>
      </c>
      <c r="F1806" s="30">
        <v>23.160999999999998</v>
      </c>
      <c r="G1806" s="33">
        <f>IF(ISNUMBER(F1806),E1806*F1806,"")</f>
        <v>46.321999999999996</v>
      </c>
      <c r="H1806" s="38">
        <f>SUM(G1806:G1807)</f>
        <v>104.69</v>
      </c>
      <c r="I1806" s="39"/>
      <c r="J1806" s="152">
        <v>0</v>
      </c>
    </row>
    <row r="1807" spans="1:10" ht="26.25" hidden="1" thickBot="1" x14ac:dyDescent="0.3">
      <c r="A1807" s="176"/>
      <c r="B1807" s="174"/>
      <c r="C1807" s="35" t="s">
        <v>462</v>
      </c>
      <c r="D1807" s="35" t="s">
        <v>583</v>
      </c>
      <c r="E1807" s="36">
        <v>2</v>
      </c>
      <c r="F1807" s="30">
        <v>29.183999999999997</v>
      </c>
      <c r="G1807" s="30">
        <f>IF(ISNUMBER(F1807),E1807*F1807,"")</f>
        <v>58.367999999999995</v>
      </c>
      <c r="H1807" s="34"/>
      <c r="I1807" s="30"/>
      <c r="J1807" s="152">
        <v>0</v>
      </c>
    </row>
    <row r="1808" spans="1:10" ht="15.75" hidden="1" thickBot="1" x14ac:dyDescent="0.3">
      <c r="A1808" s="177"/>
      <c r="B1808" s="175"/>
      <c r="C1808" s="35"/>
      <c r="D1808" s="35"/>
      <c r="E1808" s="36"/>
      <c r="F1808" s="30" t="s">
        <v>416</v>
      </c>
      <c r="G1808" s="30" t="str">
        <f>IF(ISNUMBER(F1808),E1808*F1808,"")</f>
        <v/>
      </c>
      <c r="H1808" s="34"/>
      <c r="I1808" s="30"/>
      <c r="J1808" s="152">
        <v>0</v>
      </c>
    </row>
    <row r="1809" spans="1:10" ht="15.75" hidden="1" thickBot="1" x14ac:dyDescent="0.3">
      <c r="A1809" s="170" t="s">
        <v>463</v>
      </c>
      <c r="B1809" s="173" t="str">
        <f>INDEX(Orçamentária!A:B,MATCH(Composições!A1809,Orçamentária!A:A,0),2)</f>
        <v>Instalação de split reaproveitado</v>
      </c>
      <c r="C1809" s="40"/>
      <c r="D1809" s="25" t="s">
        <v>16</v>
      </c>
      <c r="E1809" s="26"/>
      <c r="F1809" s="41" t="s">
        <v>416</v>
      </c>
      <c r="G1809" s="27" t="str">
        <f>IF(ISNUMBER(F1809),E1809*F1809,"")</f>
        <v/>
      </c>
      <c r="H1809" s="28"/>
      <c r="I1809" s="29"/>
      <c r="J1809" s="152">
        <v>0</v>
      </c>
    </row>
    <row r="1810" spans="1:10" ht="15.75" hidden="1" thickBot="1" x14ac:dyDescent="0.3">
      <c r="A1810" s="176"/>
      <c r="B1810" s="174"/>
      <c r="C1810" s="31"/>
      <c r="D1810" s="31"/>
      <c r="E1810" s="32"/>
      <c r="F1810" s="42" t="s">
        <v>416</v>
      </c>
      <c r="G1810" s="30" t="str">
        <f>IF(ISNUMBER(F1810),E1810*F1810,"")</f>
        <v/>
      </c>
      <c r="H1810" s="34"/>
      <c r="I1810" s="30"/>
      <c r="J1810" s="152">
        <v>0</v>
      </c>
    </row>
    <row r="1811" spans="1:10" ht="26.25" hidden="1" thickBot="1" x14ac:dyDescent="0.3">
      <c r="A1811" s="176"/>
      <c r="B1811" s="174"/>
      <c r="C1811" s="35" t="s">
        <v>2901</v>
      </c>
      <c r="D1811" s="35" t="s">
        <v>583</v>
      </c>
      <c r="E1811" s="36">
        <v>3</v>
      </c>
      <c r="F1811" s="30">
        <v>23.160999999999998</v>
      </c>
      <c r="G1811" s="33">
        <f>IF(ISNUMBER(F1811),E1811*F1811,"")</f>
        <v>69.48299999999999</v>
      </c>
      <c r="H1811" s="38">
        <f>SUM(G1811:G1812)</f>
        <v>157.03499999999997</v>
      </c>
      <c r="I1811" s="39"/>
      <c r="J1811" s="152">
        <v>0</v>
      </c>
    </row>
    <row r="1812" spans="1:10" ht="26.25" hidden="1" thickBot="1" x14ac:dyDescent="0.3">
      <c r="A1812" s="176"/>
      <c r="B1812" s="174"/>
      <c r="C1812" s="35" t="s">
        <v>462</v>
      </c>
      <c r="D1812" s="35" t="s">
        <v>583</v>
      </c>
      <c r="E1812" s="36">
        <v>3</v>
      </c>
      <c r="F1812" s="30">
        <v>29.183999999999997</v>
      </c>
      <c r="G1812" s="30">
        <f>IF(ISNUMBER(F1812),E1812*F1812,"")</f>
        <v>87.551999999999992</v>
      </c>
      <c r="H1812" s="34"/>
      <c r="I1812" s="30"/>
      <c r="J1812" s="152">
        <v>0</v>
      </c>
    </row>
    <row r="1813" spans="1:10" ht="15.75" hidden="1" thickBot="1" x14ac:dyDescent="0.3">
      <c r="A1813" s="177"/>
      <c r="B1813" s="175"/>
      <c r="C1813" s="35"/>
      <c r="D1813" s="35"/>
      <c r="E1813" s="36"/>
      <c r="F1813" s="30" t="s">
        <v>416</v>
      </c>
      <c r="G1813" s="30" t="str">
        <f>IF(ISNUMBER(F1813),E1813*F1813,"")</f>
        <v/>
      </c>
      <c r="H1813" s="34"/>
      <c r="I1813" s="30"/>
      <c r="J1813" s="152">
        <v>0</v>
      </c>
    </row>
    <row r="1814" spans="1:10" ht="15.75" hidden="1" thickBot="1" x14ac:dyDescent="0.3">
      <c r="A1814" s="170" t="s">
        <v>464</v>
      </c>
      <c r="B1814" s="173" t="str">
        <f>INDEX(Orçamentária!A:B,MATCH(Composições!A1814,Orçamentária!A:A,0),2)</f>
        <v>Exaustor axial 340 m3/h</v>
      </c>
      <c r="C1814" s="40"/>
      <c r="D1814" s="25" t="s">
        <v>16</v>
      </c>
      <c r="E1814" s="26"/>
      <c r="F1814" s="41" t="s">
        <v>416</v>
      </c>
      <c r="G1814" s="27" t="str">
        <f>IF(ISNUMBER(F1814),E1814*F1814,"")</f>
        <v/>
      </c>
      <c r="H1814" s="28"/>
      <c r="I1814" s="29"/>
      <c r="J1814" s="152">
        <v>0</v>
      </c>
    </row>
    <row r="1815" spans="1:10" ht="15.75" hidden="1" thickBot="1" x14ac:dyDescent="0.3">
      <c r="A1815" s="176"/>
      <c r="B1815" s="174"/>
      <c r="C1815" s="31"/>
      <c r="D1815" s="31"/>
      <c r="E1815" s="32"/>
      <c r="F1815" s="42" t="s">
        <v>416</v>
      </c>
      <c r="G1815" s="30" t="str">
        <f>IF(ISNUMBER(F1815),E1815*F1815,"")</f>
        <v/>
      </c>
      <c r="H1815" s="34"/>
      <c r="I1815" s="30"/>
      <c r="J1815" s="152">
        <v>0</v>
      </c>
    </row>
    <row r="1816" spans="1:10" ht="15.75" hidden="1" thickBot="1" x14ac:dyDescent="0.3">
      <c r="A1816" s="176"/>
      <c r="B1816" s="174"/>
      <c r="C1816" s="35" t="s">
        <v>1018</v>
      </c>
      <c r="D1816" s="35" t="s">
        <v>583</v>
      </c>
      <c r="E1816" s="36">
        <v>1</v>
      </c>
      <c r="F1816" s="30">
        <v>27.835000000000001</v>
      </c>
      <c r="G1816" s="33">
        <f>IF(ISNUMBER(F1816),E1816*F1816,"")</f>
        <v>27.835000000000001</v>
      </c>
      <c r="H1816" s="38">
        <f>SUM(G1816:G1818)</f>
        <v>49.418999999999997</v>
      </c>
      <c r="I1816" s="39"/>
      <c r="J1816" s="152">
        <v>0</v>
      </c>
    </row>
    <row r="1817" spans="1:10" ht="15.75" hidden="1" thickBot="1" x14ac:dyDescent="0.3">
      <c r="A1817" s="176"/>
      <c r="B1817" s="174"/>
      <c r="C1817" s="35" t="s">
        <v>1017</v>
      </c>
      <c r="D1817" s="35" t="s">
        <v>583</v>
      </c>
      <c r="E1817" s="36">
        <v>1</v>
      </c>
      <c r="F1817" s="30">
        <v>21.584</v>
      </c>
      <c r="G1817" s="33">
        <f>IF(ISNUMBER(F1817),E1817*F1817,"")</f>
        <v>21.584</v>
      </c>
      <c r="H1817" s="34"/>
      <c r="I1817" s="30"/>
      <c r="J1817" s="152">
        <v>0</v>
      </c>
    </row>
    <row r="1818" spans="1:10" ht="26.25" hidden="1" thickBot="1" x14ac:dyDescent="0.3">
      <c r="A1818" s="176"/>
      <c r="B1818" s="174"/>
      <c r="C1818" s="35" t="s">
        <v>465</v>
      </c>
      <c r="D1818" s="35" t="s">
        <v>107</v>
      </c>
      <c r="E1818" s="36">
        <v>1</v>
      </c>
      <c r="F1818" s="33" t="s">
        <v>416</v>
      </c>
      <c r="G1818" s="33" t="str">
        <f>IF(ISNUMBER(F1818),E1818*F1818,"")</f>
        <v/>
      </c>
      <c r="H1818" s="34"/>
      <c r="I1818" s="30"/>
      <c r="J1818" s="152">
        <v>0</v>
      </c>
    </row>
    <row r="1819" spans="1:10" ht="15.75" hidden="1" thickBot="1" x14ac:dyDescent="0.3">
      <c r="A1819" s="177"/>
      <c r="B1819" s="175"/>
      <c r="C1819" s="35"/>
      <c r="D1819" s="35"/>
      <c r="E1819" s="36"/>
      <c r="F1819" s="30" t="s">
        <v>416</v>
      </c>
      <c r="G1819" s="30" t="str">
        <f>IF(ISNUMBER(F1819),E1819*F1819,"")</f>
        <v/>
      </c>
      <c r="H1819" s="34"/>
      <c r="I1819" s="30"/>
      <c r="J1819" s="152">
        <v>0</v>
      </c>
    </row>
    <row r="1820" spans="1:10" ht="15.75" hidden="1" thickBot="1" x14ac:dyDescent="0.3">
      <c r="A1820" s="170" t="s">
        <v>466</v>
      </c>
      <c r="B1820" s="173" t="str">
        <f>INDEX(Orçamentária!A:B,MATCH(Composições!A1820,Orçamentária!A:A,0),2)</f>
        <v>Exaustor axial 865 m3/h</v>
      </c>
      <c r="C1820" s="40"/>
      <c r="D1820" s="25" t="s">
        <v>16</v>
      </c>
      <c r="E1820" s="26"/>
      <c r="F1820" s="41" t="s">
        <v>416</v>
      </c>
      <c r="G1820" s="27" t="str">
        <f>IF(ISNUMBER(F1820),E1820*F1820,"")</f>
        <v/>
      </c>
      <c r="H1820" s="28"/>
      <c r="I1820" s="29"/>
      <c r="J1820" s="152">
        <v>0</v>
      </c>
    </row>
    <row r="1821" spans="1:10" ht="15.75" hidden="1" thickBot="1" x14ac:dyDescent="0.3">
      <c r="A1821" s="176"/>
      <c r="B1821" s="174"/>
      <c r="C1821" s="31"/>
      <c r="D1821" s="31"/>
      <c r="E1821" s="32"/>
      <c r="F1821" s="42" t="s">
        <v>416</v>
      </c>
      <c r="G1821" s="30" t="str">
        <f>IF(ISNUMBER(F1821),E1821*F1821,"")</f>
        <v/>
      </c>
      <c r="H1821" s="34"/>
      <c r="I1821" s="30"/>
      <c r="J1821" s="152">
        <v>0</v>
      </c>
    </row>
    <row r="1822" spans="1:10" ht="15.75" hidden="1" thickBot="1" x14ac:dyDescent="0.3">
      <c r="A1822" s="176"/>
      <c r="B1822" s="174"/>
      <c r="C1822" s="35" t="s">
        <v>1018</v>
      </c>
      <c r="D1822" s="35" t="s">
        <v>583</v>
      </c>
      <c r="E1822" s="36">
        <v>1</v>
      </c>
      <c r="F1822" s="30">
        <v>27.835000000000001</v>
      </c>
      <c r="G1822" s="33">
        <f>IF(ISNUMBER(F1822),E1822*F1822,"")</f>
        <v>27.835000000000001</v>
      </c>
      <c r="H1822" s="38">
        <f>SUM(G1822:G1824)</f>
        <v>49.418999999999997</v>
      </c>
      <c r="I1822" s="39"/>
      <c r="J1822" s="152">
        <v>0</v>
      </c>
    </row>
    <row r="1823" spans="1:10" ht="15.75" hidden="1" thickBot="1" x14ac:dyDescent="0.3">
      <c r="A1823" s="176"/>
      <c r="B1823" s="174"/>
      <c r="C1823" s="35" t="s">
        <v>1017</v>
      </c>
      <c r="D1823" s="35" t="s">
        <v>583</v>
      </c>
      <c r="E1823" s="36">
        <v>1</v>
      </c>
      <c r="F1823" s="30">
        <v>21.584</v>
      </c>
      <c r="G1823" s="33">
        <f>IF(ISNUMBER(F1823),E1823*F1823,"")</f>
        <v>21.584</v>
      </c>
      <c r="H1823" s="34"/>
      <c r="I1823" s="30"/>
      <c r="J1823" s="152">
        <v>0</v>
      </c>
    </row>
    <row r="1824" spans="1:10" ht="26.25" hidden="1" thickBot="1" x14ac:dyDescent="0.3">
      <c r="A1824" s="176"/>
      <c r="B1824" s="174"/>
      <c r="C1824" s="35" t="s">
        <v>467</v>
      </c>
      <c r="D1824" s="35" t="s">
        <v>107</v>
      </c>
      <c r="E1824" s="36">
        <v>1</v>
      </c>
      <c r="F1824" s="33" t="s">
        <v>416</v>
      </c>
      <c r="G1824" s="33" t="str">
        <f>IF(ISNUMBER(F1824),E1824*F1824,"")</f>
        <v/>
      </c>
      <c r="H1824" s="34"/>
      <c r="I1824" s="30"/>
      <c r="J1824" s="152">
        <v>0</v>
      </c>
    </row>
    <row r="1825" spans="1:10" ht="15.75" hidden="1" thickBot="1" x14ac:dyDescent="0.3">
      <c r="A1825" s="177"/>
      <c r="B1825" s="175"/>
      <c r="C1825" s="35"/>
      <c r="D1825" s="35"/>
      <c r="E1825" s="36"/>
      <c r="F1825" s="30" t="s">
        <v>416</v>
      </c>
      <c r="G1825" s="30" t="str">
        <f>IF(ISNUMBER(F1825),E1825*F1825,"")</f>
        <v/>
      </c>
      <c r="H1825" s="34"/>
      <c r="I1825" s="30"/>
      <c r="J1825" s="152">
        <v>0</v>
      </c>
    </row>
    <row r="1826" spans="1:10" ht="15.75" hidden="1" thickBot="1" x14ac:dyDescent="0.3">
      <c r="A1826" s="170" t="s">
        <v>468</v>
      </c>
      <c r="B1826" s="173" t="str">
        <f>INDEX(Orçamentária!A:B,MATCH(Composições!A1826,Orçamentária!A:A,0),2)</f>
        <v>Duto chapa galvanizada # 22</v>
      </c>
      <c r="C1826" s="40"/>
      <c r="D1826" s="25" t="s">
        <v>70</v>
      </c>
      <c r="E1826" s="26"/>
      <c r="F1826" s="41" t="s">
        <v>416</v>
      </c>
      <c r="G1826" s="27" t="str">
        <f>IF(ISNUMBER(F1826),E1826*F1826,"")</f>
        <v/>
      </c>
      <c r="H1826" s="28"/>
      <c r="I1826" s="29"/>
      <c r="J1826" s="152">
        <v>0</v>
      </c>
    </row>
    <row r="1827" spans="1:10" ht="15.75" hidden="1" thickBot="1" x14ac:dyDescent="0.3">
      <c r="A1827" s="176"/>
      <c r="B1827" s="174"/>
      <c r="C1827" s="31"/>
      <c r="D1827" s="31"/>
      <c r="E1827" s="32"/>
      <c r="F1827" s="42" t="s">
        <v>416</v>
      </c>
      <c r="G1827" s="30" t="str">
        <f>IF(ISNUMBER(F1827),E1827*F1827,"")</f>
        <v/>
      </c>
      <c r="H1827" s="34"/>
      <c r="I1827" s="30"/>
      <c r="J1827" s="152">
        <v>0</v>
      </c>
    </row>
    <row r="1828" spans="1:10" ht="26.25" hidden="1" thickBot="1" x14ac:dyDescent="0.3">
      <c r="A1828" s="176"/>
      <c r="B1828" s="174"/>
      <c r="C1828" s="35" t="s">
        <v>8058</v>
      </c>
      <c r="D1828" s="35" t="s">
        <v>773</v>
      </c>
      <c r="E1828" s="36">
        <v>6.6559999999999997</v>
      </c>
      <c r="F1828" s="33">
        <v>14.3925</v>
      </c>
      <c r="G1828" s="33">
        <f>IF(ISNUMBER(F1828),E1828*F1828,"")</f>
        <v>95.796480000000003</v>
      </c>
      <c r="H1828" s="38">
        <f>SUM(G1828:G1831)</f>
        <v>285.52895999999998</v>
      </c>
      <c r="I1828" s="39"/>
      <c r="J1828" s="152">
        <v>0</v>
      </c>
    </row>
    <row r="1829" spans="1:10" ht="15.75" hidden="1" thickBot="1" x14ac:dyDescent="0.3">
      <c r="A1829" s="176"/>
      <c r="B1829" s="174"/>
      <c r="C1829" s="35" t="s">
        <v>469</v>
      </c>
      <c r="D1829" s="46" t="s">
        <v>470</v>
      </c>
      <c r="E1829" s="36">
        <v>1</v>
      </c>
      <c r="F1829" s="30">
        <v>0</v>
      </c>
      <c r="G1829" s="33">
        <f>IF(ISNUMBER(F1829),E1829*F1829,"")</f>
        <v>0</v>
      </c>
      <c r="H1829" s="44"/>
      <c r="I1829" s="45"/>
      <c r="J1829" s="152">
        <v>0</v>
      </c>
    </row>
    <row r="1830" spans="1:10" ht="15.75" hidden="1" thickBot="1" x14ac:dyDescent="0.3">
      <c r="A1830" s="176"/>
      <c r="B1830" s="174"/>
      <c r="C1830" s="35" t="s">
        <v>584</v>
      </c>
      <c r="D1830" s="35" t="s">
        <v>583</v>
      </c>
      <c r="E1830" s="36">
        <v>3.84</v>
      </c>
      <c r="F1830" s="30">
        <v>20.225499999999997</v>
      </c>
      <c r="G1830" s="33">
        <f>IF(ISNUMBER(F1830),E1830*F1830,"")</f>
        <v>77.665919999999986</v>
      </c>
      <c r="H1830" s="34"/>
      <c r="I1830" s="30"/>
      <c r="J1830" s="152">
        <v>0</v>
      </c>
    </row>
    <row r="1831" spans="1:10" ht="26.25" hidden="1" thickBot="1" x14ac:dyDescent="0.3">
      <c r="A1831" s="176"/>
      <c r="B1831" s="174"/>
      <c r="C1831" s="35" t="s">
        <v>462</v>
      </c>
      <c r="D1831" s="35" t="s">
        <v>583</v>
      </c>
      <c r="E1831" s="36">
        <v>3.84</v>
      </c>
      <c r="F1831" s="30">
        <v>29.183999999999997</v>
      </c>
      <c r="G1831" s="33">
        <f>IF(ISNUMBER(F1831),E1831*F1831,"")</f>
        <v>112.06655999999998</v>
      </c>
      <c r="H1831" s="34"/>
      <c r="I1831" s="30"/>
      <c r="J1831" s="152">
        <v>0</v>
      </c>
    </row>
    <row r="1832" spans="1:10" ht="15.75" hidden="1" thickBot="1" x14ac:dyDescent="0.3">
      <c r="A1832" s="177"/>
      <c r="B1832" s="175"/>
      <c r="C1832" s="35"/>
      <c r="D1832" s="35"/>
      <c r="E1832" s="36"/>
      <c r="F1832" s="30" t="s">
        <v>416</v>
      </c>
      <c r="G1832" s="30" t="str">
        <f>IF(ISNUMBER(F1832),E1832*F1832,"")</f>
        <v/>
      </c>
      <c r="H1832" s="34"/>
      <c r="I1832" s="30"/>
      <c r="J1832" s="152">
        <v>0</v>
      </c>
    </row>
    <row r="1833" spans="1:10" ht="15.75" hidden="1" thickBot="1" x14ac:dyDescent="0.3">
      <c r="A1833" s="170" t="s">
        <v>471</v>
      </c>
      <c r="B1833" s="173" t="str">
        <f>INDEX(Orçamentária!A:B,MATCH(Composições!A1833,Orçamentária!A:A,0),2)</f>
        <v>Duto flexível 6”</v>
      </c>
      <c r="C1833" s="40"/>
      <c r="D1833" s="25" t="s">
        <v>69</v>
      </c>
      <c r="E1833" s="26"/>
      <c r="F1833" s="41" t="s">
        <v>416</v>
      </c>
      <c r="G1833" s="27" t="str">
        <f>IF(ISNUMBER(F1833),E1833*F1833,"")</f>
        <v/>
      </c>
      <c r="H1833" s="28"/>
      <c r="I1833" s="29"/>
      <c r="J1833" s="152">
        <v>0</v>
      </c>
    </row>
    <row r="1834" spans="1:10" ht="15.75" hidden="1" thickBot="1" x14ac:dyDescent="0.3">
      <c r="A1834" s="176"/>
      <c r="B1834" s="174"/>
      <c r="C1834" s="31"/>
      <c r="D1834" s="31"/>
      <c r="E1834" s="32"/>
      <c r="F1834" s="42" t="s">
        <v>416</v>
      </c>
      <c r="G1834" s="30" t="str">
        <f>IF(ISNUMBER(F1834),E1834*F1834,"")</f>
        <v/>
      </c>
      <c r="H1834" s="34"/>
      <c r="I1834" s="30"/>
      <c r="J1834" s="152">
        <v>0</v>
      </c>
    </row>
    <row r="1835" spans="1:10" ht="15.75" hidden="1" thickBot="1" x14ac:dyDescent="0.3">
      <c r="A1835" s="176"/>
      <c r="B1835" s="174"/>
      <c r="C1835" s="35" t="s">
        <v>584</v>
      </c>
      <c r="D1835" s="35" t="s">
        <v>583</v>
      </c>
      <c r="E1835" s="36">
        <v>0.4</v>
      </c>
      <c r="F1835" s="30">
        <v>20.225499999999997</v>
      </c>
      <c r="G1835" s="30">
        <f>IF(ISNUMBER(F1835),E1835*F1835,"")</f>
        <v>8.0901999999999994</v>
      </c>
      <c r="H1835" s="38">
        <f>SUM(G1835:G1837)</f>
        <v>19.7638</v>
      </c>
      <c r="I1835" s="39"/>
      <c r="J1835" s="152">
        <v>0</v>
      </c>
    </row>
    <row r="1836" spans="1:10" ht="26.25" hidden="1" thickBot="1" x14ac:dyDescent="0.3">
      <c r="A1836" s="176"/>
      <c r="B1836" s="174"/>
      <c r="C1836" s="35" t="s">
        <v>462</v>
      </c>
      <c r="D1836" s="35" t="s">
        <v>583</v>
      </c>
      <c r="E1836" s="36">
        <v>0.4</v>
      </c>
      <c r="F1836" s="30">
        <v>29.183999999999997</v>
      </c>
      <c r="G1836" s="30">
        <f>IF(ISNUMBER(F1836),E1836*F1836,"")</f>
        <v>11.6736</v>
      </c>
      <c r="H1836" s="34"/>
      <c r="I1836" s="30"/>
      <c r="J1836" s="152">
        <v>0</v>
      </c>
    </row>
    <row r="1837" spans="1:10" ht="26.25" hidden="1" thickBot="1" x14ac:dyDescent="0.3">
      <c r="A1837" s="176"/>
      <c r="B1837" s="174"/>
      <c r="C1837" s="35" t="s">
        <v>472</v>
      </c>
      <c r="D1837" s="35" t="s">
        <v>69</v>
      </c>
      <c r="E1837" s="36">
        <v>1.05</v>
      </c>
      <c r="F1837" s="33" t="s">
        <v>416</v>
      </c>
      <c r="G1837" s="30" t="str">
        <f>IF(ISNUMBER(F1837),E1837*F1837,"")</f>
        <v/>
      </c>
      <c r="H1837" s="34"/>
      <c r="I1837" s="30"/>
      <c r="J1837" s="152">
        <v>0</v>
      </c>
    </row>
    <row r="1838" spans="1:10" ht="15.75" hidden="1" thickBot="1" x14ac:dyDescent="0.3">
      <c r="A1838" s="177"/>
      <c r="B1838" s="175"/>
      <c r="C1838" s="35"/>
      <c r="D1838" s="35"/>
      <c r="E1838" s="36"/>
      <c r="F1838" s="30" t="s">
        <v>416</v>
      </c>
      <c r="G1838" s="30" t="str">
        <f>IF(ISNUMBER(F1838),E1838*F1838,"")</f>
        <v/>
      </c>
      <c r="H1838" s="34"/>
      <c r="I1838" s="30"/>
      <c r="J1838" s="152">
        <v>0</v>
      </c>
    </row>
    <row r="1839" spans="1:10" ht="15.75" hidden="1" thickBot="1" x14ac:dyDescent="0.3">
      <c r="A1839" s="170" t="s">
        <v>473</v>
      </c>
      <c r="B1839" s="173" t="str">
        <f>INDEX(Orçamentária!A:B,MATCH(Composições!A1839,Orçamentária!A:A,0),2)</f>
        <v>Duto flexível 8”</v>
      </c>
      <c r="C1839" s="40"/>
      <c r="D1839" s="25" t="s">
        <v>69</v>
      </c>
      <c r="E1839" s="26"/>
      <c r="F1839" s="41" t="s">
        <v>416</v>
      </c>
      <c r="G1839" s="27" t="str">
        <f>IF(ISNUMBER(F1839),E1839*F1839,"")</f>
        <v/>
      </c>
      <c r="H1839" s="28"/>
      <c r="I1839" s="29"/>
      <c r="J1839" s="152">
        <v>0</v>
      </c>
    </row>
    <row r="1840" spans="1:10" ht="15.75" hidden="1" thickBot="1" x14ac:dyDescent="0.3">
      <c r="A1840" s="176"/>
      <c r="B1840" s="174"/>
      <c r="C1840" s="31"/>
      <c r="D1840" s="31"/>
      <c r="E1840" s="32"/>
      <c r="F1840" s="42" t="s">
        <v>416</v>
      </c>
      <c r="G1840" s="30" t="str">
        <f>IF(ISNUMBER(F1840),E1840*F1840,"")</f>
        <v/>
      </c>
      <c r="H1840" s="34"/>
      <c r="I1840" s="30"/>
      <c r="J1840" s="152">
        <v>0</v>
      </c>
    </row>
    <row r="1841" spans="1:10" ht="15.75" hidden="1" thickBot="1" x14ac:dyDescent="0.3">
      <c r="A1841" s="176"/>
      <c r="B1841" s="174"/>
      <c r="C1841" s="35" t="s">
        <v>584</v>
      </c>
      <c r="D1841" s="35" t="s">
        <v>583</v>
      </c>
      <c r="E1841" s="36">
        <v>0.4</v>
      </c>
      <c r="F1841" s="30">
        <v>20.225499999999997</v>
      </c>
      <c r="G1841" s="30">
        <f>IF(ISNUMBER(F1841),E1841*F1841,"")</f>
        <v>8.0901999999999994</v>
      </c>
      <c r="H1841" s="38">
        <f>SUM(G1841:G1843)</f>
        <v>19.7638</v>
      </c>
      <c r="I1841" s="39"/>
      <c r="J1841" s="152">
        <v>0</v>
      </c>
    </row>
    <row r="1842" spans="1:10" ht="26.25" hidden="1" thickBot="1" x14ac:dyDescent="0.3">
      <c r="A1842" s="176"/>
      <c r="B1842" s="174"/>
      <c r="C1842" s="35" t="s">
        <v>462</v>
      </c>
      <c r="D1842" s="35" t="s">
        <v>583</v>
      </c>
      <c r="E1842" s="36">
        <v>0.4</v>
      </c>
      <c r="F1842" s="30">
        <v>29.183999999999997</v>
      </c>
      <c r="G1842" s="30">
        <f>IF(ISNUMBER(F1842),E1842*F1842,"")</f>
        <v>11.6736</v>
      </c>
      <c r="H1842" s="34"/>
      <c r="I1842" s="30"/>
      <c r="J1842" s="152">
        <v>0</v>
      </c>
    </row>
    <row r="1843" spans="1:10" ht="26.25" hidden="1" thickBot="1" x14ac:dyDescent="0.3">
      <c r="A1843" s="176"/>
      <c r="B1843" s="174"/>
      <c r="C1843" s="35" t="s">
        <v>474</v>
      </c>
      <c r="D1843" s="35" t="s">
        <v>69</v>
      </c>
      <c r="E1843" s="36">
        <v>1.05</v>
      </c>
      <c r="F1843" s="33" t="s">
        <v>416</v>
      </c>
      <c r="G1843" s="30" t="str">
        <f>IF(ISNUMBER(F1843),E1843*F1843,"")</f>
        <v/>
      </c>
      <c r="H1843" s="34"/>
      <c r="I1843" s="30"/>
      <c r="J1843" s="152">
        <v>0</v>
      </c>
    </row>
    <row r="1844" spans="1:10" ht="15.75" hidden="1" thickBot="1" x14ac:dyDescent="0.3">
      <c r="A1844" s="177"/>
      <c r="B1844" s="175"/>
      <c r="C1844" s="35"/>
      <c r="D1844" s="35"/>
      <c r="E1844" s="36"/>
      <c r="F1844" s="30" t="s">
        <v>416</v>
      </c>
      <c r="G1844" s="30" t="str">
        <f>IF(ISNUMBER(F1844),E1844*F1844,"")</f>
        <v/>
      </c>
      <c r="H1844" s="34"/>
      <c r="I1844" s="30"/>
      <c r="J1844" s="152">
        <v>0</v>
      </c>
    </row>
    <row r="1845" spans="1:10" ht="15.75" hidden="1" thickBot="1" x14ac:dyDescent="0.3">
      <c r="A1845" s="170" t="s">
        <v>475</v>
      </c>
      <c r="B1845" s="173" t="str">
        <f>INDEX(Orçamentária!A:B,MATCH(Composições!A1845,Orçamentária!A:A,0),2)</f>
        <v>Difusor de ar quadrado 360 x 360 mm</v>
      </c>
      <c r="C1845" s="40"/>
      <c r="D1845" s="25" t="s">
        <v>16</v>
      </c>
      <c r="E1845" s="26"/>
      <c r="F1845" s="41" t="s">
        <v>416</v>
      </c>
      <c r="G1845" s="27" t="str">
        <f>IF(ISNUMBER(F1845),E1845*F1845,"")</f>
        <v/>
      </c>
      <c r="H1845" s="28"/>
      <c r="I1845" s="29"/>
      <c r="J1845" s="152">
        <v>0</v>
      </c>
    </row>
    <row r="1846" spans="1:10" ht="15.75" hidden="1" thickBot="1" x14ac:dyDescent="0.3">
      <c r="A1846" s="176"/>
      <c r="B1846" s="174"/>
      <c r="C1846" s="31"/>
      <c r="D1846" s="31"/>
      <c r="E1846" s="32"/>
      <c r="F1846" s="42" t="s">
        <v>416</v>
      </c>
      <c r="G1846" s="30" t="str">
        <f>IF(ISNUMBER(F1846),E1846*F1846,"")</f>
        <v/>
      </c>
      <c r="H1846" s="34"/>
      <c r="I1846" s="30"/>
      <c r="J1846" s="152">
        <v>0</v>
      </c>
    </row>
    <row r="1847" spans="1:10" ht="26.25" hidden="1" thickBot="1" x14ac:dyDescent="0.3">
      <c r="A1847" s="176"/>
      <c r="B1847" s="174"/>
      <c r="C1847" s="35" t="s">
        <v>2901</v>
      </c>
      <c r="D1847" s="35" t="s">
        <v>583</v>
      </c>
      <c r="E1847" s="36">
        <v>2.5</v>
      </c>
      <c r="F1847" s="30">
        <v>23.160999999999998</v>
      </c>
      <c r="G1847" s="33">
        <f>IF(ISNUMBER(F1847),E1847*F1847,"")</f>
        <v>57.902499999999996</v>
      </c>
      <c r="H1847" s="38">
        <f>SUM(G1847:G1849)</f>
        <v>130.86249999999998</v>
      </c>
      <c r="I1847" s="39"/>
      <c r="J1847" s="152">
        <v>0</v>
      </c>
    </row>
    <row r="1848" spans="1:10" ht="26.25" hidden="1" thickBot="1" x14ac:dyDescent="0.3">
      <c r="A1848" s="176"/>
      <c r="B1848" s="174"/>
      <c r="C1848" s="35" t="s">
        <v>462</v>
      </c>
      <c r="D1848" s="35" t="s">
        <v>583</v>
      </c>
      <c r="E1848" s="36">
        <v>2.5</v>
      </c>
      <c r="F1848" s="30">
        <v>29.183999999999997</v>
      </c>
      <c r="G1848" s="33">
        <f>IF(ISNUMBER(F1848),E1848*F1848,"")</f>
        <v>72.959999999999994</v>
      </c>
      <c r="H1848" s="34"/>
      <c r="I1848" s="30"/>
      <c r="J1848" s="152">
        <v>0</v>
      </c>
    </row>
    <row r="1849" spans="1:10" ht="26.25" hidden="1" thickBot="1" x14ac:dyDescent="0.3">
      <c r="A1849" s="176"/>
      <c r="B1849" s="174"/>
      <c r="C1849" s="35" t="s">
        <v>476</v>
      </c>
      <c r="D1849" s="35" t="s">
        <v>107</v>
      </c>
      <c r="E1849" s="36">
        <v>1</v>
      </c>
      <c r="F1849" s="33" t="s">
        <v>416</v>
      </c>
      <c r="G1849" s="33" t="str">
        <f>IF(ISNUMBER(F1849),E1849*F1849,"")</f>
        <v/>
      </c>
      <c r="H1849" s="34"/>
      <c r="I1849" s="30"/>
      <c r="J1849" s="152">
        <v>0</v>
      </c>
    </row>
    <row r="1850" spans="1:10" ht="15.75" hidden="1" thickBot="1" x14ac:dyDescent="0.3">
      <c r="A1850" s="177"/>
      <c r="B1850" s="175"/>
      <c r="C1850" s="35"/>
      <c r="D1850" s="35"/>
      <c r="E1850" s="36"/>
      <c r="F1850" s="30" t="s">
        <v>416</v>
      </c>
      <c r="G1850" s="30" t="str">
        <f>IF(ISNUMBER(F1850),E1850*F1850,"")</f>
        <v/>
      </c>
      <c r="H1850" s="34"/>
      <c r="I1850" s="30"/>
      <c r="J1850" s="152">
        <v>0</v>
      </c>
    </row>
    <row r="1851" spans="1:10" ht="15.75" hidden="1" thickBot="1" x14ac:dyDescent="0.3">
      <c r="A1851" s="170" t="s">
        <v>477</v>
      </c>
      <c r="B1851" s="173" t="str">
        <f>INDEX(Orçamentária!A:B,MATCH(Composições!A1851,Orçamentária!A:A,0),2)</f>
        <v>Difusor de ar quadrado com caixa plenum AK6 360 x 360 mm</v>
      </c>
      <c r="C1851" s="40"/>
      <c r="D1851" s="25" t="s">
        <v>16</v>
      </c>
      <c r="E1851" s="26"/>
      <c r="F1851" s="41" t="s">
        <v>416</v>
      </c>
      <c r="G1851" s="27" t="str">
        <f>IF(ISNUMBER(F1851),E1851*F1851,"")</f>
        <v/>
      </c>
      <c r="H1851" s="28"/>
      <c r="I1851" s="29"/>
      <c r="J1851" s="152">
        <v>0</v>
      </c>
    </row>
    <row r="1852" spans="1:10" ht="15.75" hidden="1" thickBot="1" x14ac:dyDescent="0.3">
      <c r="A1852" s="176"/>
      <c r="B1852" s="174"/>
      <c r="C1852" s="31"/>
      <c r="D1852" s="31"/>
      <c r="E1852" s="32"/>
      <c r="F1852" s="42" t="s">
        <v>416</v>
      </c>
      <c r="G1852" s="30" t="str">
        <f>IF(ISNUMBER(F1852),E1852*F1852,"")</f>
        <v/>
      </c>
      <c r="H1852" s="34"/>
      <c r="I1852" s="30"/>
      <c r="J1852" s="152">
        <v>0</v>
      </c>
    </row>
    <row r="1853" spans="1:10" ht="26.25" hidden="1" thickBot="1" x14ac:dyDescent="0.3">
      <c r="A1853" s="176"/>
      <c r="B1853" s="174"/>
      <c r="C1853" s="35" t="s">
        <v>2901</v>
      </c>
      <c r="D1853" s="35" t="s">
        <v>583</v>
      </c>
      <c r="E1853" s="36">
        <v>2.5</v>
      </c>
      <c r="F1853" s="30">
        <v>23.160999999999998</v>
      </c>
      <c r="G1853" s="33">
        <f>IF(ISNUMBER(F1853),E1853*F1853,"")</f>
        <v>57.902499999999996</v>
      </c>
      <c r="H1853" s="38">
        <f>SUM(G1853:G1855)</f>
        <v>130.86249999999998</v>
      </c>
      <c r="I1853" s="39"/>
      <c r="J1853" s="152">
        <v>0</v>
      </c>
    </row>
    <row r="1854" spans="1:10" ht="26.25" hidden="1" thickBot="1" x14ac:dyDescent="0.3">
      <c r="A1854" s="176"/>
      <c r="B1854" s="174"/>
      <c r="C1854" s="35" t="s">
        <v>462</v>
      </c>
      <c r="D1854" s="35" t="s">
        <v>583</v>
      </c>
      <c r="E1854" s="36">
        <v>2.5</v>
      </c>
      <c r="F1854" s="30">
        <v>29.183999999999997</v>
      </c>
      <c r="G1854" s="33">
        <f>IF(ISNUMBER(F1854),E1854*F1854,"")</f>
        <v>72.959999999999994</v>
      </c>
      <c r="H1854" s="34"/>
      <c r="I1854" s="30"/>
      <c r="J1854" s="152">
        <v>0</v>
      </c>
    </row>
    <row r="1855" spans="1:10" ht="26.25" hidden="1" thickBot="1" x14ac:dyDescent="0.3">
      <c r="A1855" s="176"/>
      <c r="B1855" s="174"/>
      <c r="C1855" s="35" t="s">
        <v>478</v>
      </c>
      <c r="D1855" s="35" t="s">
        <v>107</v>
      </c>
      <c r="E1855" s="36">
        <v>1</v>
      </c>
      <c r="F1855" s="33" t="s">
        <v>416</v>
      </c>
      <c r="G1855" s="33" t="str">
        <f>IF(ISNUMBER(F1855),E1855*F1855,"")</f>
        <v/>
      </c>
      <c r="H1855" s="34"/>
      <c r="I1855" s="30"/>
      <c r="J1855" s="152">
        <v>0</v>
      </c>
    </row>
    <row r="1856" spans="1:10" ht="15.75" hidden="1" thickBot="1" x14ac:dyDescent="0.3">
      <c r="A1856" s="177"/>
      <c r="B1856" s="175"/>
      <c r="C1856" s="35"/>
      <c r="D1856" s="35"/>
      <c r="E1856" s="36"/>
      <c r="F1856" s="30" t="s">
        <v>416</v>
      </c>
      <c r="G1856" s="30" t="str">
        <f>IF(ISNUMBER(F1856),E1856*F1856,"")</f>
        <v/>
      </c>
      <c r="H1856" s="34"/>
      <c r="I1856" s="30"/>
      <c r="J1856" s="152">
        <v>0</v>
      </c>
    </row>
    <row r="1857" spans="1:10" ht="15.75" hidden="1" thickBot="1" x14ac:dyDescent="0.3">
      <c r="A1857" s="170" t="s">
        <v>479</v>
      </c>
      <c r="B1857" s="173" t="str">
        <f>INDEX(Orçamentária!A:B,MATCH(Composições!A1857,Orçamentária!A:A,0),2)</f>
        <v>Difusor de ar quadrado para insuflamento em duas direções perpendiculares 376 x 376 mm</v>
      </c>
      <c r="C1857" s="40"/>
      <c r="D1857" s="25" t="s">
        <v>16</v>
      </c>
      <c r="E1857" s="26"/>
      <c r="F1857" s="41" t="s">
        <v>416</v>
      </c>
      <c r="G1857" s="27" t="str">
        <f>IF(ISNUMBER(F1857),E1857*F1857,"")</f>
        <v/>
      </c>
      <c r="H1857" s="28"/>
      <c r="I1857" s="29"/>
      <c r="J1857" s="152">
        <v>0</v>
      </c>
    </row>
    <row r="1858" spans="1:10" ht="15.75" hidden="1" thickBot="1" x14ac:dyDescent="0.3">
      <c r="A1858" s="176"/>
      <c r="B1858" s="174"/>
      <c r="C1858" s="31"/>
      <c r="D1858" s="31"/>
      <c r="E1858" s="32"/>
      <c r="F1858" s="42" t="s">
        <v>416</v>
      </c>
      <c r="G1858" s="30" t="str">
        <f>IF(ISNUMBER(F1858),E1858*F1858,"")</f>
        <v/>
      </c>
      <c r="H1858" s="34"/>
      <c r="I1858" s="30"/>
      <c r="J1858" s="152">
        <v>0</v>
      </c>
    </row>
    <row r="1859" spans="1:10" ht="26.25" hidden="1" thickBot="1" x14ac:dyDescent="0.3">
      <c r="A1859" s="176"/>
      <c r="B1859" s="174"/>
      <c r="C1859" s="35" t="s">
        <v>2901</v>
      </c>
      <c r="D1859" s="35" t="s">
        <v>583</v>
      </c>
      <c r="E1859" s="36">
        <v>2.5</v>
      </c>
      <c r="F1859" s="30">
        <v>23.160999999999998</v>
      </c>
      <c r="G1859" s="33">
        <f>IF(ISNUMBER(F1859),E1859*F1859,"")</f>
        <v>57.902499999999996</v>
      </c>
      <c r="H1859" s="38">
        <f>SUM(G1859:G1861)</f>
        <v>130.86249999999998</v>
      </c>
      <c r="I1859" s="39"/>
      <c r="J1859" s="152">
        <v>0</v>
      </c>
    </row>
    <row r="1860" spans="1:10" ht="26.25" hidden="1" thickBot="1" x14ac:dyDescent="0.3">
      <c r="A1860" s="176"/>
      <c r="B1860" s="174"/>
      <c r="C1860" s="35" t="s">
        <v>462</v>
      </c>
      <c r="D1860" s="35" t="s">
        <v>583</v>
      </c>
      <c r="E1860" s="36">
        <v>2.5</v>
      </c>
      <c r="F1860" s="30">
        <v>29.183999999999997</v>
      </c>
      <c r="G1860" s="33">
        <f>IF(ISNUMBER(F1860),E1860*F1860,"")</f>
        <v>72.959999999999994</v>
      </c>
      <c r="H1860" s="34"/>
      <c r="I1860" s="30"/>
      <c r="J1860" s="152">
        <v>0</v>
      </c>
    </row>
    <row r="1861" spans="1:10" ht="26.25" hidden="1" thickBot="1" x14ac:dyDescent="0.3">
      <c r="A1861" s="176"/>
      <c r="B1861" s="174"/>
      <c r="C1861" s="35" t="s">
        <v>480</v>
      </c>
      <c r="D1861" s="35" t="s">
        <v>107</v>
      </c>
      <c r="E1861" s="36">
        <v>1</v>
      </c>
      <c r="F1861" s="33" t="s">
        <v>416</v>
      </c>
      <c r="G1861" s="33" t="str">
        <f>IF(ISNUMBER(F1861),E1861*F1861,"")</f>
        <v/>
      </c>
      <c r="H1861" s="34"/>
      <c r="I1861" s="30"/>
      <c r="J1861" s="152">
        <v>0</v>
      </c>
    </row>
    <row r="1862" spans="1:10" ht="15.75" hidden="1" thickBot="1" x14ac:dyDescent="0.3">
      <c r="A1862" s="177"/>
      <c r="B1862" s="175"/>
      <c r="C1862" s="35"/>
      <c r="D1862" s="35"/>
      <c r="E1862" s="36"/>
      <c r="F1862" s="30" t="s">
        <v>416</v>
      </c>
      <c r="G1862" s="30" t="str">
        <f>IF(ISNUMBER(F1862),E1862*F1862,"")</f>
        <v/>
      </c>
      <c r="H1862" s="34"/>
      <c r="I1862" s="30"/>
      <c r="J1862" s="152">
        <v>0</v>
      </c>
    </row>
    <row r="1863" spans="1:10" ht="15.75" hidden="1" thickBot="1" x14ac:dyDescent="0.3">
      <c r="A1863" s="170" t="s">
        <v>481</v>
      </c>
      <c r="B1863" s="173" t="str">
        <f>INDEX(Orçamentária!A:B,MATCH(Composições!A1863,Orçamentária!A:A,0),2)</f>
        <v>Difusor de ar retangular para insuflamento em duas direções 371 x 208 mm</v>
      </c>
      <c r="C1863" s="40"/>
      <c r="D1863" s="25" t="s">
        <v>16</v>
      </c>
      <c r="E1863" s="26"/>
      <c r="F1863" s="41" t="s">
        <v>416</v>
      </c>
      <c r="G1863" s="27" t="str">
        <f>IF(ISNUMBER(F1863),E1863*F1863,"")</f>
        <v/>
      </c>
      <c r="H1863" s="28"/>
      <c r="I1863" s="29"/>
      <c r="J1863" s="152">
        <v>0</v>
      </c>
    </row>
    <row r="1864" spans="1:10" ht="15.75" hidden="1" thickBot="1" x14ac:dyDescent="0.3">
      <c r="A1864" s="176"/>
      <c r="B1864" s="174"/>
      <c r="C1864" s="31"/>
      <c r="D1864" s="31"/>
      <c r="E1864" s="32"/>
      <c r="F1864" s="42" t="s">
        <v>416</v>
      </c>
      <c r="G1864" s="30" t="str">
        <f>IF(ISNUMBER(F1864),E1864*F1864,"")</f>
        <v/>
      </c>
      <c r="H1864" s="34"/>
      <c r="I1864" s="30"/>
      <c r="J1864" s="152">
        <v>0</v>
      </c>
    </row>
    <row r="1865" spans="1:10" ht="26.25" hidden="1" thickBot="1" x14ac:dyDescent="0.3">
      <c r="A1865" s="176"/>
      <c r="B1865" s="174"/>
      <c r="C1865" s="35" t="s">
        <v>2901</v>
      </c>
      <c r="D1865" s="35" t="s">
        <v>583</v>
      </c>
      <c r="E1865" s="36">
        <v>2.5</v>
      </c>
      <c r="F1865" s="30">
        <v>23.160999999999998</v>
      </c>
      <c r="G1865" s="33">
        <f>IF(ISNUMBER(F1865),E1865*F1865,"")</f>
        <v>57.902499999999996</v>
      </c>
      <c r="H1865" s="38">
        <f>SUM(G1865:G1867)</f>
        <v>130.86249999999998</v>
      </c>
      <c r="I1865" s="39"/>
      <c r="J1865" s="152">
        <v>0</v>
      </c>
    </row>
    <row r="1866" spans="1:10" ht="26.25" hidden="1" thickBot="1" x14ac:dyDescent="0.3">
      <c r="A1866" s="176"/>
      <c r="B1866" s="174"/>
      <c r="C1866" s="35" t="s">
        <v>462</v>
      </c>
      <c r="D1866" s="35" t="s">
        <v>583</v>
      </c>
      <c r="E1866" s="36">
        <v>2.5</v>
      </c>
      <c r="F1866" s="30">
        <v>29.183999999999997</v>
      </c>
      <c r="G1866" s="33">
        <f>IF(ISNUMBER(F1866),E1866*F1866,"")</f>
        <v>72.959999999999994</v>
      </c>
      <c r="H1866" s="34"/>
      <c r="I1866" s="30"/>
      <c r="J1866" s="152">
        <v>0</v>
      </c>
    </row>
    <row r="1867" spans="1:10" ht="39" hidden="1" thickBot="1" x14ac:dyDescent="0.3">
      <c r="A1867" s="176"/>
      <c r="B1867" s="174"/>
      <c r="C1867" s="35" t="s">
        <v>482</v>
      </c>
      <c r="D1867" s="35" t="s">
        <v>107</v>
      </c>
      <c r="E1867" s="36">
        <v>1</v>
      </c>
      <c r="F1867" s="33" t="s">
        <v>416</v>
      </c>
      <c r="G1867" s="33" t="str">
        <f>IF(ISNUMBER(F1867),E1867*F1867,"")</f>
        <v/>
      </c>
      <c r="H1867" s="34"/>
      <c r="I1867" s="30"/>
      <c r="J1867" s="152">
        <v>0</v>
      </c>
    </row>
    <row r="1868" spans="1:10" ht="15.75" hidden="1" thickBot="1" x14ac:dyDescent="0.3">
      <c r="A1868" s="177"/>
      <c r="B1868" s="175"/>
      <c r="C1868" s="35"/>
      <c r="D1868" s="35"/>
      <c r="E1868" s="36"/>
      <c r="F1868" s="30" t="s">
        <v>416</v>
      </c>
      <c r="G1868" s="30" t="str">
        <f>IF(ISNUMBER(F1868),E1868*F1868,"")</f>
        <v/>
      </c>
      <c r="H1868" s="34"/>
      <c r="I1868" s="30"/>
      <c r="J1868" s="152">
        <v>0</v>
      </c>
    </row>
    <row r="1869" spans="1:10" ht="15.75" hidden="1" thickBot="1" x14ac:dyDescent="0.3">
      <c r="A1869" s="170" t="s">
        <v>483</v>
      </c>
      <c r="B1869" s="173" t="str">
        <f>INDEX(Orçamentária!A:B,MATCH(Composições!A1869,Orçamentária!A:A,0),2)</f>
        <v>Difusor de ar retangular para insuflamento em três direções 264 x 432 mm</v>
      </c>
      <c r="C1869" s="40"/>
      <c r="D1869" s="25" t="s">
        <v>16</v>
      </c>
      <c r="E1869" s="26"/>
      <c r="F1869" s="41" t="s">
        <v>416</v>
      </c>
      <c r="G1869" s="27" t="str">
        <f>IF(ISNUMBER(F1869),E1869*F1869,"")</f>
        <v/>
      </c>
      <c r="H1869" s="28"/>
      <c r="I1869" s="29"/>
      <c r="J1869" s="152">
        <v>0</v>
      </c>
    </row>
    <row r="1870" spans="1:10" ht="15.75" hidden="1" thickBot="1" x14ac:dyDescent="0.3">
      <c r="A1870" s="176"/>
      <c r="B1870" s="174"/>
      <c r="C1870" s="31"/>
      <c r="D1870" s="31"/>
      <c r="E1870" s="32"/>
      <c r="F1870" s="42" t="s">
        <v>416</v>
      </c>
      <c r="G1870" s="30" t="str">
        <f>IF(ISNUMBER(F1870),E1870*F1870,"")</f>
        <v/>
      </c>
      <c r="H1870" s="34"/>
      <c r="I1870" s="30"/>
      <c r="J1870" s="152">
        <v>0</v>
      </c>
    </row>
    <row r="1871" spans="1:10" ht="26.25" hidden="1" thickBot="1" x14ac:dyDescent="0.3">
      <c r="A1871" s="176"/>
      <c r="B1871" s="174"/>
      <c r="C1871" s="35" t="s">
        <v>2901</v>
      </c>
      <c r="D1871" s="35" t="s">
        <v>583</v>
      </c>
      <c r="E1871" s="36">
        <v>2.5</v>
      </c>
      <c r="F1871" s="30">
        <v>23.160999999999998</v>
      </c>
      <c r="G1871" s="33">
        <f>IF(ISNUMBER(F1871),E1871*F1871,"")</f>
        <v>57.902499999999996</v>
      </c>
      <c r="H1871" s="38">
        <f>SUM(G1871:G1873)</f>
        <v>130.86249999999998</v>
      </c>
      <c r="I1871" s="39"/>
      <c r="J1871" s="152">
        <v>0</v>
      </c>
    </row>
    <row r="1872" spans="1:10" ht="26.25" hidden="1" thickBot="1" x14ac:dyDescent="0.3">
      <c r="A1872" s="176"/>
      <c r="B1872" s="174"/>
      <c r="C1872" s="35" t="s">
        <v>462</v>
      </c>
      <c r="D1872" s="35" t="s">
        <v>583</v>
      </c>
      <c r="E1872" s="36">
        <v>2.5</v>
      </c>
      <c r="F1872" s="30">
        <v>29.183999999999997</v>
      </c>
      <c r="G1872" s="33">
        <f>IF(ISNUMBER(F1872),E1872*F1872,"")</f>
        <v>72.959999999999994</v>
      </c>
      <c r="H1872" s="34"/>
      <c r="I1872" s="30"/>
      <c r="J1872" s="152">
        <v>0</v>
      </c>
    </row>
    <row r="1873" spans="1:10" ht="51.75" hidden="1" thickBot="1" x14ac:dyDescent="0.3">
      <c r="A1873" s="176"/>
      <c r="B1873" s="174"/>
      <c r="C1873" s="35" t="s">
        <v>484</v>
      </c>
      <c r="D1873" s="35" t="s">
        <v>107</v>
      </c>
      <c r="E1873" s="36">
        <v>1</v>
      </c>
      <c r="F1873" s="33" t="s">
        <v>416</v>
      </c>
      <c r="G1873" s="33" t="str">
        <f>IF(ISNUMBER(F1873),E1873*F1873,"")</f>
        <v/>
      </c>
      <c r="H1873" s="34"/>
      <c r="I1873" s="30"/>
      <c r="J1873" s="152">
        <v>0</v>
      </c>
    </row>
    <row r="1874" spans="1:10" ht="15.75" hidden="1" thickBot="1" x14ac:dyDescent="0.3">
      <c r="A1874" s="177"/>
      <c r="B1874" s="175"/>
      <c r="C1874" s="35"/>
      <c r="D1874" s="35"/>
      <c r="E1874" s="36"/>
      <c r="F1874" s="30" t="s">
        <v>416</v>
      </c>
      <c r="G1874" s="30" t="str">
        <f>IF(ISNUMBER(F1874),E1874*F1874,"")</f>
        <v/>
      </c>
      <c r="H1874" s="34"/>
      <c r="I1874" s="30"/>
      <c r="J1874" s="152">
        <v>0</v>
      </c>
    </row>
    <row r="1875" spans="1:10" ht="15.75" hidden="1" thickBot="1" x14ac:dyDescent="0.3">
      <c r="A1875" s="170" t="s">
        <v>485</v>
      </c>
      <c r="B1875" s="173" t="str">
        <f>INDEX(Orçamentária!A:B,MATCH(Composições!A1875,Orçamentária!A:A,0),2)</f>
        <v>Difusor de ar retangular para insuflamento em três direções 320 x 562 mm</v>
      </c>
      <c r="C1875" s="40"/>
      <c r="D1875" s="25" t="s">
        <v>16</v>
      </c>
      <c r="E1875" s="26"/>
      <c r="F1875" s="41" t="s">
        <v>416</v>
      </c>
      <c r="G1875" s="27" t="str">
        <f>IF(ISNUMBER(F1875),E1875*F1875,"")</f>
        <v/>
      </c>
      <c r="H1875" s="28"/>
      <c r="I1875" s="29"/>
      <c r="J1875" s="152">
        <v>0</v>
      </c>
    </row>
    <row r="1876" spans="1:10" ht="15.75" hidden="1" thickBot="1" x14ac:dyDescent="0.3">
      <c r="A1876" s="176"/>
      <c r="B1876" s="174"/>
      <c r="C1876" s="31"/>
      <c r="D1876" s="31"/>
      <c r="E1876" s="32"/>
      <c r="F1876" s="42" t="s">
        <v>416</v>
      </c>
      <c r="G1876" s="30" t="str">
        <f>IF(ISNUMBER(F1876),E1876*F1876,"")</f>
        <v/>
      </c>
      <c r="H1876" s="34"/>
      <c r="I1876" s="30"/>
      <c r="J1876" s="152">
        <v>0</v>
      </c>
    </row>
    <row r="1877" spans="1:10" ht="26.25" hidden="1" thickBot="1" x14ac:dyDescent="0.3">
      <c r="A1877" s="176"/>
      <c r="B1877" s="174"/>
      <c r="C1877" s="35" t="s">
        <v>2901</v>
      </c>
      <c r="D1877" s="35" t="s">
        <v>583</v>
      </c>
      <c r="E1877" s="36">
        <v>2.5</v>
      </c>
      <c r="F1877" s="30">
        <v>23.160999999999998</v>
      </c>
      <c r="G1877" s="33">
        <f>IF(ISNUMBER(F1877),E1877*F1877,"")</f>
        <v>57.902499999999996</v>
      </c>
      <c r="H1877" s="38">
        <f>SUM(G1877:G1879)</f>
        <v>130.86249999999998</v>
      </c>
      <c r="I1877" s="39"/>
      <c r="J1877" s="152">
        <v>0</v>
      </c>
    </row>
    <row r="1878" spans="1:10" ht="26.25" hidden="1" thickBot="1" x14ac:dyDescent="0.3">
      <c r="A1878" s="176"/>
      <c r="B1878" s="174"/>
      <c r="C1878" s="35" t="s">
        <v>462</v>
      </c>
      <c r="D1878" s="35" t="s">
        <v>583</v>
      </c>
      <c r="E1878" s="36">
        <v>2.5</v>
      </c>
      <c r="F1878" s="30">
        <v>29.183999999999997</v>
      </c>
      <c r="G1878" s="33">
        <f>IF(ISNUMBER(F1878),E1878*F1878,"")</f>
        <v>72.959999999999994</v>
      </c>
      <c r="H1878" s="34"/>
      <c r="I1878" s="30"/>
      <c r="J1878" s="152">
        <v>0</v>
      </c>
    </row>
    <row r="1879" spans="1:10" ht="26.25" hidden="1" thickBot="1" x14ac:dyDescent="0.3">
      <c r="A1879" s="176"/>
      <c r="B1879" s="174"/>
      <c r="C1879" s="35" t="s">
        <v>486</v>
      </c>
      <c r="D1879" s="35" t="s">
        <v>107</v>
      </c>
      <c r="E1879" s="36">
        <v>1</v>
      </c>
      <c r="F1879" s="33" t="s">
        <v>416</v>
      </c>
      <c r="G1879" s="33" t="str">
        <f>IF(ISNUMBER(F1879),E1879*F1879,"")</f>
        <v/>
      </c>
      <c r="H1879" s="34"/>
      <c r="I1879" s="30"/>
      <c r="J1879" s="152">
        <v>0</v>
      </c>
    </row>
    <row r="1880" spans="1:10" ht="15.75" hidden="1" thickBot="1" x14ac:dyDescent="0.3">
      <c r="A1880" s="177"/>
      <c r="B1880" s="175"/>
      <c r="C1880" s="35"/>
      <c r="D1880" s="35"/>
      <c r="E1880" s="36"/>
      <c r="F1880" s="30" t="s">
        <v>416</v>
      </c>
      <c r="G1880" s="30" t="str">
        <f>IF(ISNUMBER(F1880),E1880*F1880,"")</f>
        <v/>
      </c>
      <c r="H1880" s="34"/>
      <c r="I1880" s="30"/>
      <c r="J1880" s="152">
        <v>0</v>
      </c>
    </row>
    <row r="1881" spans="1:10" ht="15.75" hidden="1" thickBot="1" x14ac:dyDescent="0.3">
      <c r="A1881" s="170" t="s">
        <v>487</v>
      </c>
      <c r="B1881" s="173" t="str">
        <f>INDEX(Orçamentária!A:B,MATCH(Composições!A1881,Orçamentária!A:A,0),2)</f>
        <v>Difusor de ar retangular para insuflamento em três direções 371 x 208 mm</v>
      </c>
      <c r="C1881" s="40"/>
      <c r="D1881" s="25" t="s">
        <v>16</v>
      </c>
      <c r="E1881" s="26"/>
      <c r="F1881" s="41" t="s">
        <v>416</v>
      </c>
      <c r="G1881" s="27" t="str">
        <f>IF(ISNUMBER(F1881),E1881*F1881,"")</f>
        <v/>
      </c>
      <c r="H1881" s="28"/>
      <c r="I1881" s="29"/>
      <c r="J1881" s="152">
        <v>0</v>
      </c>
    </row>
    <row r="1882" spans="1:10" ht="15.75" hidden="1" thickBot="1" x14ac:dyDescent="0.3">
      <c r="A1882" s="176"/>
      <c r="B1882" s="174"/>
      <c r="C1882" s="31"/>
      <c r="D1882" s="31"/>
      <c r="E1882" s="32"/>
      <c r="F1882" s="42" t="s">
        <v>416</v>
      </c>
      <c r="G1882" s="30" t="str">
        <f>IF(ISNUMBER(F1882),E1882*F1882,"")</f>
        <v/>
      </c>
      <c r="H1882" s="34"/>
      <c r="I1882" s="30"/>
      <c r="J1882" s="152">
        <v>0</v>
      </c>
    </row>
    <row r="1883" spans="1:10" ht="26.25" hidden="1" thickBot="1" x14ac:dyDescent="0.3">
      <c r="A1883" s="176"/>
      <c r="B1883" s="174"/>
      <c r="C1883" s="35" t="s">
        <v>2901</v>
      </c>
      <c r="D1883" s="35" t="s">
        <v>583</v>
      </c>
      <c r="E1883" s="36">
        <v>2.5</v>
      </c>
      <c r="F1883" s="30">
        <v>23.160999999999998</v>
      </c>
      <c r="G1883" s="33">
        <f>IF(ISNUMBER(F1883),E1883*F1883,"")</f>
        <v>57.902499999999996</v>
      </c>
      <c r="H1883" s="38">
        <f>SUM(G1883:G1885)</f>
        <v>130.86249999999998</v>
      </c>
      <c r="I1883" s="39"/>
      <c r="J1883" s="152">
        <v>0</v>
      </c>
    </row>
    <row r="1884" spans="1:10" ht="26.25" hidden="1" thickBot="1" x14ac:dyDescent="0.3">
      <c r="A1884" s="176"/>
      <c r="B1884" s="174"/>
      <c r="C1884" s="35" t="s">
        <v>462</v>
      </c>
      <c r="D1884" s="35" t="s">
        <v>583</v>
      </c>
      <c r="E1884" s="36">
        <v>2.5</v>
      </c>
      <c r="F1884" s="30">
        <v>29.183999999999997</v>
      </c>
      <c r="G1884" s="33">
        <f>IF(ISNUMBER(F1884),E1884*F1884,"")</f>
        <v>72.959999999999994</v>
      </c>
      <c r="H1884" s="34"/>
      <c r="I1884" s="30"/>
      <c r="J1884" s="152">
        <v>0</v>
      </c>
    </row>
    <row r="1885" spans="1:10" ht="39" hidden="1" thickBot="1" x14ac:dyDescent="0.3">
      <c r="A1885" s="176"/>
      <c r="B1885" s="174"/>
      <c r="C1885" s="35" t="s">
        <v>488</v>
      </c>
      <c r="D1885" s="35" t="s">
        <v>107</v>
      </c>
      <c r="E1885" s="36">
        <v>1</v>
      </c>
      <c r="F1885" s="33" t="s">
        <v>416</v>
      </c>
      <c r="G1885" s="33" t="str">
        <f>IF(ISNUMBER(F1885),E1885*F1885,"")</f>
        <v/>
      </c>
      <c r="H1885" s="34"/>
      <c r="I1885" s="30"/>
      <c r="J1885" s="152">
        <v>0</v>
      </c>
    </row>
    <row r="1886" spans="1:10" ht="15.75" hidden="1" thickBot="1" x14ac:dyDescent="0.3">
      <c r="A1886" s="177"/>
      <c r="B1886" s="175"/>
      <c r="C1886" s="35"/>
      <c r="D1886" s="35"/>
      <c r="E1886" s="36"/>
      <c r="F1886" s="30" t="s">
        <v>416</v>
      </c>
      <c r="G1886" s="30" t="str">
        <f>IF(ISNUMBER(F1886),E1886*F1886,"")</f>
        <v/>
      </c>
      <c r="H1886" s="34"/>
      <c r="I1886" s="30"/>
      <c r="J1886" s="152">
        <v>0</v>
      </c>
    </row>
    <row r="1887" spans="1:10" ht="15.75" hidden="1" thickBot="1" x14ac:dyDescent="0.3">
      <c r="A1887" s="170" t="s">
        <v>489</v>
      </c>
      <c r="B1887" s="173" t="str">
        <f>INDEX(Orçamentária!A:B,MATCH(Composições!A1887,Orçamentária!A:A,0),2)</f>
        <v>Difusor de ar retangular para insuflamento em uma direção 371 x 208 mm</v>
      </c>
      <c r="C1887" s="40"/>
      <c r="D1887" s="25" t="s">
        <v>16</v>
      </c>
      <c r="E1887" s="26"/>
      <c r="F1887" s="41" t="s">
        <v>416</v>
      </c>
      <c r="G1887" s="27" t="str">
        <f>IF(ISNUMBER(F1887),E1887*F1887,"")</f>
        <v/>
      </c>
      <c r="H1887" s="28"/>
      <c r="I1887" s="29"/>
      <c r="J1887" s="152">
        <v>0</v>
      </c>
    </row>
    <row r="1888" spans="1:10" ht="15.75" hidden="1" thickBot="1" x14ac:dyDescent="0.3">
      <c r="A1888" s="176"/>
      <c r="B1888" s="174"/>
      <c r="C1888" s="31"/>
      <c r="D1888" s="31"/>
      <c r="E1888" s="32"/>
      <c r="F1888" s="42" t="s">
        <v>416</v>
      </c>
      <c r="G1888" s="30" t="str">
        <f>IF(ISNUMBER(F1888),E1888*F1888,"")</f>
        <v/>
      </c>
      <c r="H1888" s="34"/>
      <c r="I1888" s="30"/>
      <c r="J1888" s="152">
        <v>0</v>
      </c>
    </row>
    <row r="1889" spans="1:10" ht="26.25" hidden="1" thickBot="1" x14ac:dyDescent="0.3">
      <c r="A1889" s="176"/>
      <c r="B1889" s="174"/>
      <c r="C1889" s="35" t="s">
        <v>2901</v>
      </c>
      <c r="D1889" s="35" t="s">
        <v>583</v>
      </c>
      <c r="E1889" s="36">
        <v>2.5</v>
      </c>
      <c r="F1889" s="30">
        <v>23.160999999999998</v>
      </c>
      <c r="G1889" s="30">
        <f>IF(ISNUMBER(F1889),E1889*F1889,"")</f>
        <v>57.902499999999996</v>
      </c>
      <c r="H1889" s="38">
        <f>SUM(G1889:G1891)</f>
        <v>130.86249999999998</v>
      </c>
      <c r="I1889" s="39"/>
      <c r="J1889" s="152">
        <v>0</v>
      </c>
    </row>
    <row r="1890" spans="1:10" ht="26.25" hidden="1" thickBot="1" x14ac:dyDescent="0.3">
      <c r="A1890" s="176"/>
      <c r="B1890" s="174"/>
      <c r="C1890" s="35" t="s">
        <v>462</v>
      </c>
      <c r="D1890" s="35" t="s">
        <v>583</v>
      </c>
      <c r="E1890" s="36">
        <v>2.5</v>
      </c>
      <c r="F1890" s="30">
        <v>29.183999999999997</v>
      </c>
      <c r="G1890" s="30">
        <f>IF(ISNUMBER(F1890),E1890*F1890,"")</f>
        <v>72.959999999999994</v>
      </c>
      <c r="H1890" s="34"/>
      <c r="I1890" s="30"/>
      <c r="J1890" s="152">
        <v>0</v>
      </c>
    </row>
    <row r="1891" spans="1:10" ht="39" hidden="1" thickBot="1" x14ac:dyDescent="0.3">
      <c r="A1891" s="176"/>
      <c r="B1891" s="174"/>
      <c r="C1891" s="35" t="s">
        <v>490</v>
      </c>
      <c r="D1891" s="35" t="s">
        <v>107</v>
      </c>
      <c r="E1891" s="36">
        <v>1</v>
      </c>
      <c r="F1891" s="33" t="s">
        <v>416</v>
      </c>
      <c r="G1891" s="30" t="str">
        <f>IF(ISNUMBER(F1891),E1891*F1891,"")</f>
        <v/>
      </c>
      <c r="H1891" s="34"/>
      <c r="I1891" s="30"/>
      <c r="J1891" s="152">
        <v>0</v>
      </c>
    </row>
    <row r="1892" spans="1:10" ht="15.75" hidden="1" thickBot="1" x14ac:dyDescent="0.3">
      <c r="A1892" s="177"/>
      <c r="B1892" s="175"/>
      <c r="C1892" s="35"/>
      <c r="D1892" s="35"/>
      <c r="E1892" s="36"/>
      <c r="F1892" s="30" t="s">
        <v>416</v>
      </c>
      <c r="G1892" s="30" t="str">
        <f>IF(ISNUMBER(F1892),E1892*F1892,"")</f>
        <v/>
      </c>
      <c r="H1892" s="34"/>
      <c r="I1892" s="30"/>
      <c r="J1892" s="152">
        <v>0</v>
      </c>
    </row>
    <row r="1893" spans="1:10" ht="15.75" hidden="1" thickBot="1" x14ac:dyDescent="0.3">
      <c r="A1893" s="170" t="s">
        <v>491</v>
      </c>
      <c r="B1893" s="173" t="str">
        <f>INDEX(Orçamentária!A:B,MATCH(Composições!A1893,Orçamentária!A:A,0),2)</f>
        <v>Grelha para retorno retangular 425 x 225 mm</v>
      </c>
      <c r="C1893" s="40"/>
      <c r="D1893" s="25" t="s">
        <v>16</v>
      </c>
      <c r="E1893" s="26"/>
      <c r="F1893" s="41" t="s">
        <v>416</v>
      </c>
      <c r="G1893" s="27" t="str">
        <f>IF(ISNUMBER(F1893),E1893*F1893,"")</f>
        <v/>
      </c>
      <c r="H1893" s="28"/>
      <c r="I1893" s="29"/>
      <c r="J1893" s="152">
        <v>0</v>
      </c>
    </row>
    <row r="1894" spans="1:10" ht="15.75" hidden="1" thickBot="1" x14ac:dyDescent="0.3">
      <c r="A1894" s="176"/>
      <c r="B1894" s="174"/>
      <c r="C1894" s="31"/>
      <c r="D1894" s="31"/>
      <c r="E1894" s="32"/>
      <c r="F1894" s="42" t="s">
        <v>416</v>
      </c>
      <c r="G1894" s="30" t="str">
        <f>IF(ISNUMBER(F1894),E1894*F1894,"")</f>
        <v/>
      </c>
      <c r="H1894" s="34"/>
      <c r="I1894" s="30"/>
      <c r="J1894" s="152">
        <v>0</v>
      </c>
    </row>
    <row r="1895" spans="1:10" ht="26.25" hidden="1" thickBot="1" x14ac:dyDescent="0.3">
      <c r="A1895" s="176"/>
      <c r="B1895" s="174"/>
      <c r="C1895" s="35" t="s">
        <v>2901</v>
      </c>
      <c r="D1895" s="35" t="s">
        <v>583</v>
      </c>
      <c r="E1895" s="36">
        <v>3.5</v>
      </c>
      <c r="F1895" s="30">
        <v>23.160999999999998</v>
      </c>
      <c r="G1895" s="33">
        <f>IF(ISNUMBER(F1895),E1895*F1895,"")</f>
        <v>81.063499999999991</v>
      </c>
      <c r="H1895" s="38">
        <f>SUM(G1895:G1897)</f>
        <v>183.20749999999998</v>
      </c>
      <c r="I1895" s="39"/>
      <c r="J1895" s="152">
        <v>0</v>
      </c>
    </row>
    <row r="1896" spans="1:10" ht="26.25" hidden="1" thickBot="1" x14ac:dyDescent="0.3">
      <c r="A1896" s="176"/>
      <c r="B1896" s="174"/>
      <c r="C1896" s="35" t="s">
        <v>462</v>
      </c>
      <c r="D1896" s="35" t="s">
        <v>583</v>
      </c>
      <c r="E1896" s="36">
        <v>3.5</v>
      </c>
      <c r="F1896" s="30">
        <v>29.183999999999997</v>
      </c>
      <c r="G1896" s="33">
        <f>IF(ISNUMBER(F1896),E1896*F1896,"")</f>
        <v>102.14399999999999</v>
      </c>
      <c r="H1896" s="34"/>
      <c r="I1896" s="30"/>
      <c r="J1896" s="152">
        <v>0</v>
      </c>
    </row>
    <row r="1897" spans="1:10" ht="15.75" hidden="1" thickBot="1" x14ac:dyDescent="0.3">
      <c r="A1897" s="176"/>
      <c r="B1897" s="174"/>
      <c r="C1897" s="35" t="s">
        <v>492</v>
      </c>
      <c r="D1897" s="35" t="s">
        <v>107</v>
      </c>
      <c r="E1897" s="36">
        <v>1</v>
      </c>
      <c r="F1897" s="33">
        <v>0</v>
      </c>
      <c r="G1897" s="33">
        <f>IF(ISNUMBER(F1897),E1897*F1897,"")</f>
        <v>0</v>
      </c>
      <c r="H1897" s="34"/>
      <c r="I1897" s="30"/>
      <c r="J1897" s="152">
        <v>0</v>
      </c>
    </row>
    <row r="1898" spans="1:10" ht="15.75" hidden="1" thickBot="1" x14ac:dyDescent="0.3">
      <c r="A1898" s="177"/>
      <c r="B1898" s="175"/>
      <c r="C1898" s="35"/>
      <c r="D1898" s="35"/>
      <c r="E1898" s="36"/>
      <c r="F1898" s="30" t="s">
        <v>416</v>
      </c>
      <c r="G1898" s="30" t="str">
        <f>IF(ISNUMBER(F1898),E1898*F1898,"")</f>
        <v/>
      </c>
      <c r="H1898" s="34"/>
      <c r="I1898" s="30"/>
      <c r="J1898" s="152">
        <v>0</v>
      </c>
    </row>
    <row r="1899" spans="1:10" ht="15.75" hidden="1" thickBot="1" x14ac:dyDescent="0.3">
      <c r="A1899" s="170" t="s">
        <v>493</v>
      </c>
      <c r="B1899" s="173" t="str">
        <f>INDEX(Orçamentária!A:B,MATCH(Composições!A1899,Orçamentária!A:A,0),2)</f>
        <v>Grelha para retorno retangular 525 x 325 mm</v>
      </c>
      <c r="C1899" s="40"/>
      <c r="D1899" s="25" t="s">
        <v>16</v>
      </c>
      <c r="E1899" s="26"/>
      <c r="F1899" s="41" t="s">
        <v>416</v>
      </c>
      <c r="G1899" s="27" t="str">
        <f>IF(ISNUMBER(F1899),E1899*F1899,"")</f>
        <v/>
      </c>
      <c r="H1899" s="28"/>
      <c r="I1899" s="29"/>
      <c r="J1899" s="152">
        <v>0</v>
      </c>
    </row>
    <row r="1900" spans="1:10" ht="15.75" hidden="1" thickBot="1" x14ac:dyDescent="0.3">
      <c r="A1900" s="176"/>
      <c r="B1900" s="174"/>
      <c r="C1900" s="31"/>
      <c r="D1900" s="31"/>
      <c r="E1900" s="32"/>
      <c r="F1900" s="42" t="s">
        <v>416</v>
      </c>
      <c r="G1900" s="30" t="str">
        <f>IF(ISNUMBER(F1900),E1900*F1900,"")</f>
        <v/>
      </c>
      <c r="H1900" s="34"/>
      <c r="I1900" s="30"/>
      <c r="J1900" s="152">
        <v>0</v>
      </c>
    </row>
    <row r="1901" spans="1:10" ht="26.25" hidden="1" thickBot="1" x14ac:dyDescent="0.3">
      <c r="A1901" s="176"/>
      <c r="B1901" s="174"/>
      <c r="C1901" s="35" t="s">
        <v>2901</v>
      </c>
      <c r="D1901" s="35" t="s">
        <v>583</v>
      </c>
      <c r="E1901" s="36">
        <v>3.5</v>
      </c>
      <c r="F1901" s="30">
        <v>23.160999999999998</v>
      </c>
      <c r="G1901" s="30">
        <f>IF(ISNUMBER(F1901),E1901*F1901,"")</f>
        <v>81.063499999999991</v>
      </c>
      <c r="H1901" s="38">
        <f>SUM(G1901:G1903)</f>
        <v>183.20749999999998</v>
      </c>
      <c r="I1901" s="39"/>
      <c r="J1901" s="152">
        <v>0</v>
      </c>
    </row>
    <row r="1902" spans="1:10" ht="26.25" hidden="1" thickBot="1" x14ac:dyDescent="0.3">
      <c r="A1902" s="176"/>
      <c r="B1902" s="174"/>
      <c r="C1902" s="35" t="s">
        <v>462</v>
      </c>
      <c r="D1902" s="35" t="s">
        <v>583</v>
      </c>
      <c r="E1902" s="36">
        <v>3.5</v>
      </c>
      <c r="F1902" s="30">
        <v>29.183999999999997</v>
      </c>
      <c r="G1902" s="30">
        <f>IF(ISNUMBER(F1902),E1902*F1902,"")</f>
        <v>102.14399999999999</v>
      </c>
      <c r="H1902" s="34"/>
      <c r="I1902" s="30"/>
      <c r="J1902" s="152">
        <v>0</v>
      </c>
    </row>
    <row r="1903" spans="1:10" ht="15.75" hidden="1" thickBot="1" x14ac:dyDescent="0.3">
      <c r="A1903" s="176"/>
      <c r="B1903" s="174"/>
      <c r="C1903" s="35" t="s">
        <v>494</v>
      </c>
      <c r="D1903" s="35" t="s">
        <v>107</v>
      </c>
      <c r="E1903" s="36">
        <v>1</v>
      </c>
      <c r="F1903" s="30">
        <v>0</v>
      </c>
      <c r="G1903" s="30">
        <f>IF(ISNUMBER(F1903),E1903*F1903,"")</f>
        <v>0</v>
      </c>
      <c r="H1903" s="34"/>
      <c r="I1903" s="30"/>
      <c r="J1903" s="152">
        <v>0</v>
      </c>
    </row>
    <row r="1904" spans="1:10" ht="15.75" hidden="1" thickBot="1" x14ac:dyDescent="0.3">
      <c r="A1904" s="177"/>
      <c r="B1904" s="175"/>
      <c r="C1904" s="35"/>
      <c r="D1904" s="35"/>
      <c r="E1904" s="36"/>
      <c r="F1904" s="30" t="s">
        <v>416</v>
      </c>
      <c r="G1904" s="30" t="str">
        <f>IF(ISNUMBER(F1904),E1904*F1904,"")</f>
        <v/>
      </c>
      <c r="H1904" s="34"/>
      <c r="I1904" s="30"/>
      <c r="J1904" s="152">
        <v>0</v>
      </c>
    </row>
    <row r="1905" spans="1:10" ht="15.75" hidden="1" thickBot="1" x14ac:dyDescent="0.3">
      <c r="A1905" s="170" t="s">
        <v>495</v>
      </c>
      <c r="B1905" s="173" t="str">
        <f>INDEX(Orçamentária!A:B,MATCH(Composições!A1905,Orçamentária!A:A,0),2)</f>
        <v>Instalação de difusores, grelhas e acessórios de climatização reaproveitados</v>
      </c>
      <c r="C1905" s="40"/>
      <c r="D1905" s="25" t="s">
        <v>16</v>
      </c>
      <c r="E1905" s="26"/>
      <c r="F1905" s="41" t="s">
        <v>416</v>
      </c>
      <c r="G1905" s="27" t="str">
        <f>IF(ISNUMBER(F1905),E1905*F1905,"")</f>
        <v/>
      </c>
      <c r="H1905" s="28"/>
      <c r="I1905" s="29"/>
      <c r="J1905" s="152">
        <v>0</v>
      </c>
    </row>
    <row r="1906" spans="1:10" ht="15.75" hidden="1" thickBot="1" x14ac:dyDescent="0.3">
      <c r="A1906" s="176"/>
      <c r="B1906" s="174"/>
      <c r="C1906" s="31"/>
      <c r="D1906" s="31"/>
      <c r="E1906" s="32"/>
      <c r="F1906" s="42" t="s">
        <v>416</v>
      </c>
      <c r="G1906" s="30" t="str">
        <f>IF(ISNUMBER(F1906),E1906*F1906,"")</f>
        <v/>
      </c>
      <c r="H1906" s="34"/>
      <c r="I1906" s="30"/>
      <c r="J1906" s="152">
        <v>0</v>
      </c>
    </row>
    <row r="1907" spans="1:10" ht="26.25" hidden="1" thickBot="1" x14ac:dyDescent="0.3">
      <c r="A1907" s="176"/>
      <c r="B1907" s="174"/>
      <c r="C1907" s="35" t="s">
        <v>2901</v>
      </c>
      <c r="D1907" s="35" t="s">
        <v>583</v>
      </c>
      <c r="E1907" s="36">
        <v>2.5</v>
      </c>
      <c r="F1907" s="30">
        <v>23.160999999999998</v>
      </c>
      <c r="G1907" s="30">
        <f>IF(ISNUMBER(F1907),E1907*F1907,"")</f>
        <v>57.902499999999996</v>
      </c>
      <c r="H1907" s="38">
        <f>SUM(G1907:G1908)</f>
        <v>130.86249999999998</v>
      </c>
      <c r="I1907" s="39"/>
      <c r="J1907" s="152">
        <v>0</v>
      </c>
    </row>
    <row r="1908" spans="1:10" ht="26.25" hidden="1" thickBot="1" x14ac:dyDescent="0.3">
      <c r="A1908" s="176"/>
      <c r="B1908" s="174"/>
      <c r="C1908" s="35" t="s">
        <v>462</v>
      </c>
      <c r="D1908" s="35" t="s">
        <v>583</v>
      </c>
      <c r="E1908" s="36">
        <v>2.5</v>
      </c>
      <c r="F1908" s="30">
        <v>29.183999999999997</v>
      </c>
      <c r="G1908" s="30">
        <f>IF(ISNUMBER(F1908),E1908*F1908,"")</f>
        <v>72.959999999999994</v>
      </c>
      <c r="H1908" s="34"/>
      <c r="I1908" s="30"/>
      <c r="J1908" s="152">
        <v>0</v>
      </c>
    </row>
    <row r="1909" spans="1:10" ht="15.75" hidden="1" thickBot="1" x14ac:dyDescent="0.3">
      <c r="A1909" s="177"/>
      <c r="B1909" s="175"/>
      <c r="C1909" s="35"/>
      <c r="D1909" s="35"/>
      <c r="E1909" s="36"/>
      <c r="F1909" s="30" t="s">
        <v>416</v>
      </c>
      <c r="G1909" s="30" t="str">
        <f>IF(ISNUMBER(F1909),E1909*F1909,"")</f>
        <v/>
      </c>
      <c r="H1909" s="34"/>
      <c r="I1909" s="30"/>
      <c r="J1909" s="152">
        <v>0</v>
      </c>
    </row>
    <row r="1910" spans="1:10" ht="15.75" hidden="1" thickBot="1" x14ac:dyDescent="0.3">
      <c r="A1910" s="170" t="s">
        <v>496</v>
      </c>
      <c r="B1910" s="173" t="str">
        <f>INDEX(Orçamentária!A:B,MATCH(Composições!A1910,Orçamentária!A:A,0),2)</f>
        <v>Instalação de exaustor reaproveitado</v>
      </c>
      <c r="C1910" s="40"/>
      <c r="D1910" s="25" t="s">
        <v>16</v>
      </c>
      <c r="E1910" s="26"/>
      <c r="F1910" s="41" t="s">
        <v>416</v>
      </c>
      <c r="G1910" s="27" t="str">
        <f>IF(ISNUMBER(F1910),E1910*F1910,"")</f>
        <v/>
      </c>
      <c r="H1910" s="28"/>
      <c r="I1910" s="29"/>
      <c r="J1910" s="152">
        <v>0</v>
      </c>
    </row>
    <row r="1911" spans="1:10" ht="15.75" hidden="1" thickBot="1" x14ac:dyDescent="0.3">
      <c r="A1911" s="176"/>
      <c r="B1911" s="174"/>
      <c r="C1911" s="31"/>
      <c r="D1911" s="31"/>
      <c r="E1911" s="32"/>
      <c r="F1911" s="42" t="s">
        <v>416</v>
      </c>
      <c r="G1911" s="30" t="str">
        <f>IF(ISNUMBER(F1911),E1911*F1911,"")</f>
        <v/>
      </c>
      <c r="H1911" s="34"/>
      <c r="I1911" s="30"/>
      <c r="J1911" s="152">
        <v>0</v>
      </c>
    </row>
    <row r="1912" spans="1:10" ht="15.75" hidden="1" thickBot="1" x14ac:dyDescent="0.3">
      <c r="A1912" s="176"/>
      <c r="B1912" s="174"/>
      <c r="C1912" s="35" t="s">
        <v>1018</v>
      </c>
      <c r="D1912" s="35" t="s">
        <v>583</v>
      </c>
      <c r="E1912" s="36">
        <v>1</v>
      </c>
      <c r="F1912" s="30">
        <v>27.835000000000001</v>
      </c>
      <c r="G1912" s="33">
        <f>IF(ISNUMBER(F1912),E1912*F1912,"")</f>
        <v>27.835000000000001</v>
      </c>
      <c r="H1912" s="38">
        <f>SUM(G1912:G1913)</f>
        <v>49.418999999999997</v>
      </c>
      <c r="I1912" s="39"/>
      <c r="J1912" s="152">
        <v>0</v>
      </c>
    </row>
    <row r="1913" spans="1:10" ht="15.75" hidden="1" thickBot="1" x14ac:dyDescent="0.3">
      <c r="A1913" s="176"/>
      <c r="B1913" s="174"/>
      <c r="C1913" s="35" t="s">
        <v>1017</v>
      </c>
      <c r="D1913" s="35" t="s">
        <v>583</v>
      </c>
      <c r="E1913" s="36">
        <v>1</v>
      </c>
      <c r="F1913" s="30">
        <v>21.584</v>
      </c>
      <c r="G1913" s="33">
        <f>IF(ISNUMBER(F1913),E1913*F1913,"")</f>
        <v>21.584</v>
      </c>
      <c r="H1913" s="34"/>
      <c r="I1913" s="30"/>
      <c r="J1913" s="152">
        <v>0</v>
      </c>
    </row>
    <row r="1914" spans="1:10" ht="15.75" hidden="1" thickBot="1" x14ac:dyDescent="0.3">
      <c r="A1914" s="177"/>
      <c r="B1914" s="175"/>
      <c r="C1914" s="35"/>
      <c r="D1914" s="35"/>
      <c r="E1914" s="36"/>
      <c r="F1914" s="30" t="s">
        <v>416</v>
      </c>
      <c r="G1914" s="30" t="str">
        <f>IF(ISNUMBER(F1914),E1914*F1914,"")</f>
        <v/>
      </c>
      <c r="H1914" s="34"/>
      <c r="I1914" s="30"/>
      <c r="J1914" s="152">
        <v>0</v>
      </c>
    </row>
    <row r="1915" spans="1:10" ht="15.75" hidden="1" thickBot="1" x14ac:dyDescent="0.3">
      <c r="A1915" s="170" t="s">
        <v>497</v>
      </c>
      <c r="B1915" s="173" t="str">
        <f>INDEX(Orçamentária!A:B,MATCH(Composições!A1915,Orçamentária!A:A,0),2)</f>
        <v>Preparação para instalação de difusores/grelhas de ar em portas</v>
      </c>
      <c r="C1915" s="40"/>
      <c r="D1915" s="25" t="s">
        <v>16</v>
      </c>
      <c r="E1915" s="26"/>
      <c r="F1915" s="41" t="s">
        <v>416</v>
      </c>
      <c r="G1915" s="27" t="str">
        <f>IF(ISNUMBER(F1915),E1915*F1915,"")</f>
        <v/>
      </c>
      <c r="H1915" s="28"/>
      <c r="I1915" s="29"/>
      <c r="J1915" s="152">
        <v>0</v>
      </c>
    </row>
    <row r="1916" spans="1:10" ht="15.75" hidden="1" thickBot="1" x14ac:dyDescent="0.3">
      <c r="A1916" s="176"/>
      <c r="B1916" s="174"/>
      <c r="C1916" s="31"/>
      <c r="D1916" s="31"/>
      <c r="E1916" s="32"/>
      <c r="F1916" s="42" t="s">
        <v>416</v>
      </c>
      <c r="G1916" s="30" t="str">
        <f>IF(ISNUMBER(F1916),E1916*F1916,"")</f>
        <v/>
      </c>
      <c r="H1916" s="34"/>
      <c r="I1916" s="30"/>
      <c r="J1916" s="152">
        <v>0</v>
      </c>
    </row>
    <row r="1917" spans="1:10" ht="15.75" hidden="1" thickBot="1" x14ac:dyDescent="0.3">
      <c r="A1917" s="176"/>
      <c r="B1917" s="174"/>
      <c r="C1917" s="35" t="s">
        <v>2905</v>
      </c>
      <c r="D1917" s="35" t="s">
        <v>583</v>
      </c>
      <c r="E1917" s="36">
        <v>0.75</v>
      </c>
      <c r="F1917" s="30">
        <v>25.4315</v>
      </c>
      <c r="G1917" s="33">
        <f>IF(ISNUMBER(F1917),E1917*F1917,"")</f>
        <v>19.073625</v>
      </c>
      <c r="H1917" s="38">
        <f>SUM(G1917:G1918)</f>
        <v>35.076374999999999</v>
      </c>
      <c r="I1917" s="39"/>
      <c r="J1917" s="152">
        <v>0</v>
      </c>
    </row>
    <row r="1918" spans="1:10" ht="15.75" hidden="1" thickBot="1" x14ac:dyDescent="0.3">
      <c r="A1918" s="176"/>
      <c r="B1918" s="174"/>
      <c r="C1918" s="35" t="s">
        <v>660</v>
      </c>
      <c r="D1918" s="35" t="s">
        <v>583</v>
      </c>
      <c r="E1918" s="36">
        <v>0.75</v>
      </c>
      <c r="F1918" s="30">
        <v>21.337</v>
      </c>
      <c r="G1918" s="33">
        <f>IF(ISNUMBER(F1918),E1918*F1918,"")</f>
        <v>16.002749999999999</v>
      </c>
      <c r="H1918" s="34"/>
      <c r="I1918" s="30"/>
      <c r="J1918" s="152">
        <v>0</v>
      </c>
    </row>
    <row r="1919" spans="1:10" ht="15.75" hidden="1" thickBot="1" x14ac:dyDescent="0.3">
      <c r="A1919" s="177"/>
      <c r="B1919" s="175"/>
      <c r="C1919" s="35"/>
      <c r="D1919" s="35"/>
      <c r="E1919" s="36"/>
      <c r="F1919" s="30" t="s">
        <v>416</v>
      </c>
      <c r="G1919" s="30" t="str">
        <f>IF(ISNUMBER(F1919),E1919*F1919,"")</f>
        <v/>
      </c>
      <c r="H1919" s="34"/>
      <c r="I1919" s="30"/>
      <c r="J1919" s="152">
        <v>0</v>
      </c>
    </row>
    <row r="1920" spans="1:10" ht="15.75" hidden="1" thickBot="1" x14ac:dyDescent="0.3">
      <c r="A1920" s="170" t="s">
        <v>498</v>
      </c>
      <c r="B1920" s="173" t="str">
        <f>INDEX(Orçamentária!A:B,MATCH(Composições!A1920,Orçamentária!A:A,0),2)</f>
        <v>Bomba para condensado de ar-condicionado para instalação oculta</v>
      </c>
      <c r="C1920" s="40"/>
      <c r="D1920" s="25" t="s">
        <v>16</v>
      </c>
      <c r="E1920" s="26"/>
      <c r="F1920" s="41" t="s">
        <v>416</v>
      </c>
      <c r="G1920" s="27" t="str">
        <f>IF(ISNUMBER(F1920),E1920*F1920,"")</f>
        <v/>
      </c>
      <c r="H1920" s="28"/>
      <c r="I1920" s="29"/>
      <c r="J1920" s="152">
        <v>0</v>
      </c>
    </row>
    <row r="1921" spans="1:10" ht="15.75" hidden="1" thickBot="1" x14ac:dyDescent="0.3">
      <c r="A1921" s="176"/>
      <c r="B1921" s="174"/>
      <c r="C1921" s="31"/>
      <c r="D1921" s="31"/>
      <c r="E1921" s="32"/>
      <c r="F1921" s="42" t="s">
        <v>416</v>
      </c>
      <c r="G1921" s="30" t="str">
        <f>IF(ISNUMBER(F1921),E1921*F1921,"")</f>
        <v/>
      </c>
      <c r="H1921" s="34"/>
      <c r="I1921" s="30"/>
      <c r="J1921" s="152">
        <v>0</v>
      </c>
    </row>
    <row r="1922" spans="1:10" ht="26.25" hidden="1" thickBot="1" x14ac:dyDescent="0.3">
      <c r="A1922" s="176"/>
      <c r="B1922" s="174"/>
      <c r="C1922" s="35" t="s">
        <v>824</v>
      </c>
      <c r="D1922" s="35" t="s">
        <v>583</v>
      </c>
      <c r="E1922" s="36">
        <v>0.5</v>
      </c>
      <c r="F1922" s="30">
        <v>21.166</v>
      </c>
      <c r="G1922" s="33">
        <f>IF(ISNUMBER(F1922),E1922*F1922,"")</f>
        <v>10.583</v>
      </c>
      <c r="H1922" s="38">
        <f>SUM(G1922:G1924)</f>
        <v>23.982749999999999</v>
      </c>
      <c r="I1922" s="39"/>
      <c r="J1922" s="152">
        <v>0</v>
      </c>
    </row>
    <row r="1923" spans="1:10" ht="26.25" hidden="1" thickBot="1" x14ac:dyDescent="0.3">
      <c r="A1923" s="176"/>
      <c r="B1923" s="174"/>
      <c r="C1923" s="35" t="s">
        <v>825</v>
      </c>
      <c r="D1923" s="35" t="s">
        <v>583</v>
      </c>
      <c r="E1923" s="36">
        <v>0.5</v>
      </c>
      <c r="F1923" s="30">
        <v>26.799499999999998</v>
      </c>
      <c r="G1923" s="33">
        <f>IF(ISNUMBER(F1923),E1923*F1923,"")</f>
        <v>13.399749999999999</v>
      </c>
      <c r="H1923" s="34"/>
      <c r="I1923" s="30"/>
      <c r="J1923" s="152">
        <v>0</v>
      </c>
    </row>
    <row r="1924" spans="1:10" ht="26.25" hidden="1" thickBot="1" x14ac:dyDescent="0.3">
      <c r="A1924" s="176"/>
      <c r="B1924" s="174"/>
      <c r="C1924" s="35" t="s">
        <v>499</v>
      </c>
      <c r="D1924" s="35" t="s">
        <v>16</v>
      </c>
      <c r="E1924" s="36">
        <v>1</v>
      </c>
      <c r="F1924" s="33" t="s">
        <v>416</v>
      </c>
      <c r="G1924" s="30" t="str">
        <f>IF(ISNUMBER(F1924),E1924*F1924,"")</f>
        <v/>
      </c>
      <c r="H1924" s="34"/>
      <c r="I1924" s="30"/>
      <c r="J1924" s="152">
        <v>0</v>
      </c>
    </row>
    <row r="1925" spans="1:10" ht="15.75" hidden="1" thickBot="1" x14ac:dyDescent="0.3">
      <c r="A1925" s="177"/>
      <c r="B1925" s="175"/>
      <c r="C1925" s="35"/>
      <c r="D1925" s="35"/>
      <c r="E1925" s="36"/>
      <c r="F1925" s="30" t="s">
        <v>416</v>
      </c>
      <c r="G1925" s="30" t="str">
        <f>IF(ISNUMBER(F1925),E1925*F1925,"")</f>
        <v/>
      </c>
      <c r="H1925" s="34"/>
      <c r="I1925" s="30"/>
      <c r="J1925" s="152">
        <v>0</v>
      </c>
    </row>
    <row r="1926" spans="1:10" ht="15.75" hidden="1" thickBot="1" x14ac:dyDescent="0.3">
      <c r="A1926" s="170" t="s">
        <v>500</v>
      </c>
      <c r="B1926" s="173" t="str">
        <f>INDEX(Orçamentária!A:B,MATCH(Composições!A1926,Orçamentária!A:A,0),2)</f>
        <v>Fita aluminizada para refrigeração 48 mm</v>
      </c>
      <c r="C1926" s="40"/>
      <c r="D1926" s="25" t="s">
        <v>69</v>
      </c>
      <c r="E1926" s="26"/>
      <c r="F1926" s="41" t="s">
        <v>416</v>
      </c>
      <c r="G1926" s="27" t="str">
        <f>IF(ISNUMBER(F1926),E1926*F1926,"")</f>
        <v/>
      </c>
      <c r="H1926" s="28"/>
      <c r="I1926" s="29"/>
      <c r="J1926" s="152">
        <v>0</v>
      </c>
    </row>
    <row r="1927" spans="1:10" ht="15.75" hidden="1" thickBot="1" x14ac:dyDescent="0.3">
      <c r="A1927" s="176"/>
      <c r="B1927" s="174"/>
      <c r="C1927" s="31"/>
      <c r="D1927" s="31"/>
      <c r="E1927" s="32"/>
      <c r="F1927" s="42" t="s">
        <v>416</v>
      </c>
      <c r="G1927" s="30" t="str">
        <f>IF(ISNUMBER(F1927),E1927*F1927,"")</f>
        <v/>
      </c>
      <c r="H1927" s="34"/>
      <c r="I1927" s="30"/>
      <c r="J1927" s="152">
        <v>0</v>
      </c>
    </row>
    <row r="1928" spans="1:10" ht="26.25" hidden="1" thickBot="1" x14ac:dyDescent="0.3">
      <c r="A1928" s="176"/>
      <c r="B1928" s="174"/>
      <c r="C1928" s="35" t="s">
        <v>2901</v>
      </c>
      <c r="D1928" s="35" t="s">
        <v>583</v>
      </c>
      <c r="E1928" s="36">
        <v>0.05</v>
      </c>
      <c r="F1928" s="30">
        <v>23.160999999999998</v>
      </c>
      <c r="G1928" s="30">
        <f>IF(ISNUMBER(F1928),E1928*F1928,"")</f>
        <v>1.15805</v>
      </c>
      <c r="H1928" s="38">
        <f>SUM(G1928:G1929)</f>
        <v>1.15805</v>
      </c>
      <c r="I1928" s="39"/>
      <c r="J1928" s="152">
        <v>0</v>
      </c>
    </row>
    <row r="1929" spans="1:10" ht="15.75" hidden="1" thickBot="1" x14ac:dyDescent="0.3">
      <c r="A1929" s="176"/>
      <c r="B1929" s="174"/>
      <c r="C1929" s="35" t="s">
        <v>501</v>
      </c>
      <c r="D1929" s="46" t="s">
        <v>69</v>
      </c>
      <c r="E1929" s="36">
        <v>1</v>
      </c>
      <c r="F1929" s="30" t="s">
        <v>416</v>
      </c>
      <c r="G1929" s="30" t="str">
        <f>IF(ISNUMBER(F1929),E1929*F1929,"")</f>
        <v/>
      </c>
      <c r="H1929" s="34"/>
      <c r="I1929" s="30"/>
      <c r="J1929" s="152">
        <v>0</v>
      </c>
    </row>
    <row r="1930" spans="1:10" ht="15.75" hidden="1" thickBot="1" x14ac:dyDescent="0.3">
      <c r="A1930" s="177"/>
      <c r="B1930" s="175"/>
      <c r="C1930" s="35"/>
      <c r="D1930" s="35"/>
      <c r="E1930" s="36"/>
      <c r="F1930" s="30" t="s">
        <v>416</v>
      </c>
      <c r="G1930" s="30" t="str">
        <f>IF(ISNUMBER(F1930),E1930*F1930,"")</f>
        <v/>
      </c>
      <c r="H1930" s="34"/>
      <c r="I1930" s="30"/>
      <c r="J1930" s="152">
        <v>0</v>
      </c>
    </row>
    <row r="1931" spans="1:10" ht="15.75" thickBot="1" x14ac:dyDescent="0.3">
      <c r="A1931" s="170" t="s">
        <v>502</v>
      </c>
      <c r="B1931" s="173" t="str">
        <f>INDEX(Orçamentária!A:B,MATCH(Composições!A1931,Orçamentária!A:A,0),2)</f>
        <v>Fita PVC 100 mm para acabamento em refrigeração</v>
      </c>
      <c r="C1931" s="40"/>
      <c r="D1931" s="25" t="s">
        <v>69</v>
      </c>
      <c r="E1931" s="26"/>
      <c r="F1931" s="41" t="s">
        <v>416</v>
      </c>
      <c r="G1931" s="27" t="str">
        <f>IF(ISNUMBER(F1931),E1931*F1931,"")</f>
        <v/>
      </c>
      <c r="H1931" s="28"/>
      <c r="I1931" s="29"/>
      <c r="J1931" s="152">
        <v>890</v>
      </c>
    </row>
    <row r="1932" spans="1:10" x14ac:dyDescent="0.25">
      <c r="A1932" s="176"/>
      <c r="B1932" s="174"/>
      <c r="C1932" s="31"/>
      <c r="D1932" s="31"/>
      <c r="E1932" s="32"/>
      <c r="F1932" s="42" t="s">
        <v>416</v>
      </c>
      <c r="G1932" s="30" t="str">
        <f>IF(ISNUMBER(F1932),E1932*F1932,"")</f>
        <v/>
      </c>
      <c r="H1932" s="34"/>
      <c r="I1932" s="30"/>
      <c r="J1932" s="152">
        <v>890</v>
      </c>
    </row>
    <row r="1933" spans="1:10" ht="25.5" x14ac:dyDescent="0.25">
      <c r="A1933" s="176"/>
      <c r="B1933" s="174"/>
      <c r="C1933" s="35" t="s">
        <v>2901</v>
      </c>
      <c r="D1933" s="35" t="s">
        <v>583</v>
      </c>
      <c r="E1933" s="36">
        <v>0.05</v>
      </c>
      <c r="F1933" s="30">
        <v>23.160999999999998</v>
      </c>
      <c r="G1933" s="30">
        <f>IF(ISNUMBER(F1933),E1933*F1933,"")</f>
        <v>1.15805</v>
      </c>
      <c r="H1933" s="38">
        <f>SUM(G1933:G1934)</f>
        <v>1.7780499999999999</v>
      </c>
      <c r="I1933" s="39"/>
      <c r="J1933" s="152">
        <v>890</v>
      </c>
    </row>
    <row r="1934" spans="1:10" x14ac:dyDescent="0.25">
      <c r="A1934" s="176"/>
      <c r="B1934" s="174"/>
      <c r="C1934" s="35" t="s">
        <v>503</v>
      </c>
      <c r="D1934" s="46" t="s">
        <v>69</v>
      </c>
      <c r="E1934" s="36">
        <v>1</v>
      </c>
      <c r="F1934" s="30">
        <v>0.62</v>
      </c>
      <c r="G1934" s="30">
        <f>IF(ISNUMBER(F1934),E1934*F1934,"")</f>
        <v>0.62</v>
      </c>
      <c r="H1934" s="34"/>
      <c r="I1934" s="30"/>
      <c r="J1934" s="152">
        <v>890</v>
      </c>
    </row>
    <row r="1935" spans="1:10" ht="15.75" thickBot="1" x14ac:dyDescent="0.3">
      <c r="A1935" s="177"/>
      <c r="B1935" s="175"/>
      <c r="C1935" s="35"/>
      <c r="D1935" s="35"/>
      <c r="E1935" s="36"/>
      <c r="F1935" s="30" t="s">
        <v>416</v>
      </c>
      <c r="G1935" s="30" t="str">
        <f>IF(ISNUMBER(F1935),E1935*F1935,"")</f>
        <v/>
      </c>
      <c r="H1935" s="34"/>
      <c r="I1935" s="30"/>
      <c r="J1935" s="152">
        <v>890</v>
      </c>
    </row>
    <row r="1936" spans="1:10" ht="15.75" hidden="1" thickBot="1" x14ac:dyDescent="0.3">
      <c r="A1936" s="170" t="s">
        <v>504</v>
      </c>
      <c r="B1936" s="173" t="str">
        <f>INDEX(Orçamentária!A:B,MATCH(Composições!A1936,Orçamentária!A:A,0),2)</f>
        <v>Mangueira emborrachada 3/4" para água gelada</v>
      </c>
      <c r="C1936" s="40"/>
      <c r="D1936" s="25" t="s">
        <v>69</v>
      </c>
      <c r="E1936" s="26"/>
      <c r="F1936" s="41" t="s">
        <v>416</v>
      </c>
      <c r="G1936" s="27" t="str">
        <f>IF(ISNUMBER(F1936),E1936*F1936,"")</f>
        <v/>
      </c>
      <c r="H1936" s="28"/>
      <c r="I1936" s="29"/>
      <c r="J1936" s="152">
        <v>0</v>
      </c>
    </row>
    <row r="1937" spans="1:10" ht="15.75" hidden="1" thickBot="1" x14ac:dyDescent="0.3">
      <c r="A1937" s="176"/>
      <c r="B1937" s="174"/>
      <c r="C1937" s="31"/>
      <c r="D1937" s="31"/>
      <c r="E1937" s="32"/>
      <c r="F1937" s="42" t="s">
        <v>416</v>
      </c>
      <c r="G1937" s="30" t="str">
        <f>IF(ISNUMBER(F1937),E1937*F1937,"")</f>
        <v/>
      </c>
      <c r="H1937" s="34"/>
      <c r="I1937" s="30"/>
      <c r="J1937" s="152">
        <v>0</v>
      </c>
    </row>
    <row r="1938" spans="1:10" ht="26.25" hidden="1" thickBot="1" x14ac:dyDescent="0.3">
      <c r="A1938" s="176"/>
      <c r="B1938" s="174"/>
      <c r="C1938" s="35" t="s">
        <v>2901</v>
      </c>
      <c r="D1938" s="35" t="s">
        <v>583</v>
      </c>
      <c r="E1938" s="36">
        <v>0.05</v>
      </c>
      <c r="F1938" s="30">
        <v>23.160999999999998</v>
      </c>
      <c r="G1938" s="30">
        <f>IF(ISNUMBER(F1938),E1938*F1938,"")</f>
        <v>1.15805</v>
      </c>
      <c r="H1938" s="38">
        <f>SUM(G1938:G1941)</f>
        <v>1.15805</v>
      </c>
      <c r="I1938" s="39"/>
      <c r="J1938" s="152">
        <v>0</v>
      </c>
    </row>
    <row r="1939" spans="1:10" ht="15.75" hidden="1" thickBot="1" x14ac:dyDescent="0.3">
      <c r="A1939" s="176"/>
      <c r="B1939" s="174"/>
      <c r="C1939" s="35" t="s">
        <v>5787</v>
      </c>
      <c r="D1939" s="35" t="s">
        <v>16</v>
      </c>
      <c r="E1939" s="36">
        <v>1</v>
      </c>
      <c r="F1939" s="30" t="s">
        <v>416</v>
      </c>
      <c r="G1939" s="30" t="str">
        <f>IF(ISNUMBER(F1939),E1939*F1939,"")</f>
        <v/>
      </c>
      <c r="H1939" s="34"/>
      <c r="I1939" s="30"/>
      <c r="J1939" s="152">
        <v>0</v>
      </c>
    </row>
    <row r="1940" spans="1:10" ht="15.75" hidden="1" thickBot="1" x14ac:dyDescent="0.3">
      <c r="A1940" s="176"/>
      <c r="B1940" s="174"/>
      <c r="C1940" s="35" t="s">
        <v>5788</v>
      </c>
      <c r="D1940" s="35" t="s">
        <v>16</v>
      </c>
      <c r="E1940" s="36">
        <v>1</v>
      </c>
      <c r="F1940" s="30" t="s">
        <v>416</v>
      </c>
      <c r="G1940" s="30" t="str">
        <f>IF(ISNUMBER(F1940),E1940*F1940,"")</f>
        <v/>
      </c>
      <c r="H1940" s="34"/>
      <c r="I1940" s="30"/>
      <c r="J1940" s="152">
        <v>0</v>
      </c>
    </row>
    <row r="1941" spans="1:10" ht="15.75" hidden="1" thickBot="1" x14ac:dyDescent="0.3">
      <c r="A1941" s="176"/>
      <c r="B1941" s="174"/>
      <c r="C1941" s="35" t="s">
        <v>505</v>
      </c>
      <c r="D1941" s="46" t="s">
        <v>69</v>
      </c>
      <c r="E1941" s="36">
        <v>1</v>
      </c>
      <c r="F1941" s="30" t="s">
        <v>416</v>
      </c>
      <c r="G1941" s="30" t="str">
        <f>IF(ISNUMBER(F1941),E1941*F1941,"")</f>
        <v/>
      </c>
      <c r="H1941" s="34"/>
      <c r="I1941" s="30"/>
      <c r="J1941" s="152">
        <v>0</v>
      </c>
    </row>
    <row r="1942" spans="1:10" ht="15.75" hidden="1" thickBot="1" x14ac:dyDescent="0.3">
      <c r="A1942" s="177"/>
      <c r="B1942" s="175"/>
      <c r="C1942" s="35"/>
      <c r="D1942" s="35"/>
      <c r="E1942" s="36"/>
      <c r="F1942" s="30" t="s">
        <v>416</v>
      </c>
      <c r="G1942" s="30" t="str">
        <f>IF(ISNUMBER(F1942),E1942*F1942,"")</f>
        <v/>
      </c>
      <c r="H1942" s="34"/>
      <c r="I1942" s="30"/>
      <c r="J1942" s="152">
        <v>0</v>
      </c>
    </row>
    <row r="1943" spans="1:10" ht="15.75" thickBot="1" x14ac:dyDescent="0.3">
      <c r="A1943" s="170" t="s">
        <v>506</v>
      </c>
      <c r="B1943" s="173" t="str">
        <f>INDEX(Orçamentária!A:B,MATCH(Composições!A1943,Orçamentária!A:A,0),2)</f>
        <v>Suporte para unidade condensadora de aparelho split</v>
      </c>
      <c r="C1943" s="40"/>
      <c r="D1943" s="25" t="s">
        <v>16</v>
      </c>
      <c r="E1943" s="26"/>
      <c r="F1943" s="41" t="s">
        <v>416</v>
      </c>
      <c r="G1943" s="27" t="str">
        <f>IF(ISNUMBER(F1943),E1943*F1943,"")</f>
        <v/>
      </c>
      <c r="H1943" s="28"/>
      <c r="I1943" s="29"/>
      <c r="J1943" s="152">
        <v>21</v>
      </c>
    </row>
    <row r="1944" spans="1:10" x14ac:dyDescent="0.25">
      <c r="A1944" s="176"/>
      <c r="B1944" s="174"/>
      <c r="C1944" s="31"/>
      <c r="D1944" s="31"/>
      <c r="E1944" s="32"/>
      <c r="F1944" s="42" t="s">
        <v>416</v>
      </c>
      <c r="G1944" s="30" t="str">
        <f>IF(ISNUMBER(F1944),E1944*F1944,"")</f>
        <v/>
      </c>
      <c r="H1944" s="34"/>
      <c r="I1944" s="30"/>
      <c r="J1944" s="152">
        <v>21</v>
      </c>
    </row>
    <row r="1945" spans="1:10" ht="25.5" x14ac:dyDescent="0.25">
      <c r="A1945" s="176"/>
      <c r="B1945" s="174"/>
      <c r="C1945" s="35" t="s">
        <v>824</v>
      </c>
      <c r="D1945" s="35" t="s">
        <v>583</v>
      </c>
      <c r="E1945" s="36">
        <v>0.5</v>
      </c>
      <c r="F1945" s="30">
        <v>21.166</v>
      </c>
      <c r="G1945" s="33">
        <f>IF(ISNUMBER(F1945),E1945*F1945,"")</f>
        <v>10.583</v>
      </c>
      <c r="H1945" s="38">
        <f>SUM(G1945:G1947)</f>
        <v>167.29275000000001</v>
      </c>
      <c r="I1945" s="39"/>
      <c r="J1945" s="152">
        <v>21</v>
      </c>
    </row>
    <row r="1946" spans="1:10" ht="25.5" x14ac:dyDescent="0.25">
      <c r="A1946" s="176"/>
      <c r="B1946" s="174"/>
      <c r="C1946" s="35" t="s">
        <v>825</v>
      </c>
      <c r="D1946" s="35" t="s">
        <v>583</v>
      </c>
      <c r="E1946" s="36">
        <v>0.5</v>
      </c>
      <c r="F1946" s="30">
        <v>26.799499999999998</v>
      </c>
      <c r="G1946" s="33">
        <f>IF(ISNUMBER(F1946),E1946*F1946,"")</f>
        <v>13.399749999999999</v>
      </c>
      <c r="H1946" s="34"/>
      <c r="I1946" s="30"/>
      <c r="J1946" s="152">
        <v>21</v>
      </c>
    </row>
    <row r="1947" spans="1:10" x14ac:dyDescent="0.25">
      <c r="A1947" s="176"/>
      <c r="B1947" s="174"/>
      <c r="C1947" s="35" t="s">
        <v>507</v>
      </c>
      <c r="D1947" s="35" t="s">
        <v>107</v>
      </c>
      <c r="E1947" s="36">
        <v>1</v>
      </c>
      <c r="F1947" s="33">
        <v>143.31</v>
      </c>
      <c r="G1947" s="33">
        <f>IF(ISNUMBER(F1947),E1947*F1947,"")</f>
        <v>143.31</v>
      </c>
      <c r="H1947" s="34"/>
      <c r="I1947" s="30"/>
      <c r="J1947" s="152">
        <v>21</v>
      </c>
    </row>
    <row r="1948" spans="1:10" ht="15.75" thickBot="1" x14ac:dyDescent="0.3">
      <c r="A1948" s="177"/>
      <c r="B1948" s="175"/>
      <c r="C1948" s="35"/>
      <c r="D1948" s="35"/>
      <c r="E1948" s="36"/>
      <c r="F1948" s="30" t="s">
        <v>416</v>
      </c>
      <c r="G1948" s="30" t="str">
        <f>IF(ISNUMBER(F1948),E1948*F1948,"")</f>
        <v/>
      </c>
      <c r="H1948" s="34"/>
      <c r="I1948" s="30"/>
      <c r="J1948" s="152">
        <v>21</v>
      </c>
    </row>
    <row r="1949" spans="1:10" ht="15.75" thickBot="1" x14ac:dyDescent="0.3">
      <c r="A1949" s="170" t="s">
        <v>508</v>
      </c>
      <c r="B1949" s="173" t="str">
        <f>INDEX(Orçamentária!A:B,MATCH(Composições!A1949,Orçamentária!A:A,0),2)</f>
        <v>Suporte para unidade evaporadora de aparelho split ou fancolete</v>
      </c>
      <c r="C1949" s="40"/>
      <c r="D1949" s="25" t="s">
        <v>16</v>
      </c>
      <c r="E1949" s="26"/>
      <c r="F1949" s="41" t="s">
        <v>416</v>
      </c>
      <c r="G1949" s="27" t="str">
        <f>IF(ISNUMBER(F1949),E1949*F1949,"")</f>
        <v/>
      </c>
      <c r="H1949" s="28"/>
      <c r="I1949" s="29"/>
      <c r="J1949" s="152">
        <v>21</v>
      </c>
    </row>
    <row r="1950" spans="1:10" x14ac:dyDescent="0.25">
      <c r="A1950" s="176"/>
      <c r="B1950" s="174"/>
      <c r="C1950" s="31"/>
      <c r="D1950" s="31"/>
      <c r="E1950" s="32"/>
      <c r="F1950" s="42" t="s">
        <v>416</v>
      </c>
      <c r="G1950" s="30" t="str">
        <f>IF(ISNUMBER(F1950),E1950*F1950,"")</f>
        <v/>
      </c>
      <c r="H1950" s="34"/>
      <c r="I1950" s="30"/>
      <c r="J1950" s="152">
        <v>21</v>
      </c>
    </row>
    <row r="1951" spans="1:10" ht="25.5" x14ac:dyDescent="0.25">
      <c r="A1951" s="176"/>
      <c r="B1951" s="174"/>
      <c r="C1951" s="35" t="s">
        <v>824</v>
      </c>
      <c r="D1951" s="35" t="s">
        <v>583</v>
      </c>
      <c r="E1951" s="36">
        <v>0.5</v>
      </c>
      <c r="F1951" s="30">
        <v>21.166</v>
      </c>
      <c r="G1951" s="33">
        <f>IF(ISNUMBER(F1951),E1951*F1951,"")</f>
        <v>10.583</v>
      </c>
      <c r="H1951" s="38">
        <f>SUM(G1951:G1953)</f>
        <v>147.26275000000001</v>
      </c>
      <c r="I1951" s="39"/>
      <c r="J1951" s="152">
        <v>21</v>
      </c>
    </row>
    <row r="1952" spans="1:10" ht="25.5" x14ac:dyDescent="0.25">
      <c r="A1952" s="176"/>
      <c r="B1952" s="174"/>
      <c r="C1952" s="35" t="s">
        <v>825</v>
      </c>
      <c r="D1952" s="35" t="s">
        <v>583</v>
      </c>
      <c r="E1952" s="36">
        <v>0.5</v>
      </c>
      <c r="F1952" s="30">
        <v>26.799499999999998</v>
      </c>
      <c r="G1952" s="33">
        <f>IF(ISNUMBER(F1952),E1952*F1952,"")</f>
        <v>13.399749999999999</v>
      </c>
      <c r="H1952" s="34"/>
      <c r="I1952" s="30"/>
      <c r="J1952" s="152">
        <v>21</v>
      </c>
    </row>
    <row r="1953" spans="1:10" x14ac:dyDescent="0.25">
      <c r="A1953" s="176"/>
      <c r="B1953" s="174"/>
      <c r="C1953" s="35" t="s">
        <v>509</v>
      </c>
      <c r="D1953" s="35" t="s">
        <v>107</v>
      </c>
      <c r="E1953" s="36">
        <v>1</v>
      </c>
      <c r="F1953" s="33">
        <v>123.28</v>
      </c>
      <c r="G1953" s="33">
        <f>IF(ISNUMBER(F1953),E1953*F1953,"")</f>
        <v>123.28</v>
      </c>
      <c r="H1953" s="34"/>
      <c r="I1953" s="30"/>
      <c r="J1953" s="152">
        <v>21</v>
      </c>
    </row>
    <row r="1954" spans="1:10" ht="15.75" thickBot="1" x14ac:dyDescent="0.3">
      <c r="A1954" s="177"/>
      <c r="B1954" s="175"/>
      <c r="C1954" s="35"/>
      <c r="D1954" s="35"/>
      <c r="E1954" s="36"/>
      <c r="F1954" s="30" t="s">
        <v>416</v>
      </c>
      <c r="G1954" s="30" t="str">
        <f>IF(ISNUMBER(F1954),E1954*F1954,"")</f>
        <v/>
      </c>
      <c r="H1954" s="34"/>
      <c r="I1954" s="30"/>
      <c r="J1954" s="152">
        <v>21</v>
      </c>
    </row>
    <row r="1955" spans="1:10" ht="15.75" hidden="1" thickBot="1" x14ac:dyDescent="0.3">
      <c r="A1955" s="170" t="s">
        <v>510</v>
      </c>
      <c r="B1955" s="173" t="str">
        <f>INDEX(Orçamentária!A:B,MATCH(Composições!A1955,Orçamentária!A:A,0),2)</f>
        <v>Filtro em Y 1"</v>
      </c>
      <c r="C1955" s="40"/>
      <c r="D1955" s="25" t="s">
        <v>16</v>
      </c>
      <c r="E1955" s="26"/>
      <c r="F1955" s="41" t="s">
        <v>416</v>
      </c>
      <c r="G1955" s="27" t="str">
        <f>IF(ISNUMBER(F1955),E1955*F1955,"")</f>
        <v/>
      </c>
      <c r="H1955" s="28"/>
      <c r="I1955" s="29"/>
      <c r="J1955" s="152">
        <v>0</v>
      </c>
    </row>
    <row r="1956" spans="1:10" ht="15.75" hidden="1" thickBot="1" x14ac:dyDescent="0.3">
      <c r="A1956" s="176"/>
      <c r="B1956" s="174"/>
      <c r="C1956" s="31"/>
      <c r="D1956" s="31"/>
      <c r="E1956" s="32"/>
      <c r="F1956" s="42" t="s">
        <v>416</v>
      </c>
      <c r="G1956" s="30" t="str">
        <f>IF(ISNUMBER(F1956),E1956*F1956,"")</f>
        <v/>
      </c>
      <c r="H1956" s="34"/>
      <c r="I1956" s="30"/>
      <c r="J1956" s="152">
        <v>0</v>
      </c>
    </row>
    <row r="1957" spans="1:10" ht="26.25" hidden="1" thickBot="1" x14ac:dyDescent="0.3">
      <c r="A1957" s="176"/>
      <c r="B1957" s="174"/>
      <c r="C1957" s="35" t="s">
        <v>824</v>
      </c>
      <c r="D1957" s="35" t="s">
        <v>583</v>
      </c>
      <c r="E1957" s="36">
        <v>0.14849999999999999</v>
      </c>
      <c r="F1957" s="30">
        <v>21.166</v>
      </c>
      <c r="G1957" s="30">
        <f>IF(ISNUMBER(F1957),E1957*F1957,"")</f>
        <v>3.143151</v>
      </c>
      <c r="H1957" s="38">
        <f>SUM(G1957:G1960)</f>
        <v>7.3193785499999997</v>
      </c>
      <c r="I1957" s="39"/>
      <c r="J1957" s="152">
        <v>0</v>
      </c>
    </row>
    <row r="1958" spans="1:10" ht="26.25" hidden="1" thickBot="1" x14ac:dyDescent="0.3">
      <c r="A1958" s="176"/>
      <c r="B1958" s="174"/>
      <c r="C1958" s="35" t="s">
        <v>825</v>
      </c>
      <c r="D1958" s="35" t="s">
        <v>583</v>
      </c>
      <c r="E1958" s="36">
        <v>0.14849999999999999</v>
      </c>
      <c r="F1958" s="30">
        <v>26.799499999999998</v>
      </c>
      <c r="G1958" s="30">
        <f>IF(ISNUMBER(F1958),E1958*F1958,"")</f>
        <v>3.9797257499999996</v>
      </c>
      <c r="H1958" s="34"/>
      <c r="I1958" s="30"/>
      <c r="J1958" s="152">
        <v>0</v>
      </c>
    </row>
    <row r="1959" spans="1:10" ht="39" hidden="1" thickBot="1" x14ac:dyDescent="0.3">
      <c r="A1959" s="176"/>
      <c r="B1959" s="174"/>
      <c r="C1959" s="35" t="s">
        <v>511</v>
      </c>
      <c r="D1959" s="35" t="s">
        <v>107</v>
      </c>
      <c r="E1959" s="36">
        <v>1</v>
      </c>
      <c r="F1959" s="33" t="s">
        <v>416</v>
      </c>
      <c r="G1959" s="30" t="str">
        <f>IF(ISNUMBER(F1959),E1959*F1959,"")</f>
        <v/>
      </c>
      <c r="H1959" s="34"/>
      <c r="I1959" s="30"/>
      <c r="J1959" s="152">
        <v>0</v>
      </c>
    </row>
    <row r="1960" spans="1:10" ht="15.75" hidden="1" thickBot="1" x14ac:dyDescent="0.3">
      <c r="A1960" s="176"/>
      <c r="B1960" s="174"/>
      <c r="C1960" s="35" t="s">
        <v>244</v>
      </c>
      <c r="D1960" s="35" t="s">
        <v>213</v>
      </c>
      <c r="E1960" s="36">
        <v>1.32E-2</v>
      </c>
      <c r="F1960" s="33">
        <v>14.8865</v>
      </c>
      <c r="G1960" s="30">
        <f>IF(ISNUMBER(F1960),E1960*F1960,"")</f>
        <v>0.1965018</v>
      </c>
      <c r="H1960" s="34"/>
      <c r="I1960" s="30"/>
      <c r="J1960" s="152">
        <v>0</v>
      </c>
    </row>
    <row r="1961" spans="1:10" ht="15.75" hidden="1" thickBot="1" x14ac:dyDescent="0.3">
      <c r="A1961" s="177"/>
      <c r="B1961" s="175"/>
      <c r="C1961" s="35"/>
      <c r="D1961" s="35"/>
      <c r="E1961" s="36"/>
      <c r="F1961" s="30" t="s">
        <v>416</v>
      </c>
      <c r="G1961" s="30" t="str">
        <f>IF(ISNUMBER(F1961),E1961*F1961,"")</f>
        <v/>
      </c>
      <c r="H1961" s="34"/>
      <c r="I1961" s="30"/>
      <c r="J1961" s="152">
        <v>0</v>
      </c>
    </row>
    <row r="1962" spans="1:10" ht="15.75" hidden="1" thickBot="1" x14ac:dyDescent="0.3">
      <c r="A1962" s="170" t="s">
        <v>512</v>
      </c>
      <c r="B1962" s="173" t="str">
        <f>INDEX(Orçamentária!A:B,MATCH(Composições!A1962,Orçamentária!A:A,0),2)</f>
        <v>Filtro em Y 3/4"</v>
      </c>
      <c r="C1962" s="40"/>
      <c r="D1962" s="25" t="s">
        <v>16</v>
      </c>
      <c r="E1962" s="26"/>
      <c r="F1962" s="41" t="s">
        <v>416</v>
      </c>
      <c r="G1962" s="27" t="str">
        <f>IF(ISNUMBER(F1962),E1962*F1962,"")</f>
        <v/>
      </c>
      <c r="H1962" s="28"/>
      <c r="I1962" s="29"/>
      <c r="J1962" s="152">
        <v>0</v>
      </c>
    </row>
    <row r="1963" spans="1:10" ht="15.75" hidden="1" thickBot="1" x14ac:dyDescent="0.3">
      <c r="A1963" s="176"/>
      <c r="B1963" s="174"/>
      <c r="C1963" s="31"/>
      <c r="D1963" s="31"/>
      <c r="E1963" s="32"/>
      <c r="F1963" s="42" t="s">
        <v>416</v>
      </c>
      <c r="G1963" s="30" t="str">
        <f>IF(ISNUMBER(F1963),E1963*F1963,"")</f>
        <v/>
      </c>
      <c r="H1963" s="34"/>
      <c r="I1963" s="30"/>
      <c r="J1963" s="152">
        <v>0</v>
      </c>
    </row>
    <row r="1964" spans="1:10" ht="26.25" hidden="1" thickBot="1" x14ac:dyDescent="0.3">
      <c r="A1964" s="176"/>
      <c r="B1964" s="174"/>
      <c r="C1964" s="35" t="s">
        <v>824</v>
      </c>
      <c r="D1964" s="35" t="s">
        <v>583</v>
      </c>
      <c r="E1964" s="36">
        <v>0.11020000000000001</v>
      </c>
      <c r="F1964" s="30">
        <v>21.166</v>
      </c>
      <c r="G1964" s="30">
        <f>IF(ISNUMBER(F1964),E1964*F1964,"")</f>
        <v>2.3324932</v>
      </c>
      <c r="H1964" s="38">
        <f>SUM(G1964:G1967)</f>
        <v>5.4435950000000002</v>
      </c>
      <c r="I1964" s="39"/>
      <c r="J1964" s="152">
        <v>0</v>
      </c>
    </row>
    <row r="1965" spans="1:10" ht="26.25" hidden="1" thickBot="1" x14ac:dyDescent="0.3">
      <c r="A1965" s="176"/>
      <c r="B1965" s="174"/>
      <c r="C1965" s="35" t="s">
        <v>825</v>
      </c>
      <c r="D1965" s="35" t="s">
        <v>583</v>
      </c>
      <c r="E1965" s="36">
        <v>0.11020000000000001</v>
      </c>
      <c r="F1965" s="30">
        <v>26.799499999999998</v>
      </c>
      <c r="G1965" s="30">
        <f>IF(ISNUMBER(F1965),E1965*F1965,"")</f>
        <v>2.9533049</v>
      </c>
      <c r="H1965" s="34"/>
      <c r="I1965" s="30"/>
      <c r="J1965" s="152">
        <v>0</v>
      </c>
    </row>
    <row r="1966" spans="1:10" ht="39" hidden="1" thickBot="1" x14ac:dyDescent="0.3">
      <c r="A1966" s="176"/>
      <c r="B1966" s="174"/>
      <c r="C1966" s="35" t="s">
        <v>513</v>
      </c>
      <c r="D1966" s="35" t="s">
        <v>107</v>
      </c>
      <c r="E1966" s="36">
        <v>1</v>
      </c>
      <c r="F1966" s="33" t="s">
        <v>416</v>
      </c>
      <c r="G1966" s="30" t="str">
        <f>IF(ISNUMBER(F1966),E1966*F1966,"")</f>
        <v/>
      </c>
      <c r="H1966" s="34"/>
      <c r="I1966" s="30"/>
      <c r="J1966" s="152">
        <v>0</v>
      </c>
    </row>
    <row r="1967" spans="1:10" ht="15.75" hidden="1" thickBot="1" x14ac:dyDescent="0.3">
      <c r="A1967" s="176"/>
      <c r="B1967" s="174"/>
      <c r="C1967" s="35" t="s">
        <v>244</v>
      </c>
      <c r="D1967" s="35" t="s">
        <v>213</v>
      </c>
      <c r="E1967" s="36">
        <v>1.06E-2</v>
      </c>
      <c r="F1967" s="33">
        <v>14.8865</v>
      </c>
      <c r="G1967" s="30">
        <f>IF(ISNUMBER(F1967),E1967*F1967,"")</f>
        <v>0.15779689999999999</v>
      </c>
      <c r="H1967" s="34"/>
      <c r="I1967" s="30"/>
      <c r="J1967" s="152">
        <v>0</v>
      </c>
    </row>
    <row r="1968" spans="1:10" ht="15.75" hidden="1" thickBot="1" x14ac:dyDescent="0.3">
      <c r="A1968" s="177"/>
      <c r="B1968" s="175"/>
      <c r="C1968" s="35"/>
      <c r="D1968" s="35"/>
      <c r="E1968" s="36"/>
      <c r="F1968" s="30" t="s">
        <v>416</v>
      </c>
      <c r="G1968" s="30" t="str">
        <f>IF(ISNUMBER(F1968),E1968*F1968,"")</f>
        <v/>
      </c>
      <c r="H1968" s="34"/>
      <c r="I1968" s="30"/>
      <c r="J1968" s="152">
        <v>0</v>
      </c>
    </row>
    <row r="1969" spans="1:10" ht="15.75" hidden="1" thickBot="1" x14ac:dyDescent="0.3">
      <c r="A1969" s="170" t="s">
        <v>514</v>
      </c>
      <c r="B1969" s="173" t="str">
        <f>INDEX(Orçamentária!A:B,MATCH(Composições!A1969,Orçamentária!A:A,0),2)</f>
        <v>Válvula de balanceamento e controle independente da pressão (PIBCV) 2 vias 1"</v>
      </c>
      <c r="C1969" s="40"/>
      <c r="D1969" s="25" t="s">
        <v>16</v>
      </c>
      <c r="E1969" s="26"/>
      <c r="F1969" s="41" t="s">
        <v>416</v>
      </c>
      <c r="G1969" s="27" t="str">
        <f>IF(ISNUMBER(F1969),E1969*F1969,"")</f>
        <v/>
      </c>
      <c r="H1969" s="28"/>
      <c r="I1969" s="29"/>
      <c r="J1969" s="152">
        <v>0</v>
      </c>
    </row>
    <row r="1970" spans="1:10" ht="15.75" hidden="1" thickBot="1" x14ac:dyDescent="0.3">
      <c r="A1970" s="176"/>
      <c r="B1970" s="174"/>
      <c r="C1970" s="31"/>
      <c r="D1970" s="31"/>
      <c r="E1970" s="32"/>
      <c r="F1970" s="42" t="s">
        <v>416</v>
      </c>
      <c r="G1970" s="30" t="str">
        <f>IF(ISNUMBER(F1970),E1970*F1970,"")</f>
        <v/>
      </c>
      <c r="H1970" s="34"/>
      <c r="I1970" s="30"/>
      <c r="J1970" s="152">
        <v>0</v>
      </c>
    </row>
    <row r="1971" spans="1:10" ht="26.25" hidden="1" thickBot="1" x14ac:dyDescent="0.3">
      <c r="A1971" s="176"/>
      <c r="B1971" s="174"/>
      <c r="C1971" s="35" t="s">
        <v>824</v>
      </c>
      <c r="D1971" s="35" t="s">
        <v>583</v>
      </c>
      <c r="E1971" s="36">
        <v>0.14849999999999999</v>
      </c>
      <c r="F1971" s="30">
        <v>21.166</v>
      </c>
      <c r="G1971" s="30">
        <f>IF(ISNUMBER(F1971),E1971*F1971,"")</f>
        <v>3.143151</v>
      </c>
      <c r="H1971" s="38">
        <f>SUM(G1971:G1975)</f>
        <v>7.3193785499999997</v>
      </c>
      <c r="I1971" s="39"/>
      <c r="J1971" s="152">
        <v>0</v>
      </c>
    </row>
    <row r="1972" spans="1:10" ht="26.25" hidden="1" thickBot="1" x14ac:dyDescent="0.3">
      <c r="A1972" s="176"/>
      <c r="B1972" s="174"/>
      <c r="C1972" s="35" t="s">
        <v>825</v>
      </c>
      <c r="D1972" s="35" t="s">
        <v>583</v>
      </c>
      <c r="E1972" s="36">
        <v>0.14849999999999999</v>
      </c>
      <c r="F1972" s="30">
        <v>26.799499999999998</v>
      </c>
      <c r="G1972" s="30">
        <f>IF(ISNUMBER(F1972),E1972*F1972,"")</f>
        <v>3.9797257499999996</v>
      </c>
      <c r="H1972" s="34"/>
      <c r="I1972" s="30"/>
      <c r="J1972" s="152">
        <v>0</v>
      </c>
    </row>
    <row r="1973" spans="1:10" ht="15.75" hidden="1" thickBot="1" x14ac:dyDescent="0.3">
      <c r="A1973" s="176"/>
      <c r="B1973" s="174"/>
      <c r="C1973" s="35" t="s">
        <v>244</v>
      </c>
      <c r="D1973" s="35" t="s">
        <v>213</v>
      </c>
      <c r="E1973" s="36">
        <v>1.32E-2</v>
      </c>
      <c r="F1973" s="33">
        <v>14.8865</v>
      </c>
      <c r="G1973" s="30">
        <f>IF(ISNUMBER(F1973),E1973*F1973,"")</f>
        <v>0.1965018</v>
      </c>
      <c r="H1973" s="34"/>
      <c r="I1973" s="30"/>
      <c r="J1973" s="152">
        <v>0</v>
      </c>
    </row>
    <row r="1974" spans="1:10" ht="39" hidden="1" thickBot="1" x14ac:dyDescent="0.3">
      <c r="A1974" s="176"/>
      <c r="B1974" s="174"/>
      <c r="C1974" s="35" t="s">
        <v>515</v>
      </c>
      <c r="D1974" s="35" t="s">
        <v>107</v>
      </c>
      <c r="E1974" s="36">
        <v>1</v>
      </c>
      <c r="F1974" s="33" t="s">
        <v>416</v>
      </c>
      <c r="G1974" s="30" t="str">
        <f>IF(ISNUMBER(F1974),E1974*F1974,"")</f>
        <v/>
      </c>
      <c r="H1974" s="34"/>
      <c r="I1974" s="30"/>
      <c r="J1974" s="152">
        <v>0</v>
      </c>
    </row>
    <row r="1975" spans="1:10" ht="39" hidden="1" thickBot="1" x14ac:dyDescent="0.3">
      <c r="A1975" s="176"/>
      <c r="B1975" s="174"/>
      <c r="C1975" s="35" t="s">
        <v>516</v>
      </c>
      <c r="D1975" s="35" t="s">
        <v>107</v>
      </c>
      <c r="E1975" s="36">
        <v>1</v>
      </c>
      <c r="F1975" s="33" t="s">
        <v>416</v>
      </c>
      <c r="G1975" s="30" t="str">
        <f>IF(ISNUMBER(F1975),E1975*F1975,"")</f>
        <v/>
      </c>
      <c r="H1975" s="34"/>
      <c r="I1975" s="30"/>
      <c r="J1975" s="152">
        <v>0</v>
      </c>
    </row>
    <row r="1976" spans="1:10" ht="15.75" hidden="1" thickBot="1" x14ac:dyDescent="0.3">
      <c r="A1976" s="177"/>
      <c r="B1976" s="175"/>
      <c r="C1976" s="35"/>
      <c r="D1976" s="35"/>
      <c r="E1976" s="36"/>
      <c r="F1976" s="30" t="s">
        <v>416</v>
      </c>
      <c r="G1976" s="30" t="str">
        <f>IF(ISNUMBER(F1976),E1976*F1976,"")</f>
        <v/>
      </c>
      <c r="H1976" s="34"/>
      <c r="I1976" s="30"/>
      <c r="J1976" s="152">
        <v>0</v>
      </c>
    </row>
    <row r="1977" spans="1:10" ht="15.75" hidden="1" thickBot="1" x14ac:dyDescent="0.3">
      <c r="A1977" s="170" t="s">
        <v>517</v>
      </c>
      <c r="B1977" s="173" t="str">
        <f>INDEX(Orçamentária!A:B,MATCH(Composições!A1977,Orçamentária!A:A,0),2)</f>
        <v>Válvula de balanceamento e controle independente da pressão (PIBCV) 2 vias 3/4"</v>
      </c>
      <c r="C1977" s="40"/>
      <c r="D1977" s="25" t="s">
        <v>16</v>
      </c>
      <c r="E1977" s="26"/>
      <c r="F1977" s="41" t="s">
        <v>416</v>
      </c>
      <c r="G1977" s="27" t="str">
        <f>IF(ISNUMBER(F1977),E1977*F1977,"")</f>
        <v/>
      </c>
      <c r="H1977" s="28"/>
      <c r="I1977" s="29"/>
      <c r="J1977" s="152">
        <v>0</v>
      </c>
    </row>
    <row r="1978" spans="1:10" ht="15.75" hidden="1" thickBot="1" x14ac:dyDescent="0.3">
      <c r="A1978" s="176"/>
      <c r="B1978" s="174"/>
      <c r="C1978" s="31"/>
      <c r="D1978" s="31"/>
      <c r="E1978" s="32"/>
      <c r="F1978" s="42" t="s">
        <v>416</v>
      </c>
      <c r="G1978" s="30" t="str">
        <f>IF(ISNUMBER(F1978),E1978*F1978,"")</f>
        <v/>
      </c>
      <c r="H1978" s="34"/>
      <c r="I1978" s="30"/>
      <c r="J1978" s="152">
        <v>0</v>
      </c>
    </row>
    <row r="1979" spans="1:10" ht="26.25" hidden="1" thickBot="1" x14ac:dyDescent="0.3">
      <c r="A1979" s="176"/>
      <c r="B1979" s="174"/>
      <c r="C1979" s="35" t="s">
        <v>824</v>
      </c>
      <c r="D1979" s="35" t="s">
        <v>583</v>
      </c>
      <c r="E1979" s="36">
        <v>0.11020000000000001</v>
      </c>
      <c r="F1979" s="30">
        <v>21.166</v>
      </c>
      <c r="G1979" s="30">
        <f>IF(ISNUMBER(F1979),E1979*F1979,"")</f>
        <v>2.3324932</v>
      </c>
      <c r="H1979" s="38">
        <f>SUM(G1979:G1983)</f>
        <v>5.4435950000000002</v>
      </c>
      <c r="I1979" s="39"/>
      <c r="J1979" s="152">
        <v>0</v>
      </c>
    </row>
    <row r="1980" spans="1:10" ht="26.25" hidden="1" thickBot="1" x14ac:dyDescent="0.3">
      <c r="A1980" s="176"/>
      <c r="B1980" s="174"/>
      <c r="C1980" s="35" t="s">
        <v>825</v>
      </c>
      <c r="D1980" s="35" t="s">
        <v>583</v>
      </c>
      <c r="E1980" s="36">
        <v>0.11020000000000001</v>
      </c>
      <c r="F1980" s="30">
        <v>26.799499999999998</v>
      </c>
      <c r="G1980" s="30">
        <f>IF(ISNUMBER(F1980),E1980*F1980,"")</f>
        <v>2.9533049</v>
      </c>
      <c r="H1980" s="34"/>
      <c r="I1980" s="30"/>
      <c r="J1980" s="152">
        <v>0</v>
      </c>
    </row>
    <row r="1981" spans="1:10" ht="15.75" hidden="1" thickBot="1" x14ac:dyDescent="0.3">
      <c r="A1981" s="176"/>
      <c r="B1981" s="174"/>
      <c r="C1981" s="35" t="s">
        <v>244</v>
      </c>
      <c r="D1981" s="35" t="s">
        <v>213</v>
      </c>
      <c r="E1981" s="36">
        <v>1.06E-2</v>
      </c>
      <c r="F1981" s="33">
        <v>14.8865</v>
      </c>
      <c r="G1981" s="30">
        <f>IF(ISNUMBER(F1981),E1981*F1981,"")</f>
        <v>0.15779689999999999</v>
      </c>
      <c r="H1981" s="34"/>
      <c r="I1981" s="30"/>
      <c r="J1981" s="152">
        <v>0</v>
      </c>
    </row>
    <row r="1982" spans="1:10" ht="39" hidden="1" thickBot="1" x14ac:dyDescent="0.3">
      <c r="A1982" s="176"/>
      <c r="B1982" s="174"/>
      <c r="C1982" s="35" t="s">
        <v>515</v>
      </c>
      <c r="D1982" s="35" t="s">
        <v>107</v>
      </c>
      <c r="E1982" s="36">
        <v>1</v>
      </c>
      <c r="F1982" s="33" t="s">
        <v>416</v>
      </c>
      <c r="G1982" s="30" t="str">
        <f>IF(ISNUMBER(F1982),E1982*F1982,"")</f>
        <v/>
      </c>
      <c r="H1982" s="34"/>
      <c r="I1982" s="30"/>
      <c r="J1982" s="152">
        <v>0</v>
      </c>
    </row>
    <row r="1983" spans="1:10" ht="39" hidden="1" thickBot="1" x14ac:dyDescent="0.3">
      <c r="A1983" s="176"/>
      <c r="B1983" s="174"/>
      <c r="C1983" s="35" t="s">
        <v>518</v>
      </c>
      <c r="D1983" s="35" t="s">
        <v>107</v>
      </c>
      <c r="E1983" s="36">
        <v>1</v>
      </c>
      <c r="F1983" s="33" t="s">
        <v>416</v>
      </c>
      <c r="G1983" s="30" t="str">
        <f>IF(ISNUMBER(F1983),E1983*F1983,"")</f>
        <v/>
      </c>
      <c r="H1983" s="34"/>
      <c r="I1983" s="30"/>
      <c r="J1983" s="152">
        <v>0</v>
      </c>
    </row>
    <row r="1984" spans="1:10" ht="15.75" hidden="1" thickBot="1" x14ac:dyDescent="0.3">
      <c r="A1984" s="177"/>
      <c r="B1984" s="175"/>
      <c r="C1984" s="35"/>
      <c r="D1984" s="35"/>
      <c r="E1984" s="36"/>
      <c r="F1984" s="30" t="s">
        <v>416</v>
      </c>
      <c r="G1984" s="30" t="str">
        <f>IF(ISNUMBER(F1984),E1984*F1984,"")</f>
        <v/>
      </c>
      <c r="H1984" s="34"/>
      <c r="I1984" s="30"/>
      <c r="J1984" s="152">
        <v>0</v>
      </c>
    </row>
    <row r="1985" spans="1:10" ht="15.75" hidden="1" thickBot="1" x14ac:dyDescent="0.3">
      <c r="A1985" s="170" t="s">
        <v>519</v>
      </c>
      <c r="B1985" s="173" t="str">
        <f>INDEX(Orçamentária!A:B,MATCH(Composições!A1985,Orçamentária!A:A,0),2)</f>
        <v>Válvula de esfera em bronze 1 1/2"</v>
      </c>
      <c r="C1985" s="40"/>
      <c r="D1985" s="25" t="s">
        <v>16</v>
      </c>
      <c r="E1985" s="26"/>
      <c r="F1985" s="41" t="s">
        <v>416</v>
      </c>
      <c r="G1985" s="27" t="str">
        <f>IF(ISNUMBER(F1985),E1985*F1985,"")</f>
        <v/>
      </c>
      <c r="H1985" s="28"/>
      <c r="I1985" s="29"/>
      <c r="J1985" s="152">
        <v>0</v>
      </c>
    </row>
    <row r="1986" spans="1:10" ht="15.75" hidden="1" thickBot="1" x14ac:dyDescent="0.3">
      <c r="A1986" s="176"/>
      <c r="B1986" s="174"/>
      <c r="C1986" s="31"/>
      <c r="D1986" s="31"/>
      <c r="E1986" s="32"/>
      <c r="F1986" s="42" t="s">
        <v>416</v>
      </c>
      <c r="G1986" s="30" t="str">
        <f>IF(ISNUMBER(F1986),E1986*F1986,"")</f>
        <v/>
      </c>
      <c r="H1986" s="34"/>
      <c r="I1986" s="30"/>
      <c r="J1986" s="152">
        <v>0</v>
      </c>
    </row>
    <row r="1987" spans="1:10" ht="15.75" hidden="1" thickBot="1" x14ac:dyDescent="0.3">
      <c r="A1987" s="176"/>
      <c r="B1987" s="174"/>
      <c r="C1987" s="35" t="s">
        <v>244</v>
      </c>
      <c r="D1987" s="35" t="s">
        <v>213</v>
      </c>
      <c r="E1987" s="36">
        <v>1.9E-2</v>
      </c>
      <c r="F1987" s="33">
        <v>14.8865</v>
      </c>
      <c r="G1987" s="30">
        <f>IF(ISNUMBER(F1987),E1987*F1987,"")</f>
        <v>0.28284349999999997</v>
      </c>
      <c r="H1987" s="38">
        <f>SUM(G1987:G1990)</f>
        <v>162.37565965000002</v>
      </c>
      <c r="I1987" s="39"/>
      <c r="J1987" s="152">
        <v>0</v>
      </c>
    </row>
    <row r="1988" spans="1:10" ht="26.25" hidden="1" thickBot="1" x14ac:dyDescent="0.3">
      <c r="A1988" s="176"/>
      <c r="B1988" s="174"/>
      <c r="C1988" s="35" t="s">
        <v>520</v>
      </c>
      <c r="D1988" s="35" t="s">
        <v>213</v>
      </c>
      <c r="E1988" s="36">
        <v>1</v>
      </c>
      <c r="F1988" s="33">
        <v>149.46350000000001</v>
      </c>
      <c r="G1988" s="30">
        <f>IF(ISNUMBER(F1988),E1988*F1988,"")</f>
        <v>149.46350000000001</v>
      </c>
      <c r="H1988" s="34"/>
      <c r="I1988" s="30"/>
      <c r="J1988" s="152">
        <v>0</v>
      </c>
    </row>
    <row r="1989" spans="1:10" ht="26.25" hidden="1" thickBot="1" x14ac:dyDescent="0.3">
      <c r="A1989" s="176"/>
      <c r="B1989" s="174"/>
      <c r="C1989" s="35" t="s">
        <v>824</v>
      </c>
      <c r="D1989" s="35" t="s">
        <v>583</v>
      </c>
      <c r="E1989" s="36">
        <v>0.26329999999999998</v>
      </c>
      <c r="F1989" s="30">
        <v>21.166</v>
      </c>
      <c r="G1989" s="33">
        <f>IF(ISNUMBER(F1989),E1989*F1989,"")</f>
        <v>5.5730078000000001</v>
      </c>
      <c r="H1989" s="34"/>
      <c r="I1989" s="30"/>
      <c r="J1989" s="152">
        <v>0</v>
      </c>
    </row>
    <row r="1990" spans="1:10" ht="26.25" hidden="1" thickBot="1" x14ac:dyDescent="0.3">
      <c r="A1990" s="176"/>
      <c r="B1990" s="174"/>
      <c r="C1990" s="35" t="s">
        <v>825</v>
      </c>
      <c r="D1990" s="35" t="s">
        <v>583</v>
      </c>
      <c r="E1990" s="36">
        <v>0.26329999999999998</v>
      </c>
      <c r="F1990" s="30">
        <v>26.799499999999998</v>
      </c>
      <c r="G1990" s="33">
        <f>IF(ISNUMBER(F1990),E1990*F1990,"")</f>
        <v>7.0563083499999992</v>
      </c>
      <c r="H1990" s="34"/>
      <c r="I1990" s="30"/>
      <c r="J1990" s="152">
        <v>0</v>
      </c>
    </row>
    <row r="1991" spans="1:10" ht="15.75" hidden="1" thickBot="1" x14ac:dyDescent="0.3">
      <c r="A1991" s="177"/>
      <c r="B1991" s="175"/>
      <c r="C1991" s="35"/>
      <c r="D1991" s="35"/>
      <c r="E1991" s="36"/>
      <c r="F1991" s="30" t="s">
        <v>416</v>
      </c>
      <c r="G1991" s="30" t="str">
        <f>IF(ISNUMBER(F1991),E1991*F1991,"")</f>
        <v/>
      </c>
      <c r="H1991" s="34"/>
      <c r="I1991" s="30"/>
      <c r="J1991" s="152">
        <v>0</v>
      </c>
    </row>
    <row r="1992" spans="1:10" ht="15.75" hidden="1" thickBot="1" x14ac:dyDescent="0.3">
      <c r="A1992" s="170" t="s">
        <v>521</v>
      </c>
      <c r="B1992" s="173" t="str">
        <f>INDEX(Orçamentária!A:B,MATCH(Composições!A1992,Orçamentária!A:A,0),2)</f>
        <v>Válvula de esfera em bronze 1 1/4"</v>
      </c>
      <c r="C1992" s="40"/>
      <c r="D1992" s="25" t="s">
        <v>16</v>
      </c>
      <c r="E1992" s="26"/>
      <c r="F1992" s="41" t="s">
        <v>416</v>
      </c>
      <c r="G1992" s="27" t="str">
        <f>IF(ISNUMBER(F1992),E1992*F1992,"")</f>
        <v/>
      </c>
      <c r="H1992" s="28"/>
      <c r="I1992" s="29"/>
      <c r="J1992" s="152">
        <v>0</v>
      </c>
    </row>
    <row r="1993" spans="1:10" ht="15.75" hidden="1" thickBot="1" x14ac:dyDescent="0.3">
      <c r="A1993" s="176"/>
      <c r="B1993" s="174"/>
      <c r="C1993" s="31"/>
      <c r="D1993" s="31"/>
      <c r="E1993" s="32"/>
      <c r="F1993" s="42" t="s">
        <v>416</v>
      </c>
      <c r="G1993" s="30" t="str">
        <f>IF(ISNUMBER(F1993),E1993*F1993,"")</f>
        <v/>
      </c>
      <c r="H1993" s="34"/>
      <c r="I1993" s="30"/>
      <c r="J1993" s="152">
        <v>0</v>
      </c>
    </row>
    <row r="1994" spans="1:10" ht="15.75" hidden="1" thickBot="1" x14ac:dyDescent="0.3">
      <c r="A1994" s="176"/>
      <c r="B1994" s="174"/>
      <c r="C1994" s="35" t="s">
        <v>244</v>
      </c>
      <c r="D1994" s="35" t="s">
        <v>213</v>
      </c>
      <c r="E1994" s="36">
        <v>1.6799999999999999E-2</v>
      </c>
      <c r="F1994" s="33">
        <v>14.8865</v>
      </c>
      <c r="G1994" s="30">
        <f>IF(ISNUMBER(F1994),E1994*F1994,"")</f>
        <v>0.25009319999999996</v>
      </c>
      <c r="H1994" s="38">
        <f>SUM(G1994:G1997)</f>
        <v>133.97592074999997</v>
      </c>
      <c r="I1994" s="39"/>
      <c r="J1994" s="152">
        <v>0</v>
      </c>
    </row>
    <row r="1995" spans="1:10" ht="26.25" hidden="1" thickBot="1" x14ac:dyDescent="0.3">
      <c r="A1995" s="176"/>
      <c r="B1995" s="174"/>
      <c r="C1995" s="35" t="s">
        <v>522</v>
      </c>
      <c r="D1995" s="35" t="s">
        <v>213</v>
      </c>
      <c r="E1995" s="36">
        <v>1</v>
      </c>
      <c r="F1995" s="33">
        <v>124.032</v>
      </c>
      <c r="G1995" s="30">
        <f>IF(ISNUMBER(F1995),E1995*F1995,"")</f>
        <v>124.032</v>
      </c>
      <c r="H1995" s="34"/>
      <c r="I1995" s="30"/>
      <c r="J1995" s="152">
        <v>0</v>
      </c>
    </row>
    <row r="1996" spans="1:10" ht="26.25" hidden="1" thickBot="1" x14ac:dyDescent="0.3">
      <c r="A1996" s="176"/>
      <c r="B1996" s="174"/>
      <c r="C1996" s="35" t="s">
        <v>824</v>
      </c>
      <c r="D1996" s="35" t="s">
        <v>583</v>
      </c>
      <c r="E1996" s="36">
        <v>0.2021</v>
      </c>
      <c r="F1996" s="30">
        <v>21.166</v>
      </c>
      <c r="G1996" s="33">
        <f>IF(ISNUMBER(F1996),E1996*F1996,"")</f>
        <v>4.2776486</v>
      </c>
      <c r="H1996" s="34"/>
      <c r="I1996" s="30"/>
      <c r="J1996" s="152">
        <v>0</v>
      </c>
    </row>
    <row r="1997" spans="1:10" ht="26.25" hidden="1" thickBot="1" x14ac:dyDescent="0.3">
      <c r="A1997" s="176"/>
      <c r="B1997" s="174"/>
      <c r="C1997" s="35" t="s">
        <v>825</v>
      </c>
      <c r="D1997" s="35" t="s">
        <v>583</v>
      </c>
      <c r="E1997" s="36">
        <v>0.2021</v>
      </c>
      <c r="F1997" s="30">
        <v>26.799499999999998</v>
      </c>
      <c r="G1997" s="33">
        <f>IF(ISNUMBER(F1997),E1997*F1997,"")</f>
        <v>5.4161789499999999</v>
      </c>
      <c r="H1997" s="34"/>
      <c r="I1997" s="30"/>
      <c r="J1997" s="152">
        <v>0</v>
      </c>
    </row>
    <row r="1998" spans="1:10" ht="15.75" hidden="1" thickBot="1" x14ac:dyDescent="0.3">
      <c r="A1998" s="177"/>
      <c r="B1998" s="175"/>
      <c r="C1998" s="35"/>
      <c r="D1998" s="35"/>
      <c r="E1998" s="36"/>
      <c r="F1998" s="30" t="s">
        <v>416</v>
      </c>
      <c r="G1998" s="30" t="str">
        <f>IF(ISNUMBER(F1998),E1998*F1998,"")</f>
        <v/>
      </c>
      <c r="H1998" s="34"/>
      <c r="I1998" s="30"/>
      <c r="J1998" s="152">
        <v>0</v>
      </c>
    </row>
    <row r="1999" spans="1:10" ht="15.75" hidden="1" thickBot="1" x14ac:dyDescent="0.3">
      <c r="A1999" s="170" t="s">
        <v>523</v>
      </c>
      <c r="B1999" s="173" t="str">
        <f>INDEX(Orçamentária!A:B,MATCH(Composições!A1999,Orçamentária!A:A,0),2)</f>
        <v>Válvula de esfera em bronze 1"</v>
      </c>
      <c r="C1999" s="40"/>
      <c r="D1999" s="25" t="s">
        <v>16</v>
      </c>
      <c r="E1999" s="26"/>
      <c r="F1999" s="41" t="s">
        <v>416</v>
      </c>
      <c r="G1999" s="27" t="str">
        <f>IF(ISNUMBER(F1999),E1999*F1999,"")</f>
        <v/>
      </c>
      <c r="H1999" s="28"/>
      <c r="I1999" s="29"/>
      <c r="J1999" s="152">
        <v>0</v>
      </c>
    </row>
    <row r="2000" spans="1:10" ht="15.75" hidden="1" thickBot="1" x14ac:dyDescent="0.3">
      <c r="A2000" s="176"/>
      <c r="B2000" s="174"/>
      <c r="C2000" s="31"/>
      <c r="D2000" s="31"/>
      <c r="E2000" s="32"/>
      <c r="F2000" s="42" t="s">
        <v>416</v>
      </c>
      <c r="G2000" s="30" t="str">
        <f>IF(ISNUMBER(F2000),E2000*F2000,"")</f>
        <v/>
      </c>
      <c r="H2000" s="34"/>
      <c r="I2000" s="30"/>
      <c r="J2000" s="152">
        <v>0</v>
      </c>
    </row>
    <row r="2001" spans="1:10" ht="15.75" hidden="1" thickBot="1" x14ac:dyDescent="0.3">
      <c r="A2001" s="176"/>
      <c r="B2001" s="174"/>
      <c r="C2001" s="35" t="s">
        <v>244</v>
      </c>
      <c r="D2001" s="35" t="s">
        <v>213</v>
      </c>
      <c r="E2001" s="36">
        <v>1.32E-2</v>
      </c>
      <c r="F2001" s="33">
        <v>14.8865</v>
      </c>
      <c r="G2001" s="30">
        <f>IF(ISNUMBER(F2001),E2001*F2001,"")</f>
        <v>0.1965018</v>
      </c>
      <c r="H2001" s="38">
        <f>SUM(G2001:G2004)</f>
        <v>90.539378549999981</v>
      </c>
      <c r="I2001" s="39"/>
      <c r="J2001" s="152">
        <v>0</v>
      </c>
    </row>
    <row r="2002" spans="1:10" ht="15.75" hidden="1" thickBot="1" x14ac:dyDescent="0.3">
      <c r="A2002" s="176"/>
      <c r="B2002" s="174"/>
      <c r="C2002" s="35" t="s">
        <v>8492</v>
      </c>
      <c r="D2002" s="35" t="s">
        <v>213</v>
      </c>
      <c r="E2002" s="36">
        <v>1</v>
      </c>
      <c r="F2002" s="33">
        <v>83.219999999999985</v>
      </c>
      <c r="G2002" s="30">
        <f>IF(ISNUMBER(F2002),E2002*F2002,"")</f>
        <v>83.219999999999985</v>
      </c>
      <c r="H2002" s="34"/>
      <c r="I2002" s="30"/>
      <c r="J2002" s="152">
        <v>0</v>
      </c>
    </row>
    <row r="2003" spans="1:10" ht="26.25" hidden="1" thickBot="1" x14ac:dyDescent="0.3">
      <c r="A2003" s="176"/>
      <c r="B2003" s="174"/>
      <c r="C2003" s="35" t="s">
        <v>824</v>
      </c>
      <c r="D2003" s="35" t="s">
        <v>583</v>
      </c>
      <c r="E2003" s="36">
        <v>0.14849999999999999</v>
      </c>
      <c r="F2003" s="30">
        <v>21.166</v>
      </c>
      <c r="G2003" s="33">
        <f>IF(ISNUMBER(F2003),E2003*F2003,"")</f>
        <v>3.143151</v>
      </c>
      <c r="H2003" s="34"/>
      <c r="I2003" s="30"/>
      <c r="J2003" s="152">
        <v>0</v>
      </c>
    </row>
    <row r="2004" spans="1:10" ht="26.25" hidden="1" thickBot="1" x14ac:dyDescent="0.3">
      <c r="A2004" s="176"/>
      <c r="B2004" s="174"/>
      <c r="C2004" s="35" t="s">
        <v>825</v>
      </c>
      <c r="D2004" s="35" t="s">
        <v>583</v>
      </c>
      <c r="E2004" s="36">
        <v>0.14849999999999999</v>
      </c>
      <c r="F2004" s="30">
        <v>26.799499999999998</v>
      </c>
      <c r="G2004" s="33">
        <f>IF(ISNUMBER(F2004),E2004*F2004,"")</f>
        <v>3.9797257499999996</v>
      </c>
      <c r="H2004" s="34"/>
      <c r="I2004" s="30"/>
      <c r="J2004" s="152">
        <v>0</v>
      </c>
    </row>
    <row r="2005" spans="1:10" ht="15.75" hidden="1" thickBot="1" x14ac:dyDescent="0.3">
      <c r="A2005" s="177"/>
      <c r="B2005" s="175"/>
      <c r="C2005" s="35"/>
      <c r="D2005" s="35"/>
      <c r="E2005" s="36"/>
      <c r="F2005" s="30" t="s">
        <v>416</v>
      </c>
      <c r="G2005" s="30" t="str">
        <f>IF(ISNUMBER(F2005),E2005*F2005,"")</f>
        <v/>
      </c>
      <c r="H2005" s="34"/>
      <c r="I2005" s="30"/>
      <c r="J2005" s="152">
        <v>0</v>
      </c>
    </row>
    <row r="2006" spans="1:10" ht="15.75" hidden="1" thickBot="1" x14ac:dyDescent="0.3">
      <c r="A2006" s="170" t="s">
        <v>524</v>
      </c>
      <c r="B2006" s="173" t="str">
        <f>INDEX(Orçamentária!A:B,MATCH(Composições!A2006,Orçamentária!A:A,0),2)</f>
        <v>Válvula de esfera em bronze 3/4"</v>
      </c>
      <c r="C2006" s="40"/>
      <c r="D2006" s="25" t="s">
        <v>16</v>
      </c>
      <c r="E2006" s="26"/>
      <c r="F2006" s="41" t="s">
        <v>416</v>
      </c>
      <c r="G2006" s="27" t="str">
        <f>IF(ISNUMBER(F2006),E2006*F2006,"")</f>
        <v/>
      </c>
      <c r="H2006" s="28"/>
      <c r="I2006" s="29"/>
      <c r="J2006" s="152">
        <v>0</v>
      </c>
    </row>
    <row r="2007" spans="1:10" ht="15.75" hidden="1" thickBot="1" x14ac:dyDescent="0.3">
      <c r="A2007" s="176"/>
      <c r="B2007" s="174"/>
      <c r="C2007" s="31"/>
      <c r="D2007" s="31"/>
      <c r="E2007" s="32"/>
      <c r="F2007" s="42" t="s">
        <v>416</v>
      </c>
      <c r="G2007" s="30" t="str">
        <f>IF(ISNUMBER(F2007),E2007*F2007,"")</f>
        <v/>
      </c>
      <c r="H2007" s="34"/>
      <c r="I2007" s="30"/>
      <c r="J2007" s="152">
        <v>0</v>
      </c>
    </row>
    <row r="2008" spans="1:10" ht="15.75" hidden="1" thickBot="1" x14ac:dyDescent="0.3">
      <c r="A2008" s="176"/>
      <c r="B2008" s="174"/>
      <c r="C2008" s="35" t="s">
        <v>244</v>
      </c>
      <c r="D2008" s="35" t="s">
        <v>213</v>
      </c>
      <c r="E2008" s="36">
        <v>1.06E-2</v>
      </c>
      <c r="F2008" s="33">
        <v>14.8865</v>
      </c>
      <c r="G2008" s="30">
        <f>IF(ISNUMBER(F2008),E2008*F2008,"")</f>
        <v>0.15779689999999999</v>
      </c>
      <c r="H2008" s="38">
        <f>SUM(G2008:G2011)</f>
        <v>67.089095</v>
      </c>
      <c r="I2008" s="39"/>
      <c r="J2008" s="152">
        <v>0</v>
      </c>
    </row>
    <row r="2009" spans="1:10" ht="15.75" hidden="1" thickBot="1" x14ac:dyDescent="0.3">
      <c r="A2009" s="176"/>
      <c r="B2009" s="174"/>
      <c r="C2009" s="35" t="s">
        <v>8494</v>
      </c>
      <c r="D2009" s="35" t="s">
        <v>213</v>
      </c>
      <c r="E2009" s="36">
        <v>1</v>
      </c>
      <c r="F2009" s="33">
        <v>61.645499999999998</v>
      </c>
      <c r="G2009" s="30">
        <f>IF(ISNUMBER(F2009),E2009*F2009,"")</f>
        <v>61.645499999999998</v>
      </c>
      <c r="H2009" s="34"/>
      <c r="I2009" s="30"/>
      <c r="J2009" s="152">
        <v>0</v>
      </c>
    </row>
    <row r="2010" spans="1:10" ht="26.25" hidden="1" thickBot="1" x14ac:dyDescent="0.3">
      <c r="A2010" s="176"/>
      <c r="B2010" s="174"/>
      <c r="C2010" s="35" t="s">
        <v>824</v>
      </c>
      <c r="D2010" s="35" t="s">
        <v>583</v>
      </c>
      <c r="E2010" s="36">
        <v>0.11020000000000001</v>
      </c>
      <c r="F2010" s="30">
        <v>21.166</v>
      </c>
      <c r="G2010" s="33">
        <f>IF(ISNUMBER(F2010),E2010*F2010,"")</f>
        <v>2.3324932</v>
      </c>
      <c r="H2010" s="34"/>
      <c r="I2010" s="30"/>
      <c r="J2010" s="152">
        <v>0</v>
      </c>
    </row>
    <row r="2011" spans="1:10" ht="26.25" hidden="1" thickBot="1" x14ac:dyDescent="0.3">
      <c r="A2011" s="176"/>
      <c r="B2011" s="174"/>
      <c r="C2011" s="35" t="s">
        <v>825</v>
      </c>
      <c r="D2011" s="35" t="s">
        <v>583</v>
      </c>
      <c r="E2011" s="36">
        <v>0.11020000000000001</v>
      </c>
      <c r="F2011" s="30">
        <v>26.799499999999998</v>
      </c>
      <c r="G2011" s="33">
        <f>IF(ISNUMBER(F2011),E2011*F2011,"")</f>
        <v>2.9533049</v>
      </c>
      <c r="H2011" s="34"/>
      <c r="I2011" s="30"/>
      <c r="J2011" s="152">
        <v>0</v>
      </c>
    </row>
    <row r="2012" spans="1:10" ht="15.75" hidden="1" thickBot="1" x14ac:dyDescent="0.3">
      <c r="A2012" s="177"/>
      <c r="B2012" s="175"/>
      <c r="C2012" s="35"/>
      <c r="D2012" s="35"/>
      <c r="E2012" s="36"/>
      <c r="F2012" s="30" t="s">
        <v>416</v>
      </c>
      <c r="G2012" s="30" t="str">
        <f>IF(ISNUMBER(F2012),E2012*F2012,"")</f>
        <v/>
      </c>
      <c r="H2012" s="34"/>
      <c r="I2012" s="30"/>
      <c r="J2012" s="152">
        <v>0</v>
      </c>
    </row>
    <row r="2013" spans="1:10" ht="15.75" hidden="1" thickBot="1" x14ac:dyDescent="0.3">
      <c r="A2013" s="170" t="s">
        <v>525</v>
      </c>
      <c r="B2013" s="173" t="str">
        <f>INDEX(Orçamentária!A:B,MATCH(Composições!A2013,Orçamentária!A:A,0),2)</f>
        <v>Isolamento elastomérico em formato de prancha autoadesiva</v>
      </c>
      <c r="C2013" s="40"/>
      <c r="D2013" s="25" t="s">
        <v>70</v>
      </c>
      <c r="E2013" s="26"/>
      <c r="F2013" s="41" t="s">
        <v>416</v>
      </c>
      <c r="G2013" s="27" t="str">
        <f>IF(ISNUMBER(F2013),E2013*F2013,"")</f>
        <v/>
      </c>
      <c r="H2013" s="28"/>
      <c r="I2013" s="29"/>
      <c r="J2013" s="152">
        <v>0</v>
      </c>
    </row>
    <row r="2014" spans="1:10" ht="15.75" hidden="1" thickBot="1" x14ac:dyDescent="0.3">
      <c r="A2014" s="176"/>
      <c r="B2014" s="174"/>
      <c r="C2014" s="31"/>
      <c r="D2014" s="31"/>
      <c r="E2014" s="32"/>
      <c r="F2014" s="42" t="s">
        <v>416</v>
      </c>
      <c r="G2014" s="30" t="str">
        <f>IF(ISNUMBER(F2014),E2014*F2014,"")</f>
        <v/>
      </c>
      <c r="H2014" s="34"/>
      <c r="I2014" s="30"/>
      <c r="J2014" s="152">
        <v>0</v>
      </c>
    </row>
    <row r="2015" spans="1:10" ht="26.25" hidden="1" thickBot="1" x14ac:dyDescent="0.3">
      <c r="A2015" s="176"/>
      <c r="B2015" s="174"/>
      <c r="C2015" s="35" t="s">
        <v>824</v>
      </c>
      <c r="D2015" s="35" t="s">
        <v>583</v>
      </c>
      <c r="E2015" s="36">
        <v>0.1</v>
      </c>
      <c r="F2015" s="30">
        <v>21.166</v>
      </c>
      <c r="G2015" s="33">
        <f>IF(ISNUMBER(F2015),E2015*F2015,"")</f>
        <v>2.1166</v>
      </c>
      <c r="H2015" s="38">
        <f>SUM(G2015:G2017)</f>
        <v>4.7965499999999999</v>
      </c>
      <c r="I2015" s="39"/>
      <c r="J2015" s="152">
        <v>0</v>
      </c>
    </row>
    <row r="2016" spans="1:10" ht="26.25" hidden="1" thickBot="1" x14ac:dyDescent="0.3">
      <c r="A2016" s="176"/>
      <c r="B2016" s="174"/>
      <c r="C2016" s="35" t="s">
        <v>825</v>
      </c>
      <c r="D2016" s="35" t="s">
        <v>583</v>
      </c>
      <c r="E2016" s="36">
        <v>0.1</v>
      </c>
      <c r="F2016" s="30">
        <v>26.799499999999998</v>
      </c>
      <c r="G2016" s="33">
        <f>IF(ISNUMBER(F2016),E2016*F2016,"")</f>
        <v>2.6799499999999998</v>
      </c>
      <c r="H2016" s="34"/>
      <c r="I2016" s="30"/>
      <c r="J2016" s="152">
        <v>0</v>
      </c>
    </row>
    <row r="2017" spans="1:10" ht="26.25" hidden="1" thickBot="1" x14ac:dyDescent="0.3">
      <c r="A2017" s="176"/>
      <c r="B2017" s="174"/>
      <c r="C2017" s="35" t="s">
        <v>526</v>
      </c>
      <c r="D2017" s="46" t="s">
        <v>70</v>
      </c>
      <c r="E2017" s="36">
        <v>1.05</v>
      </c>
      <c r="F2017" s="33" t="s">
        <v>416</v>
      </c>
      <c r="G2017" s="33" t="str">
        <f>IF(ISNUMBER(F2017),E2017*F2017,"")</f>
        <v/>
      </c>
      <c r="H2017" s="34"/>
      <c r="I2017" s="30"/>
      <c r="J2017" s="152">
        <v>0</v>
      </c>
    </row>
    <row r="2018" spans="1:10" ht="15.75" hidden="1" thickBot="1" x14ac:dyDescent="0.3">
      <c r="A2018" s="177"/>
      <c r="B2018" s="175"/>
      <c r="C2018" s="35"/>
      <c r="D2018" s="35"/>
      <c r="E2018" s="36"/>
      <c r="F2018" s="30" t="s">
        <v>416</v>
      </c>
      <c r="G2018" s="30" t="str">
        <f>IF(ISNUMBER(F2018),E2018*F2018,"")</f>
        <v/>
      </c>
      <c r="H2018" s="34"/>
      <c r="I2018" s="30"/>
      <c r="J2018" s="152">
        <v>0</v>
      </c>
    </row>
    <row r="2019" spans="1:10" ht="15.75" hidden="1" thickBot="1" x14ac:dyDescent="0.3">
      <c r="A2019" s="170" t="s">
        <v>527</v>
      </c>
      <c r="B2019" s="173" t="str">
        <f>INDEX(Orçamentária!A:B,MATCH(Composições!A2019,Orçamentária!A:A,0),2)</f>
        <v>Isolamento elastomérico para tubulações de cobre de 1 1/8" / tubulações de ferro de 3/4"</v>
      </c>
      <c r="C2019" s="40"/>
      <c r="D2019" s="25" t="s">
        <v>69</v>
      </c>
      <c r="E2019" s="26"/>
      <c r="F2019" s="41" t="s">
        <v>416</v>
      </c>
      <c r="G2019" s="27" t="str">
        <f>IF(ISNUMBER(F2019),E2019*F2019,"")</f>
        <v/>
      </c>
      <c r="H2019" s="28"/>
      <c r="I2019" s="29"/>
      <c r="J2019" s="152">
        <v>0</v>
      </c>
    </row>
    <row r="2020" spans="1:10" ht="15.75" hidden="1" thickBot="1" x14ac:dyDescent="0.3">
      <c r="A2020" s="176"/>
      <c r="B2020" s="174"/>
      <c r="C2020" s="31"/>
      <c r="D2020" s="31"/>
      <c r="E2020" s="32"/>
      <c r="F2020" s="42" t="s">
        <v>416</v>
      </c>
      <c r="G2020" s="30" t="str">
        <f>IF(ISNUMBER(F2020),E2020*F2020,"")</f>
        <v/>
      </c>
      <c r="H2020" s="34"/>
      <c r="I2020" s="30"/>
      <c r="J2020" s="152">
        <v>0</v>
      </c>
    </row>
    <row r="2021" spans="1:10" ht="51.75" hidden="1" thickBot="1" x14ac:dyDescent="0.3">
      <c r="A2021" s="176"/>
      <c r="B2021" s="174"/>
      <c r="C2021" s="35" t="s">
        <v>528</v>
      </c>
      <c r="D2021" s="46" t="s">
        <v>69</v>
      </c>
      <c r="E2021" s="36">
        <v>1.0210999999999999</v>
      </c>
      <c r="F2021" s="33" t="s">
        <v>416</v>
      </c>
      <c r="G2021" s="33" t="str">
        <f>IF(ISNUMBER(F2021),E2021*F2021,"")</f>
        <v/>
      </c>
      <c r="H2021" s="38">
        <f>SUM(G2021:G2023)</f>
        <v>0.92093759999999991</v>
      </c>
      <c r="I2021" s="39"/>
      <c r="J2021" s="152">
        <v>0</v>
      </c>
    </row>
    <row r="2022" spans="1:10" ht="26.25" hidden="1" thickBot="1" x14ac:dyDescent="0.3">
      <c r="A2022" s="176"/>
      <c r="B2022" s="174"/>
      <c r="C2022" s="35" t="s">
        <v>824</v>
      </c>
      <c r="D2022" s="35" t="s">
        <v>583</v>
      </c>
      <c r="E2022" s="36">
        <f>0.064*0.3</f>
        <v>1.9199999999999998E-2</v>
      </c>
      <c r="F2022" s="30">
        <v>21.166</v>
      </c>
      <c r="G2022" s="33">
        <f>IF(ISNUMBER(F2022),E2022*F2022,"")</f>
        <v>0.40638719999999995</v>
      </c>
      <c r="H2022" s="34"/>
      <c r="I2022" s="30"/>
      <c r="J2022" s="152">
        <v>0</v>
      </c>
    </row>
    <row r="2023" spans="1:10" ht="26.25" hidden="1" thickBot="1" x14ac:dyDescent="0.3">
      <c r="A2023" s="176"/>
      <c r="B2023" s="174"/>
      <c r="C2023" s="35" t="s">
        <v>825</v>
      </c>
      <c r="D2023" s="35" t="s">
        <v>583</v>
      </c>
      <c r="E2023" s="36">
        <f>0.064*0.3</f>
        <v>1.9199999999999998E-2</v>
      </c>
      <c r="F2023" s="30">
        <v>26.799499999999998</v>
      </c>
      <c r="G2023" s="33">
        <f>IF(ISNUMBER(F2023),E2023*F2023,"")</f>
        <v>0.51455039999999996</v>
      </c>
      <c r="H2023" s="34"/>
      <c r="I2023" s="30"/>
      <c r="J2023" s="152">
        <v>0</v>
      </c>
    </row>
    <row r="2024" spans="1:10" ht="15.75" hidden="1" thickBot="1" x14ac:dyDescent="0.3">
      <c r="A2024" s="176"/>
      <c r="B2024" s="174"/>
      <c r="C2024" s="35"/>
      <c r="D2024" s="46"/>
      <c r="E2024" s="36"/>
      <c r="F2024" s="33" t="s">
        <v>416</v>
      </c>
      <c r="G2024" s="33" t="str">
        <f>IF(ISNUMBER(F2024),E2024*F2024,"")</f>
        <v/>
      </c>
      <c r="H2024" s="34"/>
      <c r="I2024" s="30"/>
      <c r="J2024" s="152">
        <v>0</v>
      </c>
    </row>
    <row r="2025" spans="1:10" ht="39" hidden="1" thickBot="1" x14ac:dyDescent="0.3">
      <c r="A2025" s="176"/>
      <c r="B2025" s="174"/>
      <c r="C2025" s="51" t="s">
        <v>529</v>
      </c>
      <c r="D2025" s="46"/>
      <c r="E2025" s="36"/>
      <c r="F2025" s="33" t="s">
        <v>416</v>
      </c>
      <c r="G2025" s="33" t="str">
        <f>IF(ISNUMBER(F2025),E2025*F2025,"")</f>
        <v/>
      </c>
      <c r="H2025" s="34"/>
      <c r="I2025" s="30"/>
      <c r="J2025" s="152">
        <v>0</v>
      </c>
    </row>
    <row r="2026" spans="1:10" ht="15.75" hidden="1" thickBot="1" x14ac:dyDescent="0.3">
      <c r="A2026" s="177"/>
      <c r="B2026" s="175"/>
      <c r="C2026" s="35"/>
      <c r="D2026" s="35"/>
      <c r="E2026" s="36"/>
      <c r="F2026" s="30" t="s">
        <v>416</v>
      </c>
      <c r="G2026" s="30" t="str">
        <f>IF(ISNUMBER(F2026),E2026*F2026,"")</f>
        <v/>
      </c>
      <c r="H2026" s="34"/>
      <c r="I2026" s="30"/>
      <c r="J2026" s="152">
        <v>0</v>
      </c>
    </row>
    <row r="2027" spans="1:10" ht="15.75" thickBot="1" x14ac:dyDescent="0.3">
      <c r="A2027" s="170" t="s">
        <v>530</v>
      </c>
      <c r="B2027" s="173" t="str">
        <f>INDEX(Orçamentária!A:B,MATCH(Composições!A2027,Orçamentária!A:A,0),2)</f>
        <v>Isolamento elastomérico para tubulações de cobre de 1/2"</v>
      </c>
      <c r="C2027" s="40"/>
      <c r="D2027" s="25" t="s">
        <v>69</v>
      </c>
      <c r="E2027" s="26"/>
      <c r="F2027" s="41" t="s">
        <v>416</v>
      </c>
      <c r="G2027" s="27" t="str">
        <f>IF(ISNUMBER(F2027),E2027*F2027,"")</f>
        <v/>
      </c>
      <c r="H2027" s="28"/>
      <c r="I2027" s="29"/>
      <c r="J2027" s="152">
        <v>105</v>
      </c>
    </row>
    <row r="2028" spans="1:10" x14ac:dyDescent="0.25">
      <c r="A2028" s="176"/>
      <c r="B2028" s="174"/>
      <c r="C2028" s="31"/>
      <c r="D2028" s="31"/>
      <c r="E2028" s="32"/>
      <c r="F2028" s="42" t="s">
        <v>416</v>
      </c>
      <c r="G2028" s="30" t="str">
        <f>IF(ISNUMBER(F2028),E2028*F2028,"")</f>
        <v/>
      </c>
      <c r="H2028" s="34"/>
      <c r="I2028" s="30"/>
      <c r="J2028" s="152">
        <v>105</v>
      </c>
    </row>
    <row r="2029" spans="1:10" ht="38.25" x14ac:dyDescent="0.25">
      <c r="A2029" s="176"/>
      <c r="B2029" s="174"/>
      <c r="C2029" s="35" t="s">
        <v>531</v>
      </c>
      <c r="D2029" s="46" t="s">
        <v>69</v>
      </c>
      <c r="E2029" s="36">
        <v>1.0210999999999999</v>
      </c>
      <c r="F2029" s="33">
        <v>8.65</v>
      </c>
      <c r="G2029" s="33">
        <f>IF(ISNUMBER(F2029),E2029*F2029,"")</f>
        <v>8.832514999999999</v>
      </c>
      <c r="H2029" s="38">
        <f>SUM(G2029:G2031)</f>
        <v>9.7102836499999974</v>
      </c>
      <c r="I2029" s="39"/>
      <c r="J2029" s="152">
        <v>105</v>
      </c>
    </row>
    <row r="2030" spans="1:10" ht="25.5" x14ac:dyDescent="0.25">
      <c r="A2030" s="176"/>
      <c r="B2030" s="174"/>
      <c r="C2030" s="35" t="s">
        <v>824</v>
      </c>
      <c r="D2030" s="35" t="s">
        <v>583</v>
      </c>
      <c r="E2030" s="36">
        <f>0.061*0.3</f>
        <v>1.83E-2</v>
      </c>
      <c r="F2030" s="30">
        <v>21.166</v>
      </c>
      <c r="G2030" s="33">
        <f>IF(ISNUMBER(F2030),E2030*F2030,"")</f>
        <v>0.38733780000000001</v>
      </c>
      <c r="H2030" s="34"/>
      <c r="I2030" s="30"/>
      <c r="J2030" s="152">
        <v>105</v>
      </c>
    </row>
    <row r="2031" spans="1:10" ht="25.5" x14ac:dyDescent="0.25">
      <c r="A2031" s="176"/>
      <c r="B2031" s="174"/>
      <c r="C2031" s="35" t="s">
        <v>825</v>
      </c>
      <c r="D2031" s="35" t="s">
        <v>583</v>
      </c>
      <c r="E2031" s="36">
        <f>0.061*0.3</f>
        <v>1.83E-2</v>
      </c>
      <c r="F2031" s="30">
        <v>26.799499999999998</v>
      </c>
      <c r="G2031" s="33">
        <f>IF(ISNUMBER(F2031),E2031*F2031,"")</f>
        <v>0.49043084999999997</v>
      </c>
      <c r="H2031" s="34"/>
      <c r="I2031" s="30"/>
      <c r="J2031" s="152">
        <v>105</v>
      </c>
    </row>
    <row r="2032" spans="1:10" x14ac:dyDescent="0.25">
      <c r="A2032" s="176"/>
      <c r="B2032" s="174"/>
      <c r="C2032" s="35"/>
      <c r="D2032" s="46"/>
      <c r="E2032" s="36"/>
      <c r="F2032" s="33" t="s">
        <v>416</v>
      </c>
      <c r="G2032" s="33" t="str">
        <f>IF(ISNUMBER(F2032),E2032*F2032,"")</f>
        <v/>
      </c>
      <c r="H2032" s="34"/>
      <c r="I2032" s="30"/>
      <c r="J2032" s="152">
        <v>105</v>
      </c>
    </row>
    <row r="2033" spans="1:10" ht="38.25" x14ac:dyDescent="0.25">
      <c r="A2033" s="176"/>
      <c r="B2033" s="174"/>
      <c r="C2033" s="51" t="s">
        <v>529</v>
      </c>
      <c r="D2033" s="46"/>
      <c r="E2033" s="36"/>
      <c r="F2033" s="33" t="s">
        <v>416</v>
      </c>
      <c r="G2033" s="33" t="str">
        <f>IF(ISNUMBER(F2033),E2033*F2033,"")</f>
        <v/>
      </c>
      <c r="H2033" s="34"/>
      <c r="I2033" s="30"/>
      <c r="J2033" s="152">
        <v>105</v>
      </c>
    </row>
    <row r="2034" spans="1:10" ht="15.75" thickBot="1" x14ac:dyDescent="0.3">
      <c r="A2034" s="177"/>
      <c r="B2034" s="175"/>
      <c r="C2034" s="35"/>
      <c r="D2034" s="35"/>
      <c r="E2034" s="36"/>
      <c r="F2034" s="30" t="s">
        <v>416</v>
      </c>
      <c r="G2034" s="30" t="str">
        <f>IF(ISNUMBER(F2034),E2034*F2034,"")</f>
        <v/>
      </c>
      <c r="H2034" s="34"/>
      <c r="I2034" s="30"/>
      <c r="J2034" s="152">
        <v>105</v>
      </c>
    </row>
    <row r="2035" spans="1:10" ht="15.75" thickBot="1" x14ac:dyDescent="0.3">
      <c r="A2035" s="170" t="s">
        <v>532</v>
      </c>
      <c r="B2035" s="173" t="str">
        <f>INDEX(Orçamentária!A:B,MATCH(Composições!A2035,Orçamentária!A:A,0),2)</f>
        <v>Isolamento elastomérico para tubulações de cobre de 1/4"</v>
      </c>
      <c r="C2035" s="40"/>
      <c r="D2035" s="25" t="s">
        <v>69</v>
      </c>
      <c r="E2035" s="26"/>
      <c r="F2035" s="41" t="s">
        <v>416</v>
      </c>
      <c r="G2035" s="27" t="str">
        <f>IF(ISNUMBER(F2035),E2035*F2035,"")</f>
        <v/>
      </c>
      <c r="H2035" s="28"/>
      <c r="I2035" s="29"/>
      <c r="J2035" s="152">
        <v>105</v>
      </c>
    </row>
    <row r="2036" spans="1:10" x14ac:dyDescent="0.25">
      <c r="A2036" s="176"/>
      <c r="B2036" s="174"/>
      <c r="C2036" s="31"/>
      <c r="D2036" s="31"/>
      <c r="E2036" s="32"/>
      <c r="F2036" s="42" t="s">
        <v>416</v>
      </c>
      <c r="G2036" s="30" t="str">
        <f>IF(ISNUMBER(F2036),E2036*F2036,"")</f>
        <v/>
      </c>
      <c r="H2036" s="34"/>
      <c r="I2036" s="30"/>
      <c r="J2036" s="152">
        <v>105</v>
      </c>
    </row>
    <row r="2037" spans="1:10" ht="38.25" x14ac:dyDescent="0.25">
      <c r="A2037" s="176"/>
      <c r="B2037" s="174"/>
      <c r="C2037" s="35" t="s">
        <v>533</v>
      </c>
      <c r="D2037" s="46" t="s">
        <v>69</v>
      </c>
      <c r="E2037" s="36">
        <v>1.0210999999999999</v>
      </c>
      <c r="F2037" s="33">
        <v>7.21</v>
      </c>
      <c r="G2037" s="33">
        <f>IF(ISNUMBER(F2037),E2037*F2037,"")</f>
        <v>7.3621309999999989</v>
      </c>
      <c r="H2037" s="38">
        <f>SUM(G2037:G2039)</f>
        <v>8.1103927999999978</v>
      </c>
      <c r="I2037" s="39"/>
      <c r="J2037" s="152">
        <v>105</v>
      </c>
    </row>
    <row r="2038" spans="1:10" ht="25.5" x14ac:dyDescent="0.25">
      <c r="A2038" s="176"/>
      <c r="B2038" s="174"/>
      <c r="C2038" s="35" t="s">
        <v>824</v>
      </c>
      <c r="D2038" s="35" t="s">
        <v>583</v>
      </c>
      <c r="E2038" s="36">
        <f>0.052*0.3</f>
        <v>1.5599999999999999E-2</v>
      </c>
      <c r="F2038" s="30">
        <v>21.166</v>
      </c>
      <c r="G2038" s="33">
        <f>IF(ISNUMBER(F2038),E2038*F2038,"")</f>
        <v>0.33018959999999997</v>
      </c>
      <c r="H2038" s="34"/>
      <c r="I2038" s="30"/>
      <c r="J2038" s="152">
        <v>105</v>
      </c>
    </row>
    <row r="2039" spans="1:10" ht="25.5" x14ac:dyDescent="0.25">
      <c r="A2039" s="176"/>
      <c r="B2039" s="174"/>
      <c r="C2039" s="35" t="s">
        <v>825</v>
      </c>
      <c r="D2039" s="35" t="s">
        <v>583</v>
      </c>
      <c r="E2039" s="36">
        <f>0.052*0.3</f>
        <v>1.5599999999999999E-2</v>
      </c>
      <c r="F2039" s="30">
        <v>26.799499999999998</v>
      </c>
      <c r="G2039" s="33">
        <f>IF(ISNUMBER(F2039),E2039*F2039,"")</f>
        <v>0.41807219999999995</v>
      </c>
      <c r="H2039" s="34"/>
      <c r="I2039" s="30"/>
      <c r="J2039" s="152">
        <v>105</v>
      </c>
    </row>
    <row r="2040" spans="1:10" x14ac:dyDescent="0.25">
      <c r="A2040" s="176"/>
      <c r="B2040" s="174"/>
      <c r="C2040" s="35"/>
      <c r="D2040" s="46"/>
      <c r="E2040" s="36"/>
      <c r="F2040" s="33" t="s">
        <v>416</v>
      </c>
      <c r="G2040" s="33" t="str">
        <f>IF(ISNUMBER(F2040),E2040*F2040,"")</f>
        <v/>
      </c>
      <c r="H2040" s="34"/>
      <c r="I2040" s="30"/>
      <c r="J2040" s="152">
        <v>105</v>
      </c>
    </row>
    <row r="2041" spans="1:10" ht="38.25" x14ac:dyDescent="0.25">
      <c r="A2041" s="176"/>
      <c r="B2041" s="174"/>
      <c r="C2041" s="51" t="s">
        <v>529</v>
      </c>
      <c r="D2041" s="46"/>
      <c r="E2041" s="36"/>
      <c r="F2041" s="33" t="s">
        <v>416</v>
      </c>
      <c r="G2041" s="33" t="str">
        <f>IF(ISNUMBER(F2041),E2041*F2041,"")</f>
        <v/>
      </c>
      <c r="H2041" s="34"/>
      <c r="I2041" s="30"/>
      <c r="J2041" s="152">
        <v>105</v>
      </c>
    </row>
    <row r="2042" spans="1:10" ht="15.75" thickBot="1" x14ac:dyDescent="0.3">
      <c r="A2042" s="177"/>
      <c r="B2042" s="175"/>
      <c r="C2042" s="35"/>
      <c r="D2042" s="35"/>
      <c r="E2042" s="36"/>
      <c r="F2042" s="30" t="s">
        <v>416</v>
      </c>
      <c r="G2042" s="30" t="str">
        <f>IF(ISNUMBER(F2042),E2042*F2042,"")</f>
        <v/>
      </c>
      <c r="H2042" s="34"/>
      <c r="I2042" s="30"/>
      <c r="J2042" s="152">
        <v>105</v>
      </c>
    </row>
    <row r="2043" spans="1:10" ht="15.75" hidden="1" thickBot="1" x14ac:dyDescent="0.3">
      <c r="A2043" s="170" t="s">
        <v>534</v>
      </c>
      <c r="B2043" s="173" t="str">
        <f>INDEX(Orçamentária!A:B,MATCH(Composições!A2043,Orçamentária!A:A,0),2)</f>
        <v>Isolamento elastomérico para tubulações de cobre de 3/4"</v>
      </c>
      <c r="C2043" s="40"/>
      <c r="D2043" s="25" t="s">
        <v>69</v>
      </c>
      <c r="E2043" s="26"/>
      <c r="F2043" s="41" t="s">
        <v>416</v>
      </c>
      <c r="G2043" s="27" t="str">
        <f>IF(ISNUMBER(F2043),E2043*F2043,"")</f>
        <v/>
      </c>
      <c r="H2043" s="28"/>
      <c r="I2043" s="29"/>
      <c r="J2043" s="152">
        <v>0</v>
      </c>
    </row>
    <row r="2044" spans="1:10" ht="15.75" hidden="1" thickBot="1" x14ac:dyDescent="0.3">
      <c r="A2044" s="176"/>
      <c r="B2044" s="174"/>
      <c r="C2044" s="31"/>
      <c r="D2044" s="31"/>
      <c r="E2044" s="32"/>
      <c r="F2044" s="42" t="s">
        <v>416</v>
      </c>
      <c r="G2044" s="30" t="str">
        <f>IF(ISNUMBER(F2044),E2044*F2044,"")</f>
        <v/>
      </c>
      <c r="H2044" s="34"/>
      <c r="I2044" s="30"/>
      <c r="J2044" s="152">
        <v>0</v>
      </c>
    </row>
    <row r="2045" spans="1:10" ht="39" hidden="1" thickBot="1" x14ac:dyDescent="0.3">
      <c r="A2045" s="176"/>
      <c r="B2045" s="174"/>
      <c r="C2045" s="35" t="s">
        <v>535</v>
      </c>
      <c r="D2045" s="46" t="s">
        <v>69</v>
      </c>
      <c r="E2045" s="36">
        <v>1.0210999999999999</v>
      </c>
      <c r="F2045" s="33">
        <v>17.690000000000001</v>
      </c>
      <c r="G2045" s="33">
        <f>IF(ISNUMBER(F2045),E2045*F2045,"")</f>
        <v>18.063258999999999</v>
      </c>
      <c r="H2045" s="38">
        <f>SUM(G2045:G2047)</f>
        <v>18.984196600000001</v>
      </c>
      <c r="I2045" s="39"/>
      <c r="J2045" s="152">
        <v>0</v>
      </c>
    </row>
    <row r="2046" spans="1:10" ht="26.25" hidden="1" thickBot="1" x14ac:dyDescent="0.3">
      <c r="A2046" s="176"/>
      <c r="B2046" s="174"/>
      <c r="C2046" s="35" t="s">
        <v>824</v>
      </c>
      <c r="D2046" s="35" t="s">
        <v>583</v>
      </c>
      <c r="E2046" s="36">
        <f>0.064*0.3</f>
        <v>1.9199999999999998E-2</v>
      </c>
      <c r="F2046" s="30">
        <v>21.166</v>
      </c>
      <c r="G2046" s="33">
        <f>IF(ISNUMBER(F2046),E2046*F2046,"")</f>
        <v>0.40638719999999995</v>
      </c>
      <c r="H2046" s="34"/>
      <c r="I2046" s="30"/>
      <c r="J2046" s="152">
        <v>0</v>
      </c>
    </row>
    <row r="2047" spans="1:10" ht="26.25" hidden="1" thickBot="1" x14ac:dyDescent="0.3">
      <c r="A2047" s="176"/>
      <c r="B2047" s="174"/>
      <c r="C2047" s="35" t="s">
        <v>825</v>
      </c>
      <c r="D2047" s="35" t="s">
        <v>583</v>
      </c>
      <c r="E2047" s="36">
        <f>0.064*0.3</f>
        <v>1.9199999999999998E-2</v>
      </c>
      <c r="F2047" s="30">
        <v>26.799499999999998</v>
      </c>
      <c r="G2047" s="33">
        <f>IF(ISNUMBER(F2047),E2047*F2047,"")</f>
        <v>0.51455039999999996</v>
      </c>
      <c r="H2047" s="34"/>
      <c r="I2047" s="30"/>
      <c r="J2047" s="152">
        <v>0</v>
      </c>
    </row>
    <row r="2048" spans="1:10" ht="15.75" hidden="1" thickBot="1" x14ac:dyDescent="0.3">
      <c r="A2048" s="176"/>
      <c r="B2048" s="174"/>
      <c r="C2048" s="35"/>
      <c r="D2048" s="46"/>
      <c r="E2048" s="36"/>
      <c r="F2048" s="33" t="s">
        <v>416</v>
      </c>
      <c r="G2048" s="33" t="str">
        <f>IF(ISNUMBER(F2048),E2048*F2048,"")</f>
        <v/>
      </c>
      <c r="H2048" s="34"/>
      <c r="I2048" s="30"/>
      <c r="J2048" s="152">
        <v>0</v>
      </c>
    </row>
    <row r="2049" spans="1:10" ht="39" hidden="1" thickBot="1" x14ac:dyDescent="0.3">
      <c r="A2049" s="176"/>
      <c r="B2049" s="174"/>
      <c r="C2049" s="51" t="s">
        <v>529</v>
      </c>
      <c r="D2049" s="46"/>
      <c r="E2049" s="36"/>
      <c r="F2049" s="33" t="s">
        <v>416</v>
      </c>
      <c r="G2049" s="33" t="str">
        <f>IF(ISNUMBER(F2049),E2049*F2049,"")</f>
        <v/>
      </c>
      <c r="H2049" s="34"/>
      <c r="I2049" s="30"/>
      <c r="J2049" s="152">
        <v>0</v>
      </c>
    </row>
    <row r="2050" spans="1:10" ht="15.75" hidden="1" thickBot="1" x14ac:dyDescent="0.3">
      <c r="A2050" s="177"/>
      <c r="B2050" s="175"/>
      <c r="C2050" s="35"/>
      <c r="D2050" s="35"/>
      <c r="E2050" s="36"/>
      <c r="F2050" s="30" t="s">
        <v>416</v>
      </c>
      <c r="G2050" s="30" t="str">
        <f>IF(ISNUMBER(F2050),E2050*F2050,"")</f>
        <v/>
      </c>
      <c r="H2050" s="34"/>
      <c r="I2050" s="30"/>
      <c r="J2050" s="152">
        <v>0</v>
      </c>
    </row>
    <row r="2051" spans="1:10" ht="15.75" thickBot="1" x14ac:dyDescent="0.3">
      <c r="A2051" s="170" t="s">
        <v>536</v>
      </c>
      <c r="B2051" s="173" t="str">
        <f>INDEX(Orçamentária!A:B,MATCH(Composições!A2051,Orçamentária!A:A,0),2)</f>
        <v>Isolamento elastomérico para tubulações de cobre de 3/8"</v>
      </c>
      <c r="C2051" s="40"/>
      <c r="D2051" s="25" t="s">
        <v>69</v>
      </c>
      <c r="E2051" s="26"/>
      <c r="F2051" s="41" t="s">
        <v>416</v>
      </c>
      <c r="G2051" s="27" t="str">
        <f>IF(ISNUMBER(F2051),E2051*F2051,"")</f>
        <v/>
      </c>
      <c r="H2051" s="28"/>
      <c r="I2051" s="29"/>
      <c r="J2051" s="152">
        <v>118</v>
      </c>
    </row>
    <row r="2052" spans="1:10" x14ac:dyDescent="0.25">
      <c r="A2052" s="176"/>
      <c r="B2052" s="174"/>
      <c r="C2052" s="31"/>
      <c r="D2052" s="31"/>
      <c r="E2052" s="32"/>
      <c r="F2052" s="42" t="s">
        <v>416</v>
      </c>
      <c r="G2052" s="30" t="str">
        <f>IF(ISNUMBER(F2052),E2052*F2052,"")</f>
        <v/>
      </c>
      <c r="H2052" s="34"/>
      <c r="I2052" s="30"/>
      <c r="J2052" s="152">
        <v>118</v>
      </c>
    </row>
    <row r="2053" spans="1:10" ht="38.25" x14ac:dyDescent="0.25">
      <c r="A2053" s="176"/>
      <c r="B2053" s="174"/>
      <c r="C2053" s="35" t="s">
        <v>537</v>
      </c>
      <c r="D2053" s="46" t="s">
        <v>69</v>
      </c>
      <c r="E2053" s="36">
        <v>1.0210999999999999</v>
      </c>
      <c r="F2053" s="33">
        <v>8.51</v>
      </c>
      <c r="G2053" s="33">
        <f>IF(ISNUMBER(F2053),E2053*F2053,"")</f>
        <v>8.6895609999999994</v>
      </c>
      <c r="H2053" s="38">
        <f>SUM(G2053:G2055)</f>
        <v>9.5097710499999994</v>
      </c>
      <c r="I2053" s="39"/>
      <c r="J2053" s="152">
        <v>118</v>
      </c>
    </row>
    <row r="2054" spans="1:10" ht="25.5" x14ac:dyDescent="0.25">
      <c r="A2054" s="176"/>
      <c r="B2054" s="174"/>
      <c r="C2054" s="35" t="s">
        <v>824</v>
      </c>
      <c r="D2054" s="35" t="s">
        <v>583</v>
      </c>
      <c r="E2054" s="36">
        <f>0.057*0.3</f>
        <v>1.7100000000000001E-2</v>
      </c>
      <c r="F2054" s="30">
        <v>21.166</v>
      </c>
      <c r="G2054" s="33">
        <f>IF(ISNUMBER(F2054),E2054*F2054,"")</f>
        <v>0.3619386</v>
      </c>
      <c r="H2054" s="34"/>
      <c r="I2054" s="30"/>
      <c r="J2054" s="152">
        <v>118</v>
      </c>
    </row>
    <row r="2055" spans="1:10" ht="25.5" x14ac:dyDescent="0.25">
      <c r="A2055" s="176"/>
      <c r="B2055" s="174"/>
      <c r="C2055" s="35" t="s">
        <v>825</v>
      </c>
      <c r="D2055" s="35" t="s">
        <v>583</v>
      </c>
      <c r="E2055" s="36">
        <f>0.057*0.3</f>
        <v>1.7100000000000001E-2</v>
      </c>
      <c r="F2055" s="30">
        <v>26.799499999999998</v>
      </c>
      <c r="G2055" s="33">
        <f>IF(ISNUMBER(F2055),E2055*F2055,"")</f>
        <v>0.45827144999999997</v>
      </c>
      <c r="H2055" s="34"/>
      <c r="I2055" s="30"/>
      <c r="J2055" s="152">
        <v>118</v>
      </c>
    </row>
    <row r="2056" spans="1:10" x14ac:dyDescent="0.25">
      <c r="A2056" s="176"/>
      <c r="B2056" s="174"/>
      <c r="C2056" s="35"/>
      <c r="D2056" s="46"/>
      <c r="E2056" s="36"/>
      <c r="F2056" s="33" t="s">
        <v>416</v>
      </c>
      <c r="G2056" s="33" t="str">
        <f>IF(ISNUMBER(F2056),E2056*F2056,"")</f>
        <v/>
      </c>
      <c r="H2056" s="34"/>
      <c r="I2056" s="30"/>
      <c r="J2056" s="152">
        <v>118</v>
      </c>
    </row>
    <row r="2057" spans="1:10" ht="38.25" x14ac:dyDescent="0.25">
      <c r="A2057" s="176"/>
      <c r="B2057" s="174"/>
      <c r="C2057" s="51" t="s">
        <v>529</v>
      </c>
      <c r="D2057" s="46"/>
      <c r="E2057" s="36"/>
      <c r="F2057" s="33" t="s">
        <v>416</v>
      </c>
      <c r="G2057" s="33" t="str">
        <f>IF(ISNUMBER(F2057),E2057*F2057,"")</f>
        <v/>
      </c>
      <c r="H2057" s="34"/>
      <c r="I2057" s="30"/>
      <c r="J2057" s="152">
        <v>118</v>
      </c>
    </row>
    <row r="2058" spans="1:10" ht="15.75" thickBot="1" x14ac:dyDescent="0.3">
      <c r="A2058" s="177"/>
      <c r="B2058" s="175"/>
      <c r="C2058" s="35"/>
      <c r="D2058" s="35"/>
      <c r="E2058" s="36"/>
      <c r="F2058" s="30" t="s">
        <v>416</v>
      </c>
      <c r="G2058" s="30" t="str">
        <f>IF(ISNUMBER(F2058),E2058*F2058,"")</f>
        <v/>
      </c>
      <c r="H2058" s="34"/>
      <c r="I2058" s="30"/>
      <c r="J2058" s="152">
        <v>118</v>
      </c>
    </row>
    <row r="2059" spans="1:10" ht="15.75" thickBot="1" x14ac:dyDescent="0.3">
      <c r="A2059" s="170" t="s">
        <v>538</v>
      </c>
      <c r="B2059" s="173" t="str">
        <f>INDEX(Orçamentária!A:B,MATCH(Composições!A2059,Orçamentária!A:A,0),2)</f>
        <v>Isolamento elastomérico para tubulações de cobre de 5/8"</v>
      </c>
      <c r="C2059" s="40"/>
      <c r="D2059" s="25" t="s">
        <v>69</v>
      </c>
      <c r="E2059" s="26"/>
      <c r="F2059" s="41" t="s">
        <v>416</v>
      </c>
      <c r="G2059" s="27" t="str">
        <f>IF(ISNUMBER(F2059),E2059*F2059,"")</f>
        <v/>
      </c>
      <c r="H2059" s="28"/>
      <c r="I2059" s="29"/>
      <c r="J2059" s="152">
        <v>107</v>
      </c>
    </row>
    <row r="2060" spans="1:10" x14ac:dyDescent="0.25">
      <c r="A2060" s="176"/>
      <c r="B2060" s="174"/>
      <c r="C2060" s="31"/>
      <c r="D2060" s="31"/>
      <c r="E2060" s="32"/>
      <c r="F2060" s="42" t="s">
        <v>416</v>
      </c>
      <c r="G2060" s="30" t="str">
        <f>IF(ISNUMBER(F2060),E2060*F2060,"")</f>
        <v/>
      </c>
      <c r="H2060" s="34"/>
      <c r="I2060" s="30"/>
      <c r="J2060" s="152">
        <v>107</v>
      </c>
    </row>
    <row r="2061" spans="1:10" ht="38.25" x14ac:dyDescent="0.25">
      <c r="A2061" s="176"/>
      <c r="B2061" s="174"/>
      <c r="C2061" s="35" t="s">
        <v>539</v>
      </c>
      <c r="D2061" s="46" t="s">
        <v>69</v>
      </c>
      <c r="E2061" s="36">
        <v>1.0210999999999999</v>
      </c>
      <c r="F2061" s="33">
        <v>10.98</v>
      </c>
      <c r="G2061" s="33">
        <f>IF(ISNUMBER(F2061),E2061*F2061,"")</f>
        <v>11.211677999999999</v>
      </c>
      <c r="H2061" s="38">
        <f>SUM(G2061:G2063)</f>
        <v>12.132615599999998</v>
      </c>
      <c r="I2061" s="39"/>
      <c r="J2061" s="152">
        <v>107</v>
      </c>
    </row>
    <row r="2062" spans="1:10" ht="25.5" x14ac:dyDescent="0.25">
      <c r="A2062" s="176"/>
      <c r="B2062" s="174"/>
      <c r="C2062" s="35" t="s">
        <v>824</v>
      </c>
      <c r="D2062" s="35" t="s">
        <v>583</v>
      </c>
      <c r="E2062" s="36">
        <f>0.064*0.3</f>
        <v>1.9199999999999998E-2</v>
      </c>
      <c r="F2062" s="30">
        <v>21.166</v>
      </c>
      <c r="G2062" s="33">
        <f>IF(ISNUMBER(F2062),E2062*F2062,"")</f>
        <v>0.40638719999999995</v>
      </c>
      <c r="H2062" s="34"/>
      <c r="I2062" s="30"/>
      <c r="J2062" s="152">
        <v>107</v>
      </c>
    </row>
    <row r="2063" spans="1:10" ht="25.5" x14ac:dyDescent="0.25">
      <c r="A2063" s="176"/>
      <c r="B2063" s="174"/>
      <c r="C2063" s="35" t="s">
        <v>825</v>
      </c>
      <c r="D2063" s="35" t="s">
        <v>583</v>
      </c>
      <c r="E2063" s="36">
        <f>0.064*0.3</f>
        <v>1.9199999999999998E-2</v>
      </c>
      <c r="F2063" s="30">
        <v>26.799499999999998</v>
      </c>
      <c r="G2063" s="33">
        <f>IF(ISNUMBER(F2063),E2063*F2063,"")</f>
        <v>0.51455039999999996</v>
      </c>
      <c r="H2063" s="34"/>
      <c r="I2063" s="30"/>
      <c r="J2063" s="152">
        <v>107</v>
      </c>
    </row>
    <row r="2064" spans="1:10" x14ac:dyDescent="0.25">
      <c r="A2064" s="176"/>
      <c r="B2064" s="174"/>
      <c r="C2064" s="35"/>
      <c r="D2064" s="46"/>
      <c r="E2064" s="36"/>
      <c r="F2064" s="33" t="s">
        <v>416</v>
      </c>
      <c r="G2064" s="33" t="str">
        <f>IF(ISNUMBER(F2064),E2064*F2064,"")</f>
        <v/>
      </c>
      <c r="H2064" s="34"/>
      <c r="I2064" s="30"/>
      <c r="J2064" s="152">
        <v>107</v>
      </c>
    </row>
    <row r="2065" spans="1:10" ht="38.25" x14ac:dyDescent="0.25">
      <c r="A2065" s="176"/>
      <c r="B2065" s="174"/>
      <c r="C2065" s="51" t="s">
        <v>529</v>
      </c>
      <c r="D2065" s="46"/>
      <c r="E2065" s="36"/>
      <c r="F2065" s="33" t="s">
        <v>416</v>
      </c>
      <c r="G2065" s="33" t="str">
        <f>IF(ISNUMBER(F2065),E2065*F2065,"")</f>
        <v/>
      </c>
      <c r="H2065" s="34"/>
      <c r="I2065" s="30"/>
      <c r="J2065" s="152">
        <v>107</v>
      </c>
    </row>
    <row r="2066" spans="1:10" ht="15.75" thickBot="1" x14ac:dyDescent="0.3">
      <c r="A2066" s="177"/>
      <c r="B2066" s="175"/>
      <c r="C2066" s="35"/>
      <c r="D2066" s="35"/>
      <c r="E2066" s="36"/>
      <c r="F2066" s="30" t="s">
        <v>416</v>
      </c>
      <c r="G2066" s="30" t="str">
        <f>IF(ISNUMBER(F2066),E2066*F2066,"")</f>
        <v/>
      </c>
      <c r="H2066" s="34"/>
      <c r="I2066" s="30"/>
      <c r="J2066" s="152">
        <v>107</v>
      </c>
    </row>
    <row r="2067" spans="1:10" ht="15.75" thickBot="1" x14ac:dyDescent="0.3">
      <c r="A2067" s="170" t="s">
        <v>540</v>
      </c>
      <c r="B2067" s="173" t="str">
        <f>INDEX(Orçamentária!A:B,MATCH(Composições!A2067,Orçamentária!A:A,0),2)</f>
        <v>Isolamento elastomérico para tubulações de cobre de 7/8" / tubulações de ferro de 1/2"</v>
      </c>
      <c r="C2067" s="40"/>
      <c r="D2067" s="25" t="s">
        <v>69</v>
      </c>
      <c r="E2067" s="26"/>
      <c r="F2067" s="41" t="s">
        <v>416</v>
      </c>
      <c r="G2067" s="27" t="str">
        <f>IF(ISNUMBER(F2067),E2067*F2067,"")</f>
        <v/>
      </c>
      <c r="H2067" s="28"/>
      <c r="I2067" s="29"/>
      <c r="J2067" s="152">
        <v>10</v>
      </c>
    </row>
    <row r="2068" spans="1:10" x14ac:dyDescent="0.25">
      <c r="A2068" s="176"/>
      <c r="B2068" s="174"/>
      <c r="C2068" s="31"/>
      <c r="D2068" s="31"/>
      <c r="E2068" s="32"/>
      <c r="F2068" s="42" t="s">
        <v>416</v>
      </c>
      <c r="G2068" s="30" t="str">
        <f>IF(ISNUMBER(F2068),E2068*F2068,"")</f>
        <v/>
      </c>
      <c r="H2068" s="34"/>
      <c r="I2068" s="30"/>
      <c r="J2068" s="152">
        <v>10</v>
      </c>
    </row>
    <row r="2069" spans="1:10" ht="51" x14ac:dyDescent="0.25">
      <c r="A2069" s="176"/>
      <c r="B2069" s="174"/>
      <c r="C2069" s="35" t="s">
        <v>541</v>
      </c>
      <c r="D2069" s="46" t="s">
        <v>69</v>
      </c>
      <c r="E2069" s="36">
        <v>1.0210999999999999</v>
      </c>
      <c r="F2069" s="33">
        <v>15.89</v>
      </c>
      <c r="G2069" s="33">
        <f>IF(ISNUMBER(F2069),E2069*F2069,"")</f>
        <v>16.225279</v>
      </c>
      <c r="H2069" s="38">
        <f>SUM(G2069:G2071)</f>
        <v>17.146216600000002</v>
      </c>
      <c r="I2069" s="39"/>
      <c r="J2069" s="152">
        <v>10</v>
      </c>
    </row>
    <row r="2070" spans="1:10" ht="25.5" x14ac:dyDescent="0.25">
      <c r="A2070" s="176"/>
      <c r="B2070" s="174"/>
      <c r="C2070" s="35" t="s">
        <v>824</v>
      </c>
      <c r="D2070" s="35" t="s">
        <v>583</v>
      </c>
      <c r="E2070" s="36">
        <f>0.064*0.3</f>
        <v>1.9199999999999998E-2</v>
      </c>
      <c r="F2070" s="30">
        <v>21.166</v>
      </c>
      <c r="G2070" s="33">
        <f>IF(ISNUMBER(F2070),E2070*F2070,"")</f>
        <v>0.40638719999999995</v>
      </c>
      <c r="H2070" s="34"/>
      <c r="I2070" s="30"/>
      <c r="J2070" s="152">
        <v>10</v>
      </c>
    </row>
    <row r="2071" spans="1:10" ht="25.5" x14ac:dyDescent="0.25">
      <c r="A2071" s="176"/>
      <c r="B2071" s="174"/>
      <c r="C2071" s="35" t="s">
        <v>825</v>
      </c>
      <c r="D2071" s="35" t="s">
        <v>583</v>
      </c>
      <c r="E2071" s="36">
        <f>0.064*0.3</f>
        <v>1.9199999999999998E-2</v>
      </c>
      <c r="F2071" s="30">
        <v>26.799499999999998</v>
      </c>
      <c r="G2071" s="33">
        <f>IF(ISNUMBER(F2071),E2071*F2071,"")</f>
        <v>0.51455039999999996</v>
      </c>
      <c r="H2071" s="34"/>
      <c r="I2071" s="30"/>
      <c r="J2071" s="152">
        <v>10</v>
      </c>
    </row>
    <row r="2072" spans="1:10" x14ac:dyDescent="0.25">
      <c r="A2072" s="176"/>
      <c r="B2072" s="174"/>
      <c r="C2072" s="35"/>
      <c r="D2072" s="46"/>
      <c r="E2072" s="36"/>
      <c r="F2072" s="33" t="s">
        <v>416</v>
      </c>
      <c r="G2072" s="33" t="str">
        <f>IF(ISNUMBER(F2072),E2072*F2072,"")</f>
        <v/>
      </c>
      <c r="H2072" s="34"/>
      <c r="I2072" s="30"/>
      <c r="J2072" s="152">
        <v>10</v>
      </c>
    </row>
    <row r="2073" spans="1:10" ht="38.25" x14ac:dyDescent="0.25">
      <c r="A2073" s="176"/>
      <c r="B2073" s="174"/>
      <c r="C2073" s="51" t="s">
        <v>529</v>
      </c>
      <c r="D2073" s="46"/>
      <c r="E2073" s="36"/>
      <c r="F2073" s="33" t="s">
        <v>416</v>
      </c>
      <c r="G2073" s="33" t="str">
        <f>IF(ISNUMBER(F2073),E2073*F2073,"")</f>
        <v/>
      </c>
      <c r="H2073" s="34"/>
      <c r="I2073" s="30"/>
      <c r="J2073" s="152">
        <v>10</v>
      </c>
    </row>
    <row r="2074" spans="1:10" ht="15.75" thickBot="1" x14ac:dyDescent="0.3">
      <c r="A2074" s="177"/>
      <c r="B2074" s="175"/>
      <c r="C2074" s="35"/>
      <c r="D2074" s="35"/>
      <c r="E2074" s="36"/>
      <c r="F2074" s="30" t="s">
        <v>416</v>
      </c>
      <c r="G2074" s="30" t="str">
        <f>IF(ISNUMBER(F2074),E2074*F2074,"")</f>
        <v/>
      </c>
      <c r="H2074" s="34"/>
      <c r="I2074" s="30"/>
      <c r="J2074" s="152">
        <v>10</v>
      </c>
    </row>
    <row r="2075" spans="1:10" ht="15.75" hidden="1" thickBot="1" x14ac:dyDescent="0.3">
      <c r="A2075" s="170" t="s">
        <v>542</v>
      </c>
      <c r="B2075" s="173" t="str">
        <f>INDEX(Orçamentária!A:B,MATCH(Composições!A2075,Orçamentária!A:A,0),2)</f>
        <v>Isolamento elastomérico para tubulações de cobre de 1"</v>
      </c>
      <c r="C2075" s="40"/>
      <c r="D2075" s="25" t="s">
        <v>69</v>
      </c>
      <c r="E2075" s="26"/>
      <c r="F2075" s="41" t="s">
        <v>416</v>
      </c>
      <c r="G2075" s="27" t="str">
        <f>IF(ISNUMBER(F2075),E2075*F2075,"")</f>
        <v/>
      </c>
      <c r="H2075" s="28"/>
      <c r="I2075" s="29"/>
      <c r="J2075" s="152">
        <v>0</v>
      </c>
    </row>
    <row r="2076" spans="1:10" ht="15.75" hidden="1" thickBot="1" x14ac:dyDescent="0.3">
      <c r="A2076" s="176"/>
      <c r="B2076" s="174"/>
      <c r="C2076" s="31"/>
      <c r="D2076" s="31"/>
      <c r="E2076" s="32"/>
      <c r="F2076" s="42" t="s">
        <v>416</v>
      </c>
      <c r="G2076" s="30" t="str">
        <f>IF(ISNUMBER(F2076),E2076*F2076,"")</f>
        <v/>
      </c>
      <c r="H2076" s="34"/>
      <c r="I2076" s="30"/>
      <c r="J2076" s="152">
        <v>0</v>
      </c>
    </row>
    <row r="2077" spans="1:10" ht="39" hidden="1" thickBot="1" x14ac:dyDescent="0.3">
      <c r="A2077" s="176"/>
      <c r="B2077" s="174"/>
      <c r="C2077" s="35" t="s">
        <v>543</v>
      </c>
      <c r="D2077" s="46" t="s">
        <v>69</v>
      </c>
      <c r="E2077" s="36">
        <v>1.0210999999999999</v>
      </c>
      <c r="F2077" s="33" t="s">
        <v>416</v>
      </c>
      <c r="G2077" s="33" t="str">
        <f>IF(ISNUMBER(F2077),E2077*F2077,"")</f>
        <v/>
      </c>
      <c r="H2077" s="38">
        <f>SUM(G2077:G2079)</f>
        <v>0.92093759999999991</v>
      </c>
      <c r="I2077" s="39"/>
      <c r="J2077" s="152">
        <v>0</v>
      </c>
    </row>
    <row r="2078" spans="1:10" ht="26.25" hidden="1" thickBot="1" x14ac:dyDescent="0.3">
      <c r="A2078" s="176"/>
      <c r="B2078" s="174"/>
      <c r="C2078" s="35" t="s">
        <v>824</v>
      </c>
      <c r="D2078" s="35" t="s">
        <v>583</v>
      </c>
      <c r="E2078" s="36">
        <f>0.064*0.3</f>
        <v>1.9199999999999998E-2</v>
      </c>
      <c r="F2078" s="30">
        <v>21.166</v>
      </c>
      <c r="G2078" s="33">
        <f>IF(ISNUMBER(F2078),E2078*F2078,"")</f>
        <v>0.40638719999999995</v>
      </c>
      <c r="H2078" s="34"/>
      <c r="I2078" s="30"/>
      <c r="J2078" s="152">
        <v>0</v>
      </c>
    </row>
    <row r="2079" spans="1:10" ht="26.25" hidden="1" thickBot="1" x14ac:dyDescent="0.3">
      <c r="A2079" s="176"/>
      <c r="B2079" s="174"/>
      <c r="C2079" s="35" t="s">
        <v>825</v>
      </c>
      <c r="D2079" s="35" t="s">
        <v>583</v>
      </c>
      <c r="E2079" s="36">
        <f>0.064*0.3</f>
        <v>1.9199999999999998E-2</v>
      </c>
      <c r="F2079" s="30">
        <v>26.799499999999998</v>
      </c>
      <c r="G2079" s="33">
        <f>IF(ISNUMBER(F2079),E2079*F2079,"")</f>
        <v>0.51455039999999996</v>
      </c>
      <c r="H2079" s="34"/>
      <c r="I2079" s="30"/>
      <c r="J2079" s="152">
        <v>0</v>
      </c>
    </row>
    <row r="2080" spans="1:10" ht="15.75" hidden="1" thickBot="1" x14ac:dyDescent="0.3">
      <c r="A2080" s="176"/>
      <c r="B2080" s="174"/>
      <c r="C2080" s="35"/>
      <c r="D2080" s="46"/>
      <c r="E2080" s="36"/>
      <c r="F2080" s="33" t="s">
        <v>416</v>
      </c>
      <c r="G2080" s="33" t="str">
        <f>IF(ISNUMBER(F2080),E2080*F2080,"")</f>
        <v/>
      </c>
      <c r="H2080" s="34"/>
      <c r="I2080" s="30"/>
      <c r="J2080" s="152">
        <v>0</v>
      </c>
    </row>
    <row r="2081" spans="1:10" ht="39" hidden="1" thickBot="1" x14ac:dyDescent="0.3">
      <c r="A2081" s="176"/>
      <c r="B2081" s="174"/>
      <c r="C2081" s="51" t="s">
        <v>529</v>
      </c>
      <c r="D2081" s="46"/>
      <c r="E2081" s="36"/>
      <c r="F2081" s="33" t="s">
        <v>416</v>
      </c>
      <c r="G2081" s="33" t="str">
        <f>IF(ISNUMBER(F2081),E2081*F2081,"")</f>
        <v/>
      </c>
      <c r="H2081" s="34"/>
      <c r="I2081" s="30"/>
      <c r="J2081" s="152">
        <v>0</v>
      </c>
    </row>
    <row r="2082" spans="1:10" ht="15.75" hidden="1" thickBot="1" x14ac:dyDescent="0.3">
      <c r="A2082" s="177"/>
      <c r="B2082" s="175"/>
      <c r="C2082" s="35"/>
      <c r="D2082" s="35"/>
      <c r="E2082" s="36"/>
      <c r="F2082" s="30" t="s">
        <v>416</v>
      </c>
      <c r="G2082" s="30" t="str">
        <f>IF(ISNUMBER(F2082),E2082*F2082,"")</f>
        <v/>
      </c>
      <c r="H2082" s="34"/>
      <c r="I2082" s="30"/>
      <c r="J2082" s="152">
        <v>0</v>
      </c>
    </row>
    <row r="2083" spans="1:10" ht="15.75" hidden="1" thickBot="1" x14ac:dyDescent="0.3">
      <c r="A2083" s="170" t="s">
        <v>544</v>
      </c>
      <c r="B2083" s="173" t="str">
        <f>INDEX(Orçamentária!A:B,MATCH(Composições!A2083,Orçamentária!A:A,0),2)</f>
        <v>Isolamento elastomérico para tubulações de ferro de 1 1/2"</v>
      </c>
      <c r="C2083" s="40"/>
      <c r="D2083" s="25" t="s">
        <v>69</v>
      </c>
      <c r="E2083" s="26"/>
      <c r="F2083" s="41" t="s">
        <v>416</v>
      </c>
      <c r="G2083" s="27" t="str">
        <f>IF(ISNUMBER(F2083),E2083*F2083,"")</f>
        <v/>
      </c>
      <c r="H2083" s="28"/>
      <c r="I2083" s="29"/>
      <c r="J2083" s="152">
        <v>0</v>
      </c>
    </row>
    <row r="2084" spans="1:10" ht="15.75" hidden="1" thickBot="1" x14ac:dyDescent="0.3">
      <c r="A2084" s="176"/>
      <c r="B2084" s="174"/>
      <c r="C2084" s="31"/>
      <c r="D2084" s="31"/>
      <c r="E2084" s="32"/>
      <c r="F2084" s="42" t="s">
        <v>416</v>
      </c>
      <c r="G2084" s="30" t="str">
        <f>IF(ISNUMBER(F2084),E2084*F2084,"")</f>
        <v/>
      </c>
      <c r="H2084" s="34"/>
      <c r="I2084" s="30"/>
      <c r="J2084" s="152">
        <v>0</v>
      </c>
    </row>
    <row r="2085" spans="1:10" ht="39" hidden="1" thickBot="1" x14ac:dyDescent="0.3">
      <c r="A2085" s="176"/>
      <c r="B2085" s="174"/>
      <c r="C2085" s="35" t="s">
        <v>545</v>
      </c>
      <c r="D2085" s="46" t="s">
        <v>69</v>
      </c>
      <c r="E2085" s="36">
        <v>1.0210999999999999</v>
      </c>
      <c r="F2085" s="33" t="s">
        <v>416</v>
      </c>
      <c r="G2085" s="33" t="str">
        <f>IF(ISNUMBER(F2085),E2085*F2085,"")</f>
        <v/>
      </c>
      <c r="H2085" s="38">
        <f>SUM(G2085:G2087)</f>
        <v>0.92093759999999991</v>
      </c>
      <c r="I2085" s="39"/>
      <c r="J2085" s="152">
        <v>0</v>
      </c>
    </row>
    <row r="2086" spans="1:10" ht="26.25" hidden="1" thickBot="1" x14ac:dyDescent="0.3">
      <c r="A2086" s="176"/>
      <c r="B2086" s="174"/>
      <c r="C2086" s="35" t="s">
        <v>824</v>
      </c>
      <c r="D2086" s="35" t="s">
        <v>583</v>
      </c>
      <c r="E2086" s="36">
        <f>0.064*0.3</f>
        <v>1.9199999999999998E-2</v>
      </c>
      <c r="F2086" s="30">
        <v>21.166</v>
      </c>
      <c r="G2086" s="33">
        <f>IF(ISNUMBER(F2086),E2086*F2086,"")</f>
        <v>0.40638719999999995</v>
      </c>
      <c r="H2086" s="34"/>
      <c r="I2086" s="30"/>
      <c r="J2086" s="152">
        <v>0</v>
      </c>
    </row>
    <row r="2087" spans="1:10" ht="26.25" hidden="1" thickBot="1" x14ac:dyDescent="0.3">
      <c r="A2087" s="176"/>
      <c r="B2087" s="174"/>
      <c r="C2087" s="35" t="s">
        <v>825</v>
      </c>
      <c r="D2087" s="35" t="s">
        <v>583</v>
      </c>
      <c r="E2087" s="36">
        <f>0.064*0.3</f>
        <v>1.9199999999999998E-2</v>
      </c>
      <c r="F2087" s="30">
        <v>26.799499999999998</v>
      </c>
      <c r="G2087" s="33">
        <f>IF(ISNUMBER(F2087),E2087*F2087,"")</f>
        <v>0.51455039999999996</v>
      </c>
      <c r="H2087" s="34"/>
      <c r="I2087" s="30"/>
      <c r="J2087" s="152">
        <v>0</v>
      </c>
    </row>
    <row r="2088" spans="1:10" ht="15.75" hidden="1" thickBot="1" x14ac:dyDescent="0.3">
      <c r="A2088" s="176"/>
      <c r="B2088" s="174"/>
      <c r="C2088" s="35"/>
      <c r="D2088" s="46"/>
      <c r="E2088" s="36"/>
      <c r="F2088" s="33" t="s">
        <v>416</v>
      </c>
      <c r="G2088" s="33" t="str">
        <f>IF(ISNUMBER(F2088),E2088*F2088,"")</f>
        <v/>
      </c>
      <c r="H2088" s="34"/>
      <c r="I2088" s="30"/>
      <c r="J2088" s="152">
        <v>0</v>
      </c>
    </row>
    <row r="2089" spans="1:10" ht="39" hidden="1" thickBot="1" x14ac:dyDescent="0.3">
      <c r="A2089" s="176"/>
      <c r="B2089" s="174"/>
      <c r="C2089" s="51" t="s">
        <v>529</v>
      </c>
      <c r="D2089" s="46"/>
      <c r="E2089" s="36"/>
      <c r="F2089" s="33" t="s">
        <v>416</v>
      </c>
      <c r="G2089" s="33" t="str">
        <f>IF(ISNUMBER(F2089),E2089*F2089,"")</f>
        <v/>
      </c>
      <c r="H2089" s="34"/>
      <c r="I2089" s="30"/>
      <c r="J2089" s="152">
        <v>0</v>
      </c>
    </row>
    <row r="2090" spans="1:10" ht="15.75" hidden="1" thickBot="1" x14ac:dyDescent="0.3">
      <c r="A2090" s="177"/>
      <c r="B2090" s="175"/>
      <c r="C2090" s="35"/>
      <c r="D2090" s="35"/>
      <c r="E2090" s="36"/>
      <c r="F2090" s="30" t="s">
        <v>416</v>
      </c>
      <c r="G2090" s="30" t="str">
        <f>IF(ISNUMBER(F2090),E2090*F2090,"")</f>
        <v/>
      </c>
      <c r="H2090" s="34"/>
      <c r="I2090" s="30"/>
      <c r="J2090" s="152">
        <v>0</v>
      </c>
    </row>
    <row r="2091" spans="1:10" ht="15.75" hidden="1" thickBot="1" x14ac:dyDescent="0.3">
      <c r="A2091" s="170" t="s">
        <v>546</v>
      </c>
      <c r="B2091" s="173" t="str">
        <f>INDEX(Orçamentária!A:B,MATCH(Composições!A2091,Orçamentária!A:A,0),2)</f>
        <v>Isolamento elastomérico para tubulações de cobre 1 5/8" / tubulações de ferro de 1 1/4"</v>
      </c>
      <c r="C2091" s="40"/>
      <c r="D2091" s="25" t="s">
        <v>69</v>
      </c>
      <c r="E2091" s="26"/>
      <c r="F2091" s="41" t="s">
        <v>416</v>
      </c>
      <c r="G2091" s="27" t="str">
        <f>IF(ISNUMBER(F2091),E2091*F2091,"")</f>
        <v/>
      </c>
      <c r="H2091" s="28"/>
      <c r="I2091" s="29"/>
      <c r="J2091" s="152">
        <v>0</v>
      </c>
    </row>
    <row r="2092" spans="1:10" ht="15.75" hidden="1" thickBot="1" x14ac:dyDescent="0.3">
      <c r="A2092" s="176"/>
      <c r="B2092" s="174"/>
      <c r="C2092" s="31"/>
      <c r="D2092" s="31"/>
      <c r="E2092" s="32"/>
      <c r="F2092" s="42" t="s">
        <v>416</v>
      </c>
      <c r="G2092" s="30" t="str">
        <f>IF(ISNUMBER(F2092),E2092*F2092,"")</f>
        <v/>
      </c>
      <c r="H2092" s="34"/>
      <c r="I2092" s="30"/>
      <c r="J2092" s="152">
        <v>0</v>
      </c>
    </row>
    <row r="2093" spans="1:10" ht="39" hidden="1" thickBot="1" x14ac:dyDescent="0.3">
      <c r="A2093" s="176"/>
      <c r="B2093" s="174"/>
      <c r="C2093" s="35" t="s">
        <v>547</v>
      </c>
      <c r="D2093" s="46" t="s">
        <v>69</v>
      </c>
      <c r="E2093" s="36">
        <v>1.0210999999999999</v>
      </c>
      <c r="F2093" s="33" t="s">
        <v>416</v>
      </c>
      <c r="G2093" s="33" t="str">
        <f>IF(ISNUMBER(F2093),E2093*F2093,"")</f>
        <v/>
      </c>
      <c r="H2093" s="38">
        <f>SUM(G2093:G2095)</f>
        <v>0.92093759999999991</v>
      </c>
      <c r="I2093" s="39"/>
      <c r="J2093" s="152">
        <v>0</v>
      </c>
    </row>
    <row r="2094" spans="1:10" ht="26.25" hidden="1" thickBot="1" x14ac:dyDescent="0.3">
      <c r="A2094" s="176"/>
      <c r="B2094" s="174"/>
      <c r="C2094" s="35" t="s">
        <v>824</v>
      </c>
      <c r="D2094" s="35" t="s">
        <v>583</v>
      </c>
      <c r="E2094" s="36">
        <f>0.064*0.3</f>
        <v>1.9199999999999998E-2</v>
      </c>
      <c r="F2094" s="30">
        <v>21.166</v>
      </c>
      <c r="G2094" s="33">
        <f>IF(ISNUMBER(F2094),E2094*F2094,"")</f>
        <v>0.40638719999999995</v>
      </c>
      <c r="H2094" s="34"/>
      <c r="I2094" s="30"/>
      <c r="J2094" s="152">
        <v>0</v>
      </c>
    </row>
    <row r="2095" spans="1:10" ht="26.25" hidden="1" thickBot="1" x14ac:dyDescent="0.3">
      <c r="A2095" s="176"/>
      <c r="B2095" s="174"/>
      <c r="C2095" s="35" t="s">
        <v>825</v>
      </c>
      <c r="D2095" s="35" t="s">
        <v>583</v>
      </c>
      <c r="E2095" s="36">
        <f>0.064*0.3</f>
        <v>1.9199999999999998E-2</v>
      </c>
      <c r="F2095" s="30">
        <v>26.799499999999998</v>
      </c>
      <c r="G2095" s="33">
        <f>IF(ISNUMBER(F2095),E2095*F2095,"")</f>
        <v>0.51455039999999996</v>
      </c>
      <c r="H2095" s="34"/>
      <c r="I2095" s="30"/>
      <c r="J2095" s="152">
        <v>0</v>
      </c>
    </row>
    <row r="2096" spans="1:10" ht="15.75" hidden="1" thickBot="1" x14ac:dyDescent="0.3">
      <c r="A2096" s="176"/>
      <c r="B2096" s="174"/>
      <c r="C2096" s="35"/>
      <c r="D2096" s="46"/>
      <c r="E2096" s="36"/>
      <c r="F2096" s="33" t="s">
        <v>416</v>
      </c>
      <c r="G2096" s="33" t="str">
        <f>IF(ISNUMBER(F2096),E2096*F2096,"")</f>
        <v/>
      </c>
      <c r="H2096" s="34"/>
      <c r="I2096" s="30"/>
      <c r="J2096" s="152">
        <v>0</v>
      </c>
    </row>
    <row r="2097" spans="1:10" ht="39" hidden="1" thickBot="1" x14ac:dyDescent="0.3">
      <c r="A2097" s="176"/>
      <c r="B2097" s="174"/>
      <c r="C2097" s="51" t="s">
        <v>529</v>
      </c>
      <c r="D2097" s="46"/>
      <c r="E2097" s="36"/>
      <c r="F2097" s="33" t="s">
        <v>416</v>
      </c>
      <c r="G2097" s="33" t="str">
        <f>IF(ISNUMBER(F2097),E2097*F2097,"")</f>
        <v/>
      </c>
      <c r="H2097" s="34"/>
      <c r="I2097" s="30"/>
      <c r="J2097" s="152">
        <v>0</v>
      </c>
    </row>
    <row r="2098" spans="1:10" ht="15.75" hidden="1" thickBot="1" x14ac:dyDescent="0.3">
      <c r="A2098" s="177"/>
      <c r="B2098" s="175"/>
      <c r="C2098" s="35"/>
      <c r="D2098" s="35"/>
      <c r="E2098" s="36"/>
      <c r="F2098" s="30" t="s">
        <v>416</v>
      </c>
      <c r="G2098" s="30" t="str">
        <f>IF(ISNUMBER(F2098),E2098*F2098,"")</f>
        <v/>
      </c>
      <c r="H2098" s="34"/>
      <c r="I2098" s="30"/>
      <c r="J2098" s="152">
        <v>0</v>
      </c>
    </row>
    <row r="2099" spans="1:10" ht="15.75" hidden="1" thickBot="1" x14ac:dyDescent="0.3">
      <c r="A2099" s="170" t="s">
        <v>548</v>
      </c>
      <c r="B2099" s="173" t="str">
        <f>INDEX(Orçamentária!A:B,MATCH(Composições!A2099,Orçamentária!A:A,0),2)</f>
        <v>Isolamento elastomérico para tubulações de cobre 1 3/8" / tubulações de ferro de 1"</v>
      </c>
      <c r="C2099" s="40"/>
      <c r="D2099" s="25" t="s">
        <v>69</v>
      </c>
      <c r="E2099" s="26"/>
      <c r="F2099" s="41" t="s">
        <v>416</v>
      </c>
      <c r="G2099" s="27" t="str">
        <f>IF(ISNUMBER(F2099),E2099*F2099,"")</f>
        <v/>
      </c>
      <c r="H2099" s="28"/>
      <c r="I2099" s="29"/>
      <c r="J2099" s="152">
        <v>0</v>
      </c>
    </row>
    <row r="2100" spans="1:10" ht="15.75" hidden="1" thickBot="1" x14ac:dyDescent="0.3">
      <c r="A2100" s="176"/>
      <c r="B2100" s="174"/>
      <c r="C2100" s="31"/>
      <c r="D2100" s="31"/>
      <c r="E2100" s="32"/>
      <c r="F2100" s="42" t="s">
        <v>416</v>
      </c>
      <c r="G2100" s="30" t="str">
        <f>IF(ISNUMBER(F2100),E2100*F2100,"")</f>
        <v/>
      </c>
      <c r="H2100" s="34"/>
      <c r="I2100" s="30"/>
      <c r="J2100" s="152">
        <v>0</v>
      </c>
    </row>
    <row r="2101" spans="1:10" ht="39" hidden="1" thickBot="1" x14ac:dyDescent="0.3">
      <c r="A2101" s="176"/>
      <c r="B2101" s="174"/>
      <c r="C2101" s="35" t="s">
        <v>549</v>
      </c>
      <c r="D2101" s="46" t="s">
        <v>69</v>
      </c>
      <c r="E2101" s="36">
        <v>1.0210999999999999</v>
      </c>
      <c r="F2101" s="33" t="s">
        <v>416</v>
      </c>
      <c r="G2101" s="33" t="str">
        <f>IF(ISNUMBER(F2101),E2101*F2101,"")</f>
        <v/>
      </c>
      <c r="H2101" s="38">
        <f>SUM(G2101:G2103)</f>
        <v>0.92093759999999991</v>
      </c>
      <c r="I2101" s="39"/>
      <c r="J2101" s="152">
        <v>0</v>
      </c>
    </row>
    <row r="2102" spans="1:10" ht="26.25" hidden="1" thickBot="1" x14ac:dyDescent="0.3">
      <c r="A2102" s="176"/>
      <c r="B2102" s="174"/>
      <c r="C2102" s="35" t="s">
        <v>824</v>
      </c>
      <c r="D2102" s="35" t="s">
        <v>583</v>
      </c>
      <c r="E2102" s="36">
        <f>0.064*0.3</f>
        <v>1.9199999999999998E-2</v>
      </c>
      <c r="F2102" s="30">
        <v>21.166</v>
      </c>
      <c r="G2102" s="33">
        <f>IF(ISNUMBER(F2102),E2102*F2102,"")</f>
        <v>0.40638719999999995</v>
      </c>
      <c r="H2102" s="34"/>
      <c r="I2102" s="30"/>
      <c r="J2102" s="152">
        <v>0</v>
      </c>
    </row>
    <row r="2103" spans="1:10" ht="26.25" hidden="1" thickBot="1" x14ac:dyDescent="0.3">
      <c r="A2103" s="176"/>
      <c r="B2103" s="174"/>
      <c r="C2103" s="35" t="s">
        <v>825</v>
      </c>
      <c r="D2103" s="35" t="s">
        <v>583</v>
      </c>
      <c r="E2103" s="36">
        <f>0.064*0.3</f>
        <v>1.9199999999999998E-2</v>
      </c>
      <c r="F2103" s="30">
        <v>26.799499999999998</v>
      </c>
      <c r="G2103" s="33">
        <f>IF(ISNUMBER(F2103),E2103*F2103,"")</f>
        <v>0.51455039999999996</v>
      </c>
      <c r="H2103" s="34"/>
      <c r="I2103" s="30"/>
      <c r="J2103" s="152">
        <v>0</v>
      </c>
    </row>
    <row r="2104" spans="1:10" ht="15.75" hidden="1" thickBot="1" x14ac:dyDescent="0.3">
      <c r="A2104" s="176"/>
      <c r="B2104" s="174"/>
      <c r="C2104" s="35"/>
      <c r="D2104" s="46"/>
      <c r="E2104" s="36"/>
      <c r="F2104" s="33" t="s">
        <v>416</v>
      </c>
      <c r="G2104" s="33" t="str">
        <f>IF(ISNUMBER(F2104),E2104*F2104,"")</f>
        <v/>
      </c>
      <c r="H2104" s="34"/>
      <c r="I2104" s="30"/>
      <c r="J2104" s="152">
        <v>0</v>
      </c>
    </row>
    <row r="2105" spans="1:10" ht="39" hidden="1" thickBot="1" x14ac:dyDescent="0.3">
      <c r="A2105" s="176"/>
      <c r="B2105" s="174"/>
      <c r="C2105" s="51" t="s">
        <v>529</v>
      </c>
      <c r="D2105" s="46"/>
      <c r="E2105" s="36"/>
      <c r="F2105" s="33" t="s">
        <v>416</v>
      </c>
      <c r="G2105" s="33" t="str">
        <f>IF(ISNUMBER(F2105),E2105*F2105,"")</f>
        <v/>
      </c>
      <c r="H2105" s="34"/>
      <c r="I2105" s="30"/>
      <c r="J2105" s="152">
        <v>0</v>
      </c>
    </row>
    <row r="2106" spans="1:10" ht="15.75" hidden="1" thickBot="1" x14ac:dyDescent="0.3">
      <c r="A2106" s="177"/>
      <c r="B2106" s="175"/>
      <c r="C2106" s="35"/>
      <c r="D2106" s="35"/>
      <c r="E2106" s="36"/>
      <c r="F2106" s="30" t="s">
        <v>416</v>
      </c>
      <c r="G2106" s="30" t="str">
        <f>IF(ISNUMBER(F2106),E2106*F2106,"")</f>
        <v/>
      </c>
      <c r="H2106" s="34"/>
      <c r="I2106" s="30"/>
      <c r="J2106" s="152">
        <v>0</v>
      </c>
    </row>
    <row r="2107" spans="1:10" ht="15.75" hidden="1" thickBot="1" x14ac:dyDescent="0.3">
      <c r="A2107" s="170" t="s">
        <v>550</v>
      </c>
      <c r="B2107" s="173" t="str">
        <f>INDEX(Orçamentária!A:B,MATCH(Composições!A2107,Orçamentária!A:A,0),2)</f>
        <v>Proteção mecânica em alumínio</v>
      </c>
      <c r="C2107" s="40"/>
      <c r="D2107" s="25" t="s">
        <v>70</v>
      </c>
      <c r="E2107" s="26"/>
      <c r="F2107" s="41" t="s">
        <v>416</v>
      </c>
      <c r="G2107" s="27" t="str">
        <f>IF(ISNUMBER(F2107),E2107*F2107,"")</f>
        <v/>
      </c>
      <c r="H2107" s="28"/>
      <c r="I2107" s="29"/>
      <c r="J2107" s="152">
        <v>0</v>
      </c>
    </row>
    <row r="2108" spans="1:10" ht="15.75" hidden="1" thickBot="1" x14ac:dyDescent="0.3">
      <c r="A2108" s="176"/>
      <c r="B2108" s="174"/>
      <c r="C2108" s="31"/>
      <c r="D2108" s="31"/>
      <c r="E2108" s="32"/>
      <c r="F2108" s="42" t="s">
        <v>416</v>
      </c>
      <c r="G2108" s="30" t="str">
        <f>IF(ISNUMBER(F2108),E2108*F2108,"")</f>
        <v/>
      </c>
      <c r="H2108" s="34"/>
      <c r="I2108" s="30"/>
      <c r="J2108" s="152">
        <v>0</v>
      </c>
    </row>
    <row r="2109" spans="1:10" ht="26.25" hidden="1" thickBot="1" x14ac:dyDescent="0.3">
      <c r="A2109" s="176"/>
      <c r="B2109" s="174"/>
      <c r="C2109" s="35" t="s">
        <v>824</v>
      </c>
      <c r="D2109" s="35" t="s">
        <v>583</v>
      </c>
      <c r="E2109" s="36">
        <v>0.2</v>
      </c>
      <c r="F2109" s="30">
        <v>21.166</v>
      </c>
      <c r="G2109" s="33">
        <f>IF(ISNUMBER(F2109),E2109*F2109,"")</f>
        <v>4.2332000000000001</v>
      </c>
      <c r="H2109" s="38">
        <f>SUM(G2109:G2111)</f>
        <v>9.5930999999999997</v>
      </c>
      <c r="I2109" s="39"/>
      <c r="J2109" s="152">
        <v>0</v>
      </c>
    </row>
    <row r="2110" spans="1:10" ht="26.25" hidden="1" thickBot="1" x14ac:dyDescent="0.3">
      <c r="A2110" s="176"/>
      <c r="B2110" s="174"/>
      <c r="C2110" s="35" t="s">
        <v>825</v>
      </c>
      <c r="D2110" s="35" t="s">
        <v>583</v>
      </c>
      <c r="E2110" s="36">
        <v>0.2</v>
      </c>
      <c r="F2110" s="30">
        <v>26.799499999999998</v>
      </c>
      <c r="G2110" s="33">
        <f>IF(ISNUMBER(F2110),E2110*F2110,"")</f>
        <v>5.3598999999999997</v>
      </c>
      <c r="H2110" s="34"/>
      <c r="I2110" s="30"/>
      <c r="J2110" s="152">
        <v>0</v>
      </c>
    </row>
    <row r="2111" spans="1:10" ht="15.75" hidden="1" thickBot="1" x14ac:dyDescent="0.3">
      <c r="A2111" s="176"/>
      <c r="B2111" s="174"/>
      <c r="C2111" s="35" t="s">
        <v>551</v>
      </c>
      <c r="D2111" s="46" t="s">
        <v>70</v>
      </c>
      <c r="E2111" s="36">
        <v>1.05</v>
      </c>
      <c r="F2111" s="33" t="s">
        <v>416</v>
      </c>
      <c r="G2111" s="33" t="str">
        <f>IF(ISNUMBER(F2111),E2111*F2111,"")</f>
        <v/>
      </c>
      <c r="H2111" s="34"/>
      <c r="I2111" s="30"/>
      <c r="J2111" s="152">
        <v>0</v>
      </c>
    </row>
    <row r="2112" spans="1:10" ht="15.75" hidden="1" thickBot="1" x14ac:dyDescent="0.3">
      <c r="A2112" s="177"/>
      <c r="B2112" s="175"/>
      <c r="C2112" s="35"/>
      <c r="D2112" s="35"/>
      <c r="E2112" s="36"/>
      <c r="F2112" s="30" t="s">
        <v>416</v>
      </c>
      <c r="G2112" s="30" t="str">
        <f>IF(ISNUMBER(F2112),E2112*F2112,"")</f>
        <v/>
      </c>
      <c r="H2112" s="34"/>
      <c r="I2112" s="30"/>
      <c r="J2112" s="152">
        <v>0</v>
      </c>
    </row>
    <row r="2113" spans="1:10" ht="15.75" hidden="1" thickBot="1" x14ac:dyDescent="0.3">
      <c r="A2113" s="170" t="s">
        <v>552</v>
      </c>
      <c r="B2113" s="173" t="str">
        <f>INDEX(Orçamentária!A:B,MATCH(Composições!A2113,Orçamentária!A:A,0),2)</f>
        <v>Tubo de aço-carbono galvanizado 1 1/2"</v>
      </c>
      <c r="C2113" s="40"/>
      <c r="D2113" s="25" t="s">
        <v>69</v>
      </c>
      <c r="E2113" s="26"/>
      <c r="F2113" s="41" t="s">
        <v>416</v>
      </c>
      <c r="G2113" s="27" t="str">
        <f>IF(ISNUMBER(F2113),E2113*F2113,"")</f>
        <v/>
      </c>
      <c r="H2113" s="28"/>
      <c r="I2113" s="29"/>
      <c r="J2113" s="152">
        <v>0</v>
      </c>
    </row>
    <row r="2114" spans="1:10" ht="15.75" hidden="1" thickBot="1" x14ac:dyDescent="0.3">
      <c r="A2114" s="176"/>
      <c r="B2114" s="174"/>
      <c r="C2114" s="31"/>
      <c r="D2114" s="31"/>
      <c r="E2114" s="32"/>
      <c r="F2114" s="42" t="s">
        <v>416</v>
      </c>
      <c r="G2114" s="30" t="str">
        <f>IF(ISNUMBER(F2114),E2114*F2114,"")</f>
        <v/>
      </c>
      <c r="H2114" s="34"/>
      <c r="I2114" s="30"/>
      <c r="J2114" s="152">
        <v>0</v>
      </c>
    </row>
    <row r="2115" spans="1:10" ht="26.25" hidden="1" thickBot="1" x14ac:dyDescent="0.3">
      <c r="A2115" s="176"/>
      <c r="B2115" s="174"/>
      <c r="C2115" s="35" t="s">
        <v>825</v>
      </c>
      <c r="D2115" s="35" t="s">
        <v>583</v>
      </c>
      <c r="E2115" s="36">
        <v>0.29199999999999998</v>
      </c>
      <c r="F2115" s="30">
        <v>26.799499999999998</v>
      </c>
      <c r="G2115" s="30">
        <f>IF(ISNUMBER(F2115),E2115*F2115,"")</f>
        <v>7.8254539999999988</v>
      </c>
      <c r="H2115" s="38">
        <f>SUM(G2115:G2117)</f>
        <v>61.394196499999993</v>
      </c>
      <c r="I2115" s="39"/>
      <c r="J2115" s="152">
        <v>0</v>
      </c>
    </row>
    <row r="2116" spans="1:10" ht="26.25" hidden="1" thickBot="1" x14ac:dyDescent="0.3">
      <c r="A2116" s="176"/>
      <c r="B2116" s="174"/>
      <c r="C2116" s="35" t="s">
        <v>824</v>
      </c>
      <c r="D2116" s="35" t="s">
        <v>583</v>
      </c>
      <c r="E2116" s="36">
        <v>0.29199999999999998</v>
      </c>
      <c r="F2116" s="30">
        <v>21.166</v>
      </c>
      <c r="G2116" s="30">
        <f>IF(ISNUMBER(F2116),E2116*F2116,"")</f>
        <v>6.180472</v>
      </c>
      <c r="H2116" s="34"/>
      <c r="I2116" s="30"/>
      <c r="J2116" s="152">
        <v>0</v>
      </c>
    </row>
    <row r="2117" spans="1:10" ht="26.25" hidden="1" thickBot="1" x14ac:dyDescent="0.3">
      <c r="A2117" s="176"/>
      <c r="B2117" s="174"/>
      <c r="C2117" s="35" t="s">
        <v>553</v>
      </c>
      <c r="D2117" s="35" t="s">
        <v>385</v>
      </c>
      <c r="E2117" s="36">
        <v>1.0389999999999999</v>
      </c>
      <c r="F2117" s="33">
        <v>45.609499999999997</v>
      </c>
      <c r="G2117" s="30">
        <f>IF(ISNUMBER(F2117),E2117*F2117,"")</f>
        <v>47.38827049999999</v>
      </c>
      <c r="H2117" s="34"/>
      <c r="I2117" s="30"/>
      <c r="J2117" s="152">
        <v>0</v>
      </c>
    </row>
    <row r="2118" spans="1:10" ht="15.75" hidden="1" thickBot="1" x14ac:dyDescent="0.3">
      <c r="A2118" s="177"/>
      <c r="B2118" s="175"/>
      <c r="C2118" s="35"/>
      <c r="D2118" s="35"/>
      <c r="E2118" s="36"/>
      <c r="F2118" s="30" t="s">
        <v>416</v>
      </c>
      <c r="G2118" s="30" t="str">
        <f>IF(ISNUMBER(F2118),E2118*F2118,"")</f>
        <v/>
      </c>
      <c r="H2118" s="34"/>
      <c r="I2118" s="30"/>
      <c r="J2118" s="152">
        <v>0</v>
      </c>
    </row>
    <row r="2119" spans="1:10" ht="15.75" hidden="1" thickBot="1" x14ac:dyDescent="0.3">
      <c r="A2119" s="170" t="s">
        <v>554</v>
      </c>
      <c r="B2119" s="173" t="str">
        <f>INDEX(Orçamentária!A:B,MATCH(Composições!A2119,Orçamentária!A:A,0),2)</f>
        <v>Tubo de aço-carbono galvanizado 1 1/4"</v>
      </c>
      <c r="C2119" s="40"/>
      <c r="D2119" s="25" t="s">
        <v>69</v>
      </c>
      <c r="E2119" s="26"/>
      <c r="F2119" s="41" t="s">
        <v>416</v>
      </c>
      <c r="G2119" s="27" t="str">
        <f>IF(ISNUMBER(F2119),E2119*F2119,"")</f>
        <v/>
      </c>
      <c r="H2119" s="28"/>
      <c r="I2119" s="29"/>
      <c r="J2119" s="152">
        <v>0</v>
      </c>
    </row>
    <row r="2120" spans="1:10" ht="15.75" hidden="1" thickBot="1" x14ac:dyDescent="0.3">
      <c r="A2120" s="176"/>
      <c r="B2120" s="174"/>
      <c r="C2120" s="31"/>
      <c r="D2120" s="31"/>
      <c r="E2120" s="32"/>
      <c r="F2120" s="42" t="s">
        <v>416</v>
      </c>
      <c r="G2120" s="30" t="str">
        <f>IF(ISNUMBER(F2120),E2120*F2120,"")</f>
        <v/>
      </c>
      <c r="H2120" s="34"/>
      <c r="I2120" s="30"/>
      <c r="J2120" s="152">
        <v>0</v>
      </c>
    </row>
    <row r="2121" spans="1:10" ht="26.25" hidden="1" thickBot="1" x14ac:dyDescent="0.3">
      <c r="A2121" s="176"/>
      <c r="B2121" s="174"/>
      <c r="C2121" s="35" t="s">
        <v>825</v>
      </c>
      <c r="D2121" s="35" t="s">
        <v>583</v>
      </c>
      <c r="E2121" s="36">
        <v>0.27500000000000002</v>
      </c>
      <c r="F2121" s="30">
        <v>26.799499999999998</v>
      </c>
      <c r="G2121" s="30">
        <f>IF(ISNUMBER(F2121),E2121*F2121,"")</f>
        <v>7.3698625</v>
      </c>
      <c r="H2121" s="38">
        <f>SUM(G2121:G2123)</f>
        <v>56.679935499999999</v>
      </c>
      <c r="I2121" s="39"/>
      <c r="J2121" s="152">
        <v>0</v>
      </c>
    </row>
    <row r="2122" spans="1:10" ht="26.25" hidden="1" thickBot="1" x14ac:dyDescent="0.3">
      <c r="A2122" s="176"/>
      <c r="B2122" s="174"/>
      <c r="C2122" s="35" t="s">
        <v>824</v>
      </c>
      <c r="D2122" s="35" t="s">
        <v>583</v>
      </c>
      <c r="E2122" s="36">
        <v>0.27500000000000002</v>
      </c>
      <c r="F2122" s="30">
        <v>21.166</v>
      </c>
      <c r="G2122" s="30">
        <f>IF(ISNUMBER(F2122),E2122*F2122,"")</f>
        <v>5.8206500000000005</v>
      </c>
      <c r="H2122" s="34"/>
      <c r="I2122" s="30"/>
      <c r="J2122" s="152">
        <v>0</v>
      </c>
    </row>
    <row r="2123" spans="1:10" ht="26.25" hidden="1" thickBot="1" x14ac:dyDescent="0.3">
      <c r="A2123" s="176"/>
      <c r="B2123" s="174"/>
      <c r="C2123" s="35" t="s">
        <v>3063</v>
      </c>
      <c r="D2123" s="35" t="s">
        <v>385</v>
      </c>
      <c r="E2123" s="36">
        <v>1.0389999999999999</v>
      </c>
      <c r="F2123" s="30">
        <v>41.856999999999999</v>
      </c>
      <c r="G2123" s="30">
        <f>IF(ISNUMBER(F2123),E2123*F2123,"")</f>
        <v>43.489422999999995</v>
      </c>
      <c r="H2123" s="34"/>
      <c r="I2123" s="30"/>
      <c r="J2123" s="152">
        <v>0</v>
      </c>
    </row>
    <row r="2124" spans="1:10" ht="15.75" hidden="1" thickBot="1" x14ac:dyDescent="0.3">
      <c r="A2124" s="177"/>
      <c r="B2124" s="175"/>
      <c r="C2124" s="35"/>
      <c r="D2124" s="35"/>
      <c r="E2124" s="36"/>
      <c r="F2124" s="30" t="s">
        <v>416</v>
      </c>
      <c r="G2124" s="30" t="str">
        <f>IF(ISNUMBER(F2124),E2124*F2124,"")</f>
        <v/>
      </c>
      <c r="H2124" s="34"/>
      <c r="I2124" s="30"/>
      <c r="J2124" s="152">
        <v>0</v>
      </c>
    </row>
    <row r="2125" spans="1:10" ht="15.75" hidden="1" thickBot="1" x14ac:dyDescent="0.3">
      <c r="A2125" s="170" t="s">
        <v>555</v>
      </c>
      <c r="B2125" s="173" t="str">
        <f>INDEX(Orçamentária!A:B,MATCH(Composições!A2125,Orçamentária!A:A,0),2)</f>
        <v>Tubo de aço-carbono galvanizado 1"</v>
      </c>
      <c r="C2125" s="40"/>
      <c r="D2125" s="25" t="s">
        <v>69</v>
      </c>
      <c r="E2125" s="26"/>
      <c r="F2125" s="41" t="s">
        <v>416</v>
      </c>
      <c r="G2125" s="27" t="str">
        <f>IF(ISNUMBER(F2125),E2125*F2125,"")</f>
        <v/>
      </c>
      <c r="H2125" s="28"/>
      <c r="I2125" s="29"/>
      <c r="J2125" s="152">
        <v>0</v>
      </c>
    </row>
    <row r="2126" spans="1:10" ht="15.75" hidden="1" thickBot="1" x14ac:dyDescent="0.3">
      <c r="A2126" s="176"/>
      <c r="B2126" s="174"/>
      <c r="C2126" s="31"/>
      <c r="D2126" s="31"/>
      <c r="E2126" s="32"/>
      <c r="F2126" s="42" t="s">
        <v>416</v>
      </c>
      <c r="G2126" s="30" t="str">
        <f>IF(ISNUMBER(F2126),E2126*F2126,"")</f>
        <v/>
      </c>
      <c r="H2126" s="34"/>
      <c r="I2126" s="30"/>
      <c r="J2126" s="152">
        <v>0</v>
      </c>
    </row>
    <row r="2127" spans="1:10" ht="26.25" hidden="1" thickBot="1" x14ac:dyDescent="0.3">
      <c r="A2127" s="176"/>
      <c r="B2127" s="174"/>
      <c r="C2127" s="35" t="s">
        <v>825</v>
      </c>
      <c r="D2127" s="35" t="s">
        <v>583</v>
      </c>
      <c r="E2127" s="36">
        <v>0.29699999999999999</v>
      </c>
      <c r="F2127" s="30">
        <v>26.799499999999998</v>
      </c>
      <c r="G2127" s="33">
        <f>IF(ISNUMBER(F2127),E2127*F2127,"")</f>
        <v>7.9594514999999992</v>
      </c>
      <c r="H2127" s="38">
        <f>SUM(G2127:G2129)</f>
        <v>46.699957499999996</v>
      </c>
      <c r="I2127" s="39"/>
      <c r="J2127" s="152">
        <v>0</v>
      </c>
    </row>
    <row r="2128" spans="1:10" ht="26.25" hidden="1" thickBot="1" x14ac:dyDescent="0.3">
      <c r="A2128" s="176"/>
      <c r="B2128" s="174"/>
      <c r="C2128" s="35" t="s">
        <v>824</v>
      </c>
      <c r="D2128" s="35" t="s">
        <v>583</v>
      </c>
      <c r="E2128" s="36">
        <v>0.29699999999999999</v>
      </c>
      <c r="F2128" s="30">
        <v>21.166</v>
      </c>
      <c r="G2128" s="33">
        <f>IF(ISNUMBER(F2128),E2128*F2128,"")</f>
        <v>6.2863020000000001</v>
      </c>
      <c r="H2128" s="34"/>
      <c r="I2128" s="30"/>
      <c r="J2128" s="152">
        <v>0</v>
      </c>
    </row>
    <row r="2129" spans="1:10" ht="26.25" hidden="1" thickBot="1" x14ac:dyDescent="0.3">
      <c r="A2129" s="176"/>
      <c r="B2129" s="174"/>
      <c r="C2129" s="35" t="s">
        <v>3064</v>
      </c>
      <c r="D2129" s="35" t="s">
        <v>385</v>
      </c>
      <c r="E2129" s="36">
        <v>1.0389999999999999</v>
      </c>
      <c r="F2129" s="30">
        <v>31.236000000000001</v>
      </c>
      <c r="G2129" s="33">
        <f>IF(ISNUMBER(F2129),E2129*F2129,"")</f>
        <v>32.454203999999997</v>
      </c>
      <c r="H2129" s="34"/>
      <c r="I2129" s="30"/>
      <c r="J2129" s="152">
        <v>0</v>
      </c>
    </row>
    <row r="2130" spans="1:10" ht="15.75" hidden="1" thickBot="1" x14ac:dyDescent="0.3">
      <c r="A2130" s="177"/>
      <c r="B2130" s="175"/>
      <c r="C2130" s="35"/>
      <c r="D2130" s="35"/>
      <c r="E2130" s="36"/>
      <c r="F2130" s="30" t="s">
        <v>416</v>
      </c>
      <c r="G2130" s="30" t="str">
        <f>IF(ISNUMBER(F2130),E2130*F2130,"")</f>
        <v/>
      </c>
      <c r="H2130" s="34"/>
      <c r="I2130" s="30"/>
      <c r="J2130" s="152">
        <v>0</v>
      </c>
    </row>
    <row r="2131" spans="1:10" ht="15.75" hidden="1" thickBot="1" x14ac:dyDescent="0.3">
      <c r="A2131" s="170" t="s">
        <v>556</v>
      </c>
      <c r="B2131" s="173" t="str">
        <f>INDEX(Orçamentária!A:B,MATCH(Composições!A2131,Orçamentária!A:A,0),2)</f>
        <v>Tubo de aço-carbono galvanizado 3/4"</v>
      </c>
      <c r="C2131" s="40"/>
      <c r="D2131" s="25" t="s">
        <v>69</v>
      </c>
      <c r="E2131" s="26"/>
      <c r="F2131" s="41" t="s">
        <v>416</v>
      </c>
      <c r="G2131" s="27" t="str">
        <f>IF(ISNUMBER(F2131),E2131*F2131,"")</f>
        <v/>
      </c>
      <c r="H2131" s="28"/>
      <c r="I2131" s="29"/>
      <c r="J2131" s="152">
        <v>0</v>
      </c>
    </row>
    <row r="2132" spans="1:10" ht="15.75" hidden="1" thickBot="1" x14ac:dyDescent="0.3">
      <c r="A2132" s="176"/>
      <c r="B2132" s="174"/>
      <c r="C2132" s="31"/>
      <c r="D2132" s="31"/>
      <c r="E2132" s="32"/>
      <c r="F2132" s="42" t="s">
        <v>416</v>
      </c>
      <c r="G2132" s="30" t="str">
        <f>IF(ISNUMBER(F2132),E2132*F2132,"")</f>
        <v/>
      </c>
      <c r="H2132" s="34"/>
      <c r="I2132" s="30"/>
      <c r="J2132" s="152">
        <v>0</v>
      </c>
    </row>
    <row r="2133" spans="1:10" ht="26.25" hidden="1" thickBot="1" x14ac:dyDescent="0.3">
      <c r="A2133" s="176"/>
      <c r="B2133" s="174"/>
      <c r="C2133" s="35" t="s">
        <v>825</v>
      </c>
      <c r="D2133" s="35" t="s">
        <v>583</v>
      </c>
      <c r="E2133" s="36">
        <v>0.29699999999999999</v>
      </c>
      <c r="F2133" s="30">
        <v>26.799499999999998</v>
      </c>
      <c r="G2133" s="30">
        <f>IF(ISNUMBER(F2133),E2133*F2133,"")</f>
        <v>7.9594514999999992</v>
      </c>
      <c r="H2133" s="38">
        <f>SUM(G2133:G2135)</f>
        <v>43.077483999999998</v>
      </c>
      <c r="I2133" s="39"/>
      <c r="J2133" s="152">
        <v>0</v>
      </c>
    </row>
    <row r="2134" spans="1:10" ht="26.25" hidden="1" thickBot="1" x14ac:dyDescent="0.3">
      <c r="A2134" s="176"/>
      <c r="B2134" s="174"/>
      <c r="C2134" s="35" t="s">
        <v>824</v>
      </c>
      <c r="D2134" s="35" t="s">
        <v>583</v>
      </c>
      <c r="E2134" s="36">
        <v>0.29699999999999999</v>
      </c>
      <c r="F2134" s="30">
        <v>21.166</v>
      </c>
      <c r="G2134" s="30">
        <f>IF(ISNUMBER(F2134),E2134*F2134,"")</f>
        <v>6.2863020000000001</v>
      </c>
      <c r="H2134" s="34"/>
      <c r="I2134" s="30"/>
      <c r="J2134" s="152">
        <v>0</v>
      </c>
    </row>
    <row r="2135" spans="1:10" ht="26.25" hidden="1" thickBot="1" x14ac:dyDescent="0.3">
      <c r="A2135" s="176"/>
      <c r="B2135" s="174"/>
      <c r="C2135" s="35" t="s">
        <v>557</v>
      </c>
      <c r="D2135" s="35" t="s">
        <v>385</v>
      </c>
      <c r="E2135" s="36">
        <v>1.0389999999999999</v>
      </c>
      <c r="F2135" s="33">
        <v>27.749500000000001</v>
      </c>
      <c r="G2135" s="30">
        <f>IF(ISNUMBER(F2135),E2135*F2135,"")</f>
        <v>28.831730499999999</v>
      </c>
      <c r="H2135" s="34"/>
      <c r="I2135" s="30"/>
      <c r="J2135" s="152">
        <v>0</v>
      </c>
    </row>
    <row r="2136" spans="1:10" ht="15.75" hidden="1" thickBot="1" x14ac:dyDescent="0.3">
      <c r="A2136" s="177"/>
      <c r="B2136" s="175"/>
      <c r="C2136" s="35"/>
      <c r="D2136" s="35"/>
      <c r="E2136" s="36"/>
      <c r="F2136" s="30" t="s">
        <v>416</v>
      </c>
      <c r="G2136" s="30" t="str">
        <f>IF(ISNUMBER(F2136),E2136*F2136,"")</f>
        <v/>
      </c>
      <c r="H2136" s="34"/>
      <c r="I2136" s="30"/>
      <c r="J2136" s="152">
        <v>0</v>
      </c>
    </row>
    <row r="2137" spans="1:10" ht="15.75" thickBot="1" x14ac:dyDescent="0.3">
      <c r="A2137" s="170" t="s">
        <v>558</v>
      </c>
      <c r="B2137" s="173" t="str">
        <f>INDEX(Orçamentária!A:B,MATCH(Composições!A2137,Orçamentária!A:A,0),2)</f>
        <v>Tubo de cobre de 1/2"</v>
      </c>
      <c r="C2137" s="40"/>
      <c r="D2137" s="25" t="s">
        <v>69</v>
      </c>
      <c r="E2137" s="26"/>
      <c r="F2137" s="41" t="s">
        <v>416</v>
      </c>
      <c r="G2137" s="27" t="str">
        <f>IF(ISNUMBER(F2137),E2137*F2137,"")</f>
        <v/>
      </c>
      <c r="H2137" s="28"/>
      <c r="I2137" s="29"/>
      <c r="J2137" s="152">
        <v>105</v>
      </c>
    </row>
    <row r="2138" spans="1:10" x14ac:dyDescent="0.25">
      <c r="A2138" s="176"/>
      <c r="B2138" s="174"/>
      <c r="C2138" s="31"/>
      <c r="D2138" s="31"/>
      <c r="E2138" s="32"/>
      <c r="F2138" s="42" t="s">
        <v>416</v>
      </c>
      <c r="G2138" s="30" t="str">
        <f>IF(ISNUMBER(F2138),E2138*F2138,"")</f>
        <v/>
      </c>
      <c r="H2138" s="34"/>
      <c r="I2138" s="30"/>
      <c r="J2138" s="152">
        <v>105</v>
      </c>
    </row>
    <row r="2139" spans="1:10" ht="25.5" x14ac:dyDescent="0.25">
      <c r="A2139" s="176"/>
      <c r="B2139" s="174"/>
      <c r="C2139" s="35" t="s">
        <v>8461</v>
      </c>
      <c r="D2139" s="35" t="s">
        <v>385</v>
      </c>
      <c r="E2139" s="36">
        <v>1.0210999999999999</v>
      </c>
      <c r="F2139" s="33">
        <v>42.968499999999992</v>
      </c>
      <c r="G2139" s="33">
        <f>IF(ISNUMBER(F2139),E2139*F2139,"")</f>
        <v>43.875135349999987</v>
      </c>
      <c r="H2139" s="38">
        <f>SUM(G2139:G2141)</f>
        <v>45.923262199999989</v>
      </c>
      <c r="I2139" s="39"/>
      <c r="J2139" s="152">
        <v>105</v>
      </c>
    </row>
    <row r="2140" spans="1:10" ht="25.5" x14ac:dyDescent="0.25">
      <c r="A2140" s="176"/>
      <c r="B2140" s="174"/>
      <c r="C2140" s="35" t="s">
        <v>824</v>
      </c>
      <c r="D2140" s="35" t="s">
        <v>583</v>
      </c>
      <c r="E2140" s="36">
        <f>0.061*0.7</f>
        <v>4.2699999999999995E-2</v>
      </c>
      <c r="F2140" s="30">
        <v>21.166</v>
      </c>
      <c r="G2140" s="33">
        <f>IF(ISNUMBER(F2140),E2140*F2140,"")</f>
        <v>0.90378819999999993</v>
      </c>
      <c r="H2140" s="34"/>
      <c r="I2140" s="30"/>
      <c r="J2140" s="152">
        <v>105</v>
      </c>
    </row>
    <row r="2141" spans="1:10" ht="25.5" x14ac:dyDescent="0.25">
      <c r="A2141" s="176"/>
      <c r="B2141" s="174"/>
      <c r="C2141" s="35" t="s">
        <v>825</v>
      </c>
      <c r="D2141" s="35" t="s">
        <v>583</v>
      </c>
      <c r="E2141" s="36">
        <f>0.061*0.7</f>
        <v>4.2699999999999995E-2</v>
      </c>
      <c r="F2141" s="30">
        <v>26.799499999999998</v>
      </c>
      <c r="G2141" s="33">
        <f>IF(ISNUMBER(F2141),E2141*F2141,"")</f>
        <v>1.1443386499999999</v>
      </c>
      <c r="H2141" s="34"/>
      <c r="I2141" s="30"/>
      <c r="J2141" s="152">
        <v>105</v>
      </c>
    </row>
    <row r="2142" spans="1:10" x14ac:dyDescent="0.25">
      <c r="A2142" s="176"/>
      <c r="B2142" s="174"/>
      <c r="C2142" s="35"/>
      <c r="D2142" s="46"/>
      <c r="E2142" s="36"/>
      <c r="F2142" s="30" t="s">
        <v>416</v>
      </c>
      <c r="G2142" s="33" t="str">
        <f>IF(ISNUMBER(F2142),E2142*F2142,"")</f>
        <v/>
      </c>
      <c r="H2142" s="34"/>
      <c r="I2142" s="30"/>
      <c r="J2142" s="152">
        <v>105</v>
      </c>
    </row>
    <row r="2143" spans="1:10" ht="38.25" x14ac:dyDescent="0.25">
      <c r="A2143" s="176"/>
      <c r="B2143" s="174"/>
      <c r="C2143" s="51" t="s">
        <v>529</v>
      </c>
      <c r="D2143" s="46"/>
      <c r="E2143" s="36"/>
      <c r="F2143" s="30" t="s">
        <v>416</v>
      </c>
      <c r="G2143" s="33" t="str">
        <f>IF(ISNUMBER(F2143),E2143*F2143,"")</f>
        <v/>
      </c>
      <c r="H2143" s="34"/>
      <c r="I2143" s="30"/>
      <c r="J2143" s="152">
        <v>105</v>
      </c>
    </row>
    <row r="2144" spans="1:10" ht="15.75" thickBot="1" x14ac:dyDescent="0.3">
      <c r="A2144" s="177"/>
      <c r="B2144" s="175"/>
      <c r="C2144" s="35"/>
      <c r="D2144" s="35"/>
      <c r="E2144" s="36"/>
      <c r="F2144" s="30" t="s">
        <v>416</v>
      </c>
      <c r="G2144" s="30" t="str">
        <f>IF(ISNUMBER(F2144),E2144*F2144,"")</f>
        <v/>
      </c>
      <c r="H2144" s="34"/>
      <c r="I2144" s="30"/>
      <c r="J2144" s="152">
        <v>105</v>
      </c>
    </row>
    <row r="2145" spans="1:10" ht="15.75" thickBot="1" x14ac:dyDescent="0.3">
      <c r="A2145" s="170" t="s">
        <v>559</v>
      </c>
      <c r="B2145" s="173" t="str">
        <f>INDEX(Orçamentária!A:B,MATCH(Composições!A2145,Orçamentária!A:A,0),2)</f>
        <v>Tubo de cobre de 1/4"</v>
      </c>
      <c r="C2145" s="40"/>
      <c r="D2145" s="25" t="s">
        <v>69</v>
      </c>
      <c r="E2145" s="26"/>
      <c r="F2145" s="41" t="s">
        <v>416</v>
      </c>
      <c r="G2145" s="27" t="str">
        <f>IF(ISNUMBER(F2145),E2145*F2145,"")</f>
        <v/>
      </c>
      <c r="H2145" s="28"/>
      <c r="I2145" s="29"/>
      <c r="J2145" s="152">
        <v>105</v>
      </c>
    </row>
    <row r="2146" spans="1:10" x14ac:dyDescent="0.25">
      <c r="A2146" s="176"/>
      <c r="B2146" s="174"/>
      <c r="C2146" s="31"/>
      <c r="D2146" s="31"/>
      <c r="E2146" s="32"/>
      <c r="F2146" s="42" t="s">
        <v>416</v>
      </c>
      <c r="G2146" s="30" t="str">
        <f>IF(ISNUMBER(F2146),E2146*F2146,"")</f>
        <v/>
      </c>
      <c r="H2146" s="34"/>
      <c r="I2146" s="30"/>
      <c r="J2146" s="152">
        <v>105</v>
      </c>
    </row>
    <row r="2147" spans="1:10" ht="25.5" x14ac:dyDescent="0.25">
      <c r="A2147" s="176"/>
      <c r="B2147" s="174"/>
      <c r="C2147" s="35" t="s">
        <v>8462</v>
      </c>
      <c r="D2147" s="35" t="s">
        <v>385</v>
      </c>
      <c r="E2147" s="36">
        <v>1.0210999999999999</v>
      </c>
      <c r="F2147" s="33">
        <v>20.596</v>
      </c>
      <c r="G2147" s="33">
        <f>IF(ISNUMBER(F2147),E2147*F2147,"")</f>
        <v>21.030575599999999</v>
      </c>
      <c r="H2147" s="38">
        <f>SUM(G2147:G2149)</f>
        <v>22.776519799999999</v>
      </c>
      <c r="I2147" s="39"/>
      <c r="J2147" s="152">
        <v>105</v>
      </c>
    </row>
    <row r="2148" spans="1:10" ht="25.5" x14ac:dyDescent="0.25">
      <c r="A2148" s="176"/>
      <c r="B2148" s="174"/>
      <c r="C2148" s="35" t="s">
        <v>824</v>
      </c>
      <c r="D2148" s="35" t="s">
        <v>583</v>
      </c>
      <c r="E2148" s="36">
        <f>0.052*0.7</f>
        <v>3.6399999999999995E-2</v>
      </c>
      <c r="F2148" s="30">
        <v>21.166</v>
      </c>
      <c r="G2148" s="33">
        <f>IF(ISNUMBER(F2148),E2148*F2148,"")</f>
        <v>0.77044239999999986</v>
      </c>
      <c r="H2148" s="34"/>
      <c r="I2148" s="30"/>
      <c r="J2148" s="152">
        <v>105</v>
      </c>
    </row>
    <row r="2149" spans="1:10" ht="25.5" x14ac:dyDescent="0.25">
      <c r="A2149" s="176"/>
      <c r="B2149" s="174"/>
      <c r="C2149" s="35" t="s">
        <v>825</v>
      </c>
      <c r="D2149" s="35" t="s">
        <v>583</v>
      </c>
      <c r="E2149" s="36">
        <f>0.052*0.7</f>
        <v>3.6399999999999995E-2</v>
      </c>
      <c r="F2149" s="30">
        <v>26.799499999999998</v>
      </c>
      <c r="G2149" s="33">
        <f>IF(ISNUMBER(F2149),E2149*F2149,"")</f>
        <v>0.97550179999999975</v>
      </c>
      <c r="H2149" s="34"/>
      <c r="I2149" s="30"/>
      <c r="J2149" s="152">
        <v>105</v>
      </c>
    </row>
    <row r="2150" spans="1:10" x14ac:dyDescent="0.25">
      <c r="A2150" s="176"/>
      <c r="B2150" s="174"/>
      <c r="C2150" s="35"/>
      <c r="D2150" s="46"/>
      <c r="E2150" s="36"/>
      <c r="F2150" s="33" t="s">
        <v>416</v>
      </c>
      <c r="G2150" s="33" t="str">
        <f>IF(ISNUMBER(F2150),E2150*F2150,"")</f>
        <v/>
      </c>
      <c r="H2150" s="34"/>
      <c r="I2150" s="30"/>
      <c r="J2150" s="152">
        <v>105</v>
      </c>
    </row>
    <row r="2151" spans="1:10" ht="38.25" x14ac:dyDescent="0.25">
      <c r="A2151" s="176"/>
      <c r="B2151" s="174"/>
      <c r="C2151" s="51" t="s">
        <v>529</v>
      </c>
      <c r="D2151" s="46"/>
      <c r="E2151" s="36"/>
      <c r="F2151" s="33" t="s">
        <v>416</v>
      </c>
      <c r="G2151" s="33" t="str">
        <f>IF(ISNUMBER(F2151),E2151*F2151,"")</f>
        <v/>
      </c>
      <c r="H2151" s="34"/>
      <c r="I2151" s="30"/>
      <c r="J2151" s="152">
        <v>105</v>
      </c>
    </row>
    <row r="2152" spans="1:10" ht="15.75" thickBot="1" x14ac:dyDescent="0.3">
      <c r="A2152" s="177"/>
      <c r="B2152" s="175"/>
      <c r="C2152" s="35"/>
      <c r="D2152" s="35"/>
      <c r="E2152" s="36"/>
      <c r="F2152" s="30" t="s">
        <v>416</v>
      </c>
      <c r="G2152" s="30" t="str">
        <f>IF(ISNUMBER(F2152),E2152*F2152,"")</f>
        <v/>
      </c>
      <c r="H2152" s="34"/>
      <c r="I2152" s="30"/>
      <c r="J2152" s="152">
        <v>105</v>
      </c>
    </row>
    <row r="2153" spans="1:10" ht="15.75" hidden="1" thickBot="1" x14ac:dyDescent="0.3">
      <c r="A2153" s="170" t="s">
        <v>560</v>
      </c>
      <c r="B2153" s="173" t="str">
        <f>INDEX(Orçamentária!A:B,MATCH(Composições!A2153,Orçamentária!A:A,0),2)</f>
        <v>Tubo de cobre de 3/4"</v>
      </c>
      <c r="C2153" s="40"/>
      <c r="D2153" s="25" t="s">
        <v>69</v>
      </c>
      <c r="E2153" s="26"/>
      <c r="F2153" s="41" t="s">
        <v>416</v>
      </c>
      <c r="G2153" s="27" t="str">
        <f>IF(ISNUMBER(F2153),E2153*F2153,"")</f>
        <v/>
      </c>
      <c r="H2153" s="28"/>
      <c r="I2153" s="29"/>
      <c r="J2153" s="152">
        <v>0</v>
      </c>
    </row>
    <row r="2154" spans="1:10" ht="15.75" hidden="1" thickBot="1" x14ac:dyDescent="0.3">
      <c r="A2154" s="176"/>
      <c r="B2154" s="174"/>
      <c r="C2154" s="31"/>
      <c r="D2154" s="31"/>
      <c r="E2154" s="32"/>
      <c r="F2154" s="42" t="s">
        <v>416</v>
      </c>
      <c r="G2154" s="30" t="str">
        <f>IF(ISNUMBER(F2154),E2154*F2154,"")</f>
        <v/>
      </c>
      <c r="H2154" s="34"/>
      <c r="I2154" s="30"/>
      <c r="J2154" s="152">
        <v>0</v>
      </c>
    </row>
    <row r="2155" spans="1:10" ht="26.25" hidden="1" thickBot="1" x14ac:dyDescent="0.3">
      <c r="A2155" s="176"/>
      <c r="B2155" s="174"/>
      <c r="C2155" s="35" t="s">
        <v>8463</v>
      </c>
      <c r="D2155" s="35" t="s">
        <v>385</v>
      </c>
      <c r="E2155" s="36">
        <v>1.0210999999999999</v>
      </c>
      <c r="F2155" s="33">
        <v>64.638000000000005</v>
      </c>
      <c r="G2155" s="33">
        <f>IF(ISNUMBER(F2155),E2155*F2155,"")</f>
        <v>66.0018618</v>
      </c>
      <c r="H2155" s="38">
        <f>SUM(G2155:G2157)</f>
        <v>68.150716200000005</v>
      </c>
      <c r="I2155" s="39"/>
      <c r="J2155" s="152">
        <v>0</v>
      </c>
    </row>
    <row r="2156" spans="1:10" ht="26.25" hidden="1" thickBot="1" x14ac:dyDescent="0.3">
      <c r="A2156" s="176"/>
      <c r="B2156" s="174"/>
      <c r="C2156" s="35" t="s">
        <v>824</v>
      </c>
      <c r="D2156" s="35" t="s">
        <v>583</v>
      </c>
      <c r="E2156" s="36">
        <f>0.064*0.7</f>
        <v>4.48E-2</v>
      </c>
      <c r="F2156" s="30">
        <v>21.166</v>
      </c>
      <c r="G2156" s="33">
        <f>IF(ISNUMBER(F2156),E2156*F2156,"")</f>
        <v>0.94823679999999999</v>
      </c>
      <c r="H2156" s="34"/>
      <c r="I2156" s="30"/>
      <c r="J2156" s="152">
        <v>0</v>
      </c>
    </row>
    <row r="2157" spans="1:10" ht="26.25" hidden="1" thickBot="1" x14ac:dyDescent="0.3">
      <c r="A2157" s="176"/>
      <c r="B2157" s="174"/>
      <c r="C2157" s="35" t="s">
        <v>825</v>
      </c>
      <c r="D2157" s="35" t="s">
        <v>583</v>
      </c>
      <c r="E2157" s="36">
        <f>0.064*0.7</f>
        <v>4.48E-2</v>
      </c>
      <c r="F2157" s="30">
        <v>26.799499999999998</v>
      </c>
      <c r="G2157" s="33">
        <f>IF(ISNUMBER(F2157),E2157*F2157,"")</f>
        <v>1.2006176</v>
      </c>
      <c r="H2157" s="34"/>
      <c r="I2157" s="30"/>
      <c r="J2157" s="152">
        <v>0</v>
      </c>
    </row>
    <row r="2158" spans="1:10" ht="15.75" hidden="1" thickBot="1" x14ac:dyDescent="0.3">
      <c r="A2158" s="176"/>
      <c r="B2158" s="174"/>
      <c r="C2158" s="35"/>
      <c r="D2158" s="46"/>
      <c r="E2158" s="36"/>
      <c r="F2158" s="33" t="s">
        <v>416</v>
      </c>
      <c r="G2158" s="33" t="str">
        <f>IF(ISNUMBER(F2158),E2158*F2158,"")</f>
        <v/>
      </c>
      <c r="H2158" s="34"/>
      <c r="I2158" s="30"/>
      <c r="J2158" s="152">
        <v>0</v>
      </c>
    </row>
    <row r="2159" spans="1:10" ht="39" hidden="1" thickBot="1" x14ac:dyDescent="0.3">
      <c r="A2159" s="176"/>
      <c r="B2159" s="174"/>
      <c r="C2159" s="51" t="s">
        <v>529</v>
      </c>
      <c r="D2159" s="46"/>
      <c r="E2159" s="36"/>
      <c r="F2159" s="33" t="s">
        <v>416</v>
      </c>
      <c r="G2159" s="33" t="str">
        <f>IF(ISNUMBER(F2159),E2159*F2159,"")</f>
        <v/>
      </c>
      <c r="H2159" s="34"/>
      <c r="I2159" s="30"/>
      <c r="J2159" s="152">
        <v>0</v>
      </c>
    </row>
    <row r="2160" spans="1:10" ht="15.75" hidden="1" thickBot="1" x14ac:dyDescent="0.3">
      <c r="A2160" s="177"/>
      <c r="B2160" s="175"/>
      <c r="C2160" s="35"/>
      <c r="D2160" s="35"/>
      <c r="E2160" s="36"/>
      <c r="F2160" s="30" t="s">
        <v>416</v>
      </c>
      <c r="G2160" s="30" t="str">
        <f>IF(ISNUMBER(F2160),E2160*F2160,"")</f>
        <v/>
      </c>
      <c r="H2160" s="34"/>
      <c r="I2160" s="30"/>
      <c r="J2160" s="152">
        <v>0</v>
      </c>
    </row>
    <row r="2161" spans="1:10" ht="15.75" thickBot="1" x14ac:dyDescent="0.3">
      <c r="A2161" s="170" t="s">
        <v>561</v>
      </c>
      <c r="B2161" s="173" t="str">
        <f>INDEX(Orçamentária!A:B,MATCH(Composições!A2161,Orçamentária!A:A,0),2)</f>
        <v>Tubo de cobre de 3/8"</v>
      </c>
      <c r="C2161" s="40"/>
      <c r="D2161" s="25" t="s">
        <v>69</v>
      </c>
      <c r="E2161" s="26"/>
      <c r="F2161" s="41" t="s">
        <v>416</v>
      </c>
      <c r="G2161" s="27" t="str">
        <f>IF(ISNUMBER(F2161),E2161*F2161,"")</f>
        <v/>
      </c>
      <c r="H2161" s="28"/>
      <c r="I2161" s="29"/>
      <c r="J2161" s="152">
        <v>118</v>
      </c>
    </row>
    <row r="2162" spans="1:10" x14ac:dyDescent="0.25">
      <c r="A2162" s="176"/>
      <c r="B2162" s="174"/>
      <c r="C2162" s="31"/>
      <c r="D2162" s="31"/>
      <c r="E2162" s="32"/>
      <c r="F2162" s="42" t="s">
        <v>416</v>
      </c>
      <c r="G2162" s="30" t="str">
        <f>IF(ISNUMBER(F2162),E2162*F2162,"")</f>
        <v/>
      </c>
      <c r="H2162" s="34"/>
      <c r="I2162" s="30"/>
      <c r="J2162" s="152">
        <v>118</v>
      </c>
    </row>
    <row r="2163" spans="1:10" ht="25.5" x14ac:dyDescent="0.25">
      <c r="A2163" s="176"/>
      <c r="B2163" s="174"/>
      <c r="C2163" s="35" t="s">
        <v>8464</v>
      </c>
      <c r="D2163" s="35" t="s">
        <v>385</v>
      </c>
      <c r="E2163" s="36">
        <v>1.0210999999999999</v>
      </c>
      <c r="F2163" s="33">
        <v>31.682500000000001</v>
      </c>
      <c r="G2163" s="33">
        <f>IF(ISNUMBER(F2163),E2163*F2163,"")</f>
        <v>32.351000749999997</v>
      </c>
      <c r="H2163" s="38">
        <f>SUM(G2163:G2165)</f>
        <v>34.2648242</v>
      </c>
      <c r="I2163" s="39"/>
      <c r="J2163" s="152">
        <v>118</v>
      </c>
    </row>
    <row r="2164" spans="1:10" ht="25.5" x14ac:dyDescent="0.25">
      <c r="A2164" s="176"/>
      <c r="B2164" s="174"/>
      <c r="C2164" s="35" t="s">
        <v>824</v>
      </c>
      <c r="D2164" s="35" t="s">
        <v>583</v>
      </c>
      <c r="E2164" s="36">
        <f>0.057*0.7</f>
        <v>3.9899999999999998E-2</v>
      </c>
      <c r="F2164" s="30">
        <v>21.166</v>
      </c>
      <c r="G2164" s="33">
        <f>IF(ISNUMBER(F2164),E2164*F2164,"")</f>
        <v>0.84452339999999992</v>
      </c>
      <c r="H2164" s="34"/>
      <c r="I2164" s="30"/>
      <c r="J2164" s="152">
        <v>118</v>
      </c>
    </row>
    <row r="2165" spans="1:10" ht="25.5" x14ac:dyDescent="0.25">
      <c r="A2165" s="176"/>
      <c r="B2165" s="174"/>
      <c r="C2165" s="35" t="s">
        <v>825</v>
      </c>
      <c r="D2165" s="35" t="s">
        <v>583</v>
      </c>
      <c r="E2165" s="36">
        <f>0.057*0.7</f>
        <v>3.9899999999999998E-2</v>
      </c>
      <c r="F2165" s="30">
        <v>26.799499999999998</v>
      </c>
      <c r="G2165" s="33">
        <f>IF(ISNUMBER(F2165),E2165*F2165,"")</f>
        <v>1.0693000499999998</v>
      </c>
      <c r="H2165" s="34"/>
      <c r="I2165" s="30"/>
      <c r="J2165" s="152">
        <v>118</v>
      </c>
    </row>
    <row r="2166" spans="1:10" x14ac:dyDescent="0.25">
      <c r="A2166" s="176"/>
      <c r="B2166" s="174"/>
      <c r="C2166" s="35"/>
      <c r="D2166" s="46"/>
      <c r="E2166" s="36"/>
      <c r="F2166" s="33" t="s">
        <v>416</v>
      </c>
      <c r="G2166" s="33" t="str">
        <f>IF(ISNUMBER(F2166),E2166*F2166,"")</f>
        <v/>
      </c>
      <c r="H2166" s="34"/>
      <c r="I2166" s="30"/>
      <c r="J2166" s="152">
        <v>118</v>
      </c>
    </row>
    <row r="2167" spans="1:10" ht="38.25" x14ac:dyDescent="0.25">
      <c r="A2167" s="176"/>
      <c r="B2167" s="174"/>
      <c r="C2167" s="51" t="s">
        <v>529</v>
      </c>
      <c r="D2167" s="46"/>
      <c r="E2167" s="36"/>
      <c r="F2167" s="33" t="s">
        <v>416</v>
      </c>
      <c r="G2167" s="33" t="str">
        <f>IF(ISNUMBER(F2167),E2167*F2167,"")</f>
        <v/>
      </c>
      <c r="H2167" s="34"/>
      <c r="I2167" s="30"/>
      <c r="J2167" s="152">
        <v>118</v>
      </c>
    </row>
    <row r="2168" spans="1:10" ht="15.75" thickBot="1" x14ac:dyDescent="0.3">
      <c r="A2168" s="177"/>
      <c r="B2168" s="175"/>
      <c r="C2168" s="35"/>
      <c r="D2168" s="35"/>
      <c r="E2168" s="36"/>
      <c r="F2168" s="30" t="s">
        <v>416</v>
      </c>
      <c r="G2168" s="30" t="str">
        <f>IF(ISNUMBER(F2168),E2168*F2168,"")</f>
        <v/>
      </c>
      <c r="H2168" s="34"/>
      <c r="I2168" s="30"/>
      <c r="J2168" s="152">
        <v>118</v>
      </c>
    </row>
    <row r="2169" spans="1:10" ht="15.75" thickBot="1" x14ac:dyDescent="0.3">
      <c r="A2169" s="170" t="s">
        <v>562</v>
      </c>
      <c r="B2169" s="173" t="str">
        <f>INDEX(Orçamentária!A:B,MATCH(Composições!A2169,Orçamentária!A:A,0),2)</f>
        <v>Tubo de cobre de 5/8"</v>
      </c>
      <c r="C2169" s="40"/>
      <c r="D2169" s="25" t="s">
        <v>69</v>
      </c>
      <c r="E2169" s="26"/>
      <c r="F2169" s="41" t="s">
        <v>416</v>
      </c>
      <c r="G2169" s="27" t="str">
        <f>IF(ISNUMBER(F2169),E2169*F2169,"")</f>
        <v/>
      </c>
      <c r="H2169" s="28"/>
      <c r="I2169" s="29"/>
      <c r="J2169" s="152">
        <v>107</v>
      </c>
    </row>
    <row r="2170" spans="1:10" x14ac:dyDescent="0.25">
      <c r="A2170" s="176"/>
      <c r="B2170" s="174"/>
      <c r="C2170" s="31"/>
      <c r="D2170" s="31"/>
      <c r="E2170" s="32"/>
      <c r="F2170" s="42" t="s">
        <v>416</v>
      </c>
      <c r="G2170" s="30" t="str">
        <f>IF(ISNUMBER(F2170),E2170*F2170,"")</f>
        <v/>
      </c>
      <c r="H2170" s="34"/>
      <c r="I2170" s="30"/>
      <c r="J2170" s="152">
        <v>107</v>
      </c>
    </row>
    <row r="2171" spans="1:10" ht="25.5" x14ac:dyDescent="0.25">
      <c r="A2171" s="176"/>
      <c r="B2171" s="174"/>
      <c r="C2171" s="35" t="s">
        <v>8465</v>
      </c>
      <c r="D2171" s="35" t="s">
        <v>385</v>
      </c>
      <c r="E2171" s="36">
        <v>1.0210999999999999</v>
      </c>
      <c r="F2171" s="33">
        <v>53.446999999999996</v>
      </c>
      <c r="G2171" s="33">
        <f>IF(ISNUMBER(F2171),E2171*F2171,"")</f>
        <v>54.574731699999987</v>
      </c>
      <c r="H2171" s="38">
        <f>SUM(G2171:G2173)</f>
        <v>56.723586099999984</v>
      </c>
      <c r="I2171" s="39"/>
      <c r="J2171" s="152">
        <v>107</v>
      </c>
    </row>
    <row r="2172" spans="1:10" ht="25.5" x14ac:dyDescent="0.25">
      <c r="A2172" s="176"/>
      <c r="B2172" s="174"/>
      <c r="C2172" s="35" t="s">
        <v>824</v>
      </c>
      <c r="D2172" s="35" t="s">
        <v>583</v>
      </c>
      <c r="E2172" s="36">
        <f>0.064*0.7</f>
        <v>4.48E-2</v>
      </c>
      <c r="F2172" s="30">
        <v>21.166</v>
      </c>
      <c r="G2172" s="33">
        <f>IF(ISNUMBER(F2172),E2172*F2172,"")</f>
        <v>0.94823679999999999</v>
      </c>
      <c r="H2172" s="34"/>
      <c r="I2172" s="30"/>
      <c r="J2172" s="152">
        <v>107</v>
      </c>
    </row>
    <row r="2173" spans="1:10" ht="25.5" x14ac:dyDescent="0.25">
      <c r="A2173" s="176"/>
      <c r="B2173" s="174"/>
      <c r="C2173" s="35" t="s">
        <v>825</v>
      </c>
      <c r="D2173" s="35" t="s">
        <v>583</v>
      </c>
      <c r="E2173" s="36">
        <f>0.064*0.7</f>
        <v>4.48E-2</v>
      </c>
      <c r="F2173" s="30">
        <v>26.799499999999998</v>
      </c>
      <c r="G2173" s="33">
        <f>IF(ISNUMBER(F2173),E2173*F2173,"")</f>
        <v>1.2006176</v>
      </c>
      <c r="H2173" s="34"/>
      <c r="I2173" s="30"/>
      <c r="J2173" s="152">
        <v>107</v>
      </c>
    </row>
    <row r="2174" spans="1:10" x14ac:dyDescent="0.25">
      <c r="A2174" s="176"/>
      <c r="B2174" s="174"/>
      <c r="C2174" s="35"/>
      <c r="D2174" s="46"/>
      <c r="E2174" s="36"/>
      <c r="F2174" s="33" t="s">
        <v>416</v>
      </c>
      <c r="G2174" s="33" t="str">
        <f>IF(ISNUMBER(F2174),E2174*F2174,"")</f>
        <v/>
      </c>
      <c r="H2174" s="34"/>
      <c r="I2174" s="30"/>
      <c r="J2174" s="152">
        <v>107</v>
      </c>
    </row>
    <row r="2175" spans="1:10" ht="38.25" x14ac:dyDescent="0.25">
      <c r="A2175" s="176"/>
      <c r="B2175" s="174"/>
      <c r="C2175" s="51" t="s">
        <v>529</v>
      </c>
      <c r="D2175" s="46"/>
      <c r="E2175" s="36"/>
      <c r="F2175" s="33" t="s">
        <v>416</v>
      </c>
      <c r="G2175" s="33" t="str">
        <f>IF(ISNUMBER(F2175),E2175*F2175,"")</f>
        <v/>
      </c>
      <c r="H2175" s="34"/>
      <c r="I2175" s="30"/>
      <c r="J2175" s="152">
        <v>107</v>
      </c>
    </row>
    <row r="2176" spans="1:10" ht="15.75" thickBot="1" x14ac:dyDescent="0.3">
      <c r="A2176" s="177"/>
      <c r="B2176" s="175"/>
      <c r="C2176" s="35"/>
      <c r="D2176" s="35"/>
      <c r="E2176" s="36"/>
      <c r="F2176" s="30" t="s">
        <v>416</v>
      </c>
      <c r="G2176" s="30" t="str">
        <f>IF(ISNUMBER(F2176),E2176*F2176,"")</f>
        <v/>
      </c>
      <c r="H2176" s="34"/>
      <c r="I2176" s="30"/>
      <c r="J2176" s="152">
        <v>107</v>
      </c>
    </row>
    <row r="2177" spans="1:10" ht="15.75" thickBot="1" x14ac:dyDescent="0.3">
      <c r="A2177" s="170" t="s">
        <v>563</v>
      </c>
      <c r="B2177" s="173" t="str">
        <f>INDEX(Orçamentária!A:B,MATCH(Composições!A2177,Orçamentária!A:A,0),2)</f>
        <v>Tubo de cobre de 7/8"</v>
      </c>
      <c r="C2177" s="40"/>
      <c r="D2177" s="25" t="s">
        <v>69</v>
      </c>
      <c r="E2177" s="26"/>
      <c r="F2177" s="41" t="s">
        <v>416</v>
      </c>
      <c r="G2177" s="27" t="str">
        <f>IF(ISNUMBER(F2177),E2177*F2177,"")</f>
        <v/>
      </c>
      <c r="H2177" s="28"/>
      <c r="I2177" s="29"/>
      <c r="J2177" s="152">
        <v>10</v>
      </c>
    </row>
    <row r="2178" spans="1:10" x14ac:dyDescent="0.25">
      <c r="A2178" s="176"/>
      <c r="B2178" s="174"/>
      <c r="C2178" s="31"/>
      <c r="D2178" s="31"/>
      <c r="E2178" s="32"/>
      <c r="F2178" s="42" t="s">
        <v>416</v>
      </c>
      <c r="G2178" s="30" t="str">
        <f>IF(ISNUMBER(F2178),E2178*F2178,"")</f>
        <v/>
      </c>
      <c r="H2178" s="34"/>
      <c r="I2178" s="30"/>
      <c r="J2178" s="152">
        <v>10</v>
      </c>
    </row>
    <row r="2179" spans="1:10" ht="25.5" x14ac:dyDescent="0.25">
      <c r="A2179" s="176"/>
      <c r="B2179" s="174"/>
      <c r="C2179" s="35" t="s">
        <v>564</v>
      </c>
      <c r="D2179" s="46" t="s">
        <v>69</v>
      </c>
      <c r="E2179" s="36">
        <v>1.0210999999999999</v>
      </c>
      <c r="F2179" s="33">
        <v>47.404999999999994</v>
      </c>
      <c r="G2179" s="33">
        <f>IF(ISNUMBER(F2179),E2179*F2179,"")</f>
        <v>48.405245499999992</v>
      </c>
      <c r="H2179" s="38">
        <f>SUM(G2179:G2181)</f>
        <v>50.55409989999999</v>
      </c>
      <c r="I2179" s="39"/>
      <c r="J2179" s="152">
        <v>10</v>
      </c>
    </row>
    <row r="2180" spans="1:10" ht="25.5" x14ac:dyDescent="0.25">
      <c r="A2180" s="176"/>
      <c r="B2180" s="174"/>
      <c r="C2180" s="35" t="s">
        <v>824</v>
      </c>
      <c r="D2180" s="35" t="s">
        <v>583</v>
      </c>
      <c r="E2180" s="36">
        <f>0.064*0.7</f>
        <v>4.48E-2</v>
      </c>
      <c r="F2180" s="30">
        <v>21.166</v>
      </c>
      <c r="G2180" s="33">
        <f>IF(ISNUMBER(F2180),E2180*F2180,"")</f>
        <v>0.94823679999999999</v>
      </c>
      <c r="H2180" s="34"/>
      <c r="I2180" s="30"/>
      <c r="J2180" s="152">
        <v>10</v>
      </c>
    </row>
    <row r="2181" spans="1:10" ht="25.5" x14ac:dyDescent="0.25">
      <c r="A2181" s="176"/>
      <c r="B2181" s="174"/>
      <c r="C2181" s="35" t="s">
        <v>825</v>
      </c>
      <c r="D2181" s="35" t="s">
        <v>583</v>
      </c>
      <c r="E2181" s="36">
        <f>0.064*0.7</f>
        <v>4.48E-2</v>
      </c>
      <c r="F2181" s="30">
        <v>26.799499999999998</v>
      </c>
      <c r="G2181" s="33">
        <f>IF(ISNUMBER(F2181),E2181*F2181,"")</f>
        <v>1.2006176</v>
      </c>
      <c r="H2181" s="34"/>
      <c r="I2181" s="30"/>
      <c r="J2181" s="152">
        <v>10</v>
      </c>
    </row>
    <row r="2182" spans="1:10" x14ac:dyDescent="0.25">
      <c r="A2182" s="176"/>
      <c r="B2182" s="174"/>
      <c r="C2182" s="35"/>
      <c r="D2182" s="46"/>
      <c r="E2182" s="36"/>
      <c r="F2182" s="33" t="s">
        <v>416</v>
      </c>
      <c r="G2182" s="33" t="str">
        <f>IF(ISNUMBER(F2182),E2182*F2182,"")</f>
        <v/>
      </c>
      <c r="H2182" s="34"/>
      <c r="I2182" s="30"/>
      <c r="J2182" s="152">
        <v>10</v>
      </c>
    </row>
    <row r="2183" spans="1:10" ht="38.25" x14ac:dyDescent="0.25">
      <c r="A2183" s="176"/>
      <c r="B2183" s="174"/>
      <c r="C2183" s="51" t="s">
        <v>529</v>
      </c>
      <c r="D2183" s="46"/>
      <c r="E2183" s="36"/>
      <c r="F2183" s="33" t="s">
        <v>416</v>
      </c>
      <c r="G2183" s="33" t="str">
        <f>IF(ISNUMBER(F2183),E2183*F2183,"")</f>
        <v/>
      </c>
      <c r="H2183" s="34"/>
      <c r="I2183" s="30"/>
      <c r="J2183" s="152">
        <v>10</v>
      </c>
    </row>
    <row r="2184" spans="1:10" ht="15.75" thickBot="1" x14ac:dyDescent="0.3">
      <c r="A2184" s="177"/>
      <c r="B2184" s="175"/>
      <c r="C2184" s="35"/>
      <c r="D2184" s="35"/>
      <c r="E2184" s="36"/>
      <c r="F2184" s="30" t="s">
        <v>416</v>
      </c>
      <c r="G2184" s="30" t="str">
        <f>IF(ISNUMBER(F2184),E2184*F2184,"")</f>
        <v/>
      </c>
      <c r="H2184" s="34"/>
      <c r="I2184" s="30"/>
      <c r="J2184" s="152">
        <v>10</v>
      </c>
    </row>
    <row r="2185" spans="1:10" ht="15.75" hidden="1" thickBot="1" x14ac:dyDescent="0.3">
      <c r="A2185" s="170" t="s">
        <v>565</v>
      </c>
      <c r="B2185" s="173" t="str">
        <f>INDEX(Orçamentária!A:B,MATCH(Composições!A2185,Orçamentária!A:A,0),2)</f>
        <v>Tubo de cobre de 1"</v>
      </c>
      <c r="C2185" s="40"/>
      <c r="D2185" s="25" t="s">
        <v>69</v>
      </c>
      <c r="E2185" s="26"/>
      <c r="F2185" s="41" t="s">
        <v>416</v>
      </c>
      <c r="G2185" s="27" t="str">
        <f>IF(ISNUMBER(F2185),E2185*F2185,"")</f>
        <v/>
      </c>
      <c r="H2185" s="28"/>
      <c r="I2185" s="29"/>
      <c r="J2185" s="152">
        <v>0</v>
      </c>
    </row>
    <row r="2186" spans="1:10" ht="15.75" hidden="1" thickBot="1" x14ac:dyDescent="0.3">
      <c r="A2186" s="176"/>
      <c r="B2186" s="174"/>
      <c r="C2186" s="31"/>
      <c r="D2186" s="31"/>
      <c r="E2186" s="32"/>
      <c r="F2186" s="42" t="s">
        <v>416</v>
      </c>
      <c r="G2186" s="30" t="str">
        <f>IF(ISNUMBER(F2186),E2186*F2186,"")</f>
        <v/>
      </c>
      <c r="H2186" s="34"/>
      <c r="I2186" s="30"/>
      <c r="J2186" s="152">
        <v>0</v>
      </c>
    </row>
    <row r="2187" spans="1:10" ht="26.25" hidden="1" thickBot="1" x14ac:dyDescent="0.3">
      <c r="A2187" s="176"/>
      <c r="B2187" s="174"/>
      <c r="C2187" s="35" t="s">
        <v>566</v>
      </c>
      <c r="D2187" s="46" t="s">
        <v>69</v>
      </c>
      <c r="E2187" s="36">
        <v>1.0210999999999999</v>
      </c>
      <c r="F2187" s="33">
        <v>0</v>
      </c>
      <c r="G2187" s="33">
        <f>IF(ISNUMBER(F2187),E2187*F2187,"")</f>
        <v>0</v>
      </c>
      <c r="H2187" s="38">
        <f>SUM(G2187:G2189)</f>
        <v>2.1488543999999998</v>
      </c>
      <c r="I2187" s="39"/>
      <c r="J2187" s="152">
        <v>0</v>
      </c>
    </row>
    <row r="2188" spans="1:10" ht="26.25" hidden="1" thickBot="1" x14ac:dyDescent="0.3">
      <c r="A2188" s="176"/>
      <c r="B2188" s="174"/>
      <c r="C2188" s="35" t="s">
        <v>824</v>
      </c>
      <c r="D2188" s="35" t="s">
        <v>583</v>
      </c>
      <c r="E2188" s="36">
        <f>0.064*0.7</f>
        <v>4.48E-2</v>
      </c>
      <c r="F2188" s="30">
        <v>21.166</v>
      </c>
      <c r="G2188" s="33">
        <f>IF(ISNUMBER(F2188),E2188*F2188,"")</f>
        <v>0.94823679999999999</v>
      </c>
      <c r="H2188" s="34"/>
      <c r="I2188" s="30"/>
      <c r="J2188" s="152">
        <v>0</v>
      </c>
    </row>
    <row r="2189" spans="1:10" ht="26.25" hidden="1" thickBot="1" x14ac:dyDescent="0.3">
      <c r="A2189" s="176"/>
      <c r="B2189" s="174"/>
      <c r="C2189" s="35" t="s">
        <v>825</v>
      </c>
      <c r="D2189" s="35" t="s">
        <v>583</v>
      </c>
      <c r="E2189" s="36">
        <f>0.064*0.7</f>
        <v>4.48E-2</v>
      </c>
      <c r="F2189" s="30">
        <v>26.799499999999998</v>
      </c>
      <c r="G2189" s="33">
        <f>IF(ISNUMBER(F2189),E2189*F2189,"")</f>
        <v>1.2006176</v>
      </c>
      <c r="H2189" s="34"/>
      <c r="I2189" s="30"/>
      <c r="J2189" s="152">
        <v>0</v>
      </c>
    </row>
    <row r="2190" spans="1:10" ht="15.75" hidden="1" thickBot="1" x14ac:dyDescent="0.3">
      <c r="A2190" s="176"/>
      <c r="B2190" s="174"/>
      <c r="C2190" s="35"/>
      <c r="D2190" s="46"/>
      <c r="E2190" s="36"/>
      <c r="F2190" s="33" t="s">
        <v>416</v>
      </c>
      <c r="G2190" s="33" t="str">
        <f>IF(ISNUMBER(F2190),E2190*F2190,"")</f>
        <v/>
      </c>
      <c r="H2190" s="34"/>
      <c r="I2190" s="30"/>
      <c r="J2190" s="152">
        <v>0</v>
      </c>
    </row>
    <row r="2191" spans="1:10" ht="39" hidden="1" thickBot="1" x14ac:dyDescent="0.3">
      <c r="A2191" s="176"/>
      <c r="B2191" s="174"/>
      <c r="C2191" s="51" t="s">
        <v>529</v>
      </c>
      <c r="D2191" s="46"/>
      <c r="E2191" s="36"/>
      <c r="F2191" s="33" t="s">
        <v>416</v>
      </c>
      <c r="G2191" s="33" t="str">
        <f>IF(ISNUMBER(F2191),E2191*F2191,"")</f>
        <v/>
      </c>
      <c r="H2191" s="34"/>
      <c r="I2191" s="30"/>
      <c r="J2191" s="152">
        <v>0</v>
      </c>
    </row>
    <row r="2192" spans="1:10" ht="15.75" hidden="1" thickBot="1" x14ac:dyDescent="0.3">
      <c r="A2192" s="177"/>
      <c r="B2192" s="175"/>
      <c r="C2192" s="35"/>
      <c r="D2192" s="35"/>
      <c r="E2192" s="36"/>
      <c r="F2192" s="30" t="s">
        <v>416</v>
      </c>
      <c r="G2192" s="30" t="str">
        <f>IF(ISNUMBER(F2192),E2192*F2192,"")</f>
        <v/>
      </c>
      <c r="H2192" s="34"/>
      <c r="I2192" s="30"/>
      <c r="J2192" s="152">
        <v>0</v>
      </c>
    </row>
    <row r="2193" spans="1:10" ht="15.75" thickBot="1" x14ac:dyDescent="0.3">
      <c r="A2193" s="170" t="s">
        <v>567</v>
      </c>
      <c r="B2193" s="173" t="str">
        <f>INDEX(Orçamentária!A:B,MATCH(Composições!A2193,Orçamentária!A:A,0),2)</f>
        <v>Tubo de cobre de 1 1/8"</v>
      </c>
      <c r="C2193" s="40"/>
      <c r="D2193" s="25" t="s">
        <v>69</v>
      </c>
      <c r="E2193" s="26"/>
      <c r="F2193" s="41" t="s">
        <v>416</v>
      </c>
      <c r="G2193" s="27" t="str">
        <f>IF(ISNUMBER(F2193),E2193*F2193,"")</f>
        <v/>
      </c>
      <c r="H2193" s="28"/>
      <c r="I2193" s="29"/>
      <c r="J2193" s="152">
        <v>1</v>
      </c>
    </row>
    <row r="2194" spans="1:10" x14ac:dyDescent="0.25">
      <c r="A2194" s="176"/>
      <c r="B2194" s="174"/>
      <c r="C2194" s="31"/>
      <c r="D2194" s="31"/>
      <c r="E2194" s="32"/>
      <c r="F2194" s="42" t="s">
        <v>416</v>
      </c>
      <c r="G2194" s="30" t="str">
        <f>IF(ISNUMBER(F2194),E2194*F2194,"")</f>
        <v/>
      </c>
      <c r="H2194" s="34"/>
      <c r="I2194" s="30"/>
      <c r="J2194" s="152">
        <v>1</v>
      </c>
    </row>
    <row r="2195" spans="1:10" ht="25.5" x14ac:dyDescent="0.25">
      <c r="A2195" s="176"/>
      <c r="B2195" s="174"/>
      <c r="C2195" s="35" t="s">
        <v>568</v>
      </c>
      <c r="D2195" s="46" t="s">
        <v>69</v>
      </c>
      <c r="E2195" s="36">
        <v>1.0210999999999999</v>
      </c>
      <c r="F2195" s="33">
        <v>60.182499999999997</v>
      </c>
      <c r="G2195" s="33">
        <f>IF(ISNUMBER(F2195),E2195*F2195,"")</f>
        <v>61.452350749999994</v>
      </c>
      <c r="H2195" s="38">
        <f>SUM(G2195:G2197)</f>
        <v>63.601205149999991</v>
      </c>
      <c r="I2195" s="39"/>
      <c r="J2195" s="152">
        <v>1</v>
      </c>
    </row>
    <row r="2196" spans="1:10" ht="25.5" x14ac:dyDescent="0.25">
      <c r="A2196" s="176"/>
      <c r="B2196" s="174"/>
      <c r="C2196" s="35" t="s">
        <v>824</v>
      </c>
      <c r="D2196" s="35" t="s">
        <v>583</v>
      </c>
      <c r="E2196" s="36">
        <f>0.064*0.7</f>
        <v>4.48E-2</v>
      </c>
      <c r="F2196" s="30">
        <v>21.166</v>
      </c>
      <c r="G2196" s="33">
        <f>IF(ISNUMBER(F2196),E2196*F2196,"")</f>
        <v>0.94823679999999999</v>
      </c>
      <c r="H2196" s="34"/>
      <c r="I2196" s="30"/>
      <c r="J2196" s="152">
        <v>1</v>
      </c>
    </row>
    <row r="2197" spans="1:10" ht="25.5" x14ac:dyDescent="0.25">
      <c r="A2197" s="176"/>
      <c r="B2197" s="174"/>
      <c r="C2197" s="35" t="s">
        <v>825</v>
      </c>
      <c r="D2197" s="35" t="s">
        <v>583</v>
      </c>
      <c r="E2197" s="36">
        <f>0.064*0.7</f>
        <v>4.48E-2</v>
      </c>
      <c r="F2197" s="30">
        <v>26.799499999999998</v>
      </c>
      <c r="G2197" s="33">
        <f>IF(ISNUMBER(F2197),E2197*F2197,"")</f>
        <v>1.2006176</v>
      </c>
      <c r="H2197" s="34"/>
      <c r="I2197" s="30"/>
      <c r="J2197" s="152">
        <v>1</v>
      </c>
    </row>
    <row r="2198" spans="1:10" x14ac:dyDescent="0.25">
      <c r="A2198" s="176"/>
      <c r="B2198" s="174"/>
      <c r="C2198" s="35"/>
      <c r="D2198" s="46"/>
      <c r="E2198" s="36"/>
      <c r="F2198" s="33" t="s">
        <v>416</v>
      </c>
      <c r="G2198" s="33" t="str">
        <f>IF(ISNUMBER(F2198),E2198*F2198,"")</f>
        <v/>
      </c>
      <c r="H2198" s="34"/>
      <c r="I2198" s="30"/>
      <c r="J2198" s="152">
        <v>1</v>
      </c>
    </row>
    <row r="2199" spans="1:10" ht="38.25" x14ac:dyDescent="0.25">
      <c r="A2199" s="176"/>
      <c r="B2199" s="174"/>
      <c r="C2199" s="51" t="s">
        <v>529</v>
      </c>
      <c r="D2199" s="46"/>
      <c r="E2199" s="36"/>
      <c r="F2199" s="33" t="s">
        <v>416</v>
      </c>
      <c r="G2199" s="33" t="str">
        <f>IF(ISNUMBER(F2199),E2199*F2199,"")</f>
        <v/>
      </c>
      <c r="H2199" s="34"/>
      <c r="I2199" s="30"/>
      <c r="J2199" s="152">
        <v>1</v>
      </c>
    </row>
    <row r="2200" spans="1:10" ht="15.75" thickBot="1" x14ac:dyDescent="0.3">
      <c r="A2200" s="177"/>
      <c r="B2200" s="175"/>
      <c r="C2200" s="35"/>
      <c r="D2200" s="35"/>
      <c r="E2200" s="36"/>
      <c r="F2200" s="30" t="s">
        <v>416</v>
      </c>
      <c r="G2200" s="30" t="str">
        <f>IF(ISNUMBER(F2200),E2200*F2200,"")</f>
        <v/>
      </c>
      <c r="H2200" s="34"/>
      <c r="I2200" s="30"/>
      <c r="J2200" s="152">
        <v>1</v>
      </c>
    </row>
    <row r="2201" spans="1:10" ht="15.75" hidden="1" thickBot="1" x14ac:dyDescent="0.3">
      <c r="A2201" s="170" t="s">
        <v>569</v>
      </c>
      <c r="B2201" s="173" t="str">
        <f>INDEX(Orçamentária!A:B,MATCH(Composições!A2201,Orçamentária!A:A,0),2)</f>
        <v>Instalação de armários reaproveitados</v>
      </c>
      <c r="C2201" s="40"/>
      <c r="D2201" s="25" t="s">
        <v>70</v>
      </c>
      <c r="E2201" s="26"/>
      <c r="F2201" s="41" t="s">
        <v>416</v>
      </c>
      <c r="G2201" s="27" t="str">
        <f>IF(ISNUMBER(F2201),E2201*F2201,"")</f>
        <v/>
      </c>
      <c r="H2201" s="28"/>
      <c r="I2201" s="29"/>
      <c r="J2201" s="152">
        <v>0</v>
      </c>
    </row>
    <row r="2202" spans="1:10" ht="15.75" hidden="1" thickBot="1" x14ac:dyDescent="0.3">
      <c r="A2202" s="176"/>
      <c r="B2202" s="174"/>
      <c r="C2202" s="31"/>
      <c r="D2202" s="31"/>
      <c r="E2202" s="32"/>
      <c r="F2202" s="42" t="s">
        <v>416</v>
      </c>
      <c r="G2202" s="30" t="str">
        <f>IF(ISNUMBER(F2202),E2202*F2202,"")</f>
        <v/>
      </c>
      <c r="H2202" s="34"/>
      <c r="I2202" s="30"/>
      <c r="J2202" s="152">
        <v>0</v>
      </c>
    </row>
    <row r="2203" spans="1:10" ht="15.75" hidden="1" thickBot="1" x14ac:dyDescent="0.3">
      <c r="A2203" s="176"/>
      <c r="B2203" s="174"/>
      <c r="C2203" s="35" t="s">
        <v>2905</v>
      </c>
      <c r="D2203" s="35" t="s">
        <v>583</v>
      </c>
      <c r="E2203" s="36">
        <v>1.8</v>
      </c>
      <c r="F2203" s="30">
        <v>25.4315</v>
      </c>
      <c r="G2203" s="30">
        <f>IF(ISNUMBER(F2203),E2203*F2203,"")</f>
        <v>45.776699999999998</v>
      </c>
      <c r="H2203" s="38">
        <f>SUM(G2203:G2204)</f>
        <v>112.98824999999999</v>
      </c>
      <c r="I2203" s="39"/>
      <c r="J2203" s="152">
        <v>0</v>
      </c>
    </row>
    <row r="2204" spans="1:10" ht="15.75" hidden="1" thickBot="1" x14ac:dyDescent="0.3">
      <c r="A2204" s="176"/>
      <c r="B2204" s="174"/>
      <c r="C2204" s="35" t="s">
        <v>660</v>
      </c>
      <c r="D2204" s="35" t="s">
        <v>583</v>
      </c>
      <c r="E2204" s="36">
        <v>3.15</v>
      </c>
      <c r="F2204" s="30">
        <v>21.337</v>
      </c>
      <c r="G2204" s="30">
        <f>IF(ISNUMBER(F2204),E2204*F2204,"")</f>
        <v>67.211550000000003</v>
      </c>
      <c r="H2204" s="34"/>
      <c r="I2204" s="30"/>
      <c r="J2204" s="152">
        <v>0</v>
      </c>
    </row>
    <row r="2205" spans="1:10" ht="15.75" hidden="1" thickBot="1" x14ac:dyDescent="0.3">
      <c r="A2205" s="177"/>
      <c r="B2205" s="175"/>
      <c r="C2205" s="35"/>
      <c r="D2205" s="35"/>
      <c r="E2205" s="36"/>
      <c r="F2205" s="30" t="s">
        <v>416</v>
      </c>
      <c r="G2205" s="30" t="str">
        <f>IF(ISNUMBER(F2205),E2205*F2205,"")</f>
        <v/>
      </c>
      <c r="H2205" s="34"/>
      <c r="I2205" s="30"/>
      <c r="J2205" s="152">
        <v>0</v>
      </c>
    </row>
    <row r="2206" spans="1:10" ht="15.75" hidden="1" thickBot="1" x14ac:dyDescent="0.3">
      <c r="A2206" s="170" t="s">
        <v>570</v>
      </c>
      <c r="B2206" s="173" t="str">
        <f>INDEX(Orçamentária!A:B,MATCH(Composições!A2206,Orçamentária!A:A,0),2)</f>
        <v>Mesa/tampo de MDF, fixada em parede com mão-francesa</v>
      </c>
      <c r="C2206" s="40"/>
      <c r="D2206" s="25" t="s">
        <v>70</v>
      </c>
      <c r="E2206" s="26"/>
      <c r="F2206" s="41" t="s">
        <v>416</v>
      </c>
      <c r="G2206" s="27" t="str">
        <f>IF(ISNUMBER(F2206),E2206*F2206,"")</f>
        <v/>
      </c>
      <c r="H2206" s="28"/>
      <c r="I2206" s="29"/>
      <c r="J2206" s="152">
        <v>0</v>
      </c>
    </row>
    <row r="2207" spans="1:10" ht="15.75" hidden="1" thickBot="1" x14ac:dyDescent="0.3">
      <c r="A2207" s="176"/>
      <c r="B2207" s="174"/>
      <c r="C2207" s="31"/>
      <c r="D2207" s="31"/>
      <c r="E2207" s="32"/>
      <c r="F2207" s="42" t="s">
        <v>416</v>
      </c>
      <c r="G2207" s="30" t="str">
        <f>IF(ISNUMBER(F2207),E2207*F2207,"")</f>
        <v/>
      </c>
      <c r="H2207" s="34"/>
      <c r="I2207" s="30"/>
      <c r="J2207" s="152">
        <v>0</v>
      </c>
    </row>
    <row r="2208" spans="1:10" ht="15.75" hidden="1" thickBot="1" x14ac:dyDescent="0.3">
      <c r="A2208" s="176"/>
      <c r="B2208" s="174"/>
      <c r="C2208" s="35" t="s">
        <v>2905</v>
      </c>
      <c r="D2208" s="35" t="s">
        <v>583</v>
      </c>
      <c r="E2208" s="36">
        <v>1.8</v>
      </c>
      <c r="F2208" s="30">
        <v>25.4315</v>
      </c>
      <c r="G2208" s="30">
        <f>IF(ISNUMBER(F2208),E2208*F2208,"")</f>
        <v>45.776699999999998</v>
      </c>
      <c r="H2208" s="38">
        <f>SUM(G2208:G2211)</f>
        <v>215.441475</v>
      </c>
      <c r="I2208" s="39"/>
      <c r="J2208" s="152">
        <v>0</v>
      </c>
    </row>
    <row r="2209" spans="1:10" ht="15.75" hidden="1" thickBot="1" x14ac:dyDescent="0.3">
      <c r="A2209" s="176"/>
      <c r="B2209" s="174"/>
      <c r="C2209" s="35" t="s">
        <v>660</v>
      </c>
      <c r="D2209" s="35" t="s">
        <v>583</v>
      </c>
      <c r="E2209" s="36">
        <f>3.15/2</f>
        <v>1.575</v>
      </c>
      <c r="F2209" s="30">
        <v>21.337</v>
      </c>
      <c r="G2209" s="33">
        <f>IF(ISNUMBER(F2209),E2209*F2209,"")</f>
        <v>33.605775000000001</v>
      </c>
      <c r="H2209" s="43"/>
      <c r="I2209" s="39"/>
      <c r="J2209" s="152">
        <v>0</v>
      </c>
    </row>
    <row r="2210" spans="1:10" ht="26.25" hidden="1" thickBot="1" x14ac:dyDescent="0.3">
      <c r="A2210" s="176"/>
      <c r="B2210" s="174"/>
      <c r="C2210" s="35" t="s">
        <v>2941</v>
      </c>
      <c r="D2210" s="35" t="s">
        <v>213</v>
      </c>
      <c r="E2210" s="36">
        <v>2</v>
      </c>
      <c r="F2210" s="33">
        <v>25.4315</v>
      </c>
      <c r="G2210" s="30">
        <f>IF(ISNUMBER(F2210),E2210*F2210,"")</f>
        <v>50.863</v>
      </c>
      <c r="H2210" s="43"/>
      <c r="I2210" s="39"/>
      <c r="J2210" s="152">
        <v>0</v>
      </c>
    </row>
    <row r="2211" spans="1:10" ht="26.25" hidden="1" thickBot="1" x14ac:dyDescent="0.3">
      <c r="A2211" s="176"/>
      <c r="B2211" s="174"/>
      <c r="C2211" s="35" t="s">
        <v>8060</v>
      </c>
      <c r="D2211" s="35" t="s">
        <v>861</v>
      </c>
      <c r="E2211" s="36">
        <v>1</v>
      </c>
      <c r="F2211" s="33">
        <v>85.195999999999998</v>
      </c>
      <c r="G2211" s="30">
        <f>IF(ISNUMBER(F2211),E2211*F2211,"")</f>
        <v>85.195999999999998</v>
      </c>
      <c r="H2211" s="34"/>
      <c r="I2211" s="30"/>
      <c r="J2211" s="152">
        <v>0</v>
      </c>
    </row>
    <row r="2212" spans="1:10" ht="15.75" hidden="1" thickBot="1" x14ac:dyDescent="0.3">
      <c r="A2212" s="177"/>
      <c r="B2212" s="175"/>
      <c r="C2212" s="35"/>
      <c r="D2212" s="35"/>
      <c r="E2212" s="36"/>
      <c r="F2212" s="30" t="s">
        <v>416</v>
      </c>
      <c r="G2212" s="30" t="str">
        <f>IF(ISNUMBER(F2212),E2212*F2212,"")</f>
        <v/>
      </c>
      <c r="H2212" s="34"/>
      <c r="I2212" s="30"/>
      <c r="J2212" s="152">
        <v>0</v>
      </c>
    </row>
    <row r="2213" spans="1:10" ht="15.75" hidden="1" thickBot="1" x14ac:dyDescent="0.3">
      <c r="A2213" s="170" t="s">
        <v>571</v>
      </c>
      <c r="B2213" s="173" t="str">
        <f>INDEX(Orçamentária!A:B,MATCH(Composições!A2213,Orçamentária!A:A,0),2)</f>
        <v>Painel de TV em compensado</v>
      </c>
      <c r="C2213" s="40"/>
      <c r="D2213" s="25" t="s">
        <v>70</v>
      </c>
      <c r="E2213" s="26"/>
      <c r="F2213" s="41" t="s">
        <v>416</v>
      </c>
      <c r="G2213" s="27" t="str">
        <f>IF(ISNUMBER(F2213),E2213*F2213,"")</f>
        <v/>
      </c>
      <c r="H2213" s="28"/>
      <c r="I2213" s="29"/>
      <c r="J2213" s="152">
        <v>0</v>
      </c>
    </row>
    <row r="2214" spans="1:10" ht="15.75" hidden="1" thickBot="1" x14ac:dyDescent="0.3">
      <c r="A2214" s="176"/>
      <c r="B2214" s="174"/>
      <c r="C2214" s="31"/>
      <c r="D2214" s="31"/>
      <c r="E2214" s="32"/>
      <c r="F2214" s="42" t="s">
        <v>416</v>
      </c>
      <c r="G2214" s="30" t="str">
        <f>IF(ISNUMBER(F2214),E2214*F2214,"")</f>
        <v/>
      </c>
      <c r="H2214" s="34"/>
      <c r="I2214" s="30"/>
      <c r="J2214" s="152">
        <v>0</v>
      </c>
    </row>
    <row r="2215" spans="1:10" ht="15.75" hidden="1" thickBot="1" x14ac:dyDescent="0.3">
      <c r="A2215" s="176"/>
      <c r="B2215" s="174"/>
      <c r="C2215" s="35" t="s">
        <v>2905</v>
      </c>
      <c r="D2215" s="35" t="s">
        <v>583</v>
      </c>
      <c r="E2215" s="36">
        <v>1.6</v>
      </c>
      <c r="F2215" s="30">
        <v>25.4315</v>
      </c>
      <c r="G2215" s="33">
        <f>IF(ISNUMBER(F2215),E2215*F2215,"")</f>
        <v>40.690400000000004</v>
      </c>
      <c r="H2215" s="38">
        <f>SUM(G2215:G2218)</f>
        <v>233.8596</v>
      </c>
      <c r="I2215" s="39"/>
      <c r="J2215" s="152">
        <v>0</v>
      </c>
    </row>
    <row r="2216" spans="1:10" ht="15.75" hidden="1" thickBot="1" x14ac:dyDescent="0.3">
      <c r="A2216" s="176"/>
      <c r="B2216" s="174"/>
      <c r="C2216" s="35" t="s">
        <v>660</v>
      </c>
      <c r="D2216" s="35" t="s">
        <v>583</v>
      </c>
      <c r="E2216" s="36">
        <v>1.6</v>
      </c>
      <c r="F2216" s="30">
        <v>21.337</v>
      </c>
      <c r="G2216" s="33">
        <f>IF(ISNUMBER(F2216),E2216*F2216,"")</f>
        <v>34.139200000000002</v>
      </c>
      <c r="H2216" s="43"/>
      <c r="I2216" s="39"/>
      <c r="J2216" s="152">
        <v>0</v>
      </c>
    </row>
    <row r="2217" spans="1:10" ht="26.25" hidden="1" thickBot="1" x14ac:dyDescent="0.3">
      <c r="A2217" s="176"/>
      <c r="B2217" s="174"/>
      <c r="C2217" s="35" t="s">
        <v>8067</v>
      </c>
      <c r="D2217" s="35" t="s">
        <v>861</v>
      </c>
      <c r="E2217" s="36">
        <v>1.2</v>
      </c>
      <c r="F2217" s="33">
        <v>132.52500000000001</v>
      </c>
      <c r="G2217" s="30">
        <f>IF(ISNUMBER(F2217),E2217*F2217,"")</f>
        <v>159.03</v>
      </c>
      <c r="H2217" s="34"/>
      <c r="I2217" s="30"/>
      <c r="J2217" s="152">
        <v>0</v>
      </c>
    </row>
    <row r="2218" spans="1:10" ht="15.75" hidden="1" thickBot="1" x14ac:dyDescent="0.3">
      <c r="A2218" s="176"/>
      <c r="B2218" s="174"/>
      <c r="C2218" s="35" t="s">
        <v>6812</v>
      </c>
      <c r="D2218" s="35" t="s">
        <v>70</v>
      </c>
      <c r="E2218" s="36">
        <v>1</v>
      </c>
      <c r="F2218" s="33" t="s">
        <v>416</v>
      </c>
      <c r="G2218" s="30" t="str">
        <f>IF(ISNUMBER(F2218),E2218*F2218,"")</f>
        <v/>
      </c>
      <c r="H2218" s="34"/>
      <c r="I2218" s="30"/>
      <c r="J2218" s="152">
        <v>0</v>
      </c>
    </row>
    <row r="2219" spans="1:10" ht="15.75" hidden="1" thickBot="1" x14ac:dyDescent="0.3">
      <c r="A2219" s="177"/>
      <c r="B2219" s="175"/>
      <c r="C2219" s="35"/>
      <c r="D2219" s="35"/>
      <c r="E2219" s="36"/>
      <c r="F2219" s="30" t="s">
        <v>416</v>
      </c>
      <c r="G2219" s="30" t="str">
        <f>IF(ISNUMBER(F2219),E2219*F2219,"")</f>
        <v/>
      </c>
      <c r="H2219" s="34"/>
      <c r="I2219" s="30"/>
      <c r="J2219" s="152">
        <v>0</v>
      </c>
    </row>
    <row r="2220" spans="1:10" ht="15.75" hidden="1" thickBot="1" x14ac:dyDescent="0.3">
      <c r="A2220" s="170" t="s">
        <v>572</v>
      </c>
      <c r="B2220" s="173" t="str">
        <f>INDEX(Orçamentária!A:B,MATCH(Composições!A2220,Orçamentária!A:A,0),2)</f>
        <v>Painel de TV em MDF</v>
      </c>
      <c r="C2220" s="40"/>
      <c r="D2220" s="25" t="s">
        <v>70</v>
      </c>
      <c r="E2220" s="26"/>
      <c r="F2220" s="41" t="s">
        <v>416</v>
      </c>
      <c r="G2220" s="27" t="str">
        <f>IF(ISNUMBER(F2220),E2220*F2220,"")</f>
        <v/>
      </c>
      <c r="H2220" s="28"/>
      <c r="I2220" s="29"/>
      <c r="J2220" s="152">
        <v>0</v>
      </c>
    </row>
    <row r="2221" spans="1:10" ht="15.75" hidden="1" thickBot="1" x14ac:dyDescent="0.3">
      <c r="A2221" s="176"/>
      <c r="B2221" s="174"/>
      <c r="C2221" s="31"/>
      <c r="D2221" s="31"/>
      <c r="E2221" s="32"/>
      <c r="F2221" s="42" t="s">
        <v>416</v>
      </c>
      <c r="G2221" s="30" t="str">
        <f>IF(ISNUMBER(F2221),E2221*F2221,"")</f>
        <v/>
      </c>
      <c r="H2221" s="34"/>
      <c r="I2221" s="30"/>
      <c r="J2221" s="152">
        <v>0</v>
      </c>
    </row>
    <row r="2222" spans="1:10" ht="15.75" hidden="1" thickBot="1" x14ac:dyDescent="0.3">
      <c r="A2222" s="176"/>
      <c r="B2222" s="174"/>
      <c r="C2222" s="35" t="s">
        <v>2905</v>
      </c>
      <c r="D2222" s="35" t="s">
        <v>583</v>
      </c>
      <c r="E2222" s="36">
        <v>2.4</v>
      </c>
      <c r="F2222" s="30">
        <v>25.4315</v>
      </c>
      <c r="G2222" s="33">
        <f>IF(ISNUMBER(F2222),E2222*F2222,"")</f>
        <v>61.035599999999995</v>
      </c>
      <c r="H2222" s="38">
        <f>SUM(G2222:G2224)</f>
        <v>179.0598</v>
      </c>
      <c r="I2222" s="39"/>
      <c r="J2222" s="152">
        <v>0</v>
      </c>
    </row>
    <row r="2223" spans="1:10" ht="15.75" hidden="1" thickBot="1" x14ac:dyDescent="0.3">
      <c r="A2223" s="176"/>
      <c r="B2223" s="174"/>
      <c r="C2223" s="35" t="s">
        <v>660</v>
      </c>
      <c r="D2223" s="35" t="s">
        <v>583</v>
      </c>
      <c r="E2223" s="36">
        <v>2.4</v>
      </c>
      <c r="F2223" s="30">
        <v>21.337</v>
      </c>
      <c r="G2223" s="33">
        <f>IF(ISNUMBER(F2223),E2223*F2223,"")</f>
        <v>51.208799999999997</v>
      </c>
      <c r="H2223" s="34"/>
      <c r="I2223" s="30"/>
      <c r="J2223" s="152">
        <v>0</v>
      </c>
    </row>
    <row r="2224" spans="1:10" ht="15.75" hidden="1" thickBot="1" x14ac:dyDescent="0.3">
      <c r="A2224" s="176"/>
      <c r="B2224" s="174"/>
      <c r="C2224" s="35" t="s">
        <v>8059</v>
      </c>
      <c r="D2224" s="35" t="s">
        <v>861</v>
      </c>
      <c r="E2224" s="36">
        <v>1.2</v>
      </c>
      <c r="F2224" s="33">
        <v>55.679499999999997</v>
      </c>
      <c r="G2224" s="30">
        <f>IF(ISNUMBER(F2224),E2224*F2224,"")</f>
        <v>66.815399999999997</v>
      </c>
      <c r="H2224" s="34"/>
      <c r="I2224" s="30"/>
      <c r="J2224" s="152">
        <v>0</v>
      </c>
    </row>
    <row r="2225" spans="1:10" ht="15.75" hidden="1" thickBot="1" x14ac:dyDescent="0.3">
      <c r="A2225" s="177"/>
      <c r="B2225" s="175"/>
      <c r="C2225" s="35"/>
      <c r="D2225" s="35"/>
      <c r="E2225" s="36"/>
      <c r="F2225" s="30" t="s">
        <v>416</v>
      </c>
      <c r="G2225" s="30" t="str">
        <f>IF(ISNUMBER(F2225),E2225*F2225,"")</f>
        <v/>
      </c>
      <c r="H2225" s="34"/>
      <c r="I2225" s="30"/>
      <c r="J2225" s="152">
        <v>0</v>
      </c>
    </row>
    <row r="2226" spans="1:10" ht="15.75" hidden="1" thickBot="1" x14ac:dyDescent="0.3">
      <c r="A2226" s="170" t="s">
        <v>573</v>
      </c>
      <c r="B2226" s="173" t="str">
        <f>INDEX(Orçamentária!A:B,MATCH(Composições!A2226,Orçamentária!A:A,0),2)</f>
        <v>Painel para TV de 90 x 120 cm</v>
      </c>
      <c r="C2226" s="40"/>
      <c r="D2226" s="25" t="s">
        <v>16</v>
      </c>
      <c r="E2226" s="26"/>
      <c r="F2226" s="41" t="s">
        <v>416</v>
      </c>
      <c r="G2226" s="27" t="str">
        <f>IF(ISNUMBER(F2226),E2226*F2226,"")</f>
        <v/>
      </c>
      <c r="H2226" s="28"/>
      <c r="I2226" s="29"/>
      <c r="J2226" s="152">
        <v>0</v>
      </c>
    </row>
    <row r="2227" spans="1:10" ht="15.75" hidden="1" thickBot="1" x14ac:dyDescent="0.3">
      <c r="A2227" s="176"/>
      <c r="B2227" s="174"/>
      <c r="C2227" s="31"/>
      <c r="D2227" s="31"/>
      <c r="E2227" s="32"/>
      <c r="F2227" s="42" t="s">
        <v>416</v>
      </c>
      <c r="G2227" s="30" t="str">
        <f>IF(ISNUMBER(F2227),E2227*F2227,"")</f>
        <v/>
      </c>
      <c r="H2227" s="34"/>
      <c r="I2227" s="30"/>
      <c r="J2227" s="152">
        <v>0</v>
      </c>
    </row>
    <row r="2228" spans="1:10" ht="15.75" hidden="1" thickBot="1" x14ac:dyDescent="0.3">
      <c r="A2228" s="176"/>
      <c r="B2228" s="174"/>
      <c r="C2228" s="35" t="s">
        <v>2905</v>
      </c>
      <c r="D2228" s="35" t="s">
        <v>583</v>
      </c>
      <c r="E2228" s="36">
        <v>1</v>
      </c>
      <c r="F2228" s="30">
        <v>25.4315</v>
      </c>
      <c r="G2228" s="33">
        <f>IF(ISNUMBER(F2228),E2228*F2228,"")</f>
        <v>25.4315</v>
      </c>
      <c r="H2228" s="38">
        <f>SUM(G2228:G2230)</f>
        <v>46.768500000000003</v>
      </c>
      <c r="I2228" s="39"/>
      <c r="J2228" s="152">
        <v>0</v>
      </c>
    </row>
    <row r="2229" spans="1:10" ht="15.75" hidden="1" thickBot="1" x14ac:dyDescent="0.3">
      <c r="A2229" s="176"/>
      <c r="B2229" s="174"/>
      <c r="C2229" s="35" t="s">
        <v>660</v>
      </c>
      <c r="D2229" s="35" t="s">
        <v>583</v>
      </c>
      <c r="E2229" s="36">
        <v>1</v>
      </c>
      <c r="F2229" s="30">
        <v>21.337</v>
      </c>
      <c r="G2229" s="33">
        <f>IF(ISNUMBER(F2229),E2229*F2229,"")</f>
        <v>21.337</v>
      </c>
      <c r="H2229" s="34"/>
      <c r="I2229" s="30"/>
      <c r="J2229" s="152">
        <v>0</v>
      </c>
    </row>
    <row r="2230" spans="1:10" ht="26.25" hidden="1" thickBot="1" x14ac:dyDescent="0.3">
      <c r="A2230" s="176"/>
      <c r="B2230" s="174"/>
      <c r="C2230" s="35" t="s">
        <v>574</v>
      </c>
      <c r="D2230" s="35" t="s">
        <v>16</v>
      </c>
      <c r="E2230" s="36">
        <v>1</v>
      </c>
      <c r="F2230" s="33" t="s">
        <v>416</v>
      </c>
      <c r="G2230" s="30" t="str">
        <f>IF(ISNUMBER(F2230),E2230*F2230,"")</f>
        <v/>
      </c>
      <c r="H2230" s="34"/>
      <c r="I2230" s="30"/>
      <c r="J2230" s="152">
        <v>0</v>
      </c>
    </row>
    <row r="2231" spans="1:10" ht="15.75" hidden="1" thickBot="1" x14ac:dyDescent="0.3">
      <c r="A2231" s="177"/>
      <c r="B2231" s="175"/>
      <c r="C2231" s="35"/>
      <c r="D2231" s="35"/>
      <c r="E2231" s="36"/>
      <c r="F2231" s="30" t="s">
        <v>416</v>
      </c>
      <c r="G2231" s="30" t="str">
        <f>IF(ISNUMBER(F2231),E2231*F2231,"")</f>
        <v/>
      </c>
      <c r="H2231" s="34"/>
      <c r="I2231" s="30"/>
      <c r="J2231" s="152">
        <v>0</v>
      </c>
    </row>
    <row r="2232" spans="1:10" ht="15.75" hidden="1" thickBot="1" x14ac:dyDescent="0.3">
      <c r="A2232" s="170" t="s">
        <v>575</v>
      </c>
      <c r="B2232" s="173" t="str">
        <f>INDEX(Orçamentária!A:B,MATCH(Composições!A2232,Orçamentária!A:A,0),2)</f>
        <v>Batentes e guarnições em madeira, com verniz ou esmalte</v>
      </c>
      <c r="C2232" s="40"/>
      <c r="D2232" s="25" t="s">
        <v>16</v>
      </c>
      <c r="E2232" s="26"/>
      <c r="F2232" s="41" t="s">
        <v>416</v>
      </c>
      <c r="G2232" s="27" t="str">
        <f>IF(ISNUMBER(F2232),E2232*F2232,"")</f>
        <v/>
      </c>
      <c r="H2232" s="28"/>
      <c r="I2232" s="29"/>
      <c r="J2232" s="152">
        <v>0</v>
      </c>
    </row>
    <row r="2233" spans="1:10" ht="15.75" hidden="1" thickBot="1" x14ac:dyDescent="0.3">
      <c r="A2233" s="176"/>
      <c r="B2233" s="174"/>
      <c r="C2233" s="31"/>
      <c r="D2233" s="31"/>
      <c r="E2233" s="32"/>
      <c r="F2233" s="42" t="s">
        <v>416</v>
      </c>
      <c r="G2233" s="30" t="str">
        <f>IF(ISNUMBER(F2233),E2233*F2233,"")</f>
        <v/>
      </c>
      <c r="H2233" s="34"/>
      <c r="I2233" s="30"/>
      <c r="J2233" s="152">
        <v>0</v>
      </c>
    </row>
    <row r="2234" spans="1:10" ht="51.75" hidden="1" thickBot="1" x14ac:dyDescent="0.3">
      <c r="A2234" s="176"/>
      <c r="B2234" s="174"/>
      <c r="C2234" s="35" t="s">
        <v>8523</v>
      </c>
      <c r="D2234" s="35" t="s">
        <v>1273</v>
      </c>
      <c r="E2234" s="36">
        <v>1</v>
      </c>
      <c r="F2234" s="33">
        <v>152.9785</v>
      </c>
      <c r="G2234" s="33">
        <f>IF(ISNUMBER(F2234),E2234*F2234,"")</f>
        <v>152.9785</v>
      </c>
      <c r="H2234" s="38">
        <f>SUM(G2234:G2242)</f>
        <v>322.13263004999999</v>
      </c>
      <c r="I2234" s="39"/>
      <c r="J2234" s="152">
        <v>0</v>
      </c>
    </row>
    <row r="2235" spans="1:10" ht="15.75" hidden="1" thickBot="1" x14ac:dyDescent="0.3">
      <c r="A2235" s="176"/>
      <c r="B2235" s="174"/>
      <c r="C2235" s="35" t="s">
        <v>1274</v>
      </c>
      <c r="D2235" s="35" t="s">
        <v>773</v>
      </c>
      <c r="E2235" s="36">
        <v>1.0999999999999999E-2</v>
      </c>
      <c r="F2235" s="33">
        <v>28.462</v>
      </c>
      <c r="G2235" s="33">
        <f>IF(ISNUMBER(F2235),E2235*F2235,"")</f>
        <v>0.31308199999999997</v>
      </c>
      <c r="H2235" s="34"/>
      <c r="I2235" s="30"/>
      <c r="J2235" s="152">
        <v>0</v>
      </c>
    </row>
    <row r="2236" spans="1:10" ht="15.75" hidden="1" thickBot="1" x14ac:dyDescent="0.3">
      <c r="A2236" s="176"/>
      <c r="B2236" s="174"/>
      <c r="C2236" s="35" t="s">
        <v>73</v>
      </c>
      <c r="D2236" s="35" t="s">
        <v>773</v>
      </c>
      <c r="E2236" s="36">
        <v>2.4E-2</v>
      </c>
      <c r="F2236" s="30">
        <v>21.602999999999998</v>
      </c>
      <c r="G2236" s="33">
        <f>IF(ISNUMBER(F2236),E2236*F2236,"")</f>
        <v>0.51847199999999993</v>
      </c>
      <c r="H2236" s="34"/>
      <c r="I2236" s="30"/>
      <c r="J2236" s="152">
        <v>0</v>
      </c>
    </row>
    <row r="2237" spans="1:10" ht="15.75" hidden="1" thickBot="1" x14ac:dyDescent="0.3">
      <c r="A2237" s="176"/>
      <c r="B2237" s="174"/>
      <c r="C2237" s="35" t="s">
        <v>582</v>
      </c>
      <c r="D2237" s="35" t="s">
        <v>583</v>
      </c>
      <c r="E2237" s="36">
        <f>2.741+0.068</f>
        <v>2.8090000000000002</v>
      </c>
      <c r="F2237" s="30">
        <v>25.725999999999996</v>
      </c>
      <c r="G2237" s="33">
        <f>IF(ISNUMBER(F2237),E2237*F2237,"")</f>
        <v>72.264333999999991</v>
      </c>
      <c r="H2237" s="34"/>
      <c r="I2237" s="30"/>
      <c r="J2237" s="152">
        <v>0</v>
      </c>
    </row>
    <row r="2238" spans="1:10" ht="15.75" hidden="1" thickBot="1" x14ac:dyDescent="0.3">
      <c r="A2238" s="176"/>
      <c r="B2238" s="174"/>
      <c r="C2238" s="35" t="s">
        <v>584</v>
      </c>
      <c r="D2238" s="35" t="s">
        <v>583</v>
      </c>
      <c r="E2238" s="36">
        <f>1.375+0.034</f>
        <v>1.409</v>
      </c>
      <c r="F2238" s="30">
        <v>20.225499999999997</v>
      </c>
      <c r="G2238" s="33">
        <f>IF(ISNUMBER(F2238),E2238*F2238,"")</f>
        <v>28.497729499999995</v>
      </c>
      <c r="H2238" s="34"/>
      <c r="I2238" s="30"/>
      <c r="J2238" s="152">
        <v>0</v>
      </c>
    </row>
    <row r="2239" spans="1:10" ht="15.75" hidden="1" thickBot="1" x14ac:dyDescent="0.3">
      <c r="A2239" s="176"/>
      <c r="B2239" s="174"/>
      <c r="C2239" s="35" t="s">
        <v>2937</v>
      </c>
      <c r="D2239" s="35" t="s">
        <v>773</v>
      </c>
      <c r="E2239" s="36">
        <v>6.0000000000000001E-3</v>
      </c>
      <c r="F2239" s="30">
        <v>24.281999999999996</v>
      </c>
      <c r="G2239" s="33">
        <f>IF(ISNUMBER(F2239),E2239*F2239,"")</f>
        <v>0.14569199999999999</v>
      </c>
      <c r="H2239" s="34"/>
      <c r="I2239" s="30"/>
      <c r="J2239" s="152">
        <v>0</v>
      </c>
    </row>
    <row r="2240" spans="1:10" ht="39" hidden="1" thickBot="1" x14ac:dyDescent="0.3">
      <c r="A2240" s="176"/>
      <c r="B2240" s="174"/>
      <c r="C2240" s="35" t="s">
        <v>8524</v>
      </c>
      <c r="D2240" s="35" t="s">
        <v>385</v>
      </c>
      <c r="E2240" s="36">
        <f>(2.1*2+0.8)*1.163</f>
        <v>5.8150000000000004</v>
      </c>
      <c r="F2240" s="33">
        <v>8.9774999999999991</v>
      </c>
      <c r="G2240" s="33">
        <f>IF(ISNUMBER(F2240),E2240*F2240,"")</f>
        <v>52.204162499999995</v>
      </c>
      <c r="H2240" s="34"/>
      <c r="I2240" s="30"/>
      <c r="J2240" s="152">
        <v>0</v>
      </c>
    </row>
    <row r="2241" spans="1:10" ht="15.75" hidden="1" thickBot="1" x14ac:dyDescent="0.3">
      <c r="A2241" s="176"/>
      <c r="B2241" s="174"/>
      <c r="C2241" s="35" t="s">
        <v>143</v>
      </c>
      <c r="D2241" s="49" t="s">
        <v>75</v>
      </c>
      <c r="E2241" s="36">
        <f>ROUND(0.108*0.15*(2*2.1+0.8),4)</f>
        <v>8.1000000000000003E-2</v>
      </c>
      <c r="F2241" s="33" t="s">
        <v>416</v>
      </c>
      <c r="G2241" s="30" t="str">
        <f>IF(ISNUMBER(F2241),E2241*F2241,"")</f>
        <v/>
      </c>
      <c r="H2241" s="34"/>
      <c r="I2241" s="30"/>
      <c r="J2241" s="152">
        <v>0</v>
      </c>
    </row>
    <row r="2242" spans="1:10" ht="15.75" hidden="1" thickBot="1" x14ac:dyDescent="0.3">
      <c r="A2242" s="176"/>
      <c r="B2242" s="174"/>
      <c r="C2242" s="35" t="s">
        <v>956</v>
      </c>
      <c r="D2242" s="35" t="s">
        <v>583</v>
      </c>
      <c r="E2242" s="36">
        <f>ROUND(0.7076*0.15*(2*2.1+0.8),4)</f>
        <v>0.53069999999999995</v>
      </c>
      <c r="F2242" s="30">
        <v>28.6615</v>
      </c>
      <c r="G2242" s="30">
        <f>IF(ISNUMBER(F2242),E2242*F2242,"")</f>
        <v>15.210658049999999</v>
      </c>
      <c r="H2242" s="34"/>
      <c r="I2242" s="30"/>
      <c r="J2242" s="152">
        <v>0</v>
      </c>
    </row>
    <row r="2243" spans="1:10" ht="15.75" hidden="1" thickBot="1" x14ac:dyDescent="0.3">
      <c r="A2243" s="176"/>
      <c r="B2243" s="174"/>
      <c r="C2243" s="35"/>
      <c r="D2243" s="35"/>
      <c r="E2243" s="36"/>
      <c r="F2243" s="30" t="s">
        <v>416</v>
      </c>
      <c r="G2243" s="30"/>
      <c r="H2243" s="34"/>
      <c r="I2243" s="30"/>
      <c r="J2243" s="152">
        <v>0</v>
      </c>
    </row>
    <row r="2244" spans="1:10" ht="39" hidden="1" thickBot="1" x14ac:dyDescent="0.3">
      <c r="A2244" s="176"/>
      <c r="B2244" s="174"/>
      <c r="C2244" s="51" t="s">
        <v>2954</v>
      </c>
      <c r="D2244" s="35"/>
      <c r="E2244" s="36"/>
      <c r="F2244" s="30" t="s">
        <v>416</v>
      </c>
      <c r="G2244" s="30"/>
      <c r="H2244" s="34"/>
      <c r="I2244" s="30"/>
      <c r="J2244" s="152">
        <v>0</v>
      </c>
    </row>
    <row r="2245" spans="1:10" ht="15.75" hidden="1" thickBot="1" x14ac:dyDescent="0.3">
      <c r="A2245" s="177"/>
      <c r="B2245" s="175"/>
      <c r="C2245" s="35"/>
      <c r="D2245" s="35"/>
      <c r="E2245" s="36"/>
      <c r="F2245" s="30" t="s">
        <v>416</v>
      </c>
      <c r="G2245" s="30" t="str">
        <f>IF(ISNUMBER(F2245),E2245*F2245,"")</f>
        <v/>
      </c>
      <c r="H2245" s="34"/>
      <c r="I2245" s="30"/>
      <c r="J2245" s="152">
        <v>0</v>
      </c>
    </row>
    <row r="2246" spans="1:10" ht="15.75" hidden="1" thickBot="1" x14ac:dyDescent="0.3">
      <c r="A2246" s="170" t="s">
        <v>577</v>
      </c>
      <c r="B2246" s="173" t="str">
        <f>INDEX(Orçamentária!A:B,MATCH(Composições!A2246,Orçamentária!A:A,0),2)</f>
        <v>Chapa de proteção para porta – Linha Acessibilidade</v>
      </c>
      <c r="C2246" s="145"/>
      <c r="D2246" s="25" t="s">
        <v>70</v>
      </c>
      <c r="E2246" s="26"/>
      <c r="F2246" s="41" t="s">
        <v>416</v>
      </c>
      <c r="G2246" s="27" t="str">
        <f>IF(ISNUMBER(F2246),E2246*F2246,"")</f>
        <v/>
      </c>
      <c r="H2246" s="28"/>
      <c r="I2246" s="29"/>
      <c r="J2246" s="152">
        <v>0</v>
      </c>
    </row>
    <row r="2247" spans="1:10" ht="15.75" hidden="1" thickBot="1" x14ac:dyDescent="0.3">
      <c r="A2247" s="176"/>
      <c r="B2247" s="174"/>
      <c r="C2247" s="31"/>
      <c r="D2247" s="31"/>
      <c r="E2247" s="32"/>
      <c r="F2247" s="42" t="s">
        <v>416</v>
      </c>
      <c r="G2247" s="30" t="str">
        <f>IF(ISNUMBER(F2247),E2247*F2247,"")</f>
        <v/>
      </c>
      <c r="H2247" s="34"/>
      <c r="I2247" s="30"/>
      <c r="J2247" s="152">
        <v>0</v>
      </c>
    </row>
    <row r="2248" spans="1:10" ht="15.75" hidden="1" thickBot="1" x14ac:dyDescent="0.3">
      <c r="A2248" s="176"/>
      <c r="B2248" s="174"/>
      <c r="C2248" s="35" t="s">
        <v>584</v>
      </c>
      <c r="D2248" s="35" t="s">
        <v>583</v>
      </c>
      <c r="E2248" s="36">
        <v>0.3</v>
      </c>
      <c r="F2248" s="30">
        <v>20.225499999999997</v>
      </c>
      <c r="G2248" s="33">
        <f>IF(ISNUMBER(F2248),E2248*F2248,"")</f>
        <v>6.0676499999999987</v>
      </c>
      <c r="H2248" s="38">
        <f>SUM(G2248:G2250)</f>
        <v>13.697099999999999</v>
      </c>
      <c r="I2248" s="39"/>
      <c r="J2248" s="152">
        <v>0</v>
      </c>
    </row>
    <row r="2249" spans="1:10" ht="15.75" hidden="1" thickBot="1" x14ac:dyDescent="0.3">
      <c r="A2249" s="176"/>
      <c r="B2249" s="174"/>
      <c r="C2249" s="35" t="s">
        <v>2905</v>
      </c>
      <c r="D2249" s="35" t="s">
        <v>583</v>
      </c>
      <c r="E2249" s="36">
        <v>0.3</v>
      </c>
      <c r="F2249" s="30">
        <v>25.4315</v>
      </c>
      <c r="G2249" s="33">
        <f>IF(ISNUMBER(F2249),E2249*F2249,"")</f>
        <v>7.6294499999999994</v>
      </c>
      <c r="H2249" s="44"/>
      <c r="I2249" s="45"/>
      <c r="J2249" s="152">
        <v>0</v>
      </c>
    </row>
    <row r="2250" spans="1:10" ht="39" hidden="1" thickBot="1" x14ac:dyDescent="0.3">
      <c r="A2250" s="176"/>
      <c r="B2250" s="174"/>
      <c r="C2250" s="35" t="s">
        <v>578</v>
      </c>
      <c r="D2250" s="46" t="s">
        <v>70</v>
      </c>
      <c r="E2250" s="36">
        <v>1</v>
      </c>
      <c r="F2250" s="33" t="s">
        <v>416</v>
      </c>
      <c r="G2250" s="33" t="str">
        <f>IF(ISNUMBER(F2250),E2250*F2250,"")</f>
        <v/>
      </c>
      <c r="H2250" s="34"/>
      <c r="I2250" s="30"/>
      <c r="J2250" s="152">
        <v>0</v>
      </c>
    </row>
    <row r="2251" spans="1:10" ht="15.75" hidden="1" thickBot="1" x14ac:dyDescent="0.3">
      <c r="A2251" s="177"/>
      <c r="B2251" s="175"/>
      <c r="C2251" s="35"/>
      <c r="D2251" s="35"/>
      <c r="E2251" s="36"/>
      <c r="F2251" s="30" t="s">
        <v>416</v>
      </c>
      <c r="G2251" s="30" t="str">
        <f>IF(ISNUMBER(F2251),E2251*F2251,"")</f>
        <v/>
      </c>
      <c r="H2251" s="34"/>
      <c r="I2251" s="30"/>
      <c r="J2251" s="152">
        <v>0</v>
      </c>
    </row>
    <row r="2252" spans="1:10" ht="15.75" hidden="1" thickBot="1" x14ac:dyDescent="0.3">
      <c r="A2252" s="170" t="s">
        <v>579</v>
      </c>
      <c r="B2252" s="173" t="str">
        <f>INDEX(Orçamentária!A:B,MATCH(Composições!A2252,Orçamentária!A:A,0),2)</f>
        <v>Folha de porta em madeira 2,10 x 0,60m, pintada</v>
      </c>
      <c r="C2252" s="40"/>
      <c r="D2252" s="25" t="s">
        <v>16</v>
      </c>
      <c r="E2252" s="26"/>
      <c r="F2252" s="41" t="s">
        <v>416</v>
      </c>
      <c r="G2252" s="27" t="str">
        <f>IF(ISNUMBER(F2252),E2252*F2252,"")</f>
        <v/>
      </c>
      <c r="H2252" s="28"/>
      <c r="I2252" s="29"/>
      <c r="J2252" s="152">
        <v>0</v>
      </c>
    </row>
    <row r="2253" spans="1:10" ht="15.75" hidden="1" thickBot="1" x14ac:dyDescent="0.3">
      <c r="A2253" s="176"/>
      <c r="B2253" s="174"/>
      <c r="C2253" s="31"/>
      <c r="D2253" s="31"/>
      <c r="E2253" s="32"/>
      <c r="F2253" s="42" t="s">
        <v>416</v>
      </c>
      <c r="G2253" s="30" t="str">
        <f>IF(ISNUMBER(F2253),E2253*F2253,"")</f>
        <v/>
      </c>
      <c r="H2253" s="34"/>
      <c r="I2253" s="30"/>
      <c r="J2253" s="152">
        <v>0</v>
      </c>
    </row>
    <row r="2254" spans="1:10" ht="51.75" hidden="1" thickBot="1" x14ac:dyDescent="0.3">
      <c r="A2254" s="176"/>
      <c r="B2254" s="174"/>
      <c r="C2254" s="35" t="s">
        <v>8335</v>
      </c>
      <c r="D2254" s="35" t="s">
        <v>213</v>
      </c>
      <c r="E2254" s="36">
        <v>1</v>
      </c>
      <c r="F2254" s="33">
        <v>225.46350000000001</v>
      </c>
      <c r="G2254" s="33">
        <f>IF(ISNUMBER(F2254),E2254*F2254,"")</f>
        <v>225.46350000000001</v>
      </c>
      <c r="H2254" s="38">
        <f>SUM(G2254:G2258)</f>
        <v>313.32890880000002</v>
      </c>
      <c r="I2254" s="39"/>
      <c r="J2254" s="152">
        <v>0</v>
      </c>
    </row>
    <row r="2255" spans="1:10" ht="15.75" hidden="1" thickBot="1" x14ac:dyDescent="0.3">
      <c r="A2255" s="176"/>
      <c r="B2255" s="174"/>
      <c r="C2255" s="35" t="s">
        <v>582</v>
      </c>
      <c r="D2255" s="35" t="s">
        <v>583</v>
      </c>
      <c r="E2255" s="36">
        <f>ROUND(1.282*0.8,4)</f>
        <v>1.0256000000000001</v>
      </c>
      <c r="F2255" s="30">
        <v>25.725999999999996</v>
      </c>
      <c r="G2255" s="33">
        <f>IF(ISNUMBER(F2255),E2255*F2255,"")</f>
        <v>26.384585599999998</v>
      </c>
      <c r="H2255" s="34"/>
      <c r="I2255" s="30"/>
      <c r="J2255" s="152">
        <v>0</v>
      </c>
    </row>
    <row r="2256" spans="1:10" ht="15.75" hidden="1" thickBot="1" x14ac:dyDescent="0.3">
      <c r="A2256" s="176"/>
      <c r="B2256" s="174"/>
      <c r="C2256" s="35" t="s">
        <v>584</v>
      </c>
      <c r="D2256" s="35" t="s">
        <v>583</v>
      </c>
      <c r="E2256" s="36">
        <f>ROUND(0.641*0.8,4)</f>
        <v>0.51280000000000003</v>
      </c>
      <c r="F2256" s="30">
        <v>20.225499999999997</v>
      </c>
      <c r="G2256" s="33">
        <f>IF(ISNUMBER(F2256),E2256*F2256,"")</f>
        <v>10.3716364</v>
      </c>
      <c r="H2256" s="34"/>
      <c r="I2256" s="30"/>
      <c r="J2256" s="152">
        <v>0</v>
      </c>
    </row>
    <row r="2257" spans="1:10" ht="15.75" hidden="1" thickBot="1" x14ac:dyDescent="0.3">
      <c r="A2257" s="176"/>
      <c r="B2257" s="174"/>
      <c r="C2257" s="35" t="s">
        <v>143</v>
      </c>
      <c r="D2257" s="49" t="s">
        <v>75</v>
      </c>
      <c r="E2257" s="36">
        <f>ROUND(0.108*(2*0.6*2.1),4)</f>
        <v>0.2722</v>
      </c>
      <c r="F2257" s="33" t="s">
        <v>416</v>
      </c>
      <c r="G2257" s="30" t="str">
        <f>IF(ISNUMBER(F2257),E2257*F2257,"")</f>
        <v/>
      </c>
      <c r="H2257" s="34"/>
      <c r="I2257" s="30"/>
      <c r="J2257" s="152">
        <v>0</v>
      </c>
    </row>
    <row r="2258" spans="1:10" ht="15.75" hidden="1" thickBot="1" x14ac:dyDescent="0.3">
      <c r="A2258" s="176"/>
      <c r="B2258" s="174"/>
      <c r="C2258" s="35" t="s">
        <v>956</v>
      </c>
      <c r="D2258" s="35" t="s">
        <v>583</v>
      </c>
      <c r="E2258" s="36">
        <f>ROUND(0.7076*(2*0.6*2.1),4)</f>
        <v>1.7831999999999999</v>
      </c>
      <c r="F2258" s="30">
        <v>28.6615</v>
      </c>
      <c r="G2258" s="30">
        <f>IF(ISNUMBER(F2258),E2258*F2258,"")</f>
        <v>51.109186799999996</v>
      </c>
      <c r="H2258" s="34"/>
      <c r="I2258" s="30"/>
      <c r="J2258" s="152">
        <v>0</v>
      </c>
    </row>
    <row r="2259" spans="1:10" ht="15.75" hidden="1" thickBot="1" x14ac:dyDescent="0.3">
      <c r="A2259" s="176"/>
      <c r="B2259" s="174"/>
      <c r="C2259" s="35"/>
      <c r="D2259" s="35"/>
      <c r="E2259" s="36"/>
      <c r="F2259" s="30" t="s">
        <v>416</v>
      </c>
      <c r="G2259" s="30"/>
      <c r="H2259" s="34"/>
      <c r="I2259" s="30"/>
      <c r="J2259" s="152">
        <v>0</v>
      </c>
    </row>
    <row r="2260" spans="1:10" ht="39" hidden="1" thickBot="1" x14ac:dyDescent="0.3">
      <c r="A2260" s="176"/>
      <c r="B2260" s="174"/>
      <c r="C2260" s="51" t="s">
        <v>2954</v>
      </c>
      <c r="D2260" s="35"/>
      <c r="E2260" s="36"/>
      <c r="F2260" s="30" t="s">
        <v>416</v>
      </c>
      <c r="G2260" s="30"/>
      <c r="H2260" s="34"/>
      <c r="I2260" s="30"/>
      <c r="J2260" s="152">
        <v>0</v>
      </c>
    </row>
    <row r="2261" spans="1:10" ht="15.75" hidden="1" thickBot="1" x14ac:dyDescent="0.3">
      <c r="A2261" s="176"/>
      <c r="B2261" s="174"/>
      <c r="C2261" s="35"/>
      <c r="D2261" s="46"/>
      <c r="E2261" s="36"/>
      <c r="F2261" s="33" t="s">
        <v>416</v>
      </c>
      <c r="G2261" s="33" t="str">
        <f>IF(ISNUMBER(F2261),E2261*F2261,"")</f>
        <v/>
      </c>
      <c r="H2261" s="34"/>
      <c r="I2261" s="30"/>
      <c r="J2261" s="152">
        <v>0</v>
      </c>
    </row>
    <row r="2262" spans="1:10" ht="15.75" hidden="1" thickBot="1" x14ac:dyDescent="0.3">
      <c r="A2262" s="170" t="s">
        <v>585</v>
      </c>
      <c r="B2262" s="173" t="str">
        <f>INDEX(Orçamentária!A:B,MATCH(Composições!A2262,Orçamentária!A:A,0),2)</f>
        <v>Folha de porta em madeira 2,10 x 0,70m, pintada</v>
      </c>
      <c r="C2262" s="40"/>
      <c r="D2262" s="25" t="s">
        <v>16</v>
      </c>
      <c r="E2262" s="26"/>
      <c r="F2262" s="41" t="s">
        <v>416</v>
      </c>
      <c r="G2262" s="27" t="str">
        <f>IF(ISNUMBER(F2262),E2262*F2262,"")</f>
        <v/>
      </c>
      <c r="H2262" s="28"/>
      <c r="I2262" s="29"/>
      <c r="J2262" s="152">
        <v>0</v>
      </c>
    </row>
    <row r="2263" spans="1:10" ht="15.75" hidden="1" thickBot="1" x14ac:dyDescent="0.3">
      <c r="A2263" s="176"/>
      <c r="B2263" s="174"/>
      <c r="C2263" s="31"/>
      <c r="D2263" s="31"/>
      <c r="E2263" s="32"/>
      <c r="F2263" s="42" t="s">
        <v>416</v>
      </c>
      <c r="G2263" s="30" t="str">
        <f>IF(ISNUMBER(F2263),E2263*F2263,"")</f>
        <v/>
      </c>
      <c r="H2263" s="34"/>
      <c r="I2263" s="30"/>
      <c r="J2263" s="152">
        <v>0</v>
      </c>
    </row>
    <row r="2264" spans="1:10" ht="51.75" hidden="1" thickBot="1" x14ac:dyDescent="0.3">
      <c r="A2264" s="176"/>
      <c r="B2264" s="174"/>
      <c r="C2264" s="35" t="s">
        <v>8330</v>
      </c>
      <c r="D2264" s="35" t="s">
        <v>213</v>
      </c>
      <c r="E2264" s="36">
        <v>1</v>
      </c>
      <c r="F2264" s="33">
        <v>227.905</v>
      </c>
      <c r="G2264" s="33">
        <f>IF(ISNUMBER(F2264),E2264*F2264,"")</f>
        <v>227.905</v>
      </c>
      <c r="H2264" s="38">
        <f>SUM(G2264:G2268)</f>
        <v>328.07031244999996</v>
      </c>
      <c r="I2264" s="39"/>
      <c r="J2264" s="152">
        <v>0</v>
      </c>
    </row>
    <row r="2265" spans="1:10" ht="15.75" hidden="1" thickBot="1" x14ac:dyDescent="0.3">
      <c r="A2265" s="176"/>
      <c r="B2265" s="174"/>
      <c r="C2265" s="35" t="s">
        <v>582</v>
      </c>
      <c r="D2265" s="35" t="s">
        <v>583</v>
      </c>
      <c r="E2265" s="36">
        <f>ROUND(1.414*0.8,4)</f>
        <v>1.1312</v>
      </c>
      <c r="F2265" s="30">
        <v>25.725999999999996</v>
      </c>
      <c r="G2265" s="33">
        <f>IF(ISNUMBER(F2265),E2265*F2265,"")</f>
        <v>29.101251199999993</v>
      </c>
      <c r="H2265" s="34"/>
      <c r="I2265" s="30"/>
      <c r="J2265" s="152">
        <v>0</v>
      </c>
    </row>
    <row r="2266" spans="1:10" ht="15.75" hidden="1" thickBot="1" x14ac:dyDescent="0.3">
      <c r="A2266" s="176"/>
      <c r="B2266" s="174"/>
      <c r="C2266" s="35" t="s">
        <v>584</v>
      </c>
      <c r="D2266" s="35" t="s">
        <v>583</v>
      </c>
      <c r="E2266" s="36">
        <f>ROUND(0.707*0.8,4)</f>
        <v>0.56559999999999999</v>
      </c>
      <c r="F2266" s="30">
        <v>20.225499999999997</v>
      </c>
      <c r="G2266" s="33">
        <f>IF(ISNUMBER(F2266),E2266*F2266,"")</f>
        <v>11.439542799999998</v>
      </c>
      <c r="H2266" s="34"/>
      <c r="I2266" s="30"/>
      <c r="J2266" s="152">
        <v>0</v>
      </c>
    </row>
    <row r="2267" spans="1:10" ht="15.75" hidden="1" thickBot="1" x14ac:dyDescent="0.3">
      <c r="A2267" s="176"/>
      <c r="B2267" s="174"/>
      <c r="C2267" s="35" t="s">
        <v>143</v>
      </c>
      <c r="D2267" s="49" t="s">
        <v>75</v>
      </c>
      <c r="E2267" s="36">
        <f>ROUND(0.108*(2*0.7*2.1),4)</f>
        <v>0.3175</v>
      </c>
      <c r="F2267" s="33" t="s">
        <v>416</v>
      </c>
      <c r="G2267" s="30" t="str">
        <f>IF(ISNUMBER(F2267),E2267*F2267,"")</f>
        <v/>
      </c>
      <c r="H2267" s="34"/>
      <c r="I2267" s="30"/>
      <c r="J2267" s="152">
        <v>0</v>
      </c>
    </row>
    <row r="2268" spans="1:10" ht="15.75" hidden="1" thickBot="1" x14ac:dyDescent="0.3">
      <c r="A2268" s="176"/>
      <c r="B2268" s="174"/>
      <c r="C2268" s="35" t="s">
        <v>956</v>
      </c>
      <c r="D2268" s="35" t="s">
        <v>583</v>
      </c>
      <c r="E2268" s="36">
        <f>ROUND(0.7076*(2*0.7*2.1),4)</f>
        <v>2.0802999999999998</v>
      </c>
      <c r="F2268" s="30">
        <v>28.6615</v>
      </c>
      <c r="G2268" s="30">
        <f>IF(ISNUMBER(F2268),E2268*F2268,"")</f>
        <v>59.624518449999997</v>
      </c>
      <c r="H2268" s="34"/>
      <c r="I2268" s="30"/>
      <c r="J2268" s="152">
        <v>0</v>
      </c>
    </row>
    <row r="2269" spans="1:10" ht="15.75" hidden="1" thickBot="1" x14ac:dyDescent="0.3">
      <c r="A2269" s="176"/>
      <c r="B2269" s="174"/>
      <c r="C2269" s="35"/>
      <c r="D2269" s="35"/>
      <c r="E2269" s="36"/>
      <c r="F2269" s="30" t="s">
        <v>416</v>
      </c>
      <c r="G2269" s="30"/>
      <c r="H2269" s="34"/>
      <c r="I2269" s="30"/>
      <c r="J2269" s="152">
        <v>0</v>
      </c>
    </row>
    <row r="2270" spans="1:10" ht="39" hidden="1" thickBot="1" x14ac:dyDescent="0.3">
      <c r="A2270" s="176"/>
      <c r="B2270" s="174"/>
      <c r="C2270" s="51" t="s">
        <v>2954</v>
      </c>
      <c r="D2270" s="35"/>
      <c r="E2270" s="36"/>
      <c r="F2270" s="30" t="s">
        <v>416</v>
      </c>
      <c r="G2270" s="30"/>
      <c r="H2270" s="34"/>
      <c r="I2270" s="30"/>
      <c r="J2270" s="152">
        <v>0</v>
      </c>
    </row>
    <row r="2271" spans="1:10" ht="15.75" hidden="1" thickBot="1" x14ac:dyDescent="0.3">
      <c r="A2271" s="176"/>
      <c r="B2271" s="174"/>
      <c r="C2271" s="35"/>
      <c r="D2271" s="46"/>
      <c r="E2271" s="36"/>
      <c r="F2271" s="33" t="s">
        <v>416</v>
      </c>
      <c r="G2271" s="33" t="str">
        <f>IF(ISNUMBER(F2271),E2271*F2271,"")</f>
        <v/>
      </c>
      <c r="H2271" s="34"/>
      <c r="I2271" s="30"/>
      <c r="J2271" s="152">
        <v>0</v>
      </c>
    </row>
    <row r="2272" spans="1:10" ht="15.75" hidden="1" thickBot="1" x14ac:dyDescent="0.3">
      <c r="A2272" s="170" t="s">
        <v>586</v>
      </c>
      <c r="B2272" s="173" t="str">
        <f>INDEX(Orçamentária!A:B,MATCH(Composições!A2272,Orçamentária!A:A,0),2)</f>
        <v>Folha de porta em madeira 2,10 x 0,80m, pintada</v>
      </c>
      <c r="C2272" s="40"/>
      <c r="D2272" s="25" t="s">
        <v>16</v>
      </c>
      <c r="E2272" s="26"/>
      <c r="F2272" s="41" t="s">
        <v>416</v>
      </c>
      <c r="G2272" s="27" t="str">
        <f>IF(ISNUMBER(F2272),E2272*F2272,"")</f>
        <v/>
      </c>
      <c r="H2272" s="28"/>
      <c r="I2272" s="29"/>
      <c r="J2272" s="152">
        <v>0</v>
      </c>
    </row>
    <row r="2273" spans="1:10" ht="15.75" hidden="1" thickBot="1" x14ac:dyDescent="0.3">
      <c r="A2273" s="176"/>
      <c r="B2273" s="174"/>
      <c r="C2273" s="31"/>
      <c r="D2273" s="31"/>
      <c r="E2273" s="32"/>
      <c r="F2273" s="42" t="s">
        <v>416</v>
      </c>
      <c r="G2273" s="30" t="str">
        <f>IF(ISNUMBER(F2273),E2273*F2273,"")</f>
        <v/>
      </c>
      <c r="H2273" s="34"/>
      <c r="I2273" s="30"/>
      <c r="J2273" s="152">
        <v>0</v>
      </c>
    </row>
    <row r="2274" spans="1:10" ht="51.75" hidden="1" thickBot="1" x14ac:dyDescent="0.3">
      <c r="A2274" s="176"/>
      <c r="B2274" s="174"/>
      <c r="C2274" s="35" t="s">
        <v>8332</v>
      </c>
      <c r="D2274" s="35" t="s">
        <v>213</v>
      </c>
      <c r="E2274" s="36">
        <v>1</v>
      </c>
      <c r="F2274" s="33">
        <v>282.4255</v>
      </c>
      <c r="G2274" s="33">
        <f>IF(ISNUMBER(F2274),E2274*F2274,"")</f>
        <v>282.4255</v>
      </c>
      <c r="H2274" s="38">
        <f>SUM(G2274:G2278)</f>
        <v>394.89358224999995</v>
      </c>
      <c r="I2274" s="39"/>
      <c r="J2274" s="152">
        <v>0</v>
      </c>
    </row>
    <row r="2275" spans="1:10" ht="15.75" hidden="1" thickBot="1" x14ac:dyDescent="0.3">
      <c r="A2275" s="176"/>
      <c r="B2275" s="174"/>
      <c r="C2275" s="35" t="s">
        <v>582</v>
      </c>
      <c r="D2275" s="35" t="s">
        <v>583</v>
      </c>
      <c r="E2275" s="36">
        <f>ROUND(1.546*0.8,4)</f>
        <v>1.2367999999999999</v>
      </c>
      <c r="F2275" s="30">
        <v>25.725999999999996</v>
      </c>
      <c r="G2275" s="33">
        <f>IF(ISNUMBER(F2275),E2275*F2275,"")</f>
        <v>31.817916799999992</v>
      </c>
      <c r="H2275" s="34"/>
      <c r="I2275" s="30"/>
      <c r="J2275" s="152">
        <v>0</v>
      </c>
    </row>
    <row r="2276" spans="1:10" ht="15.75" hidden="1" thickBot="1" x14ac:dyDescent="0.3">
      <c r="A2276" s="176"/>
      <c r="B2276" s="174"/>
      <c r="C2276" s="35" t="s">
        <v>584</v>
      </c>
      <c r="D2276" s="35" t="s">
        <v>583</v>
      </c>
      <c r="E2276" s="36">
        <f>ROUND(0.773*0.8,4)</f>
        <v>0.61839999999999995</v>
      </c>
      <c r="F2276" s="30">
        <v>20.225499999999997</v>
      </c>
      <c r="G2276" s="33">
        <f>IF(ISNUMBER(F2276),E2276*F2276,"")</f>
        <v>12.507449199999996</v>
      </c>
      <c r="H2276" s="34"/>
      <c r="I2276" s="30"/>
      <c r="J2276" s="152">
        <v>0</v>
      </c>
    </row>
    <row r="2277" spans="1:10" ht="15.75" hidden="1" thickBot="1" x14ac:dyDescent="0.3">
      <c r="A2277" s="176"/>
      <c r="B2277" s="174"/>
      <c r="C2277" s="35" t="s">
        <v>143</v>
      </c>
      <c r="D2277" s="49" t="s">
        <v>75</v>
      </c>
      <c r="E2277" s="36">
        <f>ROUND(0.108*(2*0.8*2.1),4)</f>
        <v>0.3629</v>
      </c>
      <c r="F2277" s="33" t="s">
        <v>416</v>
      </c>
      <c r="G2277" s="30" t="str">
        <f>IF(ISNUMBER(F2277),E2277*F2277,"")</f>
        <v/>
      </c>
      <c r="H2277" s="34"/>
      <c r="I2277" s="30"/>
      <c r="J2277" s="152">
        <v>0</v>
      </c>
    </row>
    <row r="2278" spans="1:10" ht="15.75" hidden="1" thickBot="1" x14ac:dyDescent="0.3">
      <c r="A2278" s="176"/>
      <c r="B2278" s="174"/>
      <c r="C2278" s="35" t="s">
        <v>956</v>
      </c>
      <c r="D2278" s="35" t="s">
        <v>583</v>
      </c>
      <c r="E2278" s="36">
        <f>ROUND(0.7076*(2*0.8*2.1),4)</f>
        <v>2.3774999999999999</v>
      </c>
      <c r="F2278" s="30">
        <v>28.6615</v>
      </c>
      <c r="G2278" s="30">
        <f>IF(ISNUMBER(F2278),E2278*F2278,"")</f>
        <v>68.142716249999992</v>
      </c>
      <c r="H2278" s="34"/>
      <c r="I2278" s="30"/>
      <c r="J2278" s="152">
        <v>0</v>
      </c>
    </row>
    <row r="2279" spans="1:10" ht="15.75" hidden="1" thickBot="1" x14ac:dyDescent="0.3">
      <c r="A2279" s="176"/>
      <c r="B2279" s="174"/>
      <c r="C2279" s="35"/>
      <c r="D2279" s="35"/>
      <c r="E2279" s="36"/>
      <c r="F2279" s="30" t="s">
        <v>416</v>
      </c>
      <c r="G2279" s="30"/>
      <c r="H2279" s="34"/>
      <c r="I2279" s="30"/>
      <c r="J2279" s="152">
        <v>0</v>
      </c>
    </row>
    <row r="2280" spans="1:10" ht="39" hidden="1" thickBot="1" x14ac:dyDescent="0.3">
      <c r="A2280" s="176"/>
      <c r="B2280" s="174"/>
      <c r="C2280" s="51" t="s">
        <v>2954</v>
      </c>
      <c r="D2280" s="35"/>
      <c r="E2280" s="36"/>
      <c r="F2280" s="30" t="s">
        <v>416</v>
      </c>
      <c r="G2280" s="30"/>
      <c r="H2280" s="34"/>
      <c r="I2280" s="30"/>
      <c r="J2280" s="152">
        <v>0</v>
      </c>
    </row>
    <row r="2281" spans="1:10" ht="15.75" hidden="1" thickBot="1" x14ac:dyDescent="0.3">
      <c r="A2281" s="176"/>
      <c r="B2281" s="174"/>
      <c r="C2281" s="35"/>
      <c r="D2281" s="46"/>
      <c r="E2281" s="36"/>
      <c r="F2281" s="33" t="s">
        <v>416</v>
      </c>
      <c r="G2281" s="33" t="str">
        <f>IF(ISNUMBER(F2281),E2281*F2281,"")</f>
        <v/>
      </c>
      <c r="H2281" s="34"/>
      <c r="I2281" s="30"/>
      <c r="J2281" s="152">
        <v>0</v>
      </c>
    </row>
    <row r="2282" spans="1:10" ht="15.75" hidden="1" thickBot="1" x14ac:dyDescent="0.3">
      <c r="A2282" s="170" t="s">
        <v>587</v>
      </c>
      <c r="B2282" s="173" t="str">
        <f>INDEX(Orçamentária!A:B,MATCH(Composições!A2282,Orçamentária!A:A,0),2)</f>
        <v>Folha de porta em madeira 2,10 x 0,90m, pintada</v>
      </c>
      <c r="C2282" s="40"/>
      <c r="D2282" s="25" t="s">
        <v>16</v>
      </c>
      <c r="E2282" s="26"/>
      <c r="F2282" s="41" t="s">
        <v>416</v>
      </c>
      <c r="G2282" s="27" t="str">
        <f>IF(ISNUMBER(F2282),E2282*F2282,"")</f>
        <v/>
      </c>
      <c r="H2282" s="28"/>
      <c r="I2282" s="29"/>
      <c r="J2282" s="152">
        <v>0</v>
      </c>
    </row>
    <row r="2283" spans="1:10" ht="15.75" hidden="1" thickBot="1" x14ac:dyDescent="0.3">
      <c r="A2283" s="176"/>
      <c r="B2283" s="174"/>
      <c r="C2283" s="31"/>
      <c r="D2283" s="31"/>
      <c r="E2283" s="32"/>
      <c r="F2283" s="42" t="s">
        <v>416</v>
      </c>
      <c r="G2283" s="30" t="str">
        <f>IF(ISNUMBER(F2283),E2283*F2283,"")</f>
        <v/>
      </c>
      <c r="H2283" s="34"/>
      <c r="I2283" s="30"/>
      <c r="J2283" s="152">
        <v>0</v>
      </c>
    </row>
    <row r="2284" spans="1:10" ht="51.75" hidden="1" thickBot="1" x14ac:dyDescent="0.3">
      <c r="A2284" s="176"/>
      <c r="B2284" s="174"/>
      <c r="C2284" s="35" t="s">
        <v>8333</v>
      </c>
      <c r="D2284" s="35" t="s">
        <v>213</v>
      </c>
      <c r="E2284" s="36">
        <v>1</v>
      </c>
      <c r="F2284" s="33">
        <v>323.11399999999998</v>
      </c>
      <c r="G2284" s="33">
        <f>IF(ISNUMBER(F2284),E2284*F2284,"")</f>
        <v>323.11399999999998</v>
      </c>
      <c r="H2284" s="38">
        <f>SUM(G2284:G2288)</f>
        <v>447.88485204999995</v>
      </c>
      <c r="I2284" s="39"/>
      <c r="J2284" s="152">
        <v>0</v>
      </c>
    </row>
    <row r="2285" spans="1:10" ht="15.75" hidden="1" thickBot="1" x14ac:dyDescent="0.3">
      <c r="A2285" s="176"/>
      <c r="B2285" s="174"/>
      <c r="C2285" s="35" t="s">
        <v>582</v>
      </c>
      <c r="D2285" s="35" t="s">
        <v>583</v>
      </c>
      <c r="E2285" s="36">
        <f>ROUND(1.678*0.8,4)</f>
        <v>1.3424</v>
      </c>
      <c r="F2285" s="30">
        <v>25.725999999999996</v>
      </c>
      <c r="G2285" s="33">
        <f>IF(ISNUMBER(F2285),E2285*F2285,"")</f>
        <v>34.534582399999998</v>
      </c>
      <c r="H2285" s="34"/>
      <c r="I2285" s="30"/>
      <c r="J2285" s="152">
        <v>0</v>
      </c>
    </row>
    <row r="2286" spans="1:10" ht="15.75" hidden="1" thickBot="1" x14ac:dyDescent="0.3">
      <c r="A2286" s="176"/>
      <c r="B2286" s="174"/>
      <c r="C2286" s="35" t="s">
        <v>584</v>
      </c>
      <c r="D2286" s="35" t="s">
        <v>583</v>
      </c>
      <c r="E2286" s="36">
        <f>ROUND(0.839*0.8,4)</f>
        <v>0.67120000000000002</v>
      </c>
      <c r="F2286" s="30">
        <v>20.225499999999997</v>
      </c>
      <c r="G2286" s="33">
        <f>IF(ISNUMBER(F2286),E2286*F2286,"")</f>
        <v>13.575355599999998</v>
      </c>
      <c r="H2286" s="34"/>
      <c r="I2286" s="30"/>
      <c r="J2286" s="152">
        <v>0</v>
      </c>
    </row>
    <row r="2287" spans="1:10" ht="15.75" hidden="1" thickBot="1" x14ac:dyDescent="0.3">
      <c r="A2287" s="176"/>
      <c r="B2287" s="174"/>
      <c r="C2287" s="35" t="s">
        <v>143</v>
      </c>
      <c r="D2287" s="49" t="s">
        <v>75</v>
      </c>
      <c r="E2287" s="36">
        <f>ROUND(0.108*(2*0.9*2.1),4)</f>
        <v>0.40820000000000001</v>
      </c>
      <c r="F2287" s="33" t="s">
        <v>416</v>
      </c>
      <c r="G2287" s="30" t="str">
        <f>IF(ISNUMBER(F2287),E2287*F2287,"")</f>
        <v/>
      </c>
      <c r="H2287" s="34"/>
      <c r="I2287" s="30"/>
      <c r="J2287" s="152">
        <v>0</v>
      </c>
    </row>
    <row r="2288" spans="1:10" ht="15.75" hidden="1" thickBot="1" x14ac:dyDescent="0.3">
      <c r="A2288" s="176"/>
      <c r="B2288" s="174"/>
      <c r="C2288" s="35" t="s">
        <v>956</v>
      </c>
      <c r="D2288" s="35" t="s">
        <v>583</v>
      </c>
      <c r="E2288" s="36">
        <f>ROUND(0.7076*(2*0.9*2.1),4)</f>
        <v>2.6747000000000001</v>
      </c>
      <c r="F2288" s="30">
        <v>28.6615</v>
      </c>
      <c r="G2288" s="30">
        <f>IF(ISNUMBER(F2288),E2288*F2288,"")</f>
        <v>76.660914050000002</v>
      </c>
      <c r="H2288" s="34"/>
      <c r="I2288" s="30"/>
      <c r="J2288" s="152">
        <v>0</v>
      </c>
    </row>
    <row r="2289" spans="1:10" ht="15.75" hidden="1" thickBot="1" x14ac:dyDescent="0.3">
      <c r="A2289" s="176"/>
      <c r="B2289" s="174"/>
      <c r="C2289" s="35"/>
      <c r="D2289" s="35"/>
      <c r="E2289" s="36"/>
      <c r="F2289" s="30" t="s">
        <v>416</v>
      </c>
      <c r="G2289" s="30"/>
      <c r="H2289" s="34"/>
      <c r="I2289" s="30"/>
      <c r="J2289" s="152">
        <v>0</v>
      </c>
    </row>
    <row r="2290" spans="1:10" ht="39" hidden="1" thickBot="1" x14ac:dyDescent="0.3">
      <c r="A2290" s="176"/>
      <c r="B2290" s="174"/>
      <c r="C2290" s="51" t="s">
        <v>2954</v>
      </c>
      <c r="D2290" s="35"/>
      <c r="E2290" s="36"/>
      <c r="F2290" s="30" t="s">
        <v>416</v>
      </c>
      <c r="G2290" s="30"/>
      <c r="H2290" s="34"/>
      <c r="I2290" s="30"/>
      <c r="J2290" s="152">
        <v>0</v>
      </c>
    </row>
    <row r="2291" spans="1:10" ht="15.75" hidden="1" thickBot="1" x14ac:dyDescent="0.3">
      <c r="A2291" s="176"/>
      <c r="B2291" s="174"/>
      <c r="C2291" s="35"/>
      <c r="D2291" s="46"/>
      <c r="E2291" s="36"/>
      <c r="F2291" s="33" t="s">
        <v>416</v>
      </c>
      <c r="G2291" s="33" t="str">
        <f>IF(ISNUMBER(F2291),E2291*F2291,"")</f>
        <v/>
      </c>
      <c r="H2291" s="34"/>
      <c r="I2291" s="30"/>
      <c r="J2291" s="152">
        <v>0</v>
      </c>
    </row>
    <row r="2292" spans="1:10" ht="15.75" hidden="1" thickBot="1" x14ac:dyDescent="0.3">
      <c r="A2292" s="170" t="s">
        <v>588</v>
      </c>
      <c r="B2292" s="173" t="str">
        <f>INDEX(Orçamentária!A:B,MATCH(Composições!A2292,Orçamentária!A:A,0),2)</f>
        <v>Folha de porta em madeira 2,10 x 1,0m, pintada</v>
      </c>
      <c r="C2292" s="40"/>
      <c r="D2292" s="25" t="s">
        <v>16</v>
      </c>
      <c r="E2292" s="26"/>
      <c r="F2292" s="41" t="s">
        <v>416</v>
      </c>
      <c r="G2292" s="27" t="str">
        <f>IF(ISNUMBER(F2292),E2292*F2292,"")</f>
        <v/>
      </c>
      <c r="H2292" s="28"/>
      <c r="I2292" s="29"/>
      <c r="J2292" s="152">
        <v>0</v>
      </c>
    </row>
    <row r="2293" spans="1:10" ht="15.75" hidden="1" thickBot="1" x14ac:dyDescent="0.3">
      <c r="A2293" s="176"/>
      <c r="B2293" s="174"/>
      <c r="C2293" s="31"/>
      <c r="D2293" s="31"/>
      <c r="E2293" s="32"/>
      <c r="F2293" s="42" t="s">
        <v>416</v>
      </c>
      <c r="G2293" s="30" t="str">
        <f>IF(ISNUMBER(F2293),E2293*F2293,"")</f>
        <v/>
      </c>
      <c r="H2293" s="34"/>
      <c r="I2293" s="30"/>
      <c r="J2293" s="152">
        <v>0</v>
      </c>
    </row>
    <row r="2294" spans="1:10" ht="51.75" hidden="1" thickBot="1" x14ac:dyDescent="0.3">
      <c r="A2294" s="176"/>
      <c r="B2294" s="174"/>
      <c r="C2294" s="35" t="s">
        <v>8328</v>
      </c>
      <c r="D2294" s="35" t="s">
        <v>213</v>
      </c>
      <c r="E2294" s="36">
        <v>1</v>
      </c>
      <c r="F2294" s="33">
        <v>346.08499999999998</v>
      </c>
      <c r="G2294" s="33">
        <f>IF(ISNUMBER(F2294),E2294*F2294,"")</f>
        <v>346.08499999999998</v>
      </c>
      <c r="H2294" s="38">
        <f>SUM(G2294:G2298)</f>
        <v>479.37404985000001</v>
      </c>
      <c r="I2294" s="39"/>
      <c r="J2294" s="152">
        <v>0</v>
      </c>
    </row>
    <row r="2295" spans="1:10" ht="15.75" hidden="1" thickBot="1" x14ac:dyDescent="0.3">
      <c r="A2295" s="176"/>
      <c r="B2295" s="174"/>
      <c r="C2295" s="35" t="s">
        <v>582</v>
      </c>
      <c r="D2295" s="35" t="s">
        <v>583</v>
      </c>
      <c r="E2295" s="36">
        <f>ROUND(1.678*0.8,4)</f>
        <v>1.3424</v>
      </c>
      <c r="F2295" s="30">
        <v>25.725999999999996</v>
      </c>
      <c r="G2295" s="33">
        <f>IF(ISNUMBER(F2295),E2295*F2295,"")</f>
        <v>34.534582399999998</v>
      </c>
      <c r="H2295" s="34"/>
      <c r="I2295" s="30"/>
      <c r="J2295" s="152">
        <v>0</v>
      </c>
    </row>
    <row r="2296" spans="1:10" ht="15.75" hidden="1" thickBot="1" x14ac:dyDescent="0.3">
      <c r="A2296" s="176"/>
      <c r="B2296" s="174"/>
      <c r="C2296" s="35" t="s">
        <v>584</v>
      </c>
      <c r="D2296" s="35" t="s">
        <v>583</v>
      </c>
      <c r="E2296" s="36">
        <f>ROUND(0.839*0.8,4)</f>
        <v>0.67120000000000002</v>
      </c>
      <c r="F2296" s="30">
        <v>20.225499999999997</v>
      </c>
      <c r="G2296" s="33">
        <f>IF(ISNUMBER(F2296),E2296*F2296,"")</f>
        <v>13.575355599999998</v>
      </c>
      <c r="H2296" s="34"/>
      <c r="I2296" s="30"/>
      <c r="J2296" s="152">
        <v>0</v>
      </c>
    </row>
    <row r="2297" spans="1:10" ht="15.75" hidden="1" thickBot="1" x14ac:dyDescent="0.3">
      <c r="A2297" s="176"/>
      <c r="B2297" s="174"/>
      <c r="C2297" s="35" t="s">
        <v>143</v>
      </c>
      <c r="D2297" s="49" t="s">
        <v>75</v>
      </c>
      <c r="E2297" s="36">
        <f>ROUND(0.108*(2*1*2.1),4)</f>
        <v>0.4536</v>
      </c>
      <c r="F2297" s="33" t="s">
        <v>416</v>
      </c>
      <c r="G2297" s="30" t="str">
        <f>IF(ISNUMBER(F2297),E2297*F2297,"")</f>
        <v/>
      </c>
      <c r="H2297" s="34"/>
      <c r="I2297" s="30"/>
      <c r="J2297" s="152">
        <v>0</v>
      </c>
    </row>
    <row r="2298" spans="1:10" ht="15.75" hidden="1" thickBot="1" x14ac:dyDescent="0.3">
      <c r="A2298" s="176"/>
      <c r="B2298" s="174"/>
      <c r="C2298" s="35" t="s">
        <v>956</v>
      </c>
      <c r="D2298" s="35" t="s">
        <v>583</v>
      </c>
      <c r="E2298" s="36">
        <f>ROUND(0.7076*(2*1*2.1),4)</f>
        <v>2.9719000000000002</v>
      </c>
      <c r="F2298" s="30">
        <v>28.6615</v>
      </c>
      <c r="G2298" s="30">
        <f>IF(ISNUMBER(F2298),E2298*F2298,"")</f>
        <v>85.179111850000012</v>
      </c>
      <c r="H2298" s="34"/>
      <c r="I2298" s="30"/>
      <c r="J2298" s="152">
        <v>0</v>
      </c>
    </row>
    <row r="2299" spans="1:10" ht="15.75" hidden="1" thickBot="1" x14ac:dyDescent="0.3">
      <c r="A2299" s="176"/>
      <c r="B2299" s="174"/>
      <c r="C2299" s="35"/>
      <c r="D2299" s="35"/>
      <c r="E2299" s="36"/>
      <c r="F2299" s="30" t="s">
        <v>416</v>
      </c>
      <c r="G2299" s="30"/>
      <c r="H2299" s="34"/>
      <c r="I2299" s="30"/>
      <c r="J2299" s="152">
        <v>0</v>
      </c>
    </row>
    <row r="2300" spans="1:10" ht="39" hidden="1" thickBot="1" x14ac:dyDescent="0.3">
      <c r="A2300" s="176"/>
      <c r="B2300" s="174"/>
      <c r="C2300" s="51" t="s">
        <v>2954</v>
      </c>
      <c r="D2300" s="35"/>
      <c r="E2300" s="36"/>
      <c r="F2300" s="30" t="s">
        <v>416</v>
      </c>
      <c r="G2300" s="30"/>
      <c r="H2300" s="34"/>
      <c r="I2300" s="30"/>
      <c r="J2300" s="152">
        <v>0</v>
      </c>
    </row>
    <row r="2301" spans="1:10" ht="15.75" hidden="1" thickBot="1" x14ac:dyDescent="0.3">
      <c r="A2301" s="176"/>
      <c r="B2301" s="174"/>
      <c r="C2301" s="35"/>
      <c r="D2301" s="46"/>
      <c r="E2301" s="36"/>
      <c r="F2301" s="33" t="s">
        <v>416</v>
      </c>
      <c r="G2301" s="33" t="str">
        <f>IF(ISNUMBER(F2301),E2301*F2301,"")</f>
        <v/>
      </c>
      <c r="H2301" s="34"/>
      <c r="I2301" s="30"/>
      <c r="J2301" s="152">
        <v>0</v>
      </c>
    </row>
    <row r="2302" spans="1:10" ht="15.75" hidden="1" thickBot="1" x14ac:dyDescent="0.3">
      <c r="A2302" s="170" t="s">
        <v>589</v>
      </c>
      <c r="B2302" s="173" t="str">
        <f>INDEX(Orçamentária!A:B,MATCH(Composições!A2302,Orçamentária!A:A,0),2)</f>
        <v>Instalação de batentes de madeira reaproveitados</v>
      </c>
      <c r="C2302" s="40"/>
      <c r="D2302" s="25" t="s">
        <v>16</v>
      </c>
      <c r="E2302" s="26"/>
      <c r="F2302" s="41" t="s">
        <v>416</v>
      </c>
      <c r="G2302" s="27" t="str">
        <f>IF(ISNUMBER(F2302),E2302*F2302,"")</f>
        <v/>
      </c>
      <c r="H2302" s="28"/>
      <c r="I2302" s="29"/>
      <c r="J2302" s="152">
        <v>0</v>
      </c>
    </row>
    <row r="2303" spans="1:10" ht="15.75" hidden="1" thickBot="1" x14ac:dyDescent="0.3">
      <c r="A2303" s="176"/>
      <c r="B2303" s="174"/>
      <c r="C2303" s="31"/>
      <c r="D2303" s="31"/>
      <c r="E2303" s="32"/>
      <c r="F2303" s="42" t="s">
        <v>416</v>
      </c>
      <c r="G2303" s="30" t="str">
        <f>IF(ISNUMBER(F2303),E2303*F2303,"")</f>
        <v/>
      </c>
      <c r="H2303" s="34"/>
      <c r="I2303" s="30"/>
      <c r="J2303" s="152">
        <v>0</v>
      </c>
    </row>
    <row r="2304" spans="1:10" ht="15.75" hidden="1" thickBot="1" x14ac:dyDescent="0.3">
      <c r="A2304" s="176"/>
      <c r="B2304" s="174"/>
      <c r="C2304" s="35" t="s">
        <v>1274</v>
      </c>
      <c r="D2304" s="35" t="s">
        <v>773</v>
      </c>
      <c r="E2304" s="36">
        <v>1.0999999999999999E-2</v>
      </c>
      <c r="F2304" s="33">
        <v>28.462</v>
      </c>
      <c r="G2304" s="30">
        <f>IF(ISNUMBER(F2304),E2304*F2304,"")</f>
        <v>0.31308199999999997</v>
      </c>
      <c r="H2304" s="38">
        <f>SUM(G2304:G2307)</f>
        <v>98.792523499999987</v>
      </c>
      <c r="I2304" s="39"/>
      <c r="J2304" s="152">
        <v>0</v>
      </c>
    </row>
    <row r="2305" spans="1:10" ht="15.75" hidden="1" thickBot="1" x14ac:dyDescent="0.3">
      <c r="A2305" s="176"/>
      <c r="B2305" s="174"/>
      <c r="C2305" s="35" t="s">
        <v>73</v>
      </c>
      <c r="D2305" s="35" t="s">
        <v>773</v>
      </c>
      <c r="E2305" s="36">
        <v>2.4E-2</v>
      </c>
      <c r="F2305" s="33">
        <v>21.602999999999998</v>
      </c>
      <c r="G2305" s="30">
        <f>IF(ISNUMBER(F2305),E2305*F2305,"")</f>
        <v>0.51847199999999993</v>
      </c>
      <c r="H2305" s="34"/>
      <c r="I2305" s="30"/>
      <c r="J2305" s="152">
        <v>0</v>
      </c>
    </row>
    <row r="2306" spans="1:10" ht="15.75" hidden="1" thickBot="1" x14ac:dyDescent="0.3">
      <c r="A2306" s="176"/>
      <c r="B2306" s="174"/>
      <c r="C2306" s="35" t="s">
        <v>582</v>
      </c>
      <c r="D2306" s="35" t="s">
        <v>583</v>
      </c>
      <c r="E2306" s="36">
        <v>2.7410000000000001</v>
      </c>
      <c r="F2306" s="30">
        <v>25.725999999999996</v>
      </c>
      <c r="G2306" s="30">
        <f>IF(ISNUMBER(F2306),E2306*F2306,"")</f>
        <v>70.514965999999987</v>
      </c>
      <c r="H2306" s="34"/>
      <c r="I2306" s="30"/>
      <c r="J2306" s="152">
        <v>0</v>
      </c>
    </row>
    <row r="2307" spans="1:10" ht="15.75" hidden="1" thickBot="1" x14ac:dyDescent="0.3">
      <c r="A2307" s="176"/>
      <c r="B2307" s="174"/>
      <c r="C2307" s="35" t="s">
        <v>584</v>
      </c>
      <c r="D2307" s="35" t="s">
        <v>583</v>
      </c>
      <c r="E2307" s="36">
        <v>1.357</v>
      </c>
      <c r="F2307" s="30">
        <v>20.225499999999997</v>
      </c>
      <c r="G2307" s="30">
        <f>IF(ISNUMBER(F2307),E2307*F2307,"")</f>
        <v>27.446003499999996</v>
      </c>
      <c r="H2307" s="34"/>
      <c r="I2307" s="30"/>
      <c r="J2307" s="152">
        <v>0</v>
      </c>
    </row>
    <row r="2308" spans="1:10" ht="15.75" hidden="1" thickBot="1" x14ac:dyDescent="0.3">
      <c r="A2308" s="176"/>
      <c r="B2308" s="174"/>
      <c r="C2308" s="35"/>
      <c r="D2308" s="35"/>
      <c r="E2308" s="36"/>
      <c r="F2308" s="30" t="s">
        <v>416</v>
      </c>
      <c r="G2308" s="33" t="str">
        <f>IF(ISNUMBER(F2308),E2308*F2308,"")</f>
        <v/>
      </c>
      <c r="H2308" s="34"/>
      <c r="I2308" s="30"/>
      <c r="J2308" s="152">
        <v>0</v>
      </c>
    </row>
    <row r="2309" spans="1:10" ht="15.75" hidden="1" thickBot="1" x14ac:dyDescent="0.3">
      <c r="A2309" s="170" t="s">
        <v>590</v>
      </c>
      <c r="B2309" s="173" t="str">
        <f>INDEX(Orçamentária!A:B,MATCH(Composições!A2309,Orçamentária!A:A,0),2)</f>
        <v>Instalação de folhas de portas e dobradiças reaproveitadas</v>
      </c>
      <c r="C2309" s="40"/>
      <c r="D2309" s="25" t="s">
        <v>16</v>
      </c>
      <c r="E2309" s="26"/>
      <c r="F2309" s="41" t="s">
        <v>416</v>
      </c>
      <c r="G2309" s="27" t="str">
        <f>IF(ISNUMBER(F2309),E2309*F2309,"")</f>
        <v/>
      </c>
      <c r="H2309" s="28"/>
      <c r="I2309" s="29"/>
      <c r="J2309" s="152">
        <v>0</v>
      </c>
    </row>
    <row r="2310" spans="1:10" ht="15.75" hidden="1" thickBot="1" x14ac:dyDescent="0.3">
      <c r="A2310" s="176"/>
      <c r="B2310" s="174"/>
      <c r="C2310" s="31"/>
      <c r="D2310" s="31"/>
      <c r="E2310" s="32"/>
      <c r="F2310" s="42" t="s">
        <v>416</v>
      </c>
      <c r="G2310" s="33" t="str">
        <f>IF(ISNUMBER(F2310),E2310*F2310,"")</f>
        <v/>
      </c>
      <c r="H2310" s="34"/>
      <c r="I2310" s="30"/>
      <c r="J2310" s="152">
        <v>0</v>
      </c>
    </row>
    <row r="2311" spans="1:10" ht="26.25" hidden="1" thickBot="1" x14ac:dyDescent="0.3">
      <c r="A2311" s="176"/>
      <c r="B2311" s="174"/>
      <c r="C2311" s="35" t="s">
        <v>581</v>
      </c>
      <c r="D2311" s="35" t="s">
        <v>213</v>
      </c>
      <c r="E2311" s="36">
        <v>19.8</v>
      </c>
      <c r="F2311" s="30">
        <v>8.5499999999999993E-2</v>
      </c>
      <c r="G2311" s="33">
        <f>IF(ISNUMBER(F2311),E2311*F2311,"")</f>
        <v>1.6928999999999998</v>
      </c>
      <c r="H2311" s="38">
        <f>SUM(G2311:G2314)</f>
        <v>71.879944999999992</v>
      </c>
      <c r="I2311" s="39"/>
      <c r="J2311" s="152">
        <v>0</v>
      </c>
    </row>
    <row r="2312" spans="1:10" ht="15.75" hidden="1" thickBot="1" x14ac:dyDescent="0.3">
      <c r="A2312" s="176"/>
      <c r="B2312" s="174"/>
      <c r="C2312" s="35" t="s">
        <v>582</v>
      </c>
      <c r="D2312" s="35" t="s">
        <v>583</v>
      </c>
      <c r="E2312" s="36">
        <v>1.546</v>
      </c>
      <c r="F2312" s="30">
        <v>25.725999999999996</v>
      </c>
      <c r="G2312" s="33">
        <f>IF(ISNUMBER(F2312),E2312*F2312,"")</f>
        <v>39.772395999999993</v>
      </c>
      <c r="H2312" s="34"/>
      <c r="I2312" s="30"/>
      <c r="J2312" s="152">
        <v>0</v>
      </c>
    </row>
    <row r="2313" spans="1:10" ht="15.75" hidden="1" thickBot="1" x14ac:dyDescent="0.3">
      <c r="A2313" s="176"/>
      <c r="B2313" s="174"/>
      <c r="C2313" s="35" t="s">
        <v>591</v>
      </c>
      <c r="D2313" s="35" t="s">
        <v>583</v>
      </c>
      <c r="E2313" s="36">
        <v>0.221</v>
      </c>
      <c r="F2313" s="30">
        <v>27.160499999999999</v>
      </c>
      <c r="G2313" s="33">
        <f>IF(ISNUMBER(F2313),E2313*F2313,"")</f>
        <v>6.0024705000000003</v>
      </c>
      <c r="H2313" s="34"/>
      <c r="I2313" s="30"/>
      <c r="J2313" s="152">
        <v>0</v>
      </c>
    </row>
    <row r="2314" spans="1:10" ht="15.75" hidden="1" thickBot="1" x14ac:dyDescent="0.3">
      <c r="A2314" s="176"/>
      <c r="B2314" s="174"/>
      <c r="C2314" s="35" t="s">
        <v>584</v>
      </c>
      <c r="D2314" s="35" t="s">
        <v>583</v>
      </c>
      <c r="E2314" s="36">
        <v>1.2070000000000001</v>
      </c>
      <c r="F2314" s="30">
        <v>20.225499999999997</v>
      </c>
      <c r="G2314" s="33">
        <f>IF(ISNUMBER(F2314),E2314*F2314,"")</f>
        <v>24.412178499999996</v>
      </c>
      <c r="H2314" s="34"/>
      <c r="I2314" s="30"/>
      <c r="J2314" s="152">
        <v>0</v>
      </c>
    </row>
    <row r="2315" spans="1:10" ht="15.75" hidden="1" thickBot="1" x14ac:dyDescent="0.3">
      <c r="A2315" s="176"/>
      <c r="B2315" s="174"/>
      <c r="C2315" s="35"/>
      <c r="D2315" s="35"/>
      <c r="E2315" s="36"/>
      <c r="F2315" s="30" t="s">
        <v>416</v>
      </c>
      <c r="G2315" s="33" t="str">
        <f>IF(ISNUMBER(F2315),E2315*F2315,"")</f>
        <v/>
      </c>
      <c r="H2315" s="34"/>
      <c r="I2315" s="30"/>
      <c r="J2315" s="152">
        <v>0</v>
      </c>
    </row>
    <row r="2316" spans="1:10" ht="15.75" hidden="1" thickBot="1" x14ac:dyDescent="0.3">
      <c r="A2316" s="170" t="s">
        <v>592</v>
      </c>
      <c r="B2316" s="173" t="str">
        <f>INDEX(Orçamentária!A:B,MATCH(Composições!A2316,Orçamentária!A:A,0),2)</f>
        <v>Dobradiça para porta</v>
      </c>
      <c r="C2316" s="40"/>
      <c r="D2316" s="25" t="s">
        <v>16</v>
      </c>
      <c r="E2316" s="26"/>
      <c r="F2316" s="41" t="s">
        <v>416</v>
      </c>
      <c r="G2316" s="27" t="str">
        <f>IF(ISNUMBER(F2316),E2316*F2316,"")</f>
        <v/>
      </c>
      <c r="H2316" s="28"/>
      <c r="I2316" s="29"/>
      <c r="J2316" s="152">
        <v>0</v>
      </c>
    </row>
    <row r="2317" spans="1:10" ht="15.75" hidden="1" thickBot="1" x14ac:dyDescent="0.3">
      <c r="A2317" s="176"/>
      <c r="B2317" s="174"/>
      <c r="C2317" s="31"/>
      <c r="D2317" s="31"/>
      <c r="E2317" s="32"/>
      <c r="F2317" s="42" t="s">
        <v>416</v>
      </c>
      <c r="G2317" s="33" t="str">
        <f>IF(ISNUMBER(F2317),E2317*F2317,"")</f>
        <v/>
      </c>
      <c r="H2317" s="34"/>
      <c r="I2317" s="30"/>
      <c r="J2317" s="152">
        <v>0</v>
      </c>
    </row>
    <row r="2318" spans="1:10" ht="26.25" hidden="1" thickBot="1" x14ac:dyDescent="0.3">
      <c r="A2318" s="176"/>
      <c r="B2318" s="174"/>
      <c r="C2318" s="35" t="s">
        <v>580</v>
      </c>
      <c r="D2318" s="35" t="s">
        <v>213</v>
      </c>
      <c r="E2318" s="36">
        <v>1</v>
      </c>
      <c r="F2318" s="33">
        <v>30.371499999999997</v>
      </c>
      <c r="G2318" s="33">
        <f>IF(ISNUMBER(F2318),E2318*F2318,"")</f>
        <v>30.371499999999997</v>
      </c>
      <c r="H2318" s="38">
        <f>SUM(G2318:G2320)</f>
        <v>63.199794999999995</v>
      </c>
      <c r="I2318" s="39"/>
      <c r="J2318" s="152">
        <v>0</v>
      </c>
    </row>
    <row r="2319" spans="1:10" ht="15.75" hidden="1" thickBot="1" x14ac:dyDescent="0.3">
      <c r="A2319" s="176"/>
      <c r="B2319" s="174"/>
      <c r="C2319" s="35" t="s">
        <v>584</v>
      </c>
      <c r="D2319" s="35" t="s">
        <v>583</v>
      </c>
      <c r="E2319" s="36">
        <v>0.45800000000000002</v>
      </c>
      <c r="F2319" s="30">
        <v>20.225499999999997</v>
      </c>
      <c r="G2319" s="33">
        <f>IF(ISNUMBER(F2319),E2319*F2319,"")</f>
        <v>9.2632789999999989</v>
      </c>
      <c r="H2319" s="34"/>
      <c r="I2319" s="30"/>
      <c r="J2319" s="152">
        <v>0</v>
      </c>
    </row>
    <row r="2320" spans="1:10" ht="15.75" hidden="1" thickBot="1" x14ac:dyDescent="0.3">
      <c r="A2320" s="176"/>
      <c r="B2320" s="174"/>
      <c r="C2320" s="35" t="s">
        <v>582</v>
      </c>
      <c r="D2320" s="35" t="s">
        <v>583</v>
      </c>
      <c r="E2320" s="36">
        <v>0.91600000000000004</v>
      </c>
      <c r="F2320" s="30">
        <v>25.725999999999996</v>
      </c>
      <c r="G2320" s="33">
        <f>IF(ISNUMBER(F2320),E2320*F2320,"")</f>
        <v>23.565015999999996</v>
      </c>
      <c r="H2320" s="34"/>
      <c r="I2320" s="30"/>
      <c r="J2320" s="152">
        <v>0</v>
      </c>
    </row>
    <row r="2321" spans="1:10" ht="15.75" hidden="1" thickBot="1" x14ac:dyDescent="0.3">
      <c r="A2321" s="177"/>
      <c r="B2321" s="175"/>
      <c r="C2321" s="35"/>
      <c r="D2321" s="35"/>
      <c r="E2321" s="36"/>
      <c r="F2321" s="30" t="s">
        <v>416</v>
      </c>
      <c r="G2321" s="33" t="str">
        <f>IF(ISNUMBER(F2321),E2321*F2321,"")</f>
        <v/>
      </c>
      <c r="H2321" s="34"/>
      <c r="I2321" s="30"/>
      <c r="J2321" s="152">
        <v>0</v>
      </c>
    </row>
    <row r="2322" spans="1:10" ht="15.75" hidden="1" thickBot="1" x14ac:dyDescent="0.3">
      <c r="A2322" s="170" t="s">
        <v>593</v>
      </c>
      <c r="B2322" s="173" t="str">
        <f>INDEX(Orçamentária!A:B,MATCH(Composições!A2322,Orçamentária!A:A,0),2)</f>
        <v>Fechadura para banheiro maçaneta em barra</v>
      </c>
      <c r="C2322" s="40"/>
      <c r="D2322" s="25" t="s">
        <v>16</v>
      </c>
      <c r="E2322" s="26"/>
      <c r="F2322" s="41" t="s">
        <v>416</v>
      </c>
      <c r="G2322" s="27" t="str">
        <f>IF(ISNUMBER(F2322),E2322*F2322,"")</f>
        <v/>
      </c>
      <c r="H2322" s="28"/>
      <c r="I2322" s="29"/>
      <c r="J2322" s="152">
        <v>0</v>
      </c>
    </row>
    <row r="2323" spans="1:10" ht="15.75" hidden="1" thickBot="1" x14ac:dyDescent="0.3">
      <c r="A2323" s="176"/>
      <c r="B2323" s="174"/>
      <c r="C2323" s="31"/>
      <c r="D2323" s="31"/>
      <c r="E2323" s="32"/>
      <c r="F2323" s="42" t="s">
        <v>416</v>
      </c>
      <c r="G2323" s="33" t="str">
        <f>IF(ISNUMBER(F2323),E2323*F2323,"")</f>
        <v/>
      </c>
      <c r="H2323" s="34"/>
      <c r="I2323" s="30"/>
      <c r="J2323" s="152">
        <v>0</v>
      </c>
    </row>
    <row r="2324" spans="1:10" ht="39" hidden="1" thickBot="1" x14ac:dyDescent="0.3">
      <c r="A2324" s="176"/>
      <c r="B2324" s="174"/>
      <c r="C2324" s="35" t="s">
        <v>594</v>
      </c>
      <c r="D2324" s="46" t="s">
        <v>107</v>
      </c>
      <c r="E2324" s="36">
        <v>1</v>
      </c>
      <c r="F2324" s="33" t="s">
        <v>416</v>
      </c>
      <c r="G2324" s="33" t="str">
        <f>IF(ISNUMBER(F2324),E2324*F2324,"")</f>
        <v/>
      </c>
      <c r="H2324" s="38">
        <f>SUM(G2324:G2326)</f>
        <v>27.498433999999996</v>
      </c>
      <c r="I2324" s="39"/>
      <c r="J2324" s="152">
        <v>0</v>
      </c>
    </row>
    <row r="2325" spans="1:10" ht="15.75" hidden="1" thickBot="1" x14ac:dyDescent="0.3">
      <c r="A2325" s="176"/>
      <c r="B2325" s="174"/>
      <c r="C2325" s="35" t="s">
        <v>582</v>
      </c>
      <c r="D2325" s="35" t="s">
        <v>583</v>
      </c>
      <c r="E2325" s="36">
        <v>0.76700000000000002</v>
      </c>
      <c r="F2325" s="30">
        <v>25.725999999999996</v>
      </c>
      <c r="G2325" s="33">
        <f>IF(ISNUMBER(F2325),E2325*F2325,"")</f>
        <v>19.731841999999997</v>
      </c>
      <c r="H2325" s="34"/>
      <c r="I2325" s="30"/>
      <c r="J2325" s="152">
        <v>0</v>
      </c>
    </row>
    <row r="2326" spans="1:10" ht="15.75" hidden="1" thickBot="1" x14ac:dyDescent="0.3">
      <c r="A2326" s="176"/>
      <c r="B2326" s="174"/>
      <c r="C2326" s="35" t="s">
        <v>584</v>
      </c>
      <c r="D2326" s="35" t="s">
        <v>583</v>
      </c>
      <c r="E2326" s="36">
        <v>0.38400000000000001</v>
      </c>
      <c r="F2326" s="30">
        <v>20.225499999999997</v>
      </c>
      <c r="G2326" s="33">
        <f>IF(ISNUMBER(F2326),E2326*F2326,"")</f>
        <v>7.7665919999999993</v>
      </c>
      <c r="H2326" s="34"/>
      <c r="I2326" s="30"/>
      <c r="J2326" s="152">
        <v>0</v>
      </c>
    </row>
    <row r="2327" spans="1:10" ht="15.75" hidden="1" thickBot="1" x14ac:dyDescent="0.3">
      <c r="A2327" s="177"/>
      <c r="B2327" s="175"/>
      <c r="C2327" s="35"/>
      <c r="D2327" s="35"/>
      <c r="E2327" s="36"/>
      <c r="F2327" s="30" t="s">
        <v>416</v>
      </c>
      <c r="G2327" s="33" t="str">
        <f>IF(ISNUMBER(F2327),E2327*F2327,"")</f>
        <v/>
      </c>
      <c r="H2327" s="34"/>
      <c r="I2327" s="30"/>
      <c r="J2327" s="152">
        <v>0</v>
      </c>
    </row>
    <row r="2328" spans="1:10" ht="15.75" hidden="1" thickBot="1" x14ac:dyDescent="0.3">
      <c r="A2328" s="170" t="s">
        <v>595</v>
      </c>
      <c r="B2328" s="173" t="str">
        <f>INDEX(Orçamentária!A:B,MATCH(Composições!A2328,Orçamentária!A:A,0),2)</f>
        <v>Fechadura para porta externa maçaneta em barra</v>
      </c>
      <c r="C2328" s="40"/>
      <c r="D2328" s="25" t="s">
        <v>16</v>
      </c>
      <c r="E2328" s="26"/>
      <c r="F2328" s="41" t="s">
        <v>416</v>
      </c>
      <c r="G2328" s="27" t="str">
        <f>IF(ISNUMBER(F2328),E2328*F2328,"")</f>
        <v/>
      </c>
      <c r="H2328" s="28"/>
      <c r="I2328" s="29"/>
      <c r="J2328" s="152">
        <v>0</v>
      </c>
    </row>
    <row r="2329" spans="1:10" ht="15.75" hidden="1" thickBot="1" x14ac:dyDescent="0.3">
      <c r="A2329" s="176"/>
      <c r="B2329" s="174"/>
      <c r="C2329" s="31"/>
      <c r="D2329" s="31"/>
      <c r="E2329" s="32"/>
      <c r="F2329" s="42" t="s">
        <v>416</v>
      </c>
      <c r="G2329" s="33" t="str">
        <f>IF(ISNUMBER(F2329),E2329*F2329,"")</f>
        <v/>
      </c>
      <c r="H2329" s="34"/>
      <c r="I2329" s="30"/>
      <c r="J2329" s="152">
        <v>0</v>
      </c>
    </row>
    <row r="2330" spans="1:10" ht="39" hidden="1" thickBot="1" x14ac:dyDescent="0.3">
      <c r="A2330" s="176"/>
      <c r="B2330" s="174"/>
      <c r="C2330" s="35" t="s">
        <v>596</v>
      </c>
      <c r="D2330" s="46" t="s">
        <v>107</v>
      </c>
      <c r="E2330" s="36">
        <v>1</v>
      </c>
      <c r="F2330" s="33" t="s">
        <v>416</v>
      </c>
      <c r="G2330" s="33" t="str">
        <f>IF(ISNUMBER(F2330),E2330*F2330,"")</f>
        <v/>
      </c>
      <c r="H2330" s="38">
        <f>SUM(G2330:G2332)</f>
        <v>35.910427499999997</v>
      </c>
      <c r="I2330" s="39"/>
      <c r="J2330" s="152">
        <v>0</v>
      </c>
    </row>
    <row r="2331" spans="1:10" ht="15.75" hidden="1" thickBot="1" x14ac:dyDescent="0.3">
      <c r="A2331" s="176"/>
      <c r="B2331" s="174"/>
      <c r="C2331" s="35" t="s">
        <v>582</v>
      </c>
      <c r="D2331" s="35" t="s">
        <v>583</v>
      </c>
      <c r="E2331" s="36">
        <v>1.002</v>
      </c>
      <c r="F2331" s="30">
        <v>25.725999999999996</v>
      </c>
      <c r="G2331" s="33">
        <f>IF(ISNUMBER(F2331),E2331*F2331,"")</f>
        <v>25.777451999999997</v>
      </c>
      <c r="H2331" s="34"/>
      <c r="I2331" s="30"/>
      <c r="J2331" s="152">
        <v>0</v>
      </c>
    </row>
    <row r="2332" spans="1:10" ht="15.75" hidden="1" thickBot="1" x14ac:dyDescent="0.3">
      <c r="A2332" s="176"/>
      <c r="B2332" s="174"/>
      <c r="C2332" s="35" t="s">
        <v>584</v>
      </c>
      <c r="D2332" s="35" t="s">
        <v>583</v>
      </c>
      <c r="E2332" s="36">
        <v>0.501</v>
      </c>
      <c r="F2332" s="30">
        <v>20.225499999999997</v>
      </c>
      <c r="G2332" s="33">
        <f>IF(ISNUMBER(F2332),E2332*F2332,"")</f>
        <v>10.132975499999999</v>
      </c>
      <c r="H2332" s="34"/>
      <c r="I2332" s="30"/>
      <c r="J2332" s="152">
        <v>0</v>
      </c>
    </row>
    <row r="2333" spans="1:10" ht="15.75" hidden="1" thickBot="1" x14ac:dyDescent="0.3">
      <c r="A2333" s="177"/>
      <c r="B2333" s="175"/>
      <c r="C2333" s="35"/>
      <c r="D2333" s="35"/>
      <c r="E2333" s="36"/>
      <c r="F2333" s="30" t="s">
        <v>416</v>
      </c>
      <c r="G2333" s="33" t="str">
        <f>IF(ISNUMBER(F2333),E2333*F2333,"")</f>
        <v/>
      </c>
      <c r="H2333" s="34"/>
      <c r="I2333" s="30"/>
      <c r="J2333" s="152">
        <v>0</v>
      </c>
    </row>
    <row r="2334" spans="1:10" ht="15.75" hidden="1" thickBot="1" x14ac:dyDescent="0.3">
      <c r="A2334" s="170" t="s">
        <v>597</v>
      </c>
      <c r="B2334" s="173" t="str">
        <f>INDEX(Orçamentária!A:B,MATCH(Composições!A2334,Orçamentária!A:A,0),2)</f>
        <v>Fechadura para porta interna maçaneta tubular</v>
      </c>
      <c r="C2334" s="40"/>
      <c r="D2334" s="25" t="s">
        <v>16</v>
      </c>
      <c r="E2334" s="26"/>
      <c r="F2334" s="41" t="s">
        <v>416</v>
      </c>
      <c r="G2334" s="27" t="str">
        <f>IF(ISNUMBER(F2334),E2334*F2334,"")</f>
        <v/>
      </c>
      <c r="H2334" s="28"/>
      <c r="I2334" s="29"/>
      <c r="J2334" s="152">
        <v>0</v>
      </c>
    </row>
    <row r="2335" spans="1:10" ht="15.75" hidden="1" thickBot="1" x14ac:dyDescent="0.3">
      <c r="A2335" s="176"/>
      <c r="B2335" s="174"/>
      <c r="C2335" s="31"/>
      <c r="D2335" s="31"/>
      <c r="E2335" s="32"/>
      <c r="F2335" s="42" t="s">
        <v>416</v>
      </c>
      <c r="G2335" s="33" t="str">
        <f>IF(ISNUMBER(F2335),E2335*F2335,"")</f>
        <v/>
      </c>
      <c r="H2335" s="34"/>
      <c r="I2335" s="30"/>
      <c r="J2335" s="152">
        <v>0</v>
      </c>
    </row>
    <row r="2336" spans="1:10" ht="39" hidden="1" thickBot="1" x14ac:dyDescent="0.3">
      <c r="A2336" s="176"/>
      <c r="B2336" s="174"/>
      <c r="C2336" s="35" t="s">
        <v>598</v>
      </c>
      <c r="D2336" s="46" t="s">
        <v>107</v>
      </c>
      <c r="E2336" s="36">
        <v>1</v>
      </c>
      <c r="F2336" s="33" t="s">
        <v>416</v>
      </c>
      <c r="G2336" s="33" t="str">
        <f>IF(ISNUMBER(F2336),E2336*F2336,"")</f>
        <v/>
      </c>
      <c r="H2336" s="38">
        <f>SUM(G2336:G2338)</f>
        <v>35.910427499999997</v>
      </c>
      <c r="I2336" s="39"/>
      <c r="J2336" s="152">
        <v>0</v>
      </c>
    </row>
    <row r="2337" spans="1:10" ht="15.75" hidden="1" thickBot="1" x14ac:dyDescent="0.3">
      <c r="A2337" s="176"/>
      <c r="B2337" s="174"/>
      <c r="C2337" s="35" t="s">
        <v>582</v>
      </c>
      <c r="D2337" s="35" t="s">
        <v>583</v>
      </c>
      <c r="E2337" s="36">
        <v>1.002</v>
      </c>
      <c r="F2337" s="30">
        <v>25.725999999999996</v>
      </c>
      <c r="G2337" s="33">
        <f>IF(ISNUMBER(F2337),E2337*F2337,"")</f>
        <v>25.777451999999997</v>
      </c>
      <c r="H2337" s="34"/>
      <c r="I2337" s="30"/>
      <c r="J2337" s="152">
        <v>0</v>
      </c>
    </row>
    <row r="2338" spans="1:10" ht="15.75" hidden="1" thickBot="1" x14ac:dyDescent="0.3">
      <c r="A2338" s="176"/>
      <c r="B2338" s="174"/>
      <c r="C2338" s="35" t="s">
        <v>584</v>
      </c>
      <c r="D2338" s="35" t="s">
        <v>583</v>
      </c>
      <c r="E2338" s="36">
        <v>0.501</v>
      </c>
      <c r="F2338" s="30">
        <v>20.225499999999997</v>
      </c>
      <c r="G2338" s="33">
        <f>IF(ISNUMBER(F2338),E2338*F2338,"")</f>
        <v>10.132975499999999</v>
      </c>
      <c r="H2338" s="34"/>
      <c r="I2338" s="30"/>
      <c r="J2338" s="152">
        <v>0</v>
      </c>
    </row>
    <row r="2339" spans="1:10" ht="15.75" hidden="1" thickBot="1" x14ac:dyDescent="0.3">
      <c r="A2339" s="177"/>
      <c r="B2339" s="175"/>
      <c r="C2339" s="35"/>
      <c r="D2339" s="35"/>
      <c r="E2339" s="36"/>
      <c r="F2339" s="30" t="s">
        <v>416</v>
      </c>
      <c r="G2339" s="33" t="str">
        <f>IF(ISNUMBER(F2339),E2339*F2339,"")</f>
        <v/>
      </c>
      <c r="H2339" s="34"/>
      <c r="I2339" s="30"/>
      <c r="J2339" s="152">
        <v>0</v>
      </c>
    </row>
    <row r="2340" spans="1:10" ht="15.75" hidden="1" thickBot="1" x14ac:dyDescent="0.3">
      <c r="A2340" s="170" t="s">
        <v>599</v>
      </c>
      <c r="B2340" s="173" t="str">
        <f>INDEX(Orçamentária!A:B,MATCH(Composições!A2340,Orçamentária!A:A,0),2)</f>
        <v>Instalação de fechadura/puxador de porta reaproveitados</v>
      </c>
      <c r="C2340" s="40"/>
      <c r="D2340" s="25" t="s">
        <v>16</v>
      </c>
      <c r="E2340" s="26"/>
      <c r="F2340" s="41" t="s">
        <v>416</v>
      </c>
      <c r="G2340" s="27" t="str">
        <f>IF(ISNUMBER(F2340),E2340*F2340,"")</f>
        <v/>
      </c>
      <c r="H2340" s="28"/>
      <c r="I2340" s="29"/>
      <c r="J2340" s="152">
        <v>0</v>
      </c>
    </row>
    <row r="2341" spans="1:10" ht="15.75" hidden="1" thickBot="1" x14ac:dyDescent="0.3">
      <c r="A2341" s="176"/>
      <c r="B2341" s="174"/>
      <c r="C2341" s="31"/>
      <c r="D2341" s="31"/>
      <c r="E2341" s="32"/>
      <c r="F2341" s="42" t="s">
        <v>416</v>
      </c>
      <c r="G2341" s="33" t="str">
        <f>IF(ISNUMBER(F2341),E2341*F2341,"")</f>
        <v/>
      </c>
      <c r="H2341" s="34"/>
      <c r="I2341" s="30"/>
      <c r="J2341" s="152">
        <v>0</v>
      </c>
    </row>
    <row r="2342" spans="1:10" ht="15.75" hidden="1" thickBot="1" x14ac:dyDescent="0.3">
      <c r="A2342" s="176"/>
      <c r="B2342" s="174"/>
      <c r="C2342" s="35" t="s">
        <v>582</v>
      </c>
      <c r="D2342" s="35" t="s">
        <v>583</v>
      </c>
      <c r="E2342" s="36">
        <v>1.002</v>
      </c>
      <c r="F2342" s="30">
        <v>25.725999999999996</v>
      </c>
      <c r="G2342" s="33">
        <f>IF(ISNUMBER(F2342),E2342*F2342,"")</f>
        <v>25.777451999999997</v>
      </c>
      <c r="H2342" s="38">
        <f>SUM(G2342:G2343)</f>
        <v>35.910427499999997</v>
      </c>
      <c r="I2342" s="39"/>
      <c r="J2342" s="152">
        <v>0</v>
      </c>
    </row>
    <row r="2343" spans="1:10" ht="15.75" hidden="1" thickBot="1" x14ac:dyDescent="0.3">
      <c r="A2343" s="176"/>
      <c r="B2343" s="174"/>
      <c r="C2343" s="35" t="s">
        <v>584</v>
      </c>
      <c r="D2343" s="35" t="s">
        <v>583</v>
      </c>
      <c r="E2343" s="36">
        <v>0.501</v>
      </c>
      <c r="F2343" s="30">
        <v>20.225499999999997</v>
      </c>
      <c r="G2343" s="33">
        <f>IF(ISNUMBER(F2343),E2343*F2343,"")</f>
        <v>10.132975499999999</v>
      </c>
      <c r="H2343" s="34"/>
      <c r="I2343" s="30"/>
      <c r="J2343" s="152">
        <v>0</v>
      </c>
    </row>
    <row r="2344" spans="1:10" ht="15.75" hidden="1" thickBot="1" x14ac:dyDescent="0.3">
      <c r="A2344" s="177"/>
      <c r="B2344" s="175"/>
      <c r="C2344" s="35"/>
      <c r="D2344" s="35"/>
      <c r="E2344" s="36"/>
      <c r="F2344" s="30" t="s">
        <v>416</v>
      </c>
      <c r="G2344" s="33" t="str">
        <f>IF(ISNUMBER(F2344),E2344*F2344,"")</f>
        <v/>
      </c>
      <c r="H2344" s="34"/>
      <c r="I2344" s="30"/>
      <c r="J2344" s="152">
        <v>0</v>
      </c>
    </row>
    <row r="2345" spans="1:10" ht="15.75" hidden="1" thickBot="1" x14ac:dyDescent="0.3">
      <c r="A2345" s="170" t="s">
        <v>600</v>
      </c>
      <c r="B2345" s="173" t="str">
        <f>INDEX(Orçamentária!A:B,MATCH(Composições!A2345,Orçamentária!A:A,0),2)</f>
        <v>Mola hidráulica aérea</v>
      </c>
      <c r="C2345" s="40"/>
      <c r="D2345" s="25" t="s">
        <v>16</v>
      </c>
      <c r="E2345" s="26"/>
      <c r="F2345" s="41" t="s">
        <v>416</v>
      </c>
      <c r="G2345" s="27" t="str">
        <f>IF(ISNUMBER(F2345),E2345*F2345,"")</f>
        <v/>
      </c>
      <c r="H2345" s="28"/>
      <c r="I2345" s="29"/>
      <c r="J2345" s="152">
        <v>0</v>
      </c>
    </row>
    <row r="2346" spans="1:10" ht="15.75" hidden="1" thickBot="1" x14ac:dyDescent="0.3">
      <c r="A2346" s="176"/>
      <c r="B2346" s="174"/>
      <c r="C2346" s="31"/>
      <c r="D2346" s="31"/>
      <c r="E2346" s="32"/>
      <c r="F2346" s="42" t="s">
        <v>416</v>
      </c>
      <c r="G2346" s="33" t="str">
        <f>IF(ISNUMBER(F2346),E2346*F2346,"")</f>
        <v/>
      </c>
      <c r="H2346" s="34"/>
      <c r="I2346" s="30"/>
      <c r="J2346" s="152">
        <v>0</v>
      </c>
    </row>
    <row r="2347" spans="1:10" ht="15.75" hidden="1" thickBot="1" x14ac:dyDescent="0.3">
      <c r="A2347" s="176"/>
      <c r="B2347" s="174"/>
      <c r="C2347" s="35" t="s">
        <v>2905</v>
      </c>
      <c r="D2347" s="35" t="s">
        <v>583</v>
      </c>
      <c r="E2347" s="36">
        <v>1</v>
      </c>
      <c r="F2347" s="30">
        <v>25.4315</v>
      </c>
      <c r="G2347" s="33">
        <f>IF(ISNUMBER(F2347),E2347*F2347,"")</f>
        <v>25.4315</v>
      </c>
      <c r="H2347" s="38">
        <f>SUM(G2347:G2348)</f>
        <v>25.4315</v>
      </c>
      <c r="I2347" s="39"/>
      <c r="J2347" s="152">
        <v>0</v>
      </c>
    </row>
    <row r="2348" spans="1:10" ht="26.25" hidden="1" thickBot="1" x14ac:dyDescent="0.3">
      <c r="A2348" s="176"/>
      <c r="B2348" s="174"/>
      <c r="C2348" s="35" t="s">
        <v>601</v>
      </c>
      <c r="D2348" s="35" t="s">
        <v>16</v>
      </c>
      <c r="E2348" s="36">
        <v>1</v>
      </c>
      <c r="F2348" s="33" t="s">
        <v>416</v>
      </c>
      <c r="G2348" s="33" t="str">
        <f>IF(ISNUMBER(F2348),E2348*F2348,"")</f>
        <v/>
      </c>
      <c r="H2348" s="34"/>
      <c r="I2348" s="30"/>
      <c r="J2348" s="152">
        <v>0</v>
      </c>
    </row>
    <row r="2349" spans="1:10" ht="15.75" hidden="1" thickBot="1" x14ac:dyDescent="0.3">
      <c r="A2349" s="177"/>
      <c r="B2349" s="175"/>
      <c r="C2349" s="35"/>
      <c r="D2349" s="35"/>
      <c r="E2349" s="36"/>
      <c r="F2349" s="30" t="s">
        <v>416</v>
      </c>
      <c r="G2349" s="33" t="str">
        <f>IF(ISNUMBER(F2349),E2349*F2349,"")</f>
        <v/>
      </c>
      <c r="H2349" s="34"/>
      <c r="I2349" s="30"/>
      <c r="J2349" s="152">
        <v>0</v>
      </c>
    </row>
    <row r="2350" spans="1:10" ht="15.75" hidden="1" thickBot="1" x14ac:dyDescent="0.3">
      <c r="A2350" s="170" t="s">
        <v>602</v>
      </c>
      <c r="B2350" s="173" t="str">
        <f>INDEX(Orçamentária!A:B,MATCH(Composições!A2350,Orçamentária!A:A,0),2)</f>
        <v>Pivô em latão com acabamento cromado para portas pivotantes</v>
      </c>
      <c r="C2350" s="40"/>
      <c r="D2350" s="25" t="s">
        <v>16</v>
      </c>
      <c r="E2350" s="26"/>
      <c r="F2350" s="41" t="s">
        <v>416</v>
      </c>
      <c r="G2350" s="27" t="str">
        <f>IF(ISNUMBER(F2350),E2350*F2350,"")</f>
        <v/>
      </c>
      <c r="H2350" s="28"/>
      <c r="I2350" s="29"/>
      <c r="J2350" s="152">
        <v>0</v>
      </c>
    </row>
    <row r="2351" spans="1:10" ht="15.75" hidden="1" thickBot="1" x14ac:dyDescent="0.3">
      <c r="A2351" s="176"/>
      <c r="B2351" s="174"/>
      <c r="C2351" s="31"/>
      <c r="D2351" s="31"/>
      <c r="E2351" s="32"/>
      <c r="F2351" s="42" t="s">
        <v>416</v>
      </c>
      <c r="G2351" s="33" t="str">
        <f>IF(ISNUMBER(F2351),E2351*F2351,"")</f>
        <v/>
      </c>
      <c r="H2351" s="34"/>
      <c r="I2351" s="30"/>
      <c r="J2351" s="152">
        <v>0</v>
      </c>
    </row>
    <row r="2352" spans="1:10" ht="15.75" hidden="1" thickBot="1" x14ac:dyDescent="0.3">
      <c r="A2352" s="176"/>
      <c r="B2352" s="174"/>
      <c r="C2352" s="35" t="s">
        <v>2905</v>
      </c>
      <c r="D2352" s="35" t="s">
        <v>583</v>
      </c>
      <c r="E2352" s="36">
        <f>1/2</f>
        <v>0.5</v>
      </c>
      <c r="F2352" s="30">
        <v>25.4315</v>
      </c>
      <c r="G2352" s="33">
        <f>IF(ISNUMBER(F2352),E2352*F2352,"")</f>
        <v>12.71575</v>
      </c>
      <c r="H2352" s="38">
        <f>SUM(G2352:G2353)</f>
        <v>12.71575</v>
      </c>
      <c r="I2352" s="39"/>
      <c r="J2352" s="152">
        <v>0</v>
      </c>
    </row>
    <row r="2353" spans="1:10" ht="39" hidden="1" thickBot="1" x14ac:dyDescent="0.3">
      <c r="A2353" s="176"/>
      <c r="B2353" s="174"/>
      <c r="C2353" s="35" t="s">
        <v>603</v>
      </c>
      <c r="D2353" s="35" t="s">
        <v>16</v>
      </c>
      <c r="E2353" s="36">
        <v>1</v>
      </c>
      <c r="F2353" s="33" t="s">
        <v>416</v>
      </c>
      <c r="G2353" s="33" t="str">
        <f>IF(ISNUMBER(F2353),E2353*F2353,"")</f>
        <v/>
      </c>
      <c r="H2353" s="34"/>
      <c r="I2353" s="30"/>
      <c r="J2353" s="152">
        <v>0</v>
      </c>
    </row>
    <row r="2354" spans="1:10" ht="15.75" hidden="1" thickBot="1" x14ac:dyDescent="0.3">
      <c r="A2354" s="177"/>
      <c r="B2354" s="175"/>
      <c r="C2354" s="35"/>
      <c r="D2354" s="35"/>
      <c r="E2354" s="36"/>
      <c r="F2354" s="30" t="s">
        <v>416</v>
      </c>
      <c r="G2354" s="33" t="str">
        <f>IF(ISNUMBER(F2354),E2354*F2354,"")</f>
        <v/>
      </c>
      <c r="H2354" s="34"/>
      <c r="I2354" s="30"/>
      <c r="J2354" s="152">
        <v>0</v>
      </c>
    </row>
    <row r="2355" spans="1:10" ht="15.75" hidden="1" thickBot="1" x14ac:dyDescent="0.3">
      <c r="A2355" s="170" t="s">
        <v>604</v>
      </c>
      <c r="B2355" s="173" t="str">
        <f>INDEX(Orçamentária!A:B,MATCH(Composições!A2355,Orçamentária!A:A,0),2)</f>
        <v>Cabo de dados tipo UTP, tipo LSZH, categoria 6</v>
      </c>
      <c r="C2355" s="40"/>
      <c r="D2355" s="25" t="s">
        <v>69</v>
      </c>
      <c r="E2355" s="26"/>
      <c r="F2355" s="41" t="s">
        <v>416</v>
      </c>
      <c r="G2355" s="27" t="str">
        <f>IF(ISNUMBER(F2355),E2355*F2355,"")</f>
        <v/>
      </c>
      <c r="H2355" s="28"/>
      <c r="I2355" s="29"/>
      <c r="J2355" s="152">
        <v>0</v>
      </c>
    </row>
    <row r="2356" spans="1:10" ht="15.75" hidden="1" thickBot="1" x14ac:dyDescent="0.3">
      <c r="A2356" s="176"/>
      <c r="B2356" s="174"/>
      <c r="C2356" s="31"/>
      <c r="D2356" s="31"/>
      <c r="E2356" s="32"/>
      <c r="F2356" s="42" t="s">
        <v>416</v>
      </c>
      <c r="G2356" s="33" t="str">
        <f>IF(ISNUMBER(F2356),E2356*F2356,"")</f>
        <v/>
      </c>
      <c r="H2356" s="34"/>
      <c r="I2356" s="30"/>
      <c r="J2356" s="152">
        <v>0</v>
      </c>
    </row>
    <row r="2357" spans="1:10" ht="15.75" hidden="1" thickBot="1" x14ac:dyDescent="0.3">
      <c r="A2357" s="176"/>
      <c r="B2357" s="174"/>
      <c r="C2357" s="35" t="s">
        <v>1017</v>
      </c>
      <c r="D2357" s="35" t="s">
        <v>583</v>
      </c>
      <c r="E2357" s="36">
        <v>2.8E-3</v>
      </c>
      <c r="F2357" s="30">
        <v>21.584</v>
      </c>
      <c r="G2357" s="33">
        <f>IF(ISNUMBER(F2357),E2357*F2357,"")</f>
        <v>6.0435200000000001E-2</v>
      </c>
      <c r="H2357" s="38">
        <f>SUM(G2357:G2359)</f>
        <v>0.1383732</v>
      </c>
      <c r="I2357" s="39"/>
      <c r="J2357" s="152">
        <v>0</v>
      </c>
    </row>
    <row r="2358" spans="1:10" ht="15.75" hidden="1" thickBot="1" x14ac:dyDescent="0.3">
      <c r="A2358" s="176"/>
      <c r="B2358" s="174"/>
      <c r="C2358" s="35" t="s">
        <v>1018</v>
      </c>
      <c r="D2358" s="35" t="s">
        <v>583</v>
      </c>
      <c r="E2358" s="36">
        <v>2.8E-3</v>
      </c>
      <c r="F2358" s="30">
        <v>27.835000000000001</v>
      </c>
      <c r="G2358" s="33">
        <f>IF(ISNUMBER(F2358),E2358*F2358,"")</f>
        <v>7.7938000000000007E-2</v>
      </c>
      <c r="H2358" s="34"/>
      <c r="I2358" s="30"/>
      <c r="J2358" s="152">
        <v>0</v>
      </c>
    </row>
    <row r="2359" spans="1:10" ht="26.25" hidden="1" thickBot="1" x14ac:dyDescent="0.3">
      <c r="A2359" s="176"/>
      <c r="B2359" s="174"/>
      <c r="C2359" s="35" t="s">
        <v>605</v>
      </c>
      <c r="D2359" s="35" t="s">
        <v>69</v>
      </c>
      <c r="E2359" s="36">
        <v>1.05</v>
      </c>
      <c r="F2359" s="33" t="s">
        <v>416</v>
      </c>
      <c r="G2359" s="33" t="str">
        <f>IF(ISNUMBER(F2359),E2359*F2359,"")</f>
        <v/>
      </c>
      <c r="H2359" s="34"/>
      <c r="I2359" s="30"/>
      <c r="J2359" s="152">
        <v>0</v>
      </c>
    </row>
    <row r="2360" spans="1:10" ht="15.75" hidden="1" thickBot="1" x14ac:dyDescent="0.3">
      <c r="A2360" s="177"/>
      <c r="B2360" s="175"/>
      <c r="C2360" s="35"/>
      <c r="D2360" s="35"/>
      <c r="E2360" s="36"/>
      <c r="F2360" s="30" t="s">
        <v>416</v>
      </c>
      <c r="G2360" s="33" t="str">
        <f>IF(ISNUMBER(F2360),E2360*F2360,"")</f>
        <v/>
      </c>
      <c r="H2360" s="34"/>
      <c r="I2360" s="30"/>
      <c r="J2360" s="152">
        <v>0</v>
      </c>
    </row>
    <row r="2361" spans="1:10" ht="15.75" hidden="1" thickBot="1" x14ac:dyDescent="0.3">
      <c r="A2361" s="170" t="s">
        <v>606</v>
      </c>
      <c r="B2361" s="173" t="str">
        <f>INDEX(Orçamentária!A:B,MATCH(Composições!A2361,Orçamentária!A:A,0),2)</f>
        <v>Módulo (tomada) de rede RJ45, categoria 6, com conectorização e certificação</v>
      </c>
      <c r="C2361" s="40"/>
      <c r="D2361" s="25" t="s">
        <v>16</v>
      </c>
      <c r="E2361" s="26"/>
      <c r="F2361" s="41" t="s">
        <v>416</v>
      </c>
      <c r="G2361" s="27" t="str">
        <f>IF(ISNUMBER(F2361),E2361*F2361,"")</f>
        <v/>
      </c>
      <c r="H2361" s="28"/>
      <c r="I2361" s="29"/>
      <c r="J2361" s="152">
        <v>0</v>
      </c>
    </row>
    <row r="2362" spans="1:10" ht="15.75" hidden="1" thickBot="1" x14ac:dyDescent="0.3">
      <c r="A2362" s="176"/>
      <c r="B2362" s="174"/>
      <c r="C2362" s="31"/>
      <c r="D2362" s="31"/>
      <c r="E2362" s="32"/>
      <c r="F2362" s="42" t="s">
        <v>416</v>
      </c>
      <c r="G2362" s="33" t="str">
        <f>IF(ISNUMBER(F2362),E2362*F2362,"")</f>
        <v/>
      </c>
      <c r="H2362" s="34"/>
      <c r="I2362" s="30"/>
      <c r="J2362" s="152">
        <v>0</v>
      </c>
    </row>
    <row r="2363" spans="1:10" ht="26.25" hidden="1" thickBot="1" x14ac:dyDescent="0.3">
      <c r="A2363" s="176"/>
      <c r="B2363" s="174"/>
      <c r="C2363" s="35" t="s">
        <v>607</v>
      </c>
      <c r="D2363" s="35" t="s">
        <v>107</v>
      </c>
      <c r="E2363" s="36">
        <v>1</v>
      </c>
      <c r="F2363" s="33" t="s">
        <v>416</v>
      </c>
      <c r="G2363" s="33" t="str">
        <f>IF(ISNUMBER(F2363),E2363*F2363,"")</f>
        <v/>
      </c>
      <c r="H2363" s="38">
        <f>SUM(G2363:G2367)</f>
        <v>20.3803956</v>
      </c>
      <c r="I2363" s="39"/>
      <c r="J2363" s="152">
        <v>0</v>
      </c>
    </row>
    <row r="2364" spans="1:10" ht="15.75" hidden="1" thickBot="1" x14ac:dyDescent="0.3">
      <c r="A2364" s="176"/>
      <c r="B2364" s="174"/>
      <c r="C2364" s="35" t="s">
        <v>608</v>
      </c>
      <c r="D2364" s="35" t="s">
        <v>107</v>
      </c>
      <c r="E2364" s="36">
        <v>1</v>
      </c>
      <c r="F2364" s="33" t="s">
        <v>416</v>
      </c>
      <c r="G2364" s="33" t="str">
        <f>IF(ISNUMBER(F2364),E2364*F2364,"")</f>
        <v/>
      </c>
      <c r="H2364" s="34"/>
      <c r="I2364" s="30"/>
      <c r="J2364" s="152">
        <v>0</v>
      </c>
    </row>
    <row r="2365" spans="1:10" ht="15.75" hidden="1" thickBot="1" x14ac:dyDescent="0.3">
      <c r="A2365" s="176"/>
      <c r="B2365" s="174"/>
      <c r="C2365" s="35" t="s">
        <v>609</v>
      </c>
      <c r="D2365" s="35" t="s">
        <v>107</v>
      </c>
      <c r="E2365" s="36">
        <v>1</v>
      </c>
      <c r="F2365" s="33" t="s">
        <v>416</v>
      </c>
      <c r="G2365" s="33" t="str">
        <f>IF(ISNUMBER(F2365),E2365*F2365,"")</f>
        <v/>
      </c>
      <c r="H2365" s="34"/>
      <c r="I2365" s="30"/>
      <c r="J2365" s="152">
        <v>0</v>
      </c>
    </row>
    <row r="2366" spans="1:10" ht="15.75" hidden="1" thickBot="1" x14ac:dyDescent="0.3">
      <c r="A2366" s="176"/>
      <c r="B2366" s="174"/>
      <c r="C2366" s="35" t="s">
        <v>1017</v>
      </c>
      <c r="D2366" s="35" t="s">
        <v>583</v>
      </c>
      <c r="E2366" s="36">
        <f>0.2062*2</f>
        <v>0.41239999999999999</v>
      </c>
      <c r="F2366" s="30">
        <v>21.584</v>
      </c>
      <c r="G2366" s="33">
        <f>IF(ISNUMBER(F2366),E2366*F2366,"")</f>
        <v>8.9012415999999988</v>
      </c>
      <c r="H2366" s="34"/>
      <c r="I2366" s="30"/>
      <c r="J2366" s="152">
        <v>0</v>
      </c>
    </row>
    <row r="2367" spans="1:10" ht="15.75" hidden="1" thickBot="1" x14ac:dyDescent="0.3">
      <c r="A2367" s="176"/>
      <c r="B2367" s="174"/>
      <c r="C2367" s="35" t="s">
        <v>1018</v>
      </c>
      <c r="D2367" s="35" t="s">
        <v>583</v>
      </c>
      <c r="E2367" s="36">
        <f>0.2062*2</f>
        <v>0.41239999999999999</v>
      </c>
      <c r="F2367" s="30">
        <v>27.835000000000001</v>
      </c>
      <c r="G2367" s="33">
        <f>IF(ISNUMBER(F2367),E2367*F2367,"")</f>
        <v>11.479153999999999</v>
      </c>
      <c r="H2367" s="34"/>
      <c r="I2367" s="30"/>
      <c r="J2367" s="152">
        <v>0</v>
      </c>
    </row>
    <row r="2368" spans="1:10" ht="15.75" hidden="1" thickBot="1" x14ac:dyDescent="0.3">
      <c r="A2368" s="177"/>
      <c r="B2368" s="175"/>
      <c r="C2368" s="35"/>
      <c r="D2368" s="35"/>
      <c r="E2368" s="36"/>
      <c r="F2368" s="30" t="s">
        <v>416</v>
      </c>
      <c r="G2368" s="33" t="str">
        <f>IF(ISNUMBER(F2368),E2368*F2368,"")</f>
        <v/>
      </c>
      <c r="H2368" s="34"/>
      <c r="I2368" s="30"/>
      <c r="J2368" s="152">
        <v>0</v>
      </c>
    </row>
    <row r="2369" spans="1:10" ht="15.75" hidden="1" thickBot="1" x14ac:dyDescent="0.3">
      <c r="A2369" s="170" t="s">
        <v>610</v>
      </c>
      <c r="B2369" s="173" t="str">
        <f>INDEX(Orçamentária!A:B,MATCH(Composições!A2369,Orçamentária!A:A,0),2)</f>
        <v>Painel de distribuição (patch panel) de 24 portas, categoria 6</v>
      </c>
      <c r="C2369" s="40"/>
      <c r="D2369" s="25" t="s">
        <v>16</v>
      </c>
      <c r="E2369" s="26"/>
      <c r="F2369" s="41" t="s">
        <v>416</v>
      </c>
      <c r="G2369" s="27" t="str">
        <f>IF(ISNUMBER(F2369),E2369*F2369,"")</f>
        <v/>
      </c>
      <c r="H2369" s="28"/>
      <c r="I2369" s="29"/>
      <c r="J2369" s="152">
        <v>0</v>
      </c>
    </row>
    <row r="2370" spans="1:10" ht="15.75" hidden="1" thickBot="1" x14ac:dyDescent="0.3">
      <c r="A2370" s="176"/>
      <c r="B2370" s="174"/>
      <c r="C2370" s="31"/>
      <c r="D2370" s="31"/>
      <c r="E2370" s="32"/>
      <c r="F2370" s="42" t="s">
        <v>416</v>
      </c>
      <c r="G2370" s="33" t="str">
        <f>IF(ISNUMBER(F2370),E2370*F2370,"")</f>
        <v/>
      </c>
      <c r="H2370" s="34"/>
      <c r="I2370" s="30"/>
      <c r="J2370" s="152">
        <v>0</v>
      </c>
    </row>
    <row r="2371" spans="1:10" ht="15.75" hidden="1" thickBot="1" x14ac:dyDescent="0.3">
      <c r="A2371" s="176"/>
      <c r="B2371" s="174"/>
      <c r="C2371" s="35" t="s">
        <v>1017</v>
      </c>
      <c r="D2371" s="35" t="s">
        <v>583</v>
      </c>
      <c r="E2371" s="36">
        <f>6.2007</f>
        <v>6.2007000000000003</v>
      </c>
      <c r="F2371" s="30">
        <v>21.584</v>
      </c>
      <c r="G2371" s="33">
        <f>IF(ISNUMBER(F2371),E2371*F2371,"")</f>
        <v>133.8359088</v>
      </c>
      <c r="H2371" s="38">
        <f>SUM(G2371:G2374)</f>
        <v>306.4323933</v>
      </c>
      <c r="I2371" s="39"/>
      <c r="J2371" s="152">
        <v>0</v>
      </c>
    </row>
    <row r="2372" spans="1:10" ht="15.75" hidden="1" thickBot="1" x14ac:dyDescent="0.3">
      <c r="A2372" s="176"/>
      <c r="B2372" s="174"/>
      <c r="C2372" s="35" t="s">
        <v>1018</v>
      </c>
      <c r="D2372" s="35" t="s">
        <v>583</v>
      </c>
      <c r="E2372" s="36">
        <f>6.2007</f>
        <v>6.2007000000000003</v>
      </c>
      <c r="F2372" s="30">
        <v>27.835000000000001</v>
      </c>
      <c r="G2372" s="33">
        <f>IF(ISNUMBER(F2372),E2372*F2372,"")</f>
        <v>172.5964845</v>
      </c>
      <c r="H2372" s="34"/>
      <c r="I2372" s="30"/>
      <c r="J2372" s="152">
        <v>0</v>
      </c>
    </row>
    <row r="2373" spans="1:10" ht="26.25" hidden="1" thickBot="1" x14ac:dyDescent="0.3">
      <c r="A2373" s="176"/>
      <c r="B2373" s="174"/>
      <c r="C2373" s="35" t="s">
        <v>611</v>
      </c>
      <c r="D2373" s="35" t="s">
        <v>16</v>
      </c>
      <c r="E2373" s="36">
        <v>1</v>
      </c>
      <c r="F2373" s="33" t="s">
        <v>416</v>
      </c>
      <c r="G2373" s="33" t="str">
        <f>IF(ISNUMBER(F2373),E2373*F2373,"")</f>
        <v/>
      </c>
      <c r="H2373" s="34"/>
      <c r="I2373" s="30"/>
      <c r="J2373" s="152">
        <v>0</v>
      </c>
    </row>
    <row r="2374" spans="1:10" ht="15.75" hidden="1" thickBot="1" x14ac:dyDescent="0.3">
      <c r="A2374" s="176"/>
      <c r="B2374" s="174"/>
      <c r="C2374" s="35" t="s">
        <v>608</v>
      </c>
      <c r="D2374" s="35" t="s">
        <v>107</v>
      </c>
      <c r="E2374" s="36">
        <v>24</v>
      </c>
      <c r="F2374" s="33" t="s">
        <v>416</v>
      </c>
      <c r="G2374" s="33" t="str">
        <f>IF(ISNUMBER(F2374),E2374*F2374,"")</f>
        <v/>
      </c>
      <c r="H2374" s="34"/>
      <c r="I2374" s="30"/>
      <c r="J2374" s="152">
        <v>0</v>
      </c>
    </row>
    <row r="2375" spans="1:10" ht="15.75" hidden="1" thickBot="1" x14ac:dyDescent="0.3">
      <c r="A2375" s="177"/>
      <c r="B2375" s="175"/>
      <c r="C2375" s="35"/>
      <c r="D2375" s="35"/>
      <c r="E2375" s="36"/>
      <c r="F2375" s="30" t="s">
        <v>416</v>
      </c>
      <c r="G2375" s="33" t="str">
        <f>IF(ISNUMBER(F2375),E2375*F2375,"")</f>
        <v/>
      </c>
      <c r="H2375" s="34"/>
      <c r="I2375" s="30"/>
      <c r="J2375" s="152">
        <v>0</v>
      </c>
    </row>
    <row r="2376" spans="1:10" ht="15.75" hidden="1" thickBot="1" x14ac:dyDescent="0.3">
      <c r="A2376" s="170" t="s">
        <v>612</v>
      </c>
      <c r="B2376" s="173" t="str">
        <f>INDEX(Orçamentária!A:B,MATCH(Composições!A2376,Orçamentária!A:A,0),2)</f>
        <v>Cabo de telefonia tipo CCI 50x2</v>
      </c>
      <c r="C2376" s="40"/>
      <c r="D2376" s="25" t="s">
        <v>69</v>
      </c>
      <c r="E2376" s="26"/>
      <c r="F2376" s="41" t="s">
        <v>416</v>
      </c>
      <c r="G2376" s="27" t="str">
        <f>IF(ISNUMBER(F2376),E2376*F2376,"")</f>
        <v/>
      </c>
      <c r="H2376" s="28"/>
      <c r="I2376" s="29"/>
      <c r="J2376" s="152">
        <v>0</v>
      </c>
    </row>
    <row r="2377" spans="1:10" ht="15.75" hidden="1" thickBot="1" x14ac:dyDescent="0.3">
      <c r="A2377" s="171"/>
      <c r="B2377" s="174"/>
      <c r="C2377" s="31"/>
      <c r="D2377" s="31"/>
      <c r="E2377" s="32"/>
      <c r="F2377" s="42" t="s">
        <v>416</v>
      </c>
      <c r="G2377" s="33" t="str">
        <f>IF(ISNUMBER(F2377),E2377*F2377,"")</f>
        <v/>
      </c>
      <c r="H2377" s="34"/>
      <c r="I2377" s="30"/>
      <c r="J2377" s="152">
        <v>0</v>
      </c>
    </row>
    <row r="2378" spans="1:10" ht="15.75" hidden="1" thickBot="1" x14ac:dyDescent="0.3">
      <c r="A2378" s="171"/>
      <c r="B2378" s="174"/>
      <c r="C2378" s="35" t="s">
        <v>1017</v>
      </c>
      <c r="D2378" s="35" t="s">
        <v>583</v>
      </c>
      <c r="E2378" s="36">
        <v>6.4100000000000004E-2</v>
      </c>
      <c r="F2378" s="30">
        <v>21.584</v>
      </c>
      <c r="G2378" s="33">
        <f>IF(ISNUMBER(F2378),E2378*F2378,"")</f>
        <v>1.3835344000000001</v>
      </c>
      <c r="H2378" s="38">
        <f>SUM(G2378:G2380)</f>
        <v>4.4944329000000005</v>
      </c>
      <c r="I2378" s="39"/>
      <c r="J2378" s="152">
        <v>0</v>
      </c>
    </row>
    <row r="2379" spans="1:10" ht="15.75" hidden="1" thickBot="1" x14ac:dyDescent="0.3">
      <c r="A2379" s="171"/>
      <c r="B2379" s="174"/>
      <c r="C2379" s="35" t="s">
        <v>1018</v>
      </c>
      <c r="D2379" s="35" t="s">
        <v>583</v>
      </c>
      <c r="E2379" s="36">
        <v>6.4100000000000004E-2</v>
      </c>
      <c r="F2379" s="30">
        <v>27.835000000000001</v>
      </c>
      <c r="G2379" s="33">
        <f>IF(ISNUMBER(F2379),E2379*F2379,"")</f>
        <v>1.7842235000000002</v>
      </c>
      <c r="H2379" s="34"/>
      <c r="I2379" s="30"/>
      <c r="J2379" s="152">
        <v>0</v>
      </c>
    </row>
    <row r="2380" spans="1:10" ht="26.25" hidden="1" thickBot="1" x14ac:dyDescent="0.3">
      <c r="A2380" s="171"/>
      <c r="B2380" s="174"/>
      <c r="C2380" s="35" t="s">
        <v>613</v>
      </c>
      <c r="D2380" s="35" t="s">
        <v>385</v>
      </c>
      <c r="E2380" s="36">
        <v>1.05</v>
      </c>
      <c r="F2380" s="33">
        <v>1.2635000000000001</v>
      </c>
      <c r="G2380" s="33">
        <f>IF(ISNUMBER(F2380),E2380*F2380,"")</f>
        <v>1.326675</v>
      </c>
      <c r="H2380" s="34"/>
      <c r="I2380" s="30"/>
      <c r="J2380" s="152">
        <v>0</v>
      </c>
    </row>
    <row r="2381" spans="1:10" ht="15.75" hidden="1" thickBot="1" x14ac:dyDescent="0.3">
      <c r="A2381" s="172"/>
      <c r="B2381" s="175"/>
      <c r="C2381" s="35"/>
      <c r="D2381" s="35"/>
      <c r="E2381" s="36"/>
      <c r="F2381" s="33" t="s">
        <v>416</v>
      </c>
      <c r="G2381" s="33" t="str">
        <f>IF(ISNUMBER(F2381),E2381*F2381,"")</f>
        <v/>
      </c>
      <c r="H2381" s="34"/>
      <c r="I2381" s="30"/>
      <c r="J2381" s="152">
        <v>0</v>
      </c>
    </row>
    <row r="2382" spans="1:10" ht="15.75" hidden="1" thickBot="1" x14ac:dyDescent="0.3">
      <c r="A2382" s="170" t="s">
        <v>614</v>
      </c>
      <c r="B2382" s="173" t="str">
        <f>INDEX(Orçamentária!A:B,MATCH(Composições!A2382,Orçamentária!A:A,0),2)</f>
        <v>Módulo (tomada) de rede RJ45, para telefonia</v>
      </c>
      <c r="C2382" s="40"/>
      <c r="D2382" s="25" t="s">
        <v>16</v>
      </c>
      <c r="E2382" s="26"/>
      <c r="F2382" s="41" t="s">
        <v>416</v>
      </c>
      <c r="G2382" s="27" t="str">
        <f>IF(ISNUMBER(F2382),E2382*F2382,"")</f>
        <v/>
      </c>
      <c r="H2382" s="28"/>
      <c r="I2382" s="29"/>
      <c r="J2382" s="152">
        <v>0</v>
      </c>
    </row>
    <row r="2383" spans="1:10" ht="15.75" hidden="1" thickBot="1" x14ac:dyDescent="0.3">
      <c r="A2383" s="176"/>
      <c r="B2383" s="174"/>
      <c r="C2383" s="31"/>
      <c r="D2383" s="31"/>
      <c r="E2383" s="32"/>
      <c r="F2383" s="42" t="s">
        <v>416</v>
      </c>
      <c r="G2383" s="33" t="str">
        <f>IF(ISNUMBER(F2383),E2383*F2383,"")</f>
        <v/>
      </c>
      <c r="H2383" s="34"/>
      <c r="I2383" s="30"/>
      <c r="J2383" s="152">
        <v>0</v>
      </c>
    </row>
    <row r="2384" spans="1:10" ht="26.25" hidden="1" thickBot="1" x14ac:dyDescent="0.3">
      <c r="A2384" s="176"/>
      <c r="B2384" s="174"/>
      <c r="C2384" s="35" t="s">
        <v>615</v>
      </c>
      <c r="D2384" s="35" t="s">
        <v>107</v>
      </c>
      <c r="E2384" s="36">
        <v>1</v>
      </c>
      <c r="F2384" s="33" t="s">
        <v>416</v>
      </c>
      <c r="G2384" s="33" t="str">
        <f>IF(ISNUMBER(F2384),E2384*F2384,"")</f>
        <v/>
      </c>
      <c r="H2384" s="38">
        <f>SUM(G2384:G2387)</f>
        <v>45.767697799999993</v>
      </c>
      <c r="I2384" s="39"/>
      <c r="J2384" s="152">
        <v>0</v>
      </c>
    </row>
    <row r="2385" spans="1:10" ht="15.75" hidden="1" thickBot="1" x14ac:dyDescent="0.3">
      <c r="A2385" s="176"/>
      <c r="B2385" s="174"/>
      <c r="C2385" s="35" t="s">
        <v>8443</v>
      </c>
      <c r="D2385" s="35" t="s">
        <v>213</v>
      </c>
      <c r="E2385" s="36">
        <v>1</v>
      </c>
      <c r="F2385" s="33">
        <v>35.577500000000001</v>
      </c>
      <c r="G2385" s="33">
        <f>IF(ISNUMBER(F2385),E2385*F2385,"")</f>
        <v>35.577500000000001</v>
      </c>
      <c r="H2385" s="34"/>
      <c r="I2385" s="30"/>
      <c r="J2385" s="152">
        <v>0</v>
      </c>
    </row>
    <row r="2386" spans="1:10" ht="15.75" hidden="1" thickBot="1" x14ac:dyDescent="0.3">
      <c r="A2386" s="176"/>
      <c r="B2386" s="174"/>
      <c r="C2386" s="35" t="s">
        <v>1017</v>
      </c>
      <c r="D2386" s="35" t="s">
        <v>583</v>
      </c>
      <c r="E2386" s="36">
        <v>0.20619999999999999</v>
      </c>
      <c r="F2386" s="30">
        <v>21.584</v>
      </c>
      <c r="G2386" s="33">
        <f>IF(ISNUMBER(F2386),E2386*F2386,"")</f>
        <v>4.4506207999999994</v>
      </c>
      <c r="H2386" s="34"/>
      <c r="I2386" s="30"/>
      <c r="J2386" s="152">
        <v>0</v>
      </c>
    </row>
    <row r="2387" spans="1:10" ht="15.75" hidden="1" thickBot="1" x14ac:dyDescent="0.3">
      <c r="A2387" s="176"/>
      <c r="B2387" s="174"/>
      <c r="C2387" s="35" t="s">
        <v>1018</v>
      </c>
      <c r="D2387" s="35" t="s">
        <v>583</v>
      </c>
      <c r="E2387" s="36">
        <v>0.20619999999999999</v>
      </c>
      <c r="F2387" s="30">
        <v>27.835000000000001</v>
      </c>
      <c r="G2387" s="33">
        <f>IF(ISNUMBER(F2387),E2387*F2387,"")</f>
        <v>5.7395769999999997</v>
      </c>
      <c r="H2387" s="34"/>
      <c r="I2387" s="30"/>
      <c r="J2387" s="152">
        <v>0</v>
      </c>
    </row>
    <row r="2388" spans="1:10" ht="15.75" hidden="1" thickBot="1" x14ac:dyDescent="0.3">
      <c r="A2388" s="177"/>
      <c r="B2388" s="175"/>
      <c r="C2388" s="35"/>
      <c r="D2388" s="35"/>
      <c r="E2388" s="36"/>
      <c r="F2388" s="30" t="s">
        <v>416</v>
      </c>
      <c r="G2388" s="33" t="str">
        <f>IF(ISNUMBER(F2388),E2388*F2388,"")</f>
        <v/>
      </c>
      <c r="H2388" s="34"/>
      <c r="I2388" s="30"/>
      <c r="J2388" s="152">
        <v>0</v>
      </c>
    </row>
    <row r="2389" spans="1:10" ht="15.75" hidden="1" thickBot="1" x14ac:dyDescent="0.3">
      <c r="A2389" s="170" t="s">
        <v>616</v>
      </c>
      <c r="B2389" s="173" t="str">
        <f>INDEX(Orçamentária!A:B,MATCH(Composições!A2389,Orçamentária!A:A,0),2)</f>
        <v>Grelha para retorno para portas, divisórias e paredes 525 x 325 mm</v>
      </c>
      <c r="C2389" s="40"/>
      <c r="D2389" s="25" t="s">
        <v>16</v>
      </c>
      <c r="E2389" s="26"/>
      <c r="F2389" s="41" t="s">
        <v>416</v>
      </c>
      <c r="G2389" s="27" t="str">
        <f>IF(ISNUMBER(F2389),E2389*F2389,"")</f>
        <v/>
      </c>
      <c r="H2389" s="28"/>
      <c r="I2389" s="29"/>
      <c r="J2389" s="152">
        <v>0</v>
      </c>
    </row>
    <row r="2390" spans="1:10" ht="15.75" hidden="1" thickBot="1" x14ac:dyDescent="0.3">
      <c r="A2390" s="176"/>
      <c r="B2390" s="174"/>
      <c r="C2390" s="31"/>
      <c r="D2390" s="31"/>
      <c r="E2390" s="32"/>
      <c r="F2390" s="42" t="s">
        <v>416</v>
      </c>
      <c r="G2390" s="33" t="str">
        <f>IF(ISNUMBER(F2390),E2390*F2390,"")</f>
        <v/>
      </c>
      <c r="H2390" s="34"/>
      <c r="I2390" s="30"/>
      <c r="J2390" s="152">
        <v>0</v>
      </c>
    </row>
    <row r="2391" spans="1:10" ht="26.25" hidden="1" thickBot="1" x14ac:dyDescent="0.3">
      <c r="A2391" s="176"/>
      <c r="B2391" s="174"/>
      <c r="C2391" s="35" t="s">
        <v>2901</v>
      </c>
      <c r="D2391" s="35" t="s">
        <v>583</v>
      </c>
      <c r="E2391" s="36">
        <v>3.5</v>
      </c>
      <c r="F2391" s="30">
        <v>23.160999999999998</v>
      </c>
      <c r="G2391" s="33">
        <f>IF(ISNUMBER(F2391),E2391*F2391,"")</f>
        <v>81.063499999999991</v>
      </c>
      <c r="H2391" s="38">
        <f>SUM(G2391:G2393)</f>
        <v>183.20749999999998</v>
      </c>
      <c r="I2391" s="39"/>
      <c r="J2391" s="152">
        <v>0</v>
      </c>
    </row>
    <row r="2392" spans="1:10" ht="26.25" hidden="1" thickBot="1" x14ac:dyDescent="0.3">
      <c r="A2392" s="176"/>
      <c r="B2392" s="174"/>
      <c r="C2392" s="35" t="s">
        <v>462</v>
      </c>
      <c r="D2392" s="35" t="s">
        <v>583</v>
      </c>
      <c r="E2392" s="36">
        <v>3.5</v>
      </c>
      <c r="F2392" s="30">
        <v>29.183999999999997</v>
      </c>
      <c r="G2392" s="33">
        <f>IF(ISNUMBER(F2392),E2392*F2392,"")</f>
        <v>102.14399999999999</v>
      </c>
      <c r="H2392" s="34"/>
      <c r="I2392" s="30"/>
      <c r="J2392" s="152">
        <v>0</v>
      </c>
    </row>
    <row r="2393" spans="1:10" ht="26.25" hidden="1" thickBot="1" x14ac:dyDescent="0.3">
      <c r="A2393" s="176"/>
      <c r="B2393" s="174"/>
      <c r="C2393" s="35" t="s">
        <v>617</v>
      </c>
      <c r="D2393" s="35" t="s">
        <v>107</v>
      </c>
      <c r="E2393" s="36">
        <v>1</v>
      </c>
      <c r="F2393" s="33" t="s">
        <v>416</v>
      </c>
      <c r="G2393" s="33" t="str">
        <f>IF(ISNUMBER(F2393),E2393*F2393,"")</f>
        <v/>
      </c>
      <c r="H2393" s="34"/>
      <c r="I2393" s="30"/>
      <c r="J2393" s="152">
        <v>0</v>
      </c>
    </row>
    <row r="2394" spans="1:10" ht="15.75" hidden="1" thickBot="1" x14ac:dyDescent="0.3">
      <c r="A2394" s="177"/>
      <c r="B2394" s="175"/>
      <c r="C2394" s="35"/>
      <c r="D2394" s="35"/>
      <c r="E2394" s="36"/>
      <c r="F2394" s="30" t="s">
        <v>416</v>
      </c>
      <c r="G2394" s="33" t="str">
        <f>IF(ISNUMBER(F2394),E2394*F2394,"")</f>
        <v/>
      </c>
      <c r="H2394" s="34"/>
      <c r="I2394" s="30"/>
      <c r="J2394" s="152">
        <v>0</v>
      </c>
    </row>
    <row r="2395" spans="1:10" ht="15.75" hidden="1" thickBot="1" x14ac:dyDescent="0.3">
      <c r="A2395" s="170" t="s">
        <v>1636</v>
      </c>
      <c r="B2395" s="173" t="str">
        <f>INDEX(Orçamentária!A:B,MATCH(Composições!A2395,Orçamentária!A:A,0),2)</f>
        <v>Dobradiça para porta com anel</v>
      </c>
      <c r="C2395" s="40"/>
      <c r="D2395" s="25" t="s">
        <v>16</v>
      </c>
      <c r="E2395" s="26"/>
      <c r="F2395" s="41" t="s">
        <v>416</v>
      </c>
      <c r="G2395" s="27" t="str">
        <f>IF(ISNUMBER(F2395),E2395*F2395,"")</f>
        <v/>
      </c>
      <c r="H2395" s="28"/>
      <c r="I2395" s="29"/>
      <c r="J2395" s="152">
        <v>0</v>
      </c>
    </row>
    <row r="2396" spans="1:10" ht="15.75" hidden="1" thickBot="1" x14ac:dyDescent="0.3">
      <c r="A2396" s="176"/>
      <c r="B2396" s="174"/>
      <c r="C2396" s="31"/>
      <c r="D2396" s="31"/>
      <c r="E2396" s="32"/>
      <c r="F2396" s="42" t="s">
        <v>416</v>
      </c>
      <c r="G2396" s="33" t="str">
        <f>IF(ISNUMBER(F2396),E2396*F2396,"")</f>
        <v/>
      </c>
      <c r="H2396" s="34"/>
      <c r="I2396" s="30"/>
      <c r="J2396" s="152">
        <v>0</v>
      </c>
    </row>
    <row r="2397" spans="1:10" ht="26.25" hidden="1" thickBot="1" x14ac:dyDescent="0.3">
      <c r="A2397" s="176"/>
      <c r="B2397" s="174"/>
      <c r="C2397" s="35" t="s">
        <v>8525</v>
      </c>
      <c r="D2397" s="35" t="s">
        <v>213</v>
      </c>
      <c r="E2397" s="36">
        <v>1</v>
      </c>
      <c r="F2397" s="30">
        <v>26.419499999999999</v>
      </c>
      <c r="G2397" s="33">
        <f>IF(ISNUMBER(F2397),E2397*F2397,"")</f>
        <v>26.419499999999999</v>
      </c>
      <c r="H2397" s="38">
        <f>SUM(G2397:G2397)</f>
        <v>26.419499999999999</v>
      </c>
      <c r="I2397" s="39"/>
      <c r="J2397" s="152">
        <v>0</v>
      </c>
    </row>
    <row r="2398" spans="1:10" ht="15.75" hidden="1" thickBot="1" x14ac:dyDescent="0.3">
      <c r="A2398" s="177"/>
      <c r="B2398" s="175"/>
      <c r="C2398" s="35"/>
      <c r="D2398" s="35"/>
      <c r="E2398" s="36"/>
      <c r="F2398" s="30" t="s">
        <v>416</v>
      </c>
      <c r="G2398" s="33" t="str">
        <f>IF(ISNUMBER(F2398),E2398*F2398,"")</f>
        <v/>
      </c>
      <c r="H2398" s="34"/>
      <c r="I2398" s="30"/>
      <c r="J2398" s="152">
        <v>0</v>
      </c>
    </row>
    <row r="2399" spans="1:10" ht="15.75" hidden="1" thickBot="1" x14ac:dyDescent="0.3">
      <c r="A2399" s="170" t="s">
        <v>1640</v>
      </c>
      <c r="B2399" s="173" t="str">
        <f>INDEX(Orçamentária!A:B,MATCH(Composições!A2399,Orçamentária!A:A,0),2)</f>
        <v>Fechadura para porta externa maçaneta em barra (fornecimento)</v>
      </c>
      <c r="C2399" s="40"/>
      <c r="D2399" s="25" t="s">
        <v>16</v>
      </c>
      <c r="E2399" s="26"/>
      <c r="F2399" s="41" t="s">
        <v>416</v>
      </c>
      <c r="G2399" s="27" t="str">
        <f>IF(ISNUMBER(F2399),E2399*F2399,"")</f>
        <v/>
      </c>
      <c r="H2399" s="28"/>
      <c r="I2399" s="29"/>
      <c r="J2399" s="152">
        <v>0</v>
      </c>
    </row>
    <row r="2400" spans="1:10" ht="15.75" hidden="1" thickBot="1" x14ac:dyDescent="0.3">
      <c r="A2400" s="176"/>
      <c r="B2400" s="174"/>
      <c r="C2400" s="31"/>
      <c r="D2400" s="31"/>
      <c r="E2400" s="32"/>
      <c r="F2400" s="42" t="s">
        <v>416</v>
      </c>
      <c r="G2400" s="33" t="str">
        <f>IF(ISNUMBER(F2400),E2400*F2400,"")</f>
        <v/>
      </c>
      <c r="H2400" s="34"/>
      <c r="I2400" s="30"/>
      <c r="J2400" s="152">
        <v>0</v>
      </c>
    </row>
    <row r="2401" spans="1:10" ht="51.75" hidden="1" thickBot="1" x14ac:dyDescent="0.3">
      <c r="A2401" s="176"/>
      <c r="B2401" s="174"/>
      <c r="C2401" s="35" t="s">
        <v>8164</v>
      </c>
      <c r="D2401" s="35" t="s">
        <v>619</v>
      </c>
      <c r="E2401" s="36">
        <v>1</v>
      </c>
      <c r="F2401" s="30">
        <v>60.324999999999996</v>
      </c>
      <c r="G2401" s="33">
        <f>IF(ISNUMBER(F2401),E2401*F2401,"")</f>
        <v>60.324999999999996</v>
      </c>
      <c r="H2401" s="38">
        <f>SUM(G2401:G2401)</f>
        <v>60.324999999999996</v>
      </c>
      <c r="I2401" s="39"/>
      <c r="J2401" s="152">
        <v>0</v>
      </c>
    </row>
    <row r="2402" spans="1:10" ht="15.75" hidden="1" thickBot="1" x14ac:dyDescent="0.3">
      <c r="A2402" s="177"/>
      <c r="B2402" s="175"/>
      <c r="C2402" s="35"/>
      <c r="D2402" s="35"/>
      <c r="E2402" s="36"/>
      <c r="F2402" s="30" t="s">
        <v>416</v>
      </c>
      <c r="G2402" s="33" t="str">
        <f>IF(ISNUMBER(F2402),E2402*F2402,"")</f>
        <v/>
      </c>
      <c r="H2402" s="34"/>
      <c r="I2402" s="30"/>
      <c r="J2402" s="152">
        <v>0</v>
      </c>
    </row>
    <row r="2403" spans="1:10" ht="15.75" hidden="1" thickBot="1" x14ac:dyDescent="0.3">
      <c r="A2403" s="170" t="s">
        <v>618</v>
      </c>
      <c r="B2403" s="173" t="str">
        <f>INDEX(Orçamentária!A:B,MATCH(Composições!A2403,Orçamentária!A:A,0),2)</f>
        <v>Fechadura para Porta Externa com Espelho - Millenio</v>
      </c>
      <c r="C2403" s="40"/>
      <c r="D2403" s="25" t="s">
        <v>16</v>
      </c>
      <c r="E2403" s="26"/>
      <c r="F2403" s="41" t="s">
        <v>416</v>
      </c>
      <c r="G2403" s="27" t="str">
        <f>IF(ISNUMBER(F2403),E2403*F2403,"")</f>
        <v/>
      </c>
      <c r="H2403" s="28"/>
      <c r="I2403" s="29"/>
      <c r="J2403" s="152">
        <v>0</v>
      </c>
    </row>
    <row r="2404" spans="1:10" ht="15.75" hidden="1" thickBot="1" x14ac:dyDescent="0.3">
      <c r="A2404" s="176"/>
      <c r="B2404" s="174"/>
      <c r="C2404" s="31"/>
      <c r="D2404" s="31"/>
      <c r="E2404" s="32"/>
      <c r="F2404" s="42" t="s">
        <v>416</v>
      </c>
      <c r="G2404" s="33" t="str">
        <f>IF(ISNUMBER(F2404),E2404*F2404,"")</f>
        <v/>
      </c>
      <c r="H2404" s="34"/>
      <c r="I2404" s="30"/>
      <c r="J2404" s="152">
        <v>0</v>
      </c>
    </row>
    <row r="2405" spans="1:10" ht="51.75" hidden="1" thickBot="1" x14ac:dyDescent="0.3">
      <c r="A2405" s="176"/>
      <c r="B2405" s="174"/>
      <c r="C2405" s="35" t="s">
        <v>8165</v>
      </c>
      <c r="D2405" s="35" t="s">
        <v>619</v>
      </c>
      <c r="E2405" s="36">
        <v>1</v>
      </c>
      <c r="F2405" s="30">
        <v>78.403499999999994</v>
      </c>
      <c r="G2405" s="33">
        <f>IF(ISNUMBER(F2405),E2405*F2405,"")</f>
        <v>78.403499999999994</v>
      </c>
      <c r="H2405" s="38">
        <f>SUM(G2405:G2405)</f>
        <v>78.403499999999994</v>
      </c>
      <c r="I2405" s="39"/>
      <c r="J2405" s="152">
        <v>0</v>
      </c>
    </row>
    <row r="2406" spans="1:10" ht="15.75" hidden="1" thickBot="1" x14ac:dyDescent="0.3">
      <c r="A2406" s="177"/>
      <c r="B2406" s="175"/>
      <c r="C2406" s="35"/>
      <c r="D2406" s="35"/>
      <c r="E2406" s="36"/>
      <c r="F2406" s="30" t="s">
        <v>416</v>
      </c>
      <c r="G2406" s="33" t="str">
        <f>IF(ISNUMBER(F2406),E2406*F2406,"")</f>
        <v/>
      </c>
      <c r="H2406" s="34"/>
      <c r="I2406" s="30"/>
      <c r="J2406" s="152">
        <v>0</v>
      </c>
    </row>
    <row r="2407" spans="1:10" ht="15.75" hidden="1" thickBot="1" x14ac:dyDescent="0.3">
      <c r="A2407" s="170" t="s">
        <v>1643</v>
      </c>
      <c r="B2407" s="173" t="str">
        <f>INDEX(Orçamentária!A:B,MATCH(Composições!A2407,Orçamentária!A:A,0),2)</f>
        <v>Fechadura para Porta de Banheiro com Espelho - Millenio</v>
      </c>
      <c r="C2407" s="40"/>
      <c r="D2407" s="25" t="s">
        <v>16</v>
      </c>
      <c r="E2407" s="26"/>
      <c r="F2407" s="41" t="s">
        <v>416</v>
      </c>
      <c r="G2407" s="27" t="str">
        <f>IF(ISNUMBER(F2407),E2407*F2407,"")</f>
        <v/>
      </c>
      <c r="H2407" s="28"/>
      <c r="I2407" s="29"/>
      <c r="J2407" s="152">
        <v>0</v>
      </c>
    </row>
    <row r="2408" spans="1:10" ht="15.75" hidden="1" thickBot="1" x14ac:dyDescent="0.3">
      <c r="A2408" s="176"/>
      <c r="B2408" s="174"/>
      <c r="C2408" s="31"/>
      <c r="D2408" s="31"/>
      <c r="E2408" s="32"/>
      <c r="F2408" s="42" t="s">
        <v>416</v>
      </c>
      <c r="G2408" s="33" t="str">
        <f>IF(ISNUMBER(F2408),E2408*F2408,"")</f>
        <v/>
      </c>
      <c r="H2408" s="34"/>
      <c r="I2408" s="30"/>
      <c r="J2408" s="152">
        <v>0</v>
      </c>
    </row>
    <row r="2409" spans="1:10" ht="51.75" hidden="1" thickBot="1" x14ac:dyDescent="0.3">
      <c r="A2409" s="176"/>
      <c r="B2409" s="174"/>
      <c r="C2409" s="35" t="s">
        <v>8163</v>
      </c>
      <c r="D2409" s="35" t="s">
        <v>619</v>
      </c>
      <c r="E2409" s="36">
        <v>1</v>
      </c>
      <c r="F2409" s="30">
        <v>47.433499999999995</v>
      </c>
      <c r="G2409" s="33">
        <f>IF(ISNUMBER(F2409),E2409*F2409,"")</f>
        <v>47.433499999999995</v>
      </c>
      <c r="H2409" s="38">
        <f>SUM(G2409:G2409)</f>
        <v>47.433499999999995</v>
      </c>
      <c r="I2409" s="39"/>
      <c r="J2409" s="152">
        <v>0</v>
      </c>
    </row>
    <row r="2410" spans="1:10" ht="15.75" hidden="1" thickBot="1" x14ac:dyDescent="0.3">
      <c r="A2410" s="177"/>
      <c r="B2410" s="175"/>
      <c r="C2410" s="35"/>
      <c r="D2410" s="35"/>
      <c r="E2410" s="36"/>
      <c r="F2410" s="30" t="s">
        <v>416</v>
      </c>
      <c r="G2410" s="33" t="str">
        <f>IF(ISNUMBER(F2410),E2410*F2410,"")</f>
        <v/>
      </c>
      <c r="H2410" s="34"/>
      <c r="I2410" s="30"/>
      <c r="J2410" s="152">
        <v>0</v>
      </c>
    </row>
    <row r="2411" spans="1:10" ht="15.75" hidden="1" thickBot="1" x14ac:dyDescent="0.3">
      <c r="A2411" s="170" t="s">
        <v>1647</v>
      </c>
      <c r="B2411" s="173" t="str">
        <f>INDEX(Orçamentária!A:B,MATCH(Composições!A2411,Orçamentária!A:A,0),2)</f>
        <v>Tarjeta Livre / Ocupado para portas de banheiro</v>
      </c>
      <c r="C2411" s="40"/>
      <c r="D2411" s="25" t="s">
        <v>16</v>
      </c>
      <c r="E2411" s="26"/>
      <c r="F2411" s="41" t="s">
        <v>416</v>
      </c>
      <c r="G2411" s="27" t="str">
        <f>IF(ISNUMBER(F2411),E2411*F2411,"")</f>
        <v/>
      </c>
      <c r="H2411" s="28"/>
      <c r="I2411" s="29"/>
      <c r="J2411" s="152">
        <v>0</v>
      </c>
    </row>
    <row r="2412" spans="1:10" ht="15.75" hidden="1" thickBot="1" x14ac:dyDescent="0.3">
      <c r="A2412" s="176"/>
      <c r="B2412" s="174"/>
      <c r="C2412" s="31"/>
      <c r="D2412" s="31"/>
      <c r="E2412" s="32"/>
      <c r="F2412" s="42" t="s">
        <v>416</v>
      </c>
      <c r="G2412" s="33" t="str">
        <f>IF(ISNUMBER(F2412),E2412*F2412,"")</f>
        <v/>
      </c>
      <c r="H2412" s="34"/>
      <c r="I2412" s="30"/>
      <c r="J2412" s="152">
        <v>0</v>
      </c>
    </row>
    <row r="2413" spans="1:10" ht="26.25" hidden="1" thickBot="1" x14ac:dyDescent="0.3">
      <c r="A2413" s="176"/>
      <c r="B2413" s="174"/>
      <c r="C2413" s="35" t="s">
        <v>8392</v>
      </c>
      <c r="D2413" s="35" t="s">
        <v>213</v>
      </c>
      <c r="E2413" s="36">
        <v>1</v>
      </c>
      <c r="F2413" s="30">
        <v>43.282000000000004</v>
      </c>
      <c r="G2413" s="33">
        <f>IF(ISNUMBER(F2413),E2413*F2413,"")</f>
        <v>43.282000000000004</v>
      </c>
      <c r="H2413" s="38">
        <f>SUM(G2413:G2413)</f>
        <v>43.282000000000004</v>
      </c>
      <c r="I2413" s="39"/>
      <c r="J2413" s="152">
        <v>0</v>
      </c>
    </row>
    <row r="2414" spans="1:10" ht="15.75" hidden="1" thickBot="1" x14ac:dyDescent="0.3">
      <c r="A2414" s="177"/>
      <c r="B2414" s="175"/>
      <c r="C2414" s="35"/>
      <c r="D2414" s="35"/>
      <c r="E2414" s="36"/>
      <c r="F2414" s="30" t="s">
        <v>416</v>
      </c>
      <c r="G2414" s="33" t="str">
        <f>IF(ISNUMBER(F2414),E2414*F2414,"")</f>
        <v/>
      </c>
      <c r="H2414" s="34"/>
      <c r="I2414" s="30"/>
      <c r="J2414" s="152">
        <v>0</v>
      </c>
    </row>
    <row r="2415" spans="1:10" ht="15.75" hidden="1" thickBot="1" x14ac:dyDescent="0.3">
      <c r="A2415" s="170" t="s">
        <v>1653</v>
      </c>
      <c r="B2415" s="173" t="str">
        <f>INDEX(Orçamentária!A:B,MATCH(Composições!A2415,Orçamentária!A:A,0),2)</f>
        <v>Fechadura de embutir para armário e gaveta</v>
      </c>
      <c r="C2415" s="40"/>
      <c r="D2415" s="25" t="s">
        <v>16</v>
      </c>
      <c r="E2415" s="26"/>
      <c r="F2415" s="41" t="s">
        <v>416</v>
      </c>
      <c r="G2415" s="27" t="str">
        <f>IF(ISNUMBER(F2415),E2415*F2415,"")</f>
        <v/>
      </c>
      <c r="H2415" s="28"/>
      <c r="I2415" s="29"/>
      <c r="J2415" s="152">
        <v>0</v>
      </c>
    </row>
    <row r="2416" spans="1:10" ht="15.75" hidden="1" thickBot="1" x14ac:dyDescent="0.3">
      <c r="A2416" s="176"/>
      <c r="B2416" s="174"/>
      <c r="C2416" s="31"/>
      <c r="D2416" s="31"/>
      <c r="E2416" s="32"/>
      <c r="F2416" s="42" t="s">
        <v>416</v>
      </c>
      <c r="G2416" s="33" t="str">
        <f>IF(ISNUMBER(F2416),E2416*F2416,"")</f>
        <v/>
      </c>
      <c r="H2416" s="34"/>
      <c r="I2416" s="30"/>
      <c r="J2416" s="152">
        <v>0</v>
      </c>
    </row>
    <row r="2417" spans="1:10" ht="39" hidden="1" thickBot="1" x14ac:dyDescent="0.3">
      <c r="A2417" s="176"/>
      <c r="B2417" s="174"/>
      <c r="C2417" s="35" t="s">
        <v>8162</v>
      </c>
      <c r="D2417" s="35" t="s">
        <v>213</v>
      </c>
      <c r="E2417" s="36">
        <v>1</v>
      </c>
      <c r="F2417" s="30">
        <v>11.912999999999998</v>
      </c>
      <c r="G2417" s="33">
        <f>IF(ISNUMBER(F2417),E2417*F2417,"")</f>
        <v>11.912999999999998</v>
      </c>
      <c r="H2417" s="38">
        <f>SUM(G2417:G2417)</f>
        <v>11.912999999999998</v>
      </c>
      <c r="I2417" s="39"/>
      <c r="J2417" s="152">
        <v>0</v>
      </c>
    </row>
    <row r="2418" spans="1:10" ht="39" hidden="1" thickBot="1" x14ac:dyDescent="0.3">
      <c r="A2418" s="177"/>
      <c r="B2418" s="175"/>
      <c r="C2418" s="35" t="s">
        <v>3252</v>
      </c>
      <c r="D2418" s="35"/>
      <c r="E2418" s="36"/>
      <c r="F2418" s="30" t="s">
        <v>416</v>
      </c>
      <c r="G2418" s="33" t="str">
        <f>IF(ISNUMBER(F2418),E2418*F2418,"")</f>
        <v/>
      </c>
      <c r="H2418" s="34"/>
      <c r="I2418" s="30"/>
      <c r="J2418" s="152">
        <v>0</v>
      </c>
    </row>
    <row r="2419" spans="1:10" ht="15.75" hidden="1" thickBot="1" x14ac:dyDescent="0.3">
      <c r="A2419" s="170" t="s">
        <v>1655</v>
      </c>
      <c r="B2419" s="173" t="str">
        <f>INDEX(Orçamentária!A:B,MATCH(Composições!A2419,Orçamentária!A:A,0),2)</f>
        <v>Fechadura de embutir para móveis – Fechamento Superior - Referência 861</v>
      </c>
      <c r="C2419" s="40"/>
      <c r="D2419" s="25" t="s">
        <v>16</v>
      </c>
      <c r="E2419" s="26"/>
      <c r="F2419" s="41" t="s">
        <v>416</v>
      </c>
      <c r="G2419" s="27" t="str">
        <f>IF(ISNUMBER(F2419),E2419*F2419,"")</f>
        <v/>
      </c>
      <c r="H2419" s="28"/>
      <c r="I2419" s="29"/>
      <c r="J2419" s="152">
        <v>0</v>
      </c>
    </row>
    <row r="2420" spans="1:10" ht="15.75" hidden="1" thickBot="1" x14ac:dyDescent="0.3">
      <c r="A2420" s="176"/>
      <c r="B2420" s="174"/>
      <c r="C2420" s="31"/>
      <c r="D2420" s="31"/>
      <c r="E2420" s="32"/>
      <c r="F2420" s="42" t="s">
        <v>416</v>
      </c>
      <c r="G2420" s="33" t="str">
        <f>IF(ISNUMBER(F2420),E2420*F2420,"")</f>
        <v/>
      </c>
      <c r="H2420" s="34"/>
      <c r="I2420" s="30"/>
      <c r="J2420" s="152">
        <v>0</v>
      </c>
    </row>
    <row r="2421" spans="1:10" ht="51.75" hidden="1" thickBot="1" x14ac:dyDescent="0.3">
      <c r="A2421" s="176"/>
      <c r="B2421" s="174"/>
      <c r="C2421" s="35" t="s">
        <v>8161</v>
      </c>
      <c r="D2421" s="35" t="s">
        <v>213</v>
      </c>
      <c r="E2421" s="36">
        <v>1</v>
      </c>
      <c r="F2421" s="30">
        <v>11.912999999999998</v>
      </c>
      <c r="G2421" s="33">
        <f>IF(ISNUMBER(F2421),E2421*F2421,"")</f>
        <v>11.912999999999998</v>
      </c>
      <c r="H2421" s="38">
        <f>SUM(G2421:G2421)</f>
        <v>11.912999999999998</v>
      </c>
      <c r="I2421" s="39"/>
      <c r="J2421" s="152">
        <v>0</v>
      </c>
    </row>
    <row r="2422" spans="1:10" ht="15.75" hidden="1" thickBot="1" x14ac:dyDescent="0.3">
      <c r="A2422" s="177"/>
      <c r="B2422" s="175"/>
      <c r="C2422" s="35"/>
      <c r="D2422" s="35"/>
      <c r="E2422" s="36"/>
      <c r="F2422" s="30" t="s">
        <v>416</v>
      </c>
      <c r="G2422" s="33" t="str">
        <f>IF(ISNUMBER(F2422),E2422*F2422,"")</f>
        <v/>
      </c>
      <c r="H2422" s="34"/>
      <c r="I2422" s="30"/>
      <c r="J2422" s="152">
        <v>0</v>
      </c>
    </row>
    <row r="2423" spans="1:10" ht="15.75" hidden="1" thickBot="1" x14ac:dyDescent="0.3">
      <c r="A2423" s="170" t="s">
        <v>1657</v>
      </c>
      <c r="B2423" s="173" t="str">
        <f>INDEX(Orçamentária!A:B,MATCH(Composições!A2423,Orçamentária!A:A,0),2)</f>
        <v>Fechadura de embutir para móveis – Fechamento lateral - Referência 871</v>
      </c>
      <c r="C2423" s="40"/>
      <c r="D2423" s="25" t="s">
        <v>16</v>
      </c>
      <c r="E2423" s="26"/>
      <c r="F2423" s="41" t="s">
        <v>416</v>
      </c>
      <c r="G2423" s="27" t="str">
        <f>IF(ISNUMBER(F2423),E2423*F2423,"")</f>
        <v/>
      </c>
      <c r="H2423" s="28"/>
      <c r="I2423" s="29"/>
      <c r="J2423" s="152">
        <v>0</v>
      </c>
    </row>
    <row r="2424" spans="1:10" ht="15.75" hidden="1" thickBot="1" x14ac:dyDescent="0.3">
      <c r="A2424" s="176"/>
      <c r="B2424" s="174"/>
      <c r="C2424" s="31"/>
      <c r="D2424" s="31"/>
      <c r="E2424" s="32"/>
      <c r="F2424" s="42" t="s">
        <v>416</v>
      </c>
      <c r="G2424" s="33" t="str">
        <f>IF(ISNUMBER(F2424),E2424*F2424,"")</f>
        <v/>
      </c>
      <c r="H2424" s="34"/>
      <c r="I2424" s="30"/>
      <c r="J2424" s="152">
        <v>0</v>
      </c>
    </row>
    <row r="2425" spans="1:10" ht="51.75" hidden="1" thickBot="1" x14ac:dyDescent="0.3">
      <c r="A2425" s="176"/>
      <c r="B2425" s="174"/>
      <c r="C2425" s="35" t="s">
        <v>8161</v>
      </c>
      <c r="D2425" s="35" t="s">
        <v>213</v>
      </c>
      <c r="E2425" s="36">
        <v>1</v>
      </c>
      <c r="F2425" s="30">
        <v>11.912999999999998</v>
      </c>
      <c r="G2425" s="33">
        <f>IF(ISNUMBER(F2425),E2425*F2425,"")</f>
        <v>11.912999999999998</v>
      </c>
      <c r="H2425" s="38">
        <f>SUM(G2425:G2425)</f>
        <v>11.912999999999998</v>
      </c>
      <c r="I2425" s="39"/>
      <c r="J2425" s="152">
        <v>0</v>
      </c>
    </row>
    <row r="2426" spans="1:10" ht="15.75" hidden="1" thickBot="1" x14ac:dyDescent="0.3">
      <c r="A2426" s="177"/>
      <c r="B2426" s="175"/>
      <c r="C2426" s="35"/>
      <c r="D2426" s="35"/>
      <c r="E2426" s="36"/>
      <c r="F2426" s="30" t="s">
        <v>416</v>
      </c>
      <c r="G2426" s="33" t="str">
        <f>IF(ISNUMBER(F2426),E2426*F2426,"")</f>
        <v/>
      </c>
      <c r="H2426" s="34"/>
      <c r="I2426" s="30"/>
      <c r="J2426" s="152">
        <v>0</v>
      </c>
    </row>
    <row r="2427" spans="1:10" ht="15.75" hidden="1" thickBot="1" x14ac:dyDescent="0.3">
      <c r="A2427" s="170" t="s">
        <v>1710</v>
      </c>
      <c r="B2427" s="173" t="str">
        <f>INDEX(Orçamentária!A:B,MATCH(Composições!A2427,Orçamentária!A:A,0),2)</f>
        <v>Puxador alça 102 mm</v>
      </c>
      <c r="C2427" s="40"/>
      <c r="D2427" s="25" t="s">
        <v>16</v>
      </c>
      <c r="E2427" s="26"/>
      <c r="F2427" s="41" t="s">
        <v>416</v>
      </c>
      <c r="G2427" s="27" t="str">
        <f>IF(ISNUMBER(F2427),E2427*F2427,"")</f>
        <v/>
      </c>
      <c r="H2427" s="28"/>
      <c r="I2427" s="29"/>
      <c r="J2427" s="152">
        <v>0</v>
      </c>
    </row>
    <row r="2428" spans="1:10" ht="15.75" hidden="1" thickBot="1" x14ac:dyDescent="0.3">
      <c r="A2428" s="176"/>
      <c r="B2428" s="174"/>
      <c r="C2428" s="31"/>
      <c r="D2428" s="31"/>
      <c r="E2428" s="32"/>
      <c r="F2428" s="42" t="s">
        <v>416</v>
      </c>
      <c r="G2428" s="33" t="str">
        <f>IF(ISNUMBER(F2428),E2428*F2428,"")</f>
        <v/>
      </c>
      <c r="H2428" s="34"/>
      <c r="I2428" s="30"/>
      <c r="J2428" s="152">
        <v>0</v>
      </c>
    </row>
    <row r="2429" spans="1:10" ht="39" hidden="1" thickBot="1" x14ac:dyDescent="0.3">
      <c r="A2429" s="176"/>
      <c r="B2429" s="174"/>
      <c r="C2429" s="35" t="s">
        <v>8344</v>
      </c>
      <c r="D2429" s="35" t="s">
        <v>213</v>
      </c>
      <c r="E2429" s="36">
        <v>1</v>
      </c>
      <c r="F2429" s="30">
        <v>19.170999999999999</v>
      </c>
      <c r="G2429" s="33">
        <f>IF(ISNUMBER(F2429),E2429*F2429,"")</f>
        <v>19.170999999999999</v>
      </c>
      <c r="H2429" s="38">
        <f>SUM(G2429:G2429)</f>
        <v>19.170999999999999</v>
      </c>
      <c r="I2429" s="39"/>
      <c r="J2429" s="152">
        <v>0</v>
      </c>
    </row>
    <row r="2430" spans="1:10" ht="15.75" hidden="1" thickBot="1" x14ac:dyDescent="0.3">
      <c r="A2430" s="177"/>
      <c r="B2430" s="175"/>
      <c r="C2430" s="35"/>
      <c r="D2430" s="35"/>
      <c r="E2430" s="36"/>
      <c r="F2430" s="30" t="s">
        <v>416</v>
      </c>
      <c r="G2430" s="33" t="str">
        <f>IF(ISNUMBER(F2430),E2430*F2430,"")</f>
        <v/>
      </c>
      <c r="H2430" s="34"/>
      <c r="I2430" s="30"/>
      <c r="J2430" s="152">
        <v>0</v>
      </c>
    </row>
    <row r="2431" spans="1:10" ht="15.75" hidden="1" thickBot="1" x14ac:dyDescent="0.3">
      <c r="A2431" s="170" t="s">
        <v>620</v>
      </c>
      <c r="B2431" s="173" t="str">
        <f>INDEX(Orçamentária!A:B,MATCH(Composições!A2431,Orçamentária!A:A,0),2)</f>
        <v>Espuma Expansiva à base de poliuretano</v>
      </c>
      <c r="C2431" s="40"/>
      <c r="D2431" s="25" t="s">
        <v>1755</v>
      </c>
      <c r="E2431" s="26"/>
      <c r="F2431" s="41" t="s">
        <v>416</v>
      </c>
      <c r="G2431" s="27" t="str">
        <f>IF(ISNUMBER(F2431),E2431*F2431,"")</f>
        <v/>
      </c>
      <c r="H2431" s="28"/>
      <c r="I2431" s="29"/>
      <c r="J2431" s="152">
        <v>0</v>
      </c>
    </row>
    <row r="2432" spans="1:10" ht="15.75" hidden="1" thickBot="1" x14ac:dyDescent="0.3">
      <c r="A2432" s="176"/>
      <c r="B2432" s="174"/>
      <c r="C2432" s="31"/>
      <c r="D2432" s="31"/>
      <c r="E2432" s="32"/>
      <c r="F2432" s="42" t="s">
        <v>416</v>
      </c>
      <c r="G2432" s="33" t="str">
        <f>IF(ISNUMBER(F2432),E2432*F2432,"")</f>
        <v/>
      </c>
      <c r="H2432" s="34"/>
      <c r="I2432" s="30"/>
      <c r="J2432" s="152">
        <v>0</v>
      </c>
    </row>
    <row r="2433" spans="1:10" ht="26.25" hidden="1" thickBot="1" x14ac:dyDescent="0.3">
      <c r="A2433" s="176"/>
      <c r="B2433" s="174"/>
      <c r="C2433" s="35" t="s">
        <v>621</v>
      </c>
      <c r="D2433" s="35" t="s">
        <v>213</v>
      </c>
      <c r="E2433" s="36">
        <v>1</v>
      </c>
      <c r="F2433" s="30">
        <v>30.4</v>
      </c>
      <c r="G2433" s="33">
        <f>IF(ISNUMBER(F2433),E2433*F2433,"")</f>
        <v>30.4</v>
      </c>
      <c r="H2433" s="38">
        <f>SUM(G2433:G2433)</f>
        <v>30.4</v>
      </c>
      <c r="I2433" s="39"/>
      <c r="J2433" s="152">
        <v>0</v>
      </c>
    </row>
    <row r="2434" spans="1:10" ht="15.75" hidden="1" thickBot="1" x14ac:dyDescent="0.3">
      <c r="A2434" s="177"/>
      <c r="B2434" s="175"/>
      <c r="C2434" s="35"/>
      <c r="D2434" s="35"/>
      <c r="E2434" s="36"/>
      <c r="F2434" s="30" t="s">
        <v>416</v>
      </c>
      <c r="G2434" s="33" t="str">
        <f>IF(ISNUMBER(F2434),E2434*F2434,"")</f>
        <v/>
      </c>
      <c r="H2434" s="34"/>
      <c r="I2434" s="30"/>
      <c r="J2434" s="152">
        <v>0</v>
      </c>
    </row>
    <row r="2435" spans="1:10" ht="15.75" hidden="1" thickBot="1" x14ac:dyDescent="0.3">
      <c r="A2435" s="170" t="s">
        <v>1756</v>
      </c>
      <c r="B2435" s="173" t="str">
        <f>INDEX(Orçamentária!A:B,MATCH(Composições!A2435,Orçamentária!A:A,0),2)</f>
        <v>Adesivo de Contato à Base d’água</v>
      </c>
      <c r="C2435" s="40"/>
      <c r="D2435" s="25" t="s">
        <v>28</v>
      </c>
      <c r="E2435" s="26"/>
      <c r="F2435" s="41" t="s">
        <v>416</v>
      </c>
      <c r="G2435" s="27" t="str">
        <f>IF(ISNUMBER(F2435),E2435*F2435,"")</f>
        <v/>
      </c>
      <c r="H2435" s="28"/>
      <c r="I2435" s="29"/>
      <c r="J2435" s="152">
        <v>0</v>
      </c>
    </row>
    <row r="2436" spans="1:10" ht="15.75" hidden="1" thickBot="1" x14ac:dyDescent="0.3">
      <c r="A2436" s="176"/>
      <c r="B2436" s="174"/>
      <c r="C2436" s="31"/>
      <c r="D2436" s="31"/>
      <c r="E2436" s="32"/>
      <c r="F2436" s="42" t="s">
        <v>416</v>
      </c>
      <c r="G2436" s="33" t="str">
        <f>IF(ISNUMBER(F2436),E2436*F2436,"")</f>
        <v/>
      </c>
      <c r="H2436" s="34"/>
      <c r="I2436" s="30"/>
      <c r="J2436" s="152">
        <v>0</v>
      </c>
    </row>
    <row r="2437" spans="1:10" ht="15.75" hidden="1" thickBot="1" x14ac:dyDescent="0.3">
      <c r="A2437" s="176"/>
      <c r="B2437" s="174"/>
      <c r="C2437" s="35" t="s">
        <v>7974</v>
      </c>
      <c r="D2437" s="35" t="s">
        <v>773</v>
      </c>
      <c r="E2437" s="36">
        <v>1</v>
      </c>
      <c r="F2437" s="30">
        <v>47.271999999999998</v>
      </c>
      <c r="G2437" s="33">
        <f>IF(ISNUMBER(F2437),E2437*F2437,"")</f>
        <v>47.271999999999998</v>
      </c>
      <c r="H2437" s="38">
        <f>SUM(G2437:G2437)</f>
        <v>47.271999999999998</v>
      </c>
      <c r="I2437" s="39"/>
      <c r="J2437" s="152">
        <v>0</v>
      </c>
    </row>
    <row r="2438" spans="1:10" ht="15.75" hidden="1" thickBot="1" x14ac:dyDescent="0.3">
      <c r="A2438" s="177"/>
      <c r="B2438" s="175"/>
      <c r="C2438" s="35"/>
      <c r="D2438" s="35"/>
      <c r="E2438" s="36"/>
      <c r="F2438" s="30" t="s">
        <v>416</v>
      </c>
      <c r="G2438" s="33" t="str">
        <f>IF(ISNUMBER(F2438),E2438*F2438,"")</f>
        <v/>
      </c>
      <c r="H2438" s="34"/>
      <c r="I2438" s="30"/>
      <c r="J2438" s="152">
        <v>0</v>
      </c>
    </row>
    <row r="2439" spans="1:10" ht="15.75" hidden="1" thickBot="1" x14ac:dyDescent="0.3">
      <c r="A2439" s="170" t="s">
        <v>1760</v>
      </c>
      <c r="B2439" s="173" t="str">
        <f>INDEX(Orçamentária!A:B,MATCH(Composições!A2439,Orçamentária!A:A,0),2)</f>
        <v>Laminado fenólico melamínico texturizado - Azul Noturno</v>
      </c>
      <c r="C2439" s="40"/>
      <c r="D2439" s="25" t="s">
        <v>70</v>
      </c>
      <c r="E2439" s="26"/>
      <c r="F2439" s="41" t="s">
        <v>416</v>
      </c>
      <c r="G2439" s="27" t="str">
        <f>IF(ISNUMBER(F2439),E2439*F2439,"")</f>
        <v/>
      </c>
      <c r="H2439" s="28"/>
      <c r="I2439" s="29"/>
      <c r="J2439" s="152">
        <v>0</v>
      </c>
    </row>
    <row r="2440" spans="1:10" ht="15.75" hidden="1" thickBot="1" x14ac:dyDescent="0.3">
      <c r="A2440" s="176"/>
      <c r="B2440" s="174"/>
      <c r="C2440" s="31"/>
      <c r="D2440" s="31"/>
      <c r="E2440" s="32"/>
      <c r="F2440" s="42" t="s">
        <v>416</v>
      </c>
      <c r="G2440" s="33" t="str">
        <f>IF(ISNUMBER(F2440),E2440*F2440,"")</f>
        <v/>
      </c>
      <c r="H2440" s="34"/>
      <c r="I2440" s="30"/>
      <c r="J2440" s="152">
        <v>0</v>
      </c>
    </row>
    <row r="2441" spans="1:10" ht="26.25" hidden="1" thickBot="1" x14ac:dyDescent="0.3">
      <c r="A2441" s="176"/>
      <c r="B2441" s="174"/>
      <c r="C2441" s="35" t="s">
        <v>2926</v>
      </c>
      <c r="D2441" s="35" t="s">
        <v>861</v>
      </c>
      <c r="E2441" s="36">
        <v>1</v>
      </c>
      <c r="F2441" s="30">
        <v>56.667499999999997</v>
      </c>
      <c r="G2441" s="33">
        <f>IF(ISNUMBER(F2441),E2441*F2441,"")</f>
        <v>56.667499999999997</v>
      </c>
      <c r="H2441" s="38">
        <f>SUM(G2441:G2441)</f>
        <v>56.667499999999997</v>
      </c>
      <c r="I2441" s="39"/>
      <c r="J2441" s="152">
        <v>0</v>
      </c>
    </row>
    <row r="2442" spans="1:10" ht="15.75" hidden="1" thickBot="1" x14ac:dyDescent="0.3">
      <c r="A2442" s="177"/>
      <c r="B2442" s="175"/>
      <c r="C2442" s="35"/>
      <c r="D2442" s="35"/>
      <c r="E2442" s="36"/>
      <c r="F2442" s="30" t="s">
        <v>416</v>
      </c>
      <c r="G2442" s="33" t="str">
        <f>IF(ISNUMBER(F2442),E2442*F2442,"")</f>
        <v/>
      </c>
      <c r="H2442" s="34"/>
      <c r="I2442" s="30"/>
      <c r="J2442" s="152">
        <v>0</v>
      </c>
    </row>
    <row r="2443" spans="1:10" ht="15.75" hidden="1" thickBot="1" x14ac:dyDescent="0.3">
      <c r="A2443" s="170" t="s">
        <v>1762</v>
      </c>
      <c r="B2443" s="173" t="str">
        <f>INDEX(Orçamentária!A:B,MATCH(Composições!A2443,Orçamentária!A:A,0),2)</f>
        <v>Laminado fenólico melamínico texturizado - Branco</v>
      </c>
      <c r="C2443" s="40"/>
      <c r="D2443" s="25" t="s">
        <v>70</v>
      </c>
      <c r="E2443" s="26"/>
      <c r="F2443" s="41" t="s">
        <v>416</v>
      </c>
      <c r="G2443" s="27" t="str">
        <f>IF(ISNUMBER(F2443),E2443*F2443,"")</f>
        <v/>
      </c>
      <c r="H2443" s="28"/>
      <c r="I2443" s="29"/>
      <c r="J2443" s="152">
        <v>0</v>
      </c>
    </row>
    <row r="2444" spans="1:10" ht="15.75" hidden="1" thickBot="1" x14ac:dyDescent="0.3">
      <c r="A2444" s="176"/>
      <c r="B2444" s="174"/>
      <c r="C2444" s="31"/>
      <c r="D2444" s="31"/>
      <c r="E2444" s="32"/>
      <c r="F2444" s="42" t="s">
        <v>416</v>
      </c>
      <c r="G2444" s="33" t="str">
        <f>IF(ISNUMBER(F2444),E2444*F2444,"")</f>
        <v/>
      </c>
      <c r="H2444" s="34"/>
      <c r="I2444" s="30"/>
      <c r="J2444" s="152">
        <v>0</v>
      </c>
    </row>
    <row r="2445" spans="1:10" ht="26.25" hidden="1" thickBot="1" x14ac:dyDescent="0.3">
      <c r="A2445" s="176"/>
      <c r="B2445" s="174"/>
      <c r="C2445" s="35" t="s">
        <v>2926</v>
      </c>
      <c r="D2445" s="35" t="s">
        <v>861</v>
      </c>
      <c r="E2445" s="36">
        <v>1</v>
      </c>
      <c r="F2445" s="30">
        <v>56.667499999999997</v>
      </c>
      <c r="G2445" s="33">
        <f>IF(ISNUMBER(F2445),E2445*F2445,"")</f>
        <v>56.667499999999997</v>
      </c>
      <c r="H2445" s="38">
        <f>SUM(G2445:G2445)</f>
        <v>56.667499999999997</v>
      </c>
      <c r="I2445" s="39"/>
      <c r="J2445" s="152">
        <v>0</v>
      </c>
    </row>
    <row r="2446" spans="1:10" ht="15.75" hidden="1" thickBot="1" x14ac:dyDescent="0.3">
      <c r="A2446" s="177"/>
      <c r="B2446" s="175"/>
      <c r="C2446" s="35"/>
      <c r="D2446" s="35"/>
      <c r="E2446" s="36"/>
      <c r="F2446" s="30" t="s">
        <v>416</v>
      </c>
      <c r="G2446" s="33" t="str">
        <f>IF(ISNUMBER(F2446),E2446*F2446,"")</f>
        <v/>
      </c>
      <c r="H2446" s="34"/>
      <c r="I2446" s="30"/>
      <c r="J2446" s="152">
        <v>0</v>
      </c>
    </row>
    <row r="2447" spans="1:10" ht="15.75" hidden="1" thickBot="1" x14ac:dyDescent="0.3">
      <c r="A2447" s="170" t="s">
        <v>1764</v>
      </c>
      <c r="B2447" s="173" t="str">
        <f>INDEX(Orçamentária!A:B,MATCH(Composições!A2447,Orçamentária!A:A,0),2)</f>
        <v>Laminado fenólico melamínico texturizado - Ovo</v>
      </c>
      <c r="C2447" s="40"/>
      <c r="D2447" s="25" t="s">
        <v>70</v>
      </c>
      <c r="E2447" s="26"/>
      <c r="F2447" s="41" t="s">
        <v>416</v>
      </c>
      <c r="G2447" s="27" t="str">
        <f>IF(ISNUMBER(F2447),E2447*F2447,"")</f>
        <v/>
      </c>
      <c r="H2447" s="28"/>
      <c r="I2447" s="29"/>
      <c r="J2447" s="152">
        <v>0</v>
      </c>
    </row>
    <row r="2448" spans="1:10" ht="15.75" hidden="1" thickBot="1" x14ac:dyDescent="0.3">
      <c r="A2448" s="176"/>
      <c r="B2448" s="174"/>
      <c r="C2448" s="31"/>
      <c r="D2448" s="31"/>
      <c r="E2448" s="32"/>
      <c r="F2448" s="42" t="s">
        <v>416</v>
      </c>
      <c r="G2448" s="33" t="str">
        <f>IF(ISNUMBER(F2448),E2448*F2448,"")</f>
        <v/>
      </c>
      <c r="H2448" s="34"/>
      <c r="I2448" s="30"/>
      <c r="J2448" s="152">
        <v>0</v>
      </c>
    </row>
    <row r="2449" spans="1:10" ht="26.25" hidden="1" thickBot="1" x14ac:dyDescent="0.3">
      <c r="A2449" s="176"/>
      <c r="B2449" s="174"/>
      <c r="C2449" s="35" t="s">
        <v>2926</v>
      </c>
      <c r="D2449" s="35" t="s">
        <v>861</v>
      </c>
      <c r="E2449" s="36">
        <v>1</v>
      </c>
      <c r="F2449" s="30">
        <v>56.667499999999997</v>
      </c>
      <c r="G2449" s="33">
        <f>IF(ISNUMBER(F2449),E2449*F2449,"")</f>
        <v>56.667499999999997</v>
      </c>
      <c r="H2449" s="38">
        <f>SUM(G2449:G2449)</f>
        <v>56.667499999999997</v>
      </c>
      <c r="I2449" s="39"/>
      <c r="J2449" s="152">
        <v>0</v>
      </c>
    </row>
    <row r="2450" spans="1:10" ht="15.75" hidden="1" thickBot="1" x14ac:dyDescent="0.3">
      <c r="A2450" s="177"/>
      <c r="B2450" s="175"/>
      <c r="C2450" s="35"/>
      <c r="D2450" s="35"/>
      <c r="E2450" s="36"/>
      <c r="F2450" s="30" t="s">
        <v>416</v>
      </c>
      <c r="G2450" s="33" t="str">
        <f>IF(ISNUMBER(F2450),E2450*F2450,"")</f>
        <v/>
      </c>
      <c r="H2450" s="34"/>
      <c r="I2450" s="30"/>
      <c r="J2450" s="152">
        <v>0</v>
      </c>
    </row>
    <row r="2451" spans="1:10" ht="15.75" hidden="1" thickBot="1" x14ac:dyDescent="0.3">
      <c r="A2451" s="170" t="s">
        <v>1796</v>
      </c>
      <c r="B2451" s="173" t="str">
        <f>INDEX(Orçamentária!A:B,MATCH(Composições!A2451,Orçamentária!A:A,0),2)</f>
        <v>Tábua de Madeira bruta aparelhada - Pinus</v>
      </c>
      <c r="C2451" s="40"/>
      <c r="D2451" s="25" t="s">
        <v>80</v>
      </c>
      <c r="E2451" s="26"/>
      <c r="F2451" s="41" t="s">
        <v>416</v>
      </c>
      <c r="G2451" s="27" t="str">
        <f>IF(ISNUMBER(F2451),E2451*F2451,"")</f>
        <v/>
      </c>
      <c r="H2451" s="28"/>
      <c r="I2451" s="29"/>
      <c r="J2451" s="152">
        <v>0</v>
      </c>
    </row>
    <row r="2452" spans="1:10" ht="15.75" hidden="1" thickBot="1" x14ac:dyDescent="0.3">
      <c r="A2452" s="176"/>
      <c r="B2452" s="174"/>
      <c r="C2452" s="31"/>
      <c r="D2452" s="31"/>
      <c r="E2452" s="32"/>
      <c r="F2452" s="42" t="s">
        <v>416</v>
      </c>
      <c r="G2452" s="33" t="str">
        <f>IF(ISNUMBER(F2452),E2452*F2452,"")</f>
        <v/>
      </c>
      <c r="H2452" s="34"/>
      <c r="I2452" s="30"/>
      <c r="J2452" s="152">
        <v>0</v>
      </c>
    </row>
    <row r="2453" spans="1:10" ht="26.25" hidden="1" thickBot="1" x14ac:dyDescent="0.3">
      <c r="A2453" s="176"/>
      <c r="B2453" s="174"/>
      <c r="C2453" s="35" t="s">
        <v>3236</v>
      </c>
      <c r="D2453" s="35" t="s">
        <v>385</v>
      </c>
      <c r="E2453" s="36">
        <f>1/(0.025*0.3)</f>
        <v>133.33333333333334</v>
      </c>
      <c r="F2453" s="30">
        <v>13.585000000000001</v>
      </c>
      <c r="G2453" s="33">
        <f>IF(ISNUMBER(F2453),E2453*F2453,"")</f>
        <v>1811.3333333333335</v>
      </c>
      <c r="H2453" s="38">
        <f>SUM(G2453:G2453)</f>
        <v>1811.3333333333335</v>
      </c>
      <c r="I2453" s="39"/>
      <c r="J2453" s="152">
        <v>0</v>
      </c>
    </row>
    <row r="2454" spans="1:10" ht="15.75" hidden="1" thickBot="1" x14ac:dyDescent="0.3">
      <c r="A2454" s="177"/>
      <c r="B2454" s="175"/>
      <c r="C2454" s="35"/>
      <c r="D2454" s="35"/>
      <c r="E2454" s="36"/>
      <c r="F2454" s="30" t="s">
        <v>416</v>
      </c>
      <c r="G2454" s="33" t="str">
        <f>IF(ISNUMBER(F2454),E2454*F2454,"")</f>
        <v/>
      </c>
      <c r="H2454" s="34"/>
      <c r="I2454" s="30"/>
      <c r="J2454" s="152">
        <v>0</v>
      </c>
    </row>
    <row r="2455" spans="1:10" ht="15.75" hidden="1" thickBot="1" x14ac:dyDescent="0.3">
      <c r="A2455" s="170" t="s">
        <v>1798</v>
      </c>
      <c r="B2455" s="173" t="str">
        <f>INDEX(Orçamentária!A:B,MATCH(Composições!A2455,Orçamentária!A:A,0),2)</f>
        <v>Sarrafo De Madeira</v>
      </c>
      <c r="C2455" s="40"/>
      <c r="D2455" s="25" t="s">
        <v>69</v>
      </c>
      <c r="E2455" s="26"/>
      <c r="F2455" s="41" t="s">
        <v>416</v>
      </c>
      <c r="G2455" s="27" t="str">
        <f>IF(ISNUMBER(F2455),E2455*F2455,"")</f>
        <v/>
      </c>
      <c r="H2455" s="28"/>
      <c r="I2455" s="29"/>
      <c r="J2455" s="152">
        <v>0</v>
      </c>
    </row>
    <row r="2456" spans="1:10" ht="15.75" hidden="1" thickBot="1" x14ac:dyDescent="0.3">
      <c r="A2456" s="176"/>
      <c r="B2456" s="174"/>
      <c r="C2456" s="31"/>
      <c r="D2456" s="31"/>
      <c r="E2456" s="32"/>
      <c r="F2456" s="42" t="s">
        <v>416</v>
      </c>
      <c r="G2456" s="33" t="str">
        <f>IF(ISNUMBER(F2456),E2456*F2456,"")</f>
        <v/>
      </c>
      <c r="H2456" s="34"/>
      <c r="I2456" s="30"/>
      <c r="J2456" s="152">
        <v>0</v>
      </c>
    </row>
    <row r="2457" spans="1:10" ht="26.25" hidden="1" thickBot="1" x14ac:dyDescent="0.3">
      <c r="A2457" s="176"/>
      <c r="B2457" s="174"/>
      <c r="C2457" s="35" t="s">
        <v>3234</v>
      </c>
      <c r="D2457" s="35" t="s">
        <v>385</v>
      </c>
      <c r="E2457" s="36">
        <v>1</v>
      </c>
      <c r="F2457" s="30">
        <v>4.1514999999999995</v>
      </c>
      <c r="G2457" s="33">
        <f>IF(ISNUMBER(F2457),E2457*F2457,"")</f>
        <v>4.1514999999999995</v>
      </c>
      <c r="H2457" s="38">
        <f>SUM(G2457:G2457)</f>
        <v>4.1514999999999995</v>
      </c>
      <c r="I2457" s="39"/>
      <c r="J2457" s="152">
        <v>0</v>
      </c>
    </row>
    <row r="2458" spans="1:10" ht="15.75" hidden="1" thickBot="1" x14ac:dyDescent="0.3">
      <c r="A2458" s="177"/>
      <c r="B2458" s="175"/>
      <c r="C2458" s="35"/>
      <c r="D2458" s="35"/>
      <c r="E2458" s="36"/>
      <c r="F2458" s="30" t="s">
        <v>416</v>
      </c>
      <c r="G2458" s="33" t="str">
        <f>IF(ISNUMBER(F2458),E2458*F2458,"")</f>
        <v/>
      </c>
      <c r="H2458" s="34"/>
      <c r="I2458" s="30"/>
      <c r="J2458" s="152">
        <v>0</v>
      </c>
    </row>
    <row r="2459" spans="1:10" ht="15.75" hidden="1" thickBot="1" x14ac:dyDescent="0.3">
      <c r="A2459" s="170" t="s">
        <v>1800</v>
      </c>
      <c r="B2459" s="173" t="str">
        <f>INDEX(Orçamentária!A:B,MATCH(Composições!A2459,Orçamentária!A:A,0),2)</f>
        <v>Caibro De Madeira</v>
      </c>
      <c r="C2459" s="40"/>
      <c r="D2459" s="25" t="s">
        <v>69</v>
      </c>
      <c r="E2459" s="26"/>
      <c r="F2459" s="41" t="s">
        <v>416</v>
      </c>
      <c r="G2459" s="27" t="str">
        <f>IF(ISNUMBER(F2459),E2459*F2459,"")</f>
        <v/>
      </c>
      <c r="H2459" s="28"/>
      <c r="I2459" s="29"/>
      <c r="J2459" s="152">
        <v>0</v>
      </c>
    </row>
    <row r="2460" spans="1:10" ht="15.75" hidden="1" thickBot="1" x14ac:dyDescent="0.3">
      <c r="A2460" s="176"/>
      <c r="B2460" s="174"/>
      <c r="C2460" s="31"/>
      <c r="D2460" s="31"/>
      <c r="E2460" s="32"/>
      <c r="F2460" s="42" t="s">
        <v>416</v>
      </c>
      <c r="G2460" s="33" t="str">
        <f>IF(ISNUMBER(F2460),E2460*F2460,"")</f>
        <v/>
      </c>
      <c r="H2460" s="34"/>
      <c r="I2460" s="30"/>
      <c r="J2460" s="152">
        <v>0</v>
      </c>
    </row>
    <row r="2461" spans="1:10" ht="26.25" hidden="1" thickBot="1" x14ac:dyDescent="0.3">
      <c r="A2461" s="176"/>
      <c r="B2461" s="174"/>
      <c r="C2461" s="35" t="s">
        <v>8031</v>
      </c>
      <c r="D2461" s="35" t="s">
        <v>385</v>
      </c>
      <c r="E2461" s="36">
        <v>1</v>
      </c>
      <c r="F2461" s="30">
        <v>5.7664999999999997</v>
      </c>
      <c r="G2461" s="33">
        <f>IF(ISNUMBER(F2461),E2461*F2461,"")</f>
        <v>5.7664999999999997</v>
      </c>
      <c r="H2461" s="38">
        <f>SUM(G2461:G2461)</f>
        <v>5.7664999999999997</v>
      </c>
      <c r="I2461" s="39"/>
      <c r="J2461" s="152">
        <v>0</v>
      </c>
    </row>
    <row r="2462" spans="1:10" ht="15.75" hidden="1" thickBot="1" x14ac:dyDescent="0.3">
      <c r="A2462" s="177"/>
      <c r="B2462" s="175"/>
      <c r="C2462" s="35"/>
      <c r="D2462" s="35"/>
      <c r="E2462" s="36"/>
      <c r="F2462" s="30" t="s">
        <v>416</v>
      </c>
      <c r="G2462" s="33" t="str">
        <f>IF(ISNUMBER(F2462),E2462*F2462,"")</f>
        <v/>
      </c>
      <c r="H2462" s="34"/>
      <c r="I2462" s="30"/>
      <c r="J2462" s="152">
        <v>0</v>
      </c>
    </row>
    <row r="2463" spans="1:10" ht="15.75" hidden="1" thickBot="1" x14ac:dyDescent="0.3">
      <c r="A2463" s="170" t="s">
        <v>1806</v>
      </c>
      <c r="B2463" s="173" t="str">
        <f>INDEX(Orçamentária!A:B,MATCH(Composições!A2463,Orçamentária!A:A,0),2)</f>
        <v>Painel de MDF Laminado – Branco - 06 mm</v>
      </c>
      <c r="C2463" s="40"/>
      <c r="D2463" s="25" t="s">
        <v>70</v>
      </c>
      <c r="E2463" s="26"/>
      <c r="F2463" s="41" t="s">
        <v>416</v>
      </c>
      <c r="G2463" s="27" t="str">
        <f>IF(ISNUMBER(F2463),E2463*F2463,"")</f>
        <v/>
      </c>
      <c r="H2463" s="28"/>
      <c r="I2463" s="29"/>
      <c r="J2463" s="152">
        <v>0</v>
      </c>
    </row>
    <row r="2464" spans="1:10" ht="15.75" hidden="1" thickBot="1" x14ac:dyDescent="0.3">
      <c r="A2464" s="176"/>
      <c r="B2464" s="174"/>
      <c r="C2464" s="31"/>
      <c r="D2464" s="31"/>
      <c r="E2464" s="32"/>
      <c r="F2464" s="42" t="s">
        <v>416</v>
      </c>
      <c r="G2464" s="33" t="str">
        <f>IF(ISNUMBER(F2464),E2464*F2464,"")</f>
        <v/>
      </c>
      <c r="H2464" s="34"/>
      <c r="I2464" s="30"/>
      <c r="J2464" s="152">
        <v>0</v>
      </c>
    </row>
    <row r="2465" spans="1:10" ht="15.75" hidden="1" thickBot="1" x14ac:dyDescent="0.3">
      <c r="A2465" s="176"/>
      <c r="B2465" s="174"/>
      <c r="C2465" s="35" t="s">
        <v>2927</v>
      </c>
      <c r="D2465" s="35" t="s">
        <v>861</v>
      </c>
      <c r="E2465" s="36">
        <v>1</v>
      </c>
      <c r="F2465" s="30">
        <v>28.956</v>
      </c>
      <c r="G2465" s="33">
        <f>IF(ISNUMBER(F2465),E2465*F2465,"")</f>
        <v>28.956</v>
      </c>
      <c r="H2465" s="38">
        <f>SUM(G2465:G2465)</f>
        <v>28.956</v>
      </c>
      <c r="I2465" s="39"/>
      <c r="J2465" s="152">
        <v>0</v>
      </c>
    </row>
    <row r="2466" spans="1:10" ht="15.75" hidden="1" thickBot="1" x14ac:dyDescent="0.3">
      <c r="A2466" s="177"/>
      <c r="B2466" s="175"/>
      <c r="C2466" s="35"/>
      <c r="D2466" s="35"/>
      <c r="E2466" s="36"/>
      <c r="F2466" s="30" t="s">
        <v>416</v>
      </c>
      <c r="G2466" s="33" t="str">
        <f>IF(ISNUMBER(F2466),E2466*F2466,"")</f>
        <v/>
      </c>
      <c r="H2466" s="34"/>
      <c r="I2466" s="30"/>
      <c r="J2466" s="152">
        <v>0</v>
      </c>
    </row>
    <row r="2467" spans="1:10" ht="15.75" hidden="1" thickBot="1" x14ac:dyDescent="0.3">
      <c r="A2467" s="170" t="s">
        <v>1808</v>
      </c>
      <c r="B2467" s="173" t="str">
        <f>INDEX(Orçamentária!A:B,MATCH(Composições!A2467,Orçamentária!A:A,0),2)</f>
        <v>Painel de MDF Laminado - Branco - 15 mm</v>
      </c>
      <c r="C2467" s="40"/>
      <c r="D2467" s="25" t="s">
        <v>70</v>
      </c>
      <c r="E2467" s="26"/>
      <c r="F2467" s="41" t="s">
        <v>416</v>
      </c>
      <c r="G2467" s="27" t="str">
        <f>IF(ISNUMBER(F2467),E2467*F2467,"")</f>
        <v/>
      </c>
      <c r="H2467" s="28"/>
      <c r="I2467" s="29"/>
      <c r="J2467" s="152">
        <v>0</v>
      </c>
    </row>
    <row r="2468" spans="1:10" ht="15.75" hidden="1" thickBot="1" x14ac:dyDescent="0.3">
      <c r="A2468" s="176"/>
      <c r="B2468" s="174"/>
      <c r="C2468" s="31"/>
      <c r="D2468" s="31"/>
      <c r="E2468" s="32"/>
      <c r="F2468" s="42" t="s">
        <v>416</v>
      </c>
      <c r="G2468" s="33" t="str">
        <f>IF(ISNUMBER(F2468),E2468*F2468,"")</f>
        <v/>
      </c>
      <c r="H2468" s="34"/>
      <c r="I2468" s="30"/>
      <c r="J2468" s="152">
        <v>0</v>
      </c>
    </row>
    <row r="2469" spans="1:10" ht="26.25" hidden="1" thickBot="1" x14ac:dyDescent="0.3">
      <c r="A2469" s="176"/>
      <c r="B2469" s="174"/>
      <c r="C2469" s="35" t="s">
        <v>2928</v>
      </c>
      <c r="D2469" s="35" t="s">
        <v>861</v>
      </c>
      <c r="E2469" s="36">
        <v>1</v>
      </c>
      <c r="F2469" s="30">
        <v>45.438499999999998</v>
      </c>
      <c r="G2469" s="33">
        <f>IF(ISNUMBER(F2469),E2469*F2469,"")</f>
        <v>45.438499999999998</v>
      </c>
      <c r="H2469" s="38">
        <f>SUM(G2469:G2469)</f>
        <v>45.438499999999998</v>
      </c>
      <c r="I2469" s="39"/>
      <c r="J2469" s="152">
        <v>0</v>
      </c>
    </row>
    <row r="2470" spans="1:10" ht="15.75" hidden="1" thickBot="1" x14ac:dyDescent="0.3">
      <c r="A2470" s="177"/>
      <c r="B2470" s="175"/>
      <c r="C2470" s="35"/>
      <c r="D2470" s="35"/>
      <c r="E2470" s="36"/>
      <c r="F2470" s="30" t="s">
        <v>416</v>
      </c>
      <c r="G2470" s="33" t="str">
        <f>IF(ISNUMBER(F2470),E2470*F2470,"")</f>
        <v/>
      </c>
      <c r="H2470" s="34"/>
      <c r="I2470" s="30"/>
      <c r="J2470" s="152">
        <v>0</v>
      </c>
    </row>
    <row r="2471" spans="1:10" ht="15.75" hidden="1" thickBot="1" x14ac:dyDescent="0.3">
      <c r="A2471" s="170" t="s">
        <v>1810</v>
      </c>
      <c r="B2471" s="173" t="str">
        <f>INDEX(Orçamentária!A:B,MATCH(Composições!A2471,Orçamentária!A:A,0),2)</f>
        <v>Painel de MDF Laminado – Branco - 18 mm</v>
      </c>
      <c r="C2471" s="40"/>
      <c r="D2471" s="25" t="s">
        <v>70</v>
      </c>
      <c r="E2471" s="26"/>
      <c r="F2471" s="41" t="s">
        <v>416</v>
      </c>
      <c r="G2471" s="27" t="str">
        <f>IF(ISNUMBER(F2471),E2471*F2471,"")</f>
        <v/>
      </c>
      <c r="H2471" s="28"/>
      <c r="I2471" s="29"/>
      <c r="J2471" s="152">
        <v>0</v>
      </c>
    </row>
    <row r="2472" spans="1:10" ht="15.75" hidden="1" thickBot="1" x14ac:dyDescent="0.3">
      <c r="A2472" s="176"/>
      <c r="B2472" s="174"/>
      <c r="C2472" s="31"/>
      <c r="D2472" s="31"/>
      <c r="E2472" s="32"/>
      <c r="F2472" s="42" t="s">
        <v>416</v>
      </c>
      <c r="G2472" s="33" t="str">
        <f>IF(ISNUMBER(F2472),E2472*F2472,"")</f>
        <v/>
      </c>
      <c r="H2472" s="34"/>
      <c r="I2472" s="30"/>
      <c r="J2472" s="152">
        <v>0</v>
      </c>
    </row>
    <row r="2473" spans="1:10" ht="26.25" hidden="1" thickBot="1" x14ac:dyDescent="0.3">
      <c r="A2473" s="176"/>
      <c r="B2473" s="174"/>
      <c r="C2473" s="35" t="s">
        <v>2929</v>
      </c>
      <c r="D2473" s="35" t="s">
        <v>861</v>
      </c>
      <c r="E2473" s="36">
        <v>1</v>
      </c>
      <c r="F2473" s="30">
        <v>56.401499999999992</v>
      </c>
      <c r="G2473" s="33">
        <f>IF(ISNUMBER(F2473),E2473*F2473,"")</f>
        <v>56.401499999999992</v>
      </c>
      <c r="H2473" s="38">
        <f>SUM(G2473:G2473)</f>
        <v>56.401499999999992</v>
      </c>
      <c r="I2473" s="39"/>
      <c r="J2473" s="152">
        <v>0</v>
      </c>
    </row>
    <row r="2474" spans="1:10" ht="15.75" hidden="1" thickBot="1" x14ac:dyDescent="0.3">
      <c r="A2474" s="177"/>
      <c r="B2474" s="175"/>
      <c r="C2474" s="35"/>
      <c r="D2474" s="35"/>
      <c r="E2474" s="36"/>
      <c r="F2474" s="30" t="s">
        <v>416</v>
      </c>
      <c r="G2474" s="33" t="str">
        <f>IF(ISNUMBER(F2474),E2474*F2474,"")</f>
        <v/>
      </c>
      <c r="H2474" s="34"/>
      <c r="I2474" s="30"/>
      <c r="J2474" s="152">
        <v>0</v>
      </c>
    </row>
    <row r="2475" spans="1:10" ht="15.75" hidden="1" thickBot="1" x14ac:dyDescent="0.3">
      <c r="A2475" s="170" t="s">
        <v>1812</v>
      </c>
      <c r="B2475" s="173" t="str">
        <f>INDEX(Orçamentária!A:B,MATCH(Composições!A2475,Orçamentária!A:A,0),2)</f>
        <v>Cantoneira laminada em aço abas iguais 1" x 3/16"</v>
      </c>
      <c r="C2475" s="40"/>
      <c r="D2475" s="25" t="s">
        <v>69</v>
      </c>
      <c r="E2475" s="26"/>
      <c r="F2475" s="41" t="s">
        <v>416</v>
      </c>
      <c r="G2475" s="27" t="str">
        <f>IF(ISNUMBER(F2475),E2475*F2475,"")</f>
        <v/>
      </c>
      <c r="H2475" s="28"/>
      <c r="I2475" s="29"/>
      <c r="J2475" s="152">
        <v>0</v>
      </c>
    </row>
    <row r="2476" spans="1:10" ht="15.75" hidden="1" thickBot="1" x14ac:dyDescent="0.3">
      <c r="A2476" s="176"/>
      <c r="B2476" s="174"/>
      <c r="C2476" s="31"/>
      <c r="D2476" s="31"/>
      <c r="E2476" s="32"/>
      <c r="F2476" s="42" t="s">
        <v>416</v>
      </c>
      <c r="G2476" s="33" t="str">
        <f>IF(ISNUMBER(F2476),E2476*F2476,"")</f>
        <v/>
      </c>
      <c r="H2476" s="34"/>
      <c r="I2476" s="30"/>
      <c r="J2476" s="152">
        <v>0</v>
      </c>
    </row>
    <row r="2477" spans="1:10" ht="26.25" hidden="1" thickBot="1" x14ac:dyDescent="0.3">
      <c r="A2477" s="176"/>
      <c r="B2477" s="174"/>
      <c r="C2477" s="35" t="s">
        <v>95</v>
      </c>
      <c r="D2477" s="35" t="s">
        <v>773</v>
      </c>
      <c r="E2477" s="36">
        <v>1.73</v>
      </c>
      <c r="F2477" s="30">
        <v>10.069999999999999</v>
      </c>
      <c r="G2477" s="33">
        <f>IF(ISNUMBER(F2477),E2477*F2477,"")</f>
        <v>17.421099999999996</v>
      </c>
      <c r="H2477" s="38">
        <f>SUM(G2477:G2477)</f>
        <v>17.421099999999996</v>
      </c>
      <c r="I2477" s="39"/>
      <c r="J2477" s="152">
        <v>0</v>
      </c>
    </row>
    <row r="2478" spans="1:10" ht="15.75" hidden="1" thickBot="1" x14ac:dyDescent="0.3">
      <c r="A2478" s="177"/>
      <c r="B2478" s="175"/>
      <c r="C2478" s="35"/>
      <c r="D2478" s="35"/>
      <c r="E2478" s="36"/>
      <c r="F2478" s="30" t="s">
        <v>416</v>
      </c>
      <c r="G2478" s="33" t="str">
        <f>IF(ISNUMBER(F2478),E2478*F2478,"")</f>
        <v/>
      </c>
      <c r="H2478" s="34"/>
      <c r="I2478" s="30"/>
      <c r="J2478" s="152">
        <v>0</v>
      </c>
    </row>
    <row r="2479" spans="1:10" ht="15.75" hidden="1" thickBot="1" x14ac:dyDescent="0.3">
      <c r="A2479" s="170" t="s">
        <v>1814</v>
      </c>
      <c r="B2479" s="173" t="str">
        <f>INDEX(Orçamentária!A:B,MATCH(Composições!A2479,Orçamentária!A:A,0),2)</f>
        <v>Cantoneira laminada em aço abas iguais 1"1/4 x 3/16"</v>
      </c>
      <c r="C2479" s="40"/>
      <c r="D2479" s="25" t="s">
        <v>69</v>
      </c>
      <c r="E2479" s="26"/>
      <c r="F2479" s="41" t="s">
        <v>416</v>
      </c>
      <c r="G2479" s="27" t="str">
        <f>IF(ISNUMBER(F2479),E2479*F2479,"")</f>
        <v/>
      </c>
      <c r="H2479" s="28"/>
      <c r="I2479" s="29"/>
      <c r="J2479" s="152">
        <v>0</v>
      </c>
    </row>
    <row r="2480" spans="1:10" ht="15.75" hidden="1" thickBot="1" x14ac:dyDescent="0.3">
      <c r="A2480" s="176"/>
      <c r="B2480" s="174"/>
      <c r="C2480" s="31"/>
      <c r="D2480" s="31"/>
      <c r="E2480" s="32"/>
      <c r="F2480" s="42" t="s">
        <v>416</v>
      </c>
      <c r="G2480" s="33" t="str">
        <f>IF(ISNUMBER(F2480),E2480*F2480,"")</f>
        <v/>
      </c>
      <c r="H2480" s="34"/>
      <c r="I2480" s="30"/>
      <c r="J2480" s="152">
        <v>0</v>
      </c>
    </row>
    <row r="2481" spans="1:10" ht="26.25" hidden="1" thickBot="1" x14ac:dyDescent="0.3">
      <c r="A2481" s="176"/>
      <c r="B2481" s="174"/>
      <c r="C2481" s="35" t="s">
        <v>95</v>
      </c>
      <c r="D2481" s="35" t="s">
        <v>773</v>
      </c>
      <c r="E2481" s="36">
        <v>2.2000000000000002</v>
      </c>
      <c r="F2481" s="30">
        <v>10.069999999999999</v>
      </c>
      <c r="G2481" s="33">
        <f>IF(ISNUMBER(F2481),E2481*F2481,"")</f>
        <v>22.154</v>
      </c>
      <c r="H2481" s="38">
        <f>SUM(G2481:G2481)</f>
        <v>22.154</v>
      </c>
      <c r="I2481" s="39"/>
      <c r="J2481" s="152">
        <v>0</v>
      </c>
    </row>
    <row r="2482" spans="1:10" ht="15.75" hidden="1" thickBot="1" x14ac:dyDescent="0.3">
      <c r="A2482" s="177"/>
      <c r="B2482" s="175"/>
      <c r="C2482" s="35"/>
      <c r="D2482" s="35"/>
      <c r="E2482" s="36"/>
      <c r="F2482" s="30" t="s">
        <v>416</v>
      </c>
      <c r="G2482" s="33" t="str">
        <f>IF(ISNUMBER(F2482),E2482*F2482,"")</f>
        <v/>
      </c>
      <c r="H2482" s="34"/>
      <c r="I2482" s="30"/>
      <c r="J2482" s="152">
        <v>0</v>
      </c>
    </row>
    <row r="2483" spans="1:10" ht="15.75" hidden="1" thickBot="1" x14ac:dyDescent="0.3">
      <c r="A2483" s="170" t="s">
        <v>1816</v>
      </c>
      <c r="B2483" s="173" t="str">
        <f>INDEX(Orçamentária!A:B,MATCH(Composições!A2483,Orçamentária!A:A,0),2)</f>
        <v>Cantoneira laminada em aço abas iguais 2” x 1/8”</v>
      </c>
      <c r="C2483" s="40"/>
      <c r="D2483" s="25" t="s">
        <v>69</v>
      </c>
      <c r="E2483" s="26"/>
      <c r="F2483" s="41" t="s">
        <v>416</v>
      </c>
      <c r="G2483" s="27" t="str">
        <f>IF(ISNUMBER(F2483),E2483*F2483,"")</f>
        <v/>
      </c>
      <c r="H2483" s="28"/>
      <c r="I2483" s="29"/>
      <c r="J2483" s="152">
        <v>0</v>
      </c>
    </row>
    <row r="2484" spans="1:10" ht="15.75" hidden="1" thickBot="1" x14ac:dyDescent="0.3">
      <c r="A2484" s="176"/>
      <c r="B2484" s="174"/>
      <c r="C2484" s="31"/>
      <c r="D2484" s="31"/>
      <c r="E2484" s="32"/>
      <c r="F2484" s="42" t="s">
        <v>416</v>
      </c>
      <c r="G2484" s="33" t="str">
        <f>IF(ISNUMBER(F2484),E2484*F2484,"")</f>
        <v/>
      </c>
      <c r="H2484" s="34"/>
      <c r="I2484" s="30"/>
      <c r="J2484" s="152">
        <v>0</v>
      </c>
    </row>
    <row r="2485" spans="1:10" ht="26.25" hidden="1" thickBot="1" x14ac:dyDescent="0.3">
      <c r="A2485" s="176"/>
      <c r="B2485" s="174"/>
      <c r="C2485" s="35" t="s">
        <v>95</v>
      </c>
      <c r="D2485" s="35" t="s">
        <v>773</v>
      </c>
      <c r="E2485" s="36">
        <v>2.46</v>
      </c>
      <c r="F2485" s="30">
        <v>10.069999999999999</v>
      </c>
      <c r="G2485" s="33">
        <f>IF(ISNUMBER(F2485),E2485*F2485,"")</f>
        <v>24.772199999999994</v>
      </c>
      <c r="H2485" s="38">
        <f>SUM(G2485:G2485)</f>
        <v>24.772199999999994</v>
      </c>
      <c r="I2485" s="39"/>
      <c r="J2485" s="152">
        <v>0</v>
      </c>
    </row>
    <row r="2486" spans="1:10" ht="15.75" hidden="1" thickBot="1" x14ac:dyDescent="0.3">
      <c r="A2486" s="177"/>
      <c r="B2486" s="175"/>
      <c r="C2486" s="35"/>
      <c r="D2486" s="35"/>
      <c r="E2486" s="36"/>
      <c r="F2486" s="30" t="s">
        <v>416</v>
      </c>
      <c r="G2486" s="33" t="str">
        <f>IF(ISNUMBER(F2486),E2486*F2486,"")</f>
        <v/>
      </c>
      <c r="H2486" s="34"/>
      <c r="I2486" s="30"/>
      <c r="J2486" s="152">
        <v>0</v>
      </c>
    </row>
    <row r="2487" spans="1:10" ht="15.75" hidden="1" thickBot="1" x14ac:dyDescent="0.3">
      <c r="A2487" s="170" t="s">
        <v>1818</v>
      </c>
      <c r="B2487" s="173" t="str">
        <f>INDEX(Orçamentária!A:B,MATCH(Composições!A2487,Orçamentária!A:A,0),2)</f>
        <v>Cantoneira laminada em aço abas Iguais 2” x 3/16”</v>
      </c>
      <c r="C2487" s="40"/>
      <c r="D2487" s="25" t="s">
        <v>69</v>
      </c>
      <c r="E2487" s="26"/>
      <c r="F2487" s="41" t="s">
        <v>416</v>
      </c>
      <c r="G2487" s="27" t="str">
        <f>IF(ISNUMBER(F2487),E2487*F2487,"")</f>
        <v/>
      </c>
      <c r="H2487" s="28"/>
      <c r="I2487" s="29"/>
      <c r="J2487" s="152">
        <v>0</v>
      </c>
    </row>
    <row r="2488" spans="1:10" ht="15.75" hidden="1" thickBot="1" x14ac:dyDescent="0.3">
      <c r="A2488" s="176"/>
      <c r="B2488" s="174"/>
      <c r="C2488" s="31"/>
      <c r="D2488" s="31"/>
      <c r="E2488" s="32"/>
      <c r="F2488" s="42" t="s">
        <v>416</v>
      </c>
      <c r="G2488" s="33" t="str">
        <f>IF(ISNUMBER(F2488),E2488*F2488,"")</f>
        <v/>
      </c>
      <c r="H2488" s="34"/>
      <c r="I2488" s="30"/>
      <c r="J2488" s="152">
        <v>0</v>
      </c>
    </row>
    <row r="2489" spans="1:10" ht="26.25" hidden="1" thickBot="1" x14ac:dyDescent="0.3">
      <c r="A2489" s="176"/>
      <c r="B2489" s="174"/>
      <c r="C2489" s="35" t="s">
        <v>95</v>
      </c>
      <c r="D2489" s="35" t="s">
        <v>773</v>
      </c>
      <c r="E2489" s="36">
        <v>3.63</v>
      </c>
      <c r="F2489" s="30">
        <v>10.069999999999999</v>
      </c>
      <c r="G2489" s="33">
        <f>IF(ISNUMBER(F2489),E2489*F2489,"")</f>
        <v>36.554099999999991</v>
      </c>
      <c r="H2489" s="38">
        <f>SUM(G2489:G2489)</f>
        <v>36.554099999999991</v>
      </c>
      <c r="I2489" s="39"/>
      <c r="J2489" s="152">
        <v>0</v>
      </c>
    </row>
    <row r="2490" spans="1:10" ht="15.75" hidden="1" thickBot="1" x14ac:dyDescent="0.3">
      <c r="A2490" s="177"/>
      <c r="B2490" s="175"/>
      <c r="C2490" s="35"/>
      <c r="D2490" s="35"/>
      <c r="E2490" s="36"/>
      <c r="F2490" s="30" t="s">
        <v>416</v>
      </c>
      <c r="G2490" s="33" t="str">
        <f>IF(ISNUMBER(F2490),E2490*F2490,"")</f>
        <v/>
      </c>
      <c r="H2490" s="34"/>
      <c r="I2490" s="30"/>
      <c r="J2490" s="152">
        <v>0</v>
      </c>
    </row>
    <row r="2491" spans="1:10" ht="15.75" hidden="1" thickBot="1" x14ac:dyDescent="0.3">
      <c r="A2491" s="170" t="s">
        <v>1820</v>
      </c>
      <c r="B2491" s="173" t="str">
        <f>INDEX(Orçamentária!A:B,MATCH(Composições!A2491,Orçamentária!A:A,0),2)</f>
        <v>Cantoneira laminada em aço abas Iguais 5/8” x 1/8”</v>
      </c>
      <c r="C2491" s="40"/>
      <c r="D2491" s="25" t="s">
        <v>69</v>
      </c>
      <c r="E2491" s="26"/>
      <c r="F2491" s="41" t="s">
        <v>416</v>
      </c>
      <c r="G2491" s="27" t="str">
        <f>IF(ISNUMBER(F2491),E2491*F2491,"")</f>
        <v/>
      </c>
      <c r="H2491" s="28"/>
      <c r="I2491" s="29"/>
      <c r="J2491" s="152">
        <v>0</v>
      </c>
    </row>
    <row r="2492" spans="1:10" ht="15.75" hidden="1" thickBot="1" x14ac:dyDescent="0.3">
      <c r="A2492" s="176"/>
      <c r="B2492" s="174"/>
      <c r="C2492" s="31"/>
      <c r="D2492" s="31"/>
      <c r="E2492" s="32"/>
      <c r="F2492" s="42" t="s">
        <v>416</v>
      </c>
      <c r="G2492" s="33" t="str">
        <f>IF(ISNUMBER(F2492),E2492*F2492,"")</f>
        <v/>
      </c>
      <c r="H2492" s="34"/>
      <c r="I2492" s="30"/>
      <c r="J2492" s="152">
        <v>0</v>
      </c>
    </row>
    <row r="2493" spans="1:10" ht="26.25" hidden="1" thickBot="1" x14ac:dyDescent="0.3">
      <c r="A2493" s="176"/>
      <c r="B2493" s="174"/>
      <c r="C2493" s="35" t="s">
        <v>95</v>
      </c>
      <c r="D2493" s="35" t="s">
        <v>773</v>
      </c>
      <c r="E2493" s="36">
        <v>0.71</v>
      </c>
      <c r="F2493" s="30">
        <v>10.069999999999999</v>
      </c>
      <c r="G2493" s="33">
        <f>IF(ISNUMBER(F2493),E2493*F2493,"")</f>
        <v>7.1496999999999984</v>
      </c>
      <c r="H2493" s="38">
        <f>SUM(G2493:G2493)</f>
        <v>7.1496999999999984</v>
      </c>
      <c r="I2493" s="39"/>
      <c r="J2493" s="152">
        <v>0</v>
      </c>
    </row>
    <row r="2494" spans="1:10" ht="15.75" hidden="1" thickBot="1" x14ac:dyDescent="0.3">
      <c r="A2494" s="177"/>
      <c r="B2494" s="175"/>
      <c r="C2494" s="35"/>
      <c r="D2494" s="35"/>
      <c r="E2494" s="36"/>
      <c r="F2494" s="30" t="s">
        <v>416</v>
      </c>
      <c r="G2494" s="33" t="str">
        <f>IF(ISNUMBER(F2494),E2494*F2494,"")</f>
        <v/>
      </c>
      <c r="H2494" s="34"/>
      <c r="I2494" s="30"/>
      <c r="J2494" s="152">
        <v>0</v>
      </c>
    </row>
    <row r="2495" spans="1:10" ht="15.75" hidden="1" thickBot="1" x14ac:dyDescent="0.3">
      <c r="A2495" s="170" t="s">
        <v>1822</v>
      </c>
      <c r="B2495" s="173" t="str">
        <f>INDEX(Orçamentária!A:B,MATCH(Composições!A2495,Orçamentária!A:A,0),2)</f>
        <v>Chapa aço galvanizado # 16 (kg)</v>
      </c>
      <c r="C2495" s="40"/>
      <c r="D2495" s="25" t="s">
        <v>28</v>
      </c>
      <c r="E2495" s="26"/>
      <c r="F2495" s="41" t="s">
        <v>416</v>
      </c>
      <c r="G2495" s="27" t="str">
        <f>IF(ISNUMBER(F2495),E2495*F2495,"")</f>
        <v/>
      </c>
      <c r="H2495" s="28"/>
      <c r="I2495" s="29"/>
      <c r="J2495" s="152">
        <v>0</v>
      </c>
    </row>
    <row r="2496" spans="1:10" ht="15.75" hidden="1" thickBot="1" x14ac:dyDescent="0.3">
      <c r="A2496" s="176"/>
      <c r="B2496" s="174"/>
      <c r="C2496" s="31"/>
      <c r="D2496" s="31"/>
      <c r="E2496" s="32"/>
      <c r="F2496" s="42" t="s">
        <v>416</v>
      </c>
      <c r="G2496" s="33" t="str">
        <f>IF(ISNUMBER(F2496),E2496*F2496,"")</f>
        <v/>
      </c>
      <c r="H2496" s="34"/>
      <c r="I2496" s="30"/>
      <c r="J2496" s="152">
        <v>0</v>
      </c>
    </row>
    <row r="2497" spans="1:10" ht="26.25" hidden="1" thickBot="1" x14ac:dyDescent="0.3">
      <c r="A2497" s="176"/>
      <c r="B2497" s="174"/>
      <c r="C2497" s="35" t="s">
        <v>2925</v>
      </c>
      <c r="D2497" s="35" t="s">
        <v>773</v>
      </c>
      <c r="E2497" s="36">
        <v>1</v>
      </c>
      <c r="F2497" s="30">
        <v>14.420999999999999</v>
      </c>
      <c r="G2497" s="33">
        <f>IF(ISNUMBER(F2497),E2497*F2497,"")</f>
        <v>14.420999999999999</v>
      </c>
      <c r="H2497" s="38">
        <f>SUM(G2497:G2497)</f>
        <v>14.420999999999999</v>
      </c>
      <c r="I2497" s="39"/>
      <c r="J2497" s="152">
        <v>0</v>
      </c>
    </row>
    <row r="2498" spans="1:10" ht="15.75" hidden="1" thickBot="1" x14ac:dyDescent="0.3">
      <c r="A2498" s="177"/>
      <c r="B2498" s="175"/>
      <c r="C2498" s="35"/>
      <c r="D2498" s="35"/>
      <c r="E2498" s="36"/>
      <c r="F2498" s="30" t="s">
        <v>416</v>
      </c>
      <c r="G2498" s="33" t="str">
        <f>IF(ISNUMBER(F2498),E2498*F2498,"")</f>
        <v/>
      </c>
      <c r="H2498" s="34"/>
      <c r="I2498" s="30"/>
      <c r="J2498" s="152">
        <v>0</v>
      </c>
    </row>
    <row r="2499" spans="1:10" ht="15.75" hidden="1" thickBot="1" x14ac:dyDescent="0.3">
      <c r="A2499" s="170" t="s">
        <v>1824</v>
      </c>
      <c r="B2499" s="173" t="str">
        <f>INDEX(Orçamentária!A:B,MATCH(Composições!A2499,Orçamentária!A:A,0),2)</f>
        <v>Ferro chato 1"x1/8"</v>
      </c>
      <c r="C2499" s="40"/>
      <c r="D2499" s="25" t="s">
        <v>69</v>
      </c>
      <c r="E2499" s="26"/>
      <c r="F2499" s="41" t="s">
        <v>416</v>
      </c>
      <c r="G2499" s="27" t="str">
        <f>IF(ISNUMBER(F2499),E2499*F2499,"")</f>
        <v/>
      </c>
      <c r="H2499" s="28"/>
      <c r="I2499" s="29"/>
      <c r="J2499" s="152">
        <v>0</v>
      </c>
    </row>
    <row r="2500" spans="1:10" ht="15.75" hidden="1" thickBot="1" x14ac:dyDescent="0.3">
      <c r="A2500" s="176"/>
      <c r="B2500" s="174"/>
      <c r="C2500" s="31"/>
      <c r="D2500" s="31"/>
      <c r="E2500" s="32"/>
      <c r="F2500" s="42" t="s">
        <v>416</v>
      </c>
      <c r="G2500" s="33" t="str">
        <f>IF(ISNUMBER(F2500),E2500*F2500,"")</f>
        <v/>
      </c>
      <c r="H2500" s="34"/>
      <c r="I2500" s="30"/>
      <c r="J2500" s="152">
        <v>0</v>
      </c>
    </row>
    <row r="2501" spans="1:10" ht="15.75" hidden="1" thickBot="1" x14ac:dyDescent="0.3">
      <c r="A2501" s="176"/>
      <c r="B2501" s="174"/>
      <c r="C2501" s="35" t="s">
        <v>7996</v>
      </c>
      <c r="D2501" s="35" t="s">
        <v>773</v>
      </c>
      <c r="E2501" s="36">
        <v>0.63</v>
      </c>
      <c r="F2501" s="30">
        <v>9.9370000000000012</v>
      </c>
      <c r="G2501" s="33">
        <f>IF(ISNUMBER(F2501),E2501*F2501,"")</f>
        <v>6.2603100000000005</v>
      </c>
      <c r="H2501" s="38">
        <f>SUM(G2501:G2501)</f>
        <v>6.2603100000000005</v>
      </c>
      <c r="I2501" s="39"/>
      <c r="J2501" s="152">
        <v>0</v>
      </c>
    </row>
    <row r="2502" spans="1:10" ht="15.75" hidden="1" thickBot="1" x14ac:dyDescent="0.3">
      <c r="A2502" s="177"/>
      <c r="B2502" s="175"/>
      <c r="C2502" s="35"/>
      <c r="D2502" s="35"/>
      <c r="E2502" s="36"/>
      <c r="F2502" s="30" t="s">
        <v>416</v>
      </c>
      <c r="G2502" s="33" t="str">
        <f>IF(ISNUMBER(F2502),E2502*F2502,"")</f>
        <v/>
      </c>
      <c r="H2502" s="34"/>
      <c r="I2502" s="30"/>
      <c r="J2502" s="152">
        <v>0</v>
      </c>
    </row>
    <row r="2503" spans="1:10" ht="15.75" hidden="1" thickBot="1" x14ac:dyDescent="0.3">
      <c r="A2503" s="170" t="s">
        <v>1826</v>
      </c>
      <c r="B2503" s="173" t="str">
        <f>INDEX(Orçamentária!A:B,MATCH(Composições!A2503,Orçamentária!A:A,0),2)</f>
        <v>Ferro chato 1"x3/16"</v>
      </c>
      <c r="C2503" s="40"/>
      <c r="D2503" s="25" t="s">
        <v>69</v>
      </c>
      <c r="E2503" s="26"/>
      <c r="F2503" s="41" t="s">
        <v>416</v>
      </c>
      <c r="G2503" s="27" t="str">
        <f>IF(ISNUMBER(F2503),E2503*F2503,"")</f>
        <v/>
      </c>
      <c r="H2503" s="28"/>
      <c r="I2503" s="29"/>
      <c r="J2503" s="152">
        <v>0</v>
      </c>
    </row>
    <row r="2504" spans="1:10" ht="15.75" hidden="1" thickBot="1" x14ac:dyDescent="0.3">
      <c r="A2504" s="176"/>
      <c r="B2504" s="174"/>
      <c r="C2504" s="31"/>
      <c r="D2504" s="31"/>
      <c r="E2504" s="32"/>
      <c r="F2504" s="42" t="s">
        <v>416</v>
      </c>
      <c r="G2504" s="33" t="str">
        <f>IF(ISNUMBER(F2504),E2504*F2504,"")</f>
        <v/>
      </c>
      <c r="H2504" s="34"/>
      <c r="I2504" s="30"/>
      <c r="J2504" s="152">
        <v>0</v>
      </c>
    </row>
    <row r="2505" spans="1:10" ht="15.75" hidden="1" thickBot="1" x14ac:dyDescent="0.3">
      <c r="A2505" s="176"/>
      <c r="B2505" s="174"/>
      <c r="C2505" s="35" t="s">
        <v>7996</v>
      </c>
      <c r="D2505" s="35" t="s">
        <v>773</v>
      </c>
      <c r="E2505" s="36">
        <v>0.95</v>
      </c>
      <c r="F2505" s="30">
        <v>9.9370000000000012</v>
      </c>
      <c r="G2505" s="33">
        <f>IF(ISNUMBER(F2505),E2505*F2505,"")</f>
        <v>9.4401500000000009</v>
      </c>
      <c r="H2505" s="38">
        <f>SUM(G2505:G2505)</f>
        <v>9.4401500000000009</v>
      </c>
      <c r="I2505" s="39"/>
      <c r="J2505" s="152">
        <v>0</v>
      </c>
    </row>
    <row r="2506" spans="1:10" ht="15.75" hidden="1" thickBot="1" x14ac:dyDescent="0.3">
      <c r="A2506" s="177"/>
      <c r="B2506" s="175"/>
      <c r="C2506" s="35"/>
      <c r="D2506" s="35"/>
      <c r="E2506" s="36"/>
      <c r="F2506" s="30" t="s">
        <v>416</v>
      </c>
      <c r="G2506" s="33" t="str">
        <f>IF(ISNUMBER(F2506),E2506*F2506,"")</f>
        <v/>
      </c>
      <c r="H2506" s="34"/>
      <c r="I2506" s="30"/>
      <c r="J2506" s="152">
        <v>0</v>
      </c>
    </row>
    <row r="2507" spans="1:10" ht="15.75" hidden="1" thickBot="1" x14ac:dyDescent="0.3">
      <c r="A2507" s="170" t="s">
        <v>1828</v>
      </c>
      <c r="B2507" s="173" t="str">
        <f>INDEX(Orçamentária!A:B,MATCH(Composições!A2507,Orçamentária!A:A,0),2)</f>
        <v>Ferro chato  3/4"x1/4" ou 7/8"x1/4" ou 1” x 1/4”</v>
      </c>
      <c r="C2507" s="40"/>
      <c r="D2507" s="25" t="s">
        <v>69</v>
      </c>
      <c r="E2507" s="26"/>
      <c r="F2507" s="41" t="s">
        <v>416</v>
      </c>
      <c r="G2507" s="27" t="str">
        <f>IF(ISNUMBER(F2507),E2507*F2507,"")</f>
        <v/>
      </c>
      <c r="H2507" s="28"/>
      <c r="I2507" s="29"/>
      <c r="J2507" s="152">
        <v>0</v>
      </c>
    </row>
    <row r="2508" spans="1:10" ht="15.75" hidden="1" thickBot="1" x14ac:dyDescent="0.3">
      <c r="A2508" s="176"/>
      <c r="B2508" s="174"/>
      <c r="C2508" s="31"/>
      <c r="D2508" s="31"/>
      <c r="E2508" s="32"/>
      <c r="F2508" s="42" t="s">
        <v>416</v>
      </c>
      <c r="G2508" s="33" t="str">
        <f>IF(ISNUMBER(F2508),E2508*F2508,"")</f>
        <v/>
      </c>
      <c r="H2508" s="34"/>
      <c r="I2508" s="30"/>
      <c r="J2508" s="152">
        <v>0</v>
      </c>
    </row>
    <row r="2509" spans="1:10" ht="15.75" hidden="1" thickBot="1" x14ac:dyDescent="0.3">
      <c r="A2509" s="176"/>
      <c r="B2509" s="174"/>
      <c r="C2509" s="35" t="s">
        <v>7996</v>
      </c>
      <c r="D2509" s="35" t="s">
        <v>773</v>
      </c>
      <c r="E2509" s="36">
        <v>1.1100000000000001</v>
      </c>
      <c r="F2509" s="30">
        <v>9.9370000000000012</v>
      </c>
      <c r="G2509" s="33">
        <f>IF(ISNUMBER(F2509),E2509*F2509,"")</f>
        <v>11.030070000000002</v>
      </c>
      <c r="H2509" s="38">
        <f>SUM(G2509:G2509)</f>
        <v>11.030070000000002</v>
      </c>
      <c r="I2509" s="39"/>
      <c r="J2509" s="152">
        <v>0</v>
      </c>
    </row>
    <row r="2510" spans="1:10" ht="15.75" hidden="1" thickBot="1" x14ac:dyDescent="0.3">
      <c r="A2510" s="177"/>
      <c r="B2510" s="175"/>
      <c r="C2510" s="35"/>
      <c r="D2510" s="35"/>
      <c r="E2510" s="36"/>
      <c r="F2510" s="30" t="s">
        <v>416</v>
      </c>
      <c r="G2510" s="33" t="str">
        <f>IF(ISNUMBER(F2510),E2510*F2510,"")</f>
        <v/>
      </c>
      <c r="H2510" s="34"/>
      <c r="I2510" s="30"/>
      <c r="J2510" s="152">
        <v>0</v>
      </c>
    </row>
    <row r="2511" spans="1:10" ht="15.75" hidden="1" thickBot="1" x14ac:dyDescent="0.3">
      <c r="A2511" s="170" t="s">
        <v>1830</v>
      </c>
      <c r="B2511" s="173" t="str">
        <f>INDEX(Orçamentária!A:B,MATCH(Composições!A2511,Orçamentária!A:A,0),2)</f>
        <v>Ferro chato 3/4"x1/8"</v>
      </c>
      <c r="C2511" s="40"/>
      <c r="D2511" s="25" t="s">
        <v>69</v>
      </c>
      <c r="E2511" s="26"/>
      <c r="F2511" s="41" t="s">
        <v>416</v>
      </c>
      <c r="G2511" s="27" t="str">
        <f>IF(ISNUMBER(F2511),E2511*F2511,"")</f>
        <v/>
      </c>
      <c r="H2511" s="28"/>
      <c r="I2511" s="29"/>
      <c r="J2511" s="152">
        <v>0</v>
      </c>
    </row>
    <row r="2512" spans="1:10" ht="15.75" hidden="1" thickBot="1" x14ac:dyDescent="0.3">
      <c r="A2512" s="176"/>
      <c r="B2512" s="174"/>
      <c r="C2512" s="31"/>
      <c r="D2512" s="31"/>
      <c r="E2512" s="32"/>
      <c r="F2512" s="42" t="s">
        <v>416</v>
      </c>
      <c r="G2512" s="33" t="str">
        <f>IF(ISNUMBER(F2512),E2512*F2512,"")</f>
        <v/>
      </c>
      <c r="H2512" s="34"/>
      <c r="I2512" s="30"/>
      <c r="J2512" s="152">
        <v>0</v>
      </c>
    </row>
    <row r="2513" spans="1:10" ht="15.75" hidden="1" thickBot="1" x14ac:dyDescent="0.3">
      <c r="A2513" s="176"/>
      <c r="B2513" s="174"/>
      <c r="C2513" s="35" t="s">
        <v>7996</v>
      </c>
      <c r="D2513" s="35" t="s">
        <v>773</v>
      </c>
      <c r="E2513" s="36">
        <v>0.48</v>
      </c>
      <c r="F2513" s="30">
        <v>9.9370000000000012</v>
      </c>
      <c r="G2513" s="33">
        <f>IF(ISNUMBER(F2513),E2513*F2513,"")</f>
        <v>4.7697600000000007</v>
      </c>
      <c r="H2513" s="38">
        <f>SUM(G2513:G2513)</f>
        <v>4.7697600000000007</v>
      </c>
      <c r="I2513" s="39"/>
      <c r="J2513" s="152">
        <v>0</v>
      </c>
    </row>
    <row r="2514" spans="1:10" ht="15.75" hidden="1" thickBot="1" x14ac:dyDescent="0.3">
      <c r="A2514" s="177"/>
      <c r="B2514" s="175"/>
      <c r="C2514" s="35"/>
      <c r="D2514" s="35"/>
      <c r="E2514" s="36"/>
      <c r="F2514" s="30" t="s">
        <v>416</v>
      </c>
      <c r="G2514" s="33" t="str">
        <f>IF(ISNUMBER(F2514),E2514*F2514,"")</f>
        <v/>
      </c>
      <c r="H2514" s="34"/>
      <c r="I2514" s="30"/>
      <c r="J2514" s="152">
        <v>0</v>
      </c>
    </row>
    <row r="2515" spans="1:10" ht="15.75" hidden="1" thickBot="1" x14ac:dyDescent="0.3">
      <c r="A2515" s="170" t="s">
        <v>1832</v>
      </c>
      <c r="B2515" s="173" t="str">
        <f>INDEX(Orçamentária!A:B,MATCH(Composições!A2515,Orçamentária!A:A,0),2)</f>
        <v>Ferro chato 3/4"x3/16"</v>
      </c>
      <c r="C2515" s="40"/>
      <c r="D2515" s="25" t="s">
        <v>69</v>
      </c>
      <c r="E2515" s="26"/>
      <c r="F2515" s="41" t="s">
        <v>416</v>
      </c>
      <c r="G2515" s="27" t="str">
        <f>IF(ISNUMBER(F2515),E2515*F2515,"")</f>
        <v/>
      </c>
      <c r="H2515" s="28"/>
      <c r="I2515" s="29"/>
      <c r="J2515" s="152">
        <v>0</v>
      </c>
    </row>
    <row r="2516" spans="1:10" ht="15.75" hidden="1" thickBot="1" x14ac:dyDescent="0.3">
      <c r="A2516" s="176"/>
      <c r="B2516" s="174"/>
      <c r="C2516" s="31"/>
      <c r="D2516" s="31"/>
      <c r="E2516" s="32"/>
      <c r="F2516" s="42" t="s">
        <v>416</v>
      </c>
      <c r="G2516" s="33" t="str">
        <f>IF(ISNUMBER(F2516),E2516*F2516,"")</f>
        <v/>
      </c>
      <c r="H2516" s="34"/>
      <c r="I2516" s="30"/>
      <c r="J2516" s="152">
        <v>0</v>
      </c>
    </row>
    <row r="2517" spans="1:10" ht="15.75" hidden="1" thickBot="1" x14ac:dyDescent="0.3">
      <c r="A2517" s="176"/>
      <c r="B2517" s="174"/>
      <c r="C2517" s="35" t="s">
        <v>7996</v>
      </c>
      <c r="D2517" s="35" t="s">
        <v>773</v>
      </c>
      <c r="E2517" s="36">
        <v>0.71</v>
      </c>
      <c r="F2517" s="30">
        <v>9.9370000000000012</v>
      </c>
      <c r="G2517" s="33">
        <f>IF(ISNUMBER(F2517),E2517*F2517,"")</f>
        <v>7.0552700000000002</v>
      </c>
      <c r="H2517" s="38">
        <f>SUM(G2517:G2517)</f>
        <v>7.0552700000000002</v>
      </c>
      <c r="I2517" s="39"/>
      <c r="J2517" s="152">
        <v>0</v>
      </c>
    </row>
    <row r="2518" spans="1:10" ht="15.75" hidden="1" thickBot="1" x14ac:dyDescent="0.3">
      <c r="A2518" s="177"/>
      <c r="B2518" s="175"/>
      <c r="C2518" s="35"/>
      <c r="D2518" s="35"/>
      <c r="E2518" s="36"/>
      <c r="F2518" s="30" t="s">
        <v>416</v>
      </c>
      <c r="G2518" s="33" t="str">
        <f>IF(ISNUMBER(F2518),E2518*F2518,"")</f>
        <v/>
      </c>
      <c r="H2518" s="34"/>
      <c r="I2518" s="30"/>
      <c r="J2518" s="152">
        <v>0</v>
      </c>
    </row>
    <row r="2519" spans="1:10" ht="15.75" hidden="1" thickBot="1" x14ac:dyDescent="0.3">
      <c r="A2519" s="170" t="s">
        <v>1834</v>
      </c>
      <c r="B2519" s="173" t="str">
        <f>INDEX(Orçamentária!A:B,MATCH(Composições!A2519,Orçamentária!A:A,0),2)</f>
        <v>Ferro chato 5/8"x1/8"</v>
      </c>
      <c r="C2519" s="40"/>
      <c r="D2519" s="25" t="s">
        <v>69</v>
      </c>
      <c r="E2519" s="26"/>
      <c r="F2519" s="41" t="s">
        <v>416</v>
      </c>
      <c r="G2519" s="27" t="str">
        <f>IF(ISNUMBER(F2519),E2519*F2519,"")</f>
        <v/>
      </c>
      <c r="H2519" s="28"/>
      <c r="I2519" s="29"/>
      <c r="J2519" s="152">
        <v>0</v>
      </c>
    </row>
    <row r="2520" spans="1:10" ht="15.75" hidden="1" thickBot="1" x14ac:dyDescent="0.3">
      <c r="A2520" s="176"/>
      <c r="B2520" s="174"/>
      <c r="C2520" s="31"/>
      <c r="D2520" s="31"/>
      <c r="E2520" s="32"/>
      <c r="F2520" s="42" t="s">
        <v>416</v>
      </c>
      <c r="G2520" s="33" t="str">
        <f>IF(ISNUMBER(F2520),E2520*F2520,"")</f>
        <v/>
      </c>
      <c r="H2520" s="34"/>
      <c r="I2520" s="30"/>
      <c r="J2520" s="152">
        <v>0</v>
      </c>
    </row>
    <row r="2521" spans="1:10" ht="15.75" hidden="1" thickBot="1" x14ac:dyDescent="0.3">
      <c r="A2521" s="176"/>
      <c r="B2521" s="174"/>
      <c r="C2521" s="35" t="s">
        <v>7996</v>
      </c>
      <c r="D2521" s="35" t="s">
        <v>773</v>
      </c>
      <c r="E2521" s="36">
        <v>0.4</v>
      </c>
      <c r="F2521" s="30">
        <v>9.9370000000000012</v>
      </c>
      <c r="G2521" s="33">
        <f>IF(ISNUMBER(F2521),E2521*F2521,"")</f>
        <v>3.9748000000000006</v>
      </c>
      <c r="H2521" s="38">
        <f>SUM(G2521:G2521)</f>
        <v>3.9748000000000006</v>
      </c>
      <c r="I2521" s="39"/>
      <c r="J2521" s="152">
        <v>0</v>
      </c>
    </row>
    <row r="2522" spans="1:10" ht="15.75" hidden="1" thickBot="1" x14ac:dyDescent="0.3">
      <c r="A2522" s="177"/>
      <c r="B2522" s="175"/>
      <c r="C2522" s="35"/>
      <c r="D2522" s="35"/>
      <c r="E2522" s="36"/>
      <c r="F2522" s="30" t="s">
        <v>416</v>
      </c>
      <c r="G2522" s="33" t="str">
        <f>IF(ISNUMBER(F2522),E2522*F2522,"")</f>
        <v/>
      </c>
      <c r="H2522" s="34"/>
      <c r="I2522" s="30"/>
      <c r="J2522" s="152">
        <v>0</v>
      </c>
    </row>
    <row r="2523" spans="1:10" ht="15.75" hidden="1" thickBot="1" x14ac:dyDescent="0.3">
      <c r="A2523" s="170" t="s">
        <v>1836</v>
      </c>
      <c r="B2523" s="173" t="str">
        <f>INDEX(Orçamentária!A:B,MATCH(Composições!A2523,Orçamentária!A:A,0),2)</f>
        <v>Ferro chato 5/8"x3/16"</v>
      </c>
      <c r="C2523" s="40"/>
      <c r="D2523" s="25" t="s">
        <v>69</v>
      </c>
      <c r="E2523" s="26"/>
      <c r="F2523" s="41" t="s">
        <v>416</v>
      </c>
      <c r="G2523" s="27" t="str">
        <f>IF(ISNUMBER(F2523),E2523*F2523,"")</f>
        <v/>
      </c>
      <c r="H2523" s="28"/>
      <c r="I2523" s="29"/>
      <c r="J2523" s="152">
        <v>0</v>
      </c>
    </row>
    <row r="2524" spans="1:10" ht="15.75" hidden="1" thickBot="1" x14ac:dyDescent="0.3">
      <c r="A2524" s="176"/>
      <c r="B2524" s="174"/>
      <c r="C2524" s="31"/>
      <c r="D2524" s="31"/>
      <c r="E2524" s="32"/>
      <c r="F2524" s="42" t="s">
        <v>416</v>
      </c>
      <c r="G2524" s="33" t="str">
        <f>IF(ISNUMBER(F2524),E2524*F2524,"")</f>
        <v/>
      </c>
      <c r="H2524" s="34"/>
      <c r="I2524" s="30"/>
      <c r="J2524" s="152">
        <v>0</v>
      </c>
    </row>
    <row r="2525" spans="1:10" ht="15.75" hidden="1" thickBot="1" x14ac:dyDescent="0.3">
      <c r="A2525" s="176"/>
      <c r="B2525" s="174"/>
      <c r="C2525" s="35" t="s">
        <v>7996</v>
      </c>
      <c r="D2525" s="35" t="s">
        <v>773</v>
      </c>
      <c r="E2525" s="36">
        <v>0.79</v>
      </c>
      <c r="F2525" s="30">
        <v>9.9370000000000012</v>
      </c>
      <c r="G2525" s="33">
        <f>IF(ISNUMBER(F2525),E2525*F2525,"")</f>
        <v>7.8502300000000016</v>
      </c>
      <c r="H2525" s="38">
        <f>SUM(G2525:G2525)</f>
        <v>7.8502300000000016</v>
      </c>
      <c r="I2525" s="39"/>
      <c r="J2525" s="152">
        <v>0</v>
      </c>
    </row>
    <row r="2526" spans="1:10" ht="15.75" hidden="1" thickBot="1" x14ac:dyDescent="0.3">
      <c r="A2526" s="177"/>
      <c r="B2526" s="175"/>
      <c r="C2526" s="35"/>
      <c r="D2526" s="35"/>
      <c r="E2526" s="36"/>
      <c r="F2526" s="30" t="s">
        <v>416</v>
      </c>
      <c r="G2526" s="33" t="str">
        <f>IF(ISNUMBER(F2526),E2526*F2526,"")</f>
        <v/>
      </c>
      <c r="H2526" s="34"/>
      <c r="I2526" s="30"/>
      <c r="J2526" s="152">
        <v>0</v>
      </c>
    </row>
    <row r="2527" spans="1:10" ht="15.75" hidden="1" thickBot="1" x14ac:dyDescent="0.3">
      <c r="A2527" s="170" t="s">
        <v>1838</v>
      </c>
      <c r="B2527" s="173" t="str">
        <f>INDEX(Orçamentária!A:B,MATCH(Composições!A2527,Orçamentária!A:A,0),2)</f>
        <v>Ferro chato 7/8"x1/8"</v>
      </c>
      <c r="C2527" s="40"/>
      <c r="D2527" s="25" t="s">
        <v>69</v>
      </c>
      <c r="E2527" s="26"/>
      <c r="F2527" s="41" t="s">
        <v>416</v>
      </c>
      <c r="G2527" s="27" t="str">
        <f>IF(ISNUMBER(F2527),E2527*F2527,"")</f>
        <v/>
      </c>
      <c r="H2527" s="28"/>
      <c r="I2527" s="29"/>
      <c r="J2527" s="152">
        <v>0</v>
      </c>
    </row>
    <row r="2528" spans="1:10" ht="15.75" hidden="1" thickBot="1" x14ac:dyDescent="0.3">
      <c r="A2528" s="176"/>
      <c r="B2528" s="174"/>
      <c r="C2528" s="31"/>
      <c r="D2528" s="31"/>
      <c r="E2528" s="32"/>
      <c r="F2528" s="42" t="s">
        <v>416</v>
      </c>
      <c r="G2528" s="33" t="str">
        <f>IF(ISNUMBER(F2528),E2528*F2528,"")</f>
        <v/>
      </c>
      <c r="H2528" s="34"/>
      <c r="I2528" s="30"/>
      <c r="J2528" s="152">
        <v>0</v>
      </c>
    </row>
    <row r="2529" spans="1:10" ht="15.75" hidden="1" thickBot="1" x14ac:dyDescent="0.3">
      <c r="A2529" s="176"/>
      <c r="B2529" s="174"/>
      <c r="C2529" s="35" t="s">
        <v>7996</v>
      </c>
      <c r="D2529" s="35" t="s">
        <v>773</v>
      </c>
      <c r="E2529" s="36">
        <v>0.55000000000000004</v>
      </c>
      <c r="F2529" s="30">
        <v>9.9370000000000012</v>
      </c>
      <c r="G2529" s="33">
        <f>IF(ISNUMBER(F2529),E2529*F2529,"")</f>
        <v>5.4653500000000008</v>
      </c>
      <c r="H2529" s="38">
        <f>SUM(G2529:G2529)</f>
        <v>5.4653500000000008</v>
      </c>
      <c r="I2529" s="39"/>
      <c r="J2529" s="152">
        <v>0</v>
      </c>
    </row>
    <row r="2530" spans="1:10" ht="15.75" hidden="1" thickBot="1" x14ac:dyDescent="0.3">
      <c r="A2530" s="177"/>
      <c r="B2530" s="175"/>
      <c r="C2530" s="35"/>
      <c r="D2530" s="35"/>
      <c r="E2530" s="36"/>
      <c r="F2530" s="30" t="s">
        <v>416</v>
      </c>
      <c r="G2530" s="33" t="str">
        <f>IF(ISNUMBER(F2530),E2530*F2530,"")</f>
        <v/>
      </c>
      <c r="H2530" s="34"/>
      <c r="I2530" s="30"/>
      <c r="J2530" s="152">
        <v>0</v>
      </c>
    </row>
    <row r="2531" spans="1:10" ht="15.75" hidden="1" thickBot="1" x14ac:dyDescent="0.3">
      <c r="A2531" s="170" t="s">
        <v>1840</v>
      </c>
      <c r="B2531" s="173" t="str">
        <f>INDEX(Orçamentária!A:B,MATCH(Composições!A2531,Orçamentária!A:A,0),2)</f>
        <v>Ferro chato 7/8"x3/16"</v>
      </c>
      <c r="C2531" s="40"/>
      <c r="D2531" s="25" t="s">
        <v>69</v>
      </c>
      <c r="E2531" s="26"/>
      <c r="F2531" s="41" t="s">
        <v>416</v>
      </c>
      <c r="G2531" s="27" t="str">
        <f>IF(ISNUMBER(F2531),E2531*F2531,"")</f>
        <v/>
      </c>
      <c r="H2531" s="28"/>
      <c r="I2531" s="29"/>
      <c r="J2531" s="152">
        <v>0</v>
      </c>
    </row>
    <row r="2532" spans="1:10" ht="15.75" hidden="1" thickBot="1" x14ac:dyDescent="0.3">
      <c r="A2532" s="176"/>
      <c r="B2532" s="174"/>
      <c r="C2532" s="31"/>
      <c r="D2532" s="31"/>
      <c r="E2532" s="32"/>
      <c r="F2532" s="42" t="s">
        <v>416</v>
      </c>
      <c r="G2532" s="33" t="str">
        <f>IF(ISNUMBER(F2532),E2532*F2532,"")</f>
        <v/>
      </c>
      <c r="H2532" s="34"/>
      <c r="I2532" s="30"/>
      <c r="J2532" s="152">
        <v>0</v>
      </c>
    </row>
    <row r="2533" spans="1:10" ht="15.75" hidden="1" thickBot="1" x14ac:dyDescent="0.3">
      <c r="A2533" s="176"/>
      <c r="B2533" s="174"/>
      <c r="C2533" s="35" t="s">
        <v>7996</v>
      </c>
      <c r="D2533" s="35" t="s">
        <v>773</v>
      </c>
      <c r="E2533" s="36">
        <v>0.83</v>
      </c>
      <c r="F2533" s="30">
        <v>9.9370000000000012</v>
      </c>
      <c r="G2533" s="33">
        <f>IF(ISNUMBER(F2533),E2533*F2533,"")</f>
        <v>8.2477100000000014</v>
      </c>
      <c r="H2533" s="38">
        <f>SUM(G2533:G2533)</f>
        <v>8.2477100000000014</v>
      </c>
      <c r="I2533" s="39"/>
      <c r="J2533" s="152">
        <v>0</v>
      </c>
    </row>
    <row r="2534" spans="1:10" ht="15.75" hidden="1" thickBot="1" x14ac:dyDescent="0.3">
      <c r="A2534" s="177"/>
      <c r="B2534" s="175"/>
      <c r="C2534" s="35"/>
      <c r="D2534" s="35"/>
      <c r="E2534" s="36"/>
      <c r="F2534" s="30" t="s">
        <v>416</v>
      </c>
      <c r="G2534" s="33" t="str">
        <f>IF(ISNUMBER(F2534),E2534*F2534,"")</f>
        <v/>
      </c>
      <c r="H2534" s="34"/>
      <c r="I2534" s="30"/>
      <c r="J2534" s="152">
        <v>0</v>
      </c>
    </row>
    <row r="2535" spans="1:10" ht="15.75" hidden="1" thickBot="1" x14ac:dyDescent="0.3">
      <c r="A2535" s="170" t="s">
        <v>1919</v>
      </c>
      <c r="B2535" s="173" t="str">
        <f>INDEX(Orçamentária!A:B,MATCH(Composições!A2535,Orçamentária!A:A,0),2)</f>
        <v>Tela de estuque</v>
      </c>
      <c r="C2535" s="40"/>
      <c r="D2535" s="25" t="s">
        <v>70</v>
      </c>
      <c r="E2535" s="26"/>
      <c r="F2535" s="41" t="s">
        <v>416</v>
      </c>
      <c r="G2535" s="27" t="str">
        <f>IF(ISNUMBER(F2535),E2535*F2535,"")</f>
        <v/>
      </c>
      <c r="H2535" s="28"/>
      <c r="I2535" s="29"/>
      <c r="J2535" s="152">
        <v>0</v>
      </c>
    </row>
    <row r="2536" spans="1:10" ht="15.75" hidden="1" thickBot="1" x14ac:dyDescent="0.3">
      <c r="A2536" s="176"/>
      <c r="B2536" s="174"/>
      <c r="C2536" s="31"/>
      <c r="D2536" s="31"/>
      <c r="E2536" s="32"/>
      <c r="F2536" s="42" t="s">
        <v>416</v>
      </c>
      <c r="G2536" s="33" t="str">
        <f>IF(ISNUMBER(F2536),E2536*F2536,"")</f>
        <v/>
      </c>
      <c r="H2536" s="34"/>
      <c r="I2536" s="30"/>
      <c r="J2536" s="152">
        <v>0</v>
      </c>
    </row>
    <row r="2537" spans="1:10" ht="15.75" hidden="1" thickBot="1" x14ac:dyDescent="0.3">
      <c r="A2537" s="176"/>
      <c r="B2537" s="174"/>
      <c r="C2537" s="35" t="s">
        <v>2944</v>
      </c>
      <c r="D2537" s="35" t="s">
        <v>861</v>
      </c>
      <c r="E2537" s="36">
        <v>1</v>
      </c>
      <c r="F2537" s="30">
        <v>5.7285000000000004</v>
      </c>
      <c r="G2537" s="33">
        <f>IF(ISNUMBER(F2537),E2537*F2537,"")</f>
        <v>5.7285000000000004</v>
      </c>
      <c r="H2537" s="38">
        <f>SUM(G2537:G2537)</f>
        <v>5.7285000000000004</v>
      </c>
      <c r="I2537" s="39"/>
      <c r="J2537" s="152">
        <v>0</v>
      </c>
    </row>
    <row r="2538" spans="1:10" ht="15.75" hidden="1" thickBot="1" x14ac:dyDescent="0.3">
      <c r="A2538" s="177"/>
      <c r="B2538" s="175"/>
      <c r="C2538" s="35"/>
      <c r="D2538" s="35"/>
      <c r="E2538" s="36"/>
      <c r="F2538" s="30" t="s">
        <v>416</v>
      </c>
      <c r="G2538" s="33" t="str">
        <f>IF(ISNUMBER(F2538),E2538*F2538,"")</f>
        <v/>
      </c>
      <c r="H2538" s="34"/>
      <c r="I2538" s="30"/>
      <c r="J2538" s="152">
        <v>0</v>
      </c>
    </row>
    <row r="2539" spans="1:10" ht="15.75" hidden="1" thickBot="1" x14ac:dyDescent="0.3">
      <c r="A2539" s="170" t="s">
        <v>1923</v>
      </c>
      <c r="B2539" s="173" t="str">
        <f>INDEX(Orçamentária!A:B,MATCH(Composições!A2539,Orçamentária!A:A,0),2)</f>
        <v>Arame galvanizado, bitola 16 BWG (1,65 mm)</v>
      </c>
      <c r="C2539" s="40"/>
      <c r="D2539" s="25" t="s">
        <v>28</v>
      </c>
      <c r="E2539" s="26"/>
      <c r="F2539" s="41" t="s">
        <v>416</v>
      </c>
      <c r="G2539" s="27" t="str">
        <f>IF(ISNUMBER(F2539),E2539*F2539,"")</f>
        <v/>
      </c>
      <c r="H2539" s="28"/>
      <c r="I2539" s="29"/>
      <c r="J2539" s="152">
        <v>0</v>
      </c>
    </row>
    <row r="2540" spans="1:10" ht="15.75" hidden="1" thickBot="1" x14ac:dyDescent="0.3">
      <c r="A2540" s="176"/>
      <c r="B2540" s="174"/>
      <c r="C2540" s="31"/>
      <c r="D2540" s="31"/>
      <c r="E2540" s="32"/>
      <c r="F2540" s="42" t="s">
        <v>416</v>
      </c>
      <c r="G2540" s="33" t="str">
        <f>IF(ISNUMBER(F2540),E2540*F2540,"")</f>
        <v/>
      </c>
      <c r="H2540" s="34"/>
      <c r="I2540" s="30"/>
      <c r="J2540" s="152">
        <v>0</v>
      </c>
    </row>
    <row r="2541" spans="1:10" ht="15.75" hidden="1" thickBot="1" x14ac:dyDescent="0.3">
      <c r="A2541" s="176"/>
      <c r="B2541" s="174"/>
      <c r="C2541" s="35" t="s">
        <v>2923</v>
      </c>
      <c r="D2541" s="35" t="s">
        <v>773</v>
      </c>
      <c r="E2541" s="36">
        <v>1</v>
      </c>
      <c r="F2541" s="30">
        <v>27.663999999999998</v>
      </c>
      <c r="G2541" s="33">
        <f>IF(ISNUMBER(F2541),E2541*F2541,"")</f>
        <v>27.663999999999998</v>
      </c>
      <c r="H2541" s="38">
        <f>SUM(G2541:G2541)</f>
        <v>27.663999999999998</v>
      </c>
      <c r="I2541" s="39"/>
      <c r="J2541" s="152">
        <v>0</v>
      </c>
    </row>
    <row r="2542" spans="1:10" ht="15.75" hidden="1" thickBot="1" x14ac:dyDescent="0.3">
      <c r="A2542" s="177"/>
      <c r="B2542" s="175"/>
      <c r="C2542" s="35"/>
      <c r="D2542" s="35"/>
      <c r="E2542" s="36"/>
      <c r="F2542" s="30" t="s">
        <v>416</v>
      </c>
      <c r="G2542" s="33" t="str">
        <f>IF(ISNUMBER(F2542),E2542*F2542,"")</f>
        <v/>
      </c>
      <c r="H2542" s="34"/>
      <c r="I2542" s="30"/>
      <c r="J2542" s="152">
        <v>0</v>
      </c>
    </row>
    <row r="2543" spans="1:10" ht="15.75" hidden="1" thickBot="1" x14ac:dyDescent="0.3">
      <c r="A2543" s="170" t="s">
        <v>1926</v>
      </c>
      <c r="B2543" s="173" t="str">
        <f>INDEX(Orçamentária!A:B,MATCH(Composições!A2543,Orçamentária!A:A,0),2)</f>
        <v>Tela em aço galvanizado, tipo alambrado, malha 2, fio 12</v>
      </c>
      <c r="C2543" s="40"/>
      <c r="D2543" s="25" t="s">
        <v>70</v>
      </c>
      <c r="E2543" s="26"/>
      <c r="F2543" s="41" t="s">
        <v>416</v>
      </c>
      <c r="G2543" s="27" t="str">
        <f>IF(ISNUMBER(F2543),E2543*F2543,"")</f>
        <v/>
      </c>
      <c r="H2543" s="28"/>
      <c r="I2543" s="29"/>
      <c r="J2543" s="152">
        <v>0</v>
      </c>
    </row>
    <row r="2544" spans="1:10" ht="15.75" hidden="1" thickBot="1" x14ac:dyDescent="0.3">
      <c r="A2544" s="176"/>
      <c r="B2544" s="174"/>
      <c r="C2544" s="31"/>
      <c r="D2544" s="31"/>
      <c r="E2544" s="32"/>
      <c r="F2544" s="42" t="s">
        <v>416</v>
      </c>
      <c r="G2544" s="33" t="str">
        <f>IF(ISNUMBER(F2544),E2544*F2544,"")</f>
        <v/>
      </c>
      <c r="H2544" s="34"/>
      <c r="I2544" s="30"/>
      <c r="J2544" s="152">
        <v>0</v>
      </c>
    </row>
    <row r="2545" spans="1:10" ht="26.25" hidden="1" thickBot="1" x14ac:dyDescent="0.3">
      <c r="A2545" s="176"/>
      <c r="B2545" s="174"/>
      <c r="C2545" s="35" t="s">
        <v>2943</v>
      </c>
      <c r="D2545" s="35" t="s">
        <v>861</v>
      </c>
      <c r="E2545" s="36">
        <v>1</v>
      </c>
      <c r="F2545" s="30">
        <v>40.802500000000002</v>
      </c>
      <c r="G2545" s="33">
        <f>IF(ISNUMBER(F2545),E2545*F2545,"")</f>
        <v>40.802500000000002</v>
      </c>
      <c r="H2545" s="38">
        <f>SUM(G2545:G2545)</f>
        <v>40.802500000000002</v>
      </c>
      <c r="I2545" s="39"/>
      <c r="J2545" s="152">
        <v>0</v>
      </c>
    </row>
    <row r="2546" spans="1:10" ht="15.75" hidden="1" thickBot="1" x14ac:dyDescent="0.3">
      <c r="A2546" s="177"/>
      <c r="B2546" s="175"/>
      <c r="C2546" s="35"/>
      <c r="D2546" s="35"/>
      <c r="E2546" s="36"/>
      <c r="F2546" s="30" t="s">
        <v>416</v>
      </c>
      <c r="G2546" s="33" t="str">
        <f>IF(ISNUMBER(F2546),E2546*F2546,"")</f>
        <v/>
      </c>
      <c r="H2546" s="34"/>
      <c r="I2546" s="30"/>
      <c r="J2546" s="152">
        <v>0</v>
      </c>
    </row>
    <row r="2547" spans="1:10" ht="15.75" hidden="1" thickBot="1" x14ac:dyDescent="0.3">
      <c r="A2547" s="170" t="s">
        <v>1928</v>
      </c>
      <c r="B2547" s="173" t="str">
        <f>INDEX(Orçamentária!A:B,MATCH(Composições!A2547,Orçamentária!A:A,0),2)</f>
        <v>Massa Adesiva Plástica</v>
      </c>
      <c r="C2547" s="40"/>
      <c r="D2547" s="25" t="s">
        <v>16</v>
      </c>
      <c r="E2547" s="26"/>
      <c r="F2547" s="41" t="s">
        <v>416</v>
      </c>
      <c r="G2547" s="27" t="str">
        <f>IF(ISNUMBER(F2547),E2547*F2547,"")</f>
        <v/>
      </c>
      <c r="H2547" s="28"/>
      <c r="I2547" s="29"/>
      <c r="J2547" s="152">
        <v>0</v>
      </c>
    </row>
    <row r="2548" spans="1:10" ht="15.75" hidden="1" thickBot="1" x14ac:dyDescent="0.3">
      <c r="A2548" s="176"/>
      <c r="B2548" s="174"/>
      <c r="C2548" s="31"/>
      <c r="D2548" s="31"/>
      <c r="E2548" s="32"/>
      <c r="F2548" s="42" t="s">
        <v>416</v>
      </c>
      <c r="G2548" s="33" t="str">
        <f>IF(ISNUMBER(F2548),E2548*F2548,"")</f>
        <v/>
      </c>
      <c r="H2548" s="34"/>
      <c r="I2548" s="30"/>
      <c r="J2548" s="152">
        <v>0</v>
      </c>
    </row>
    <row r="2549" spans="1:10" ht="15.75" hidden="1" thickBot="1" x14ac:dyDescent="0.3">
      <c r="A2549" s="176"/>
      <c r="B2549" s="174"/>
      <c r="C2549" s="35" t="s">
        <v>2934</v>
      </c>
      <c r="D2549" s="35" t="s">
        <v>773</v>
      </c>
      <c r="E2549" s="36">
        <v>0.4</v>
      </c>
      <c r="F2549" s="30">
        <v>38.826499999999996</v>
      </c>
      <c r="G2549" s="33">
        <f>IF(ISNUMBER(F2549),E2549*F2549,"")</f>
        <v>15.5306</v>
      </c>
      <c r="H2549" s="38">
        <f>SUM(G2549:G2549)</f>
        <v>15.5306</v>
      </c>
      <c r="I2549" s="39"/>
      <c r="J2549" s="152">
        <v>0</v>
      </c>
    </row>
    <row r="2550" spans="1:10" ht="15.75" hidden="1" thickBot="1" x14ac:dyDescent="0.3">
      <c r="A2550" s="177"/>
      <c r="B2550" s="175"/>
      <c r="C2550" s="35"/>
      <c r="D2550" s="35"/>
      <c r="E2550" s="36"/>
      <c r="F2550" s="30" t="s">
        <v>416</v>
      </c>
      <c r="G2550" s="33" t="str">
        <f>IF(ISNUMBER(F2550),E2550*F2550,"")</f>
        <v/>
      </c>
      <c r="H2550" s="34"/>
      <c r="I2550" s="30"/>
      <c r="J2550" s="152">
        <v>0</v>
      </c>
    </row>
    <row r="2551" spans="1:10" ht="15.75" hidden="1" thickBot="1" x14ac:dyDescent="0.3">
      <c r="A2551" s="170" t="s">
        <v>622</v>
      </c>
      <c r="B2551" s="173" t="str">
        <f>INDEX(Orçamentária!A:B,MATCH(Composições!A2551,Orçamentária!A:A,0),2)</f>
        <v>Argamassa Para Contrapiso</v>
      </c>
      <c r="C2551" s="40"/>
      <c r="D2551" s="25" t="s">
        <v>1931</v>
      </c>
      <c r="E2551" s="26"/>
      <c r="F2551" s="41" t="s">
        <v>416</v>
      </c>
      <c r="G2551" s="27" t="str">
        <f>IF(ISNUMBER(F2551),E2551*F2551,"")</f>
        <v/>
      </c>
      <c r="H2551" s="28"/>
      <c r="I2551" s="29"/>
      <c r="J2551" s="152">
        <v>0</v>
      </c>
    </row>
    <row r="2552" spans="1:10" ht="15.75" hidden="1" thickBot="1" x14ac:dyDescent="0.3">
      <c r="A2552" s="176"/>
      <c r="B2552" s="174"/>
      <c r="C2552" s="31"/>
      <c r="D2552" s="31"/>
      <c r="E2552" s="32"/>
      <c r="F2552" s="42" t="s">
        <v>416</v>
      </c>
      <c r="G2552" s="33" t="str">
        <f>IF(ISNUMBER(F2552),E2552*F2552,"")</f>
        <v/>
      </c>
      <c r="H2552" s="34"/>
      <c r="I2552" s="30"/>
      <c r="J2552" s="152">
        <v>0</v>
      </c>
    </row>
    <row r="2553" spans="1:10" ht="15.75" hidden="1" thickBot="1" x14ac:dyDescent="0.3">
      <c r="A2553" s="176"/>
      <c r="B2553" s="174"/>
      <c r="C2553" s="35" t="s">
        <v>623</v>
      </c>
      <c r="D2553" s="35" t="s">
        <v>773</v>
      </c>
      <c r="E2553" s="36">
        <v>40</v>
      </c>
      <c r="F2553" s="30">
        <v>0.60799999999999998</v>
      </c>
      <c r="G2553" s="33">
        <f>IF(ISNUMBER(F2553),E2553*F2553,"")</f>
        <v>24.32</v>
      </c>
      <c r="H2553" s="38">
        <f>SUM(G2553:G2553)</f>
        <v>24.32</v>
      </c>
      <c r="I2553" s="39"/>
      <c r="J2553" s="152">
        <v>0</v>
      </c>
    </row>
    <row r="2554" spans="1:10" ht="15.75" hidden="1" thickBot="1" x14ac:dyDescent="0.3">
      <c r="A2554" s="177"/>
      <c r="B2554" s="175"/>
      <c r="C2554" s="35"/>
      <c r="D2554" s="35"/>
      <c r="E2554" s="36"/>
      <c r="F2554" s="30" t="s">
        <v>416</v>
      </c>
      <c r="G2554" s="33" t="str">
        <f>IF(ISNUMBER(F2554),E2554*F2554,"")</f>
        <v/>
      </c>
      <c r="H2554" s="34"/>
      <c r="I2554" s="30"/>
      <c r="J2554" s="152">
        <v>0</v>
      </c>
    </row>
    <row r="2555" spans="1:10" ht="15.75" hidden="1" thickBot="1" x14ac:dyDescent="0.3">
      <c r="A2555" s="170" t="s">
        <v>624</v>
      </c>
      <c r="B2555" s="173" t="str">
        <f>INDEX(Orçamentária!A:B,MATCH(Composições!A2555,Orçamentária!A:A,0),2)</f>
        <v>Argamassa Múltiplo Uso</v>
      </c>
      <c r="C2555" s="40"/>
      <c r="D2555" s="25" t="s">
        <v>1931</v>
      </c>
      <c r="E2555" s="26"/>
      <c r="F2555" s="41" t="s">
        <v>416</v>
      </c>
      <c r="G2555" s="27" t="str">
        <f>IF(ISNUMBER(F2555),E2555*F2555,"")</f>
        <v/>
      </c>
      <c r="H2555" s="28"/>
      <c r="I2555" s="29"/>
      <c r="J2555" s="152">
        <v>0</v>
      </c>
    </row>
    <row r="2556" spans="1:10" ht="15.75" hidden="1" thickBot="1" x14ac:dyDescent="0.3">
      <c r="A2556" s="176"/>
      <c r="B2556" s="174"/>
      <c r="C2556" s="31"/>
      <c r="D2556" s="31"/>
      <c r="E2556" s="32"/>
      <c r="F2556" s="42" t="s">
        <v>416</v>
      </c>
      <c r="G2556" s="33" t="str">
        <f>IF(ISNUMBER(F2556),E2556*F2556,"")</f>
        <v/>
      </c>
      <c r="H2556" s="34"/>
      <c r="I2556" s="30"/>
      <c r="J2556" s="152">
        <v>0</v>
      </c>
    </row>
    <row r="2557" spans="1:10" ht="26.25" hidden="1" thickBot="1" x14ac:dyDescent="0.3">
      <c r="A2557" s="176"/>
      <c r="B2557" s="174"/>
      <c r="C2557" s="35" t="s">
        <v>7989</v>
      </c>
      <c r="D2557" s="35" t="s">
        <v>773</v>
      </c>
      <c r="E2557" s="36">
        <v>40</v>
      </c>
      <c r="F2557" s="30">
        <v>0.63649999999999995</v>
      </c>
      <c r="G2557" s="33">
        <f>IF(ISNUMBER(F2557),E2557*F2557,"")</f>
        <v>25.459999999999997</v>
      </c>
      <c r="H2557" s="38">
        <f>SUM(G2557:G2557)</f>
        <v>25.459999999999997</v>
      </c>
      <c r="I2557" s="39"/>
      <c r="J2557" s="152">
        <v>0</v>
      </c>
    </row>
    <row r="2558" spans="1:10" ht="15.75" hidden="1" thickBot="1" x14ac:dyDescent="0.3">
      <c r="A2558" s="177"/>
      <c r="B2558" s="175"/>
      <c r="C2558" s="35"/>
      <c r="D2558" s="35"/>
      <c r="E2558" s="36"/>
      <c r="F2558" s="30" t="s">
        <v>416</v>
      </c>
      <c r="G2558" s="33" t="str">
        <f>IF(ISNUMBER(F2558),E2558*F2558,"")</f>
        <v/>
      </c>
      <c r="H2558" s="34"/>
      <c r="I2558" s="30"/>
      <c r="J2558" s="152">
        <v>0</v>
      </c>
    </row>
    <row r="2559" spans="1:10" ht="15.75" hidden="1" thickBot="1" x14ac:dyDescent="0.3">
      <c r="A2559" s="170" t="s">
        <v>625</v>
      </c>
      <c r="B2559" s="173" t="str">
        <f>INDEX(Orçamentária!A:B,MATCH(Composições!A2559,Orçamentária!A:A,0),2)</f>
        <v>Cimento Portland CP II E 32</v>
      </c>
      <c r="C2559" s="40"/>
      <c r="D2559" s="25" t="s">
        <v>1934</v>
      </c>
      <c r="E2559" s="26"/>
      <c r="F2559" s="41" t="s">
        <v>416</v>
      </c>
      <c r="G2559" s="27" t="str">
        <f>IF(ISNUMBER(F2559),E2559*F2559,"")</f>
        <v/>
      </c>
      <c r="H2559" s="28"/>
      <c r="I2559" s="29"/>
      <c r="J2559" s="152">
        <v>0</v>
      </c>
    </row>
    <row r="2560" spans="1:10" ht="15.75" hidden="1" thickBot="1" x14ac:dyDescent="0.3">
      <c r="A2560" s="176"/>
      <c r="B2560" s="174"/>
      <c r="C2560" s="31"/>
      <c r="D2560" s="31"/>
      <c r="E2560" s="32"/>
      <c r="F2560" s="42" t="s">
        <v>416</v>
      </c>
      <c r="G2560" s="33" t="str">
        <f>IF(ISNUMBER(F2560),E2560*F2560,"")</f>
        <v/>
      </c>
      <c r="H2560" s="34"/>
      <c r="I2560" s="30"/>
      <c r="J2560" s="152">
        <v>0</v>
      </c>
    </row>
    <row r="2561" spans="1:10" ht="15.75" hidden="1" thickBot="1" x14ac:dyDescent="0.3">
      <c r="A2561" s="176"/>
      <c r="B2561" s="174"/>
      <c r="C2561" s="35" t="s">
        <v>8065</v>
      </c>
      <c r="D2561" s="35" t="s">
        <v>773</v>
      </c>
      <c r="E2561" s="36">
        <v>50</v>
      </c>
      <c r="F2561" s="30">
        <v>0.627</v>
      </c>
      <c r="G2561" s="33">
        <f>IF(ISNUMBER(F2561),E2561*F2561,"")</f>
        <v>31.35</v>
      </c>
      <c r="H2561" s="38">
        <f>SUM(G2561:G2561)</f>
        <v>31.35</v>
      </c>
      <c r="I2561" s="39"/>
      <c r="J2561" s="152">
        <v>0</v>
      </c>
    </row>
    <row r="2562" spans="1:10" ht="15.75" hidden="1" thickBot="1" x14ac:dyDescent="0.3">
      <c r="A2562" s="177"/>
      <c r="B2562" s="175"/>
      <c r="C2562" s="35"/>
      <c r="D2562" s="35"/>
      <c r="E2562" s="36"/>
      <c r="F2562" s="30" t="s">
        <v>416</v>
      </c>
      <c r="G2562" s="33" t="str">
        <f>IF(ISNUMBER(F2562),E2562*F2562,"")</f>
        <v/>
      </c>
      <c r="H2562" s="34"/>
      <c r="I2562" s="30"/>
      <c r="J2562" s="152">
        <v>0</v>
      </c>
    </row>
    <row r="2563" spans="1:10" ht="15.75" hidden="1" thickBot="1" x14ac:dyDescent="0.3">
      <c r="A2563" s="170" t="s">
        <v>626</v>
      </c>
      <c r="B2563" s="173" t="str">
        <f>INDEX(Orçamentária!A:B,MATCH(Composições!A2563,Orçamentária!A:A,0),2)</f>
        <v>Argamassa Colante tipo AC-III</v>
      </c>
      <c r="C2563" s="40"/>
      <c r="D2563" s="25" t="s">
        <v>1935</v>
      </c>
      <c r="E2563" s="26"/>
      <c r="F2563" s="41" t="s">
        <v>416</v>
      </c>
      <c r="G2563" s="27" t="str">
        <f>IF(ISNUMBER(F2563),E2563*F2563,"")</f>
        <v/>
      </c>
      <c r="H2563" s="28"/>
      <c r="I2563" s="29"/>
      <c r="J2563" s="152">
        <v>0</v>
      </c>
    </row>
    <row r="2564" spans="1:10" ht="15.75" hidden="1" thickBot="1" x14ac:dyDescent="0.3">
      <c r="A2564" s="176"/>
      <c r="B2564" s="174"/>
      <c r="C2564" s="31"/>
      <c r="D2564" s="31"/>
      <c r="E2564" s="32"/>
      <c r="F2564" s="42" t="s">
        <v>416</v>
      </c>
      <c r="G2564" s="33" t="str">
        <f>IF(ISNUMBER(F2564),E2564*F2564,"")</f>
        <v/>
      </c>
      <c r="H2564" s="34"/>
      <c r="I2564" s="30"/>
      <c r="J2564" s="152">
        <v>0</v>
      </c>
    </row>
    <row r="2565" spans="1:10" ht="15.75" hidden="1" thickBot="1" x14ac:dyDescent="0.3">
      <c r="A2565" s="176"/>
      <c r="B2565" s="174"/>
      <c r="C2565" s="35" t="s">
        <v>7987</v>
      </c>
      <c r="D2565" s="35" t="s">
        <v>773</v>
      </c>
      <c r="E2565" s="36">
        <v>20</v>
      </c>
      <c r="F2565" s="30">
        <v>1.8049999999999999</v>
      </c>
      <c r="G2565" s="33">
        <f>IF(ISNUMBER(F2565),E2565*F2565,"")</f>
        <v>36.1</v>
      </c>
      <c r="H2565" s="38">
        <f>SUM(G2565:G2565)</f>
        <v>36.1</v>
      </c>
      <c r="I2565" s="39"/>
      <c r="J2565" s="152">
        <v>0</v>
      </c>
    </row>
    <row r="2566" spans="1:10" ht="15.75" hidden="1" thickBot="1" x14ac:dyDescent="0.3">
      <c r="A2566" s="177"/>
      <c r="B2566" s="175"/>
      <c r="C2566" s="35"/>
      <c r="D2566" s="35"/>
      <c r="E2566" s="36"/>
      <c r="F2566" s="30" t="s">
        <v>416</v>
      </c>
      <c r="G2566" s="33" t="str">
        <f>IF(ISNUMBER(F2566),E2566*F2566,"")</f>
        <v/>
      </c>
      <c r="H2566" s="34"/>
      <c r="I2566" s="30"/>
      <c r="J2566" s="152">
        <v>0</v>
      </c>
    </row>
    <row r="2567" spans="1:10" ht="15.75" hidden="1" thickBot="1" x14ac:dyDescent="0.3">
      <c r="A2567" s="170" t="s">
        <v>627</v>
      </c>
      <c r="B2567" s="173" t="str">
        <f>INDEX(Orçamentária!A:B,MATCH(Composições!A2567,Orçamentária!A:A,0),2)</f>
        <v>Gesso Para Uso Geral</v>
      </c>
      <c r="C2567" s="40"/>
      <c r="D2567" s="25" t="s">
        <v>1931</v>
      </c>
      <c r="E2567" s="26"/>
      <c r="F2567" s="41" t="s">
        <v>416</v>
      </c>
      <c r="G2567" s="27" t="str">
        <f>IF(ISNUMBER(F2567),E2567*F2567,"")</f>
        <v/>
      </c>
      <c r="H2567" s="28"/>
      <c r="I2567" s="29"/>
      <c r="J2567" s="152">
        <v>0</v>
      </c>
    </row>
    <row r="2568" spans="1:10" ht="15.75" hidden="1" thickBot="1" x14ac:dyDescent="0.3">
      <c r="A2568" s="176"/>
      <c r="B2568" s="174"/>
      <c r="C2568" s="31"/>
      <c r="D2568" s="31"/>
      <c r="E2568" s="32"/>
      <c r="F2568" s="42" t="s">
        <v>416</v>
      </c>
      <c r="G2568" s="33" t="str">
        <f>IF(ISNUMBER(F2568),E2568*F2568,"")</f>
        <v/>
      </c>
      <c r="H2568" s="34"/>
      <c r="I2568" s="30"/>
      <c r="J2568" s="152">
        <v>0</v>
      </c>
    </row>
    <row r="2569" spans="1:10" ht="26.25" hidden="1" thickBot="1" x14ac:dyDescent="0.3">
      <c r="A2569" s="176"/>
      <c r="B2569" s="174"/>
      <c r="C2569" s="35" t="s">
        <v>3227</v>
      </c>
      <c r="D2569" s="35" t="s">
        <v>773</v>
      </c>
      <c r="E2569" s="36">
        <v>40</v>
      </c>
      <c r="F2569" s="30">
        <v>0.69350000000000001</v>
      </c>
      <c r="G2569" s="33">
        <f>IF(ISNUMBER(F2569),E2569*F2569,"")</f>
        <v>27.740000000000002</v>
      </c>
      <c r="H2569" s="38">
        <f>SUM(G2569:G2569)</f>
        <v>27.740000000000002</v>
      </c>
      <c r="I2569" s="39"/>
      <c r="J2569" s="152">
        <v>0</v>
      </c>
    </row>
    <row r="2570" spans="1:10" ht="15.75" hidden="1" thickBot="1" x14ac:dyDescent="0.3">
      <c r="A2570" s="177"/>
      <c r="B2570" s="175"/>
      <c r="C2570" s="35"/>
      <c r="D2570" s="35"/>
      <c r="E2570" s="36"/>
      <c r="F2570" s="30" t="s">
        <v>416</v>
      </c>
      <c r="G2570" s="33" t="str">
        <f>IF(ISNUMBER(F2570),E2570*F2570,"")</f>
        <v/>
      </c>
      <c r="H2570" s="34"/>
      <c r="I2570" s="30"/>
      <c r="J2570" s="152">
        <v>0</v>
      </c>
    </row>
    <row r="2571" spans="1:10" ht="15.75" hidden="1" thickBot="1" x14ac:dyDescent="0.3">
      <c r="A2571" s="170" t="s">
        <v>628</v>
      </c>
      <c r="B2571" s="173" t="str">
        <f>INDEX(Orçamentária!A:B,MATCH(Composições!A2571,Orçamentária!A:A,0),2)</f>
        <v>Areia Média</v>
      </c>
      <c r="C2571" s="40"/>
      <c r="D2571" s="25" t="s">
        <v>80</v>
      </c>
      <c r="E2571" s="26"/>
      <c r="F2571" s="41" t="s">
        <v>416</v>
      </c>
      <c r="G2571" s="27" t="str">
        <f>IF(ISNUMBER(F2571),E2571*F2571,"")</f>
        <v/>
      </c>
      <c r="H2571" s="28"/>
      <c r="I2571" s="29"/>
      <c r="J2571" s="152">
        <v>0</v>
      </c>
    </row>
    <row r="2572" spans="1:10" ht="15.75" hidden="1" thickBot="1" x14ac:dyDescent="0.3">
      <c r="A2572" s="176"/>
      <c r="B2572" s="174"/>
      <c r="C2572" s="31"/>
      <c r="D2572" s="31"/>
      <c r="E2572" s="32"/>
      <c r="F2572" s="42" t="s">
        <v>416</v>
      </c>
      <c r="G2572" s="33" t="str">
        <f>IF(ISNUMBER(F2572),E2572*F2572,"")</f>
        <v/>
      </c>
      <c r="H2572" s="34"/>
      <c r="I2572" s="30"/>
      <c r="J2572" s="152">
        <v>0</v>
      </c>
    </row>
    <row r="2573" spans="1:10" ht="26.25" hidden="1" thickBot="1" x14ac:dyDescent="0.3">
      <c r="A2573" s="176"/>
      <c r="B2573" s="174"/>
      <c r="C2573" s="35" t="s">
        <v>7985</v>
      </c>
      <c r="D2573" s="35" t="s">
        <v>87</v>
      </c>
      <c r="E2573" s="36">
        <v>1</v>
      </c>
      <c r="F2573" s="30">
        <v>202.33099999999999</v>
      </c>
      <c r="G2573" s="33">
        <f>IF(ISNUMBER(F2573),E2573*F2573,"")</f>
        <v>202.33099999999999</v>
      </c>
      <c r="H2573" s="38">
        <f>SUM(G2573:G2575)</f>
        <v>245.80475179999999</v>
      </c>
      <c r="I2573" s="39"/>
      <c r="J2573" s="152">
        <v>0</v>
      </c>
    </row>
    <row r="2574" spans="1:10" ht="51.75" hidden="1" thickBot="1" x14ac:dyDescent="0.3">
      <c r="A2574" s="176"/>
      <c r="B2574" s="174"/>
      <c r="C2574" s="35" t="s">
        <v>3071</v>
      </c>
      <c r="D2574" s="35" t="s">
        <v>80</v>
      </c>
      <c r="E2574" s="36">
        <f>E2573</f>
        <v>1</v>
      </c>
      <c r="F2574" s="33">
        <v>7.9257587999999988</v>
      </c>
      <c r="G2574" s="33">
        <f>IF(ISNUMBER(F2574),E2574*F2574,"")</f>
        <v>7.9257587999999988</v>
      </c>
      <c r="H2574" s="34"/>
      <c r="I2574" s="30"/>
      <c r="J2574" s="152">
        <v>0</v>
      </c>
    </row>
    <row r="2575" spans="1:10" ht="39" hidden="1" thickBot="1" x14ac:dyDescent="0.3">
      <c r="A2575" s="176"/>
      <c r="B2575" s="174"/>
      <c r="C2575" s="35" t="s">
        <v>629</v>
      </c>
      <c r="D2575" s="46" t="s">
        <v>630</v>
      </c>
      <c r="E2575" s="36">
        <f>E2573*20</f>
        <v>20</v>
      </c>
      <c r="F2575" s="30">
        <v>1.7773996499999998</v>
      </c>
      <c r="G2575" s="33">
        <f>IF(ISNUMBER(F2575),E2575*F2575,"")</f>
        <v>35.547992999999998</v>
      </c>
      <c r="H2575" s="34"/>
      <c r="I2575" s="30"/>
      <c r="J2575" s="152">
        <v>0</v>
      </c>
    </row>
    <row r="2576" spans="1:10" ht="15.75" hidden="1" thickBot="1" x14ac:dyDescent="0.3">
      <c r="A2576" s="176"/>
      <c r="B2576" s="174"/>
      <c r="C2576" s="35"/>
      <c r="D2576" s="46"/>
      <c r="E2576" s="36"/>
      <c r="F2576" s="30" t="s">
        <v>416</v>
      </c>
      <c r="G2576" s="33" t="str">
        <f>IF(ISNUMBER(F2576),E2576*F2576,"")</f>
        <v/>
      </c>
      <c r="H2576" s="34"/>
      <c r="I2576" s="30"/>
      <c r="J2576" s="152">
        <v>0</v>
      </c>
    </row>
    <row r="2577" spans="1:10" ht="15.75" hidden="1" thickBot="1" x14ac:dyDescent="0.3">
      <c r="A2577" s="176"/>
      <c r="B2577" s="174"/>
      <c r="C2577" s="47" t="s">
        <v>631</v>
      </c>
      <c r="D2577" s="46"/>
      <c r="E2577" s="36"/>
      <c r="F2577" s="30" t="s">
        <v>416</v>
      </c>
      <c r="G2577" s="33" t="str">
        <f>IF(ISNUMBER(F2577),E2577*F2577,"")</f>
        <v/>
      </c>
      <c r="H2577" s="34"/>
      <c r="I2577" s="30"/>
      <c r="J2577" s="152">
        <v>0</v>
      </c>
    </row>
    <row r="2578" spans="1:10" ht="15.75" hidden="1" thickBot="1" x14ac:dyDescent="0.3">
      <c r="A2578" s="177"/>
      <c r="B2578" s="175"/>
      <c r="C2578" s="35"/>
      <c r="D2578" s="35"/>
      <c r="E2578" s="36"/>
      <c r="F2578" s="30" t="s">
        <v>416</v>
      </c>
      <c r="G2578" s="33" t="str">
        <f>IF(ISNUMBER(F2578),E2578*F2578,"")</f>
        <v/>
      </c>
      <c r="H2578" s="34"/>
      <c r="I2578" s="30"/>
      <c r="J2578" s="152">
        <v>0</v>
      </c>
    </row>
    <row r="2579" spans="1:10" ht="15.75" hidden="1" thickBot="1" x14ac:dyDescent="0.3">
      <c r="A2579" s="170" t="s">
        <v>632</v>
      </c>
      <c r="B2579" s="173" t="str">
        <f>INDEX(Orçamentária!A:B,MATCH(Composições!A2579,Orçamentária!A:A,0),2)</f>
        <v>Brita Nº 0</v>
      </c>
      <c r="C2579" s="40"/>
      <c r="D2579" s="25" t="s">
        <v>80</v>
      </c>
      <c r="E2579" s="26"/>
      <c r="F2579" s="41" t="s">
        <v>416</v>
      </c>
      <c r="G2579" s="27" t="str">
        <f>IF(ISNUMBER(F2579),E2579*F2579,"")</f>
        <v/>
      </c>
      <c r="H2579" s="28"/>
      <c r="I2579" s="29"/>
      <c r="J2579" s="152">
        <v>0</v>
      </c>
    </row>
    <row r="2580" spans="1:10" ht="15.75" hidden="1" thickBot="1" x14ac:dyDescent="0.3">
      <c r="A2580" s="176"/>
      <c r="B2580" s="174"/>
      <c r="C2580" s="31"/>
      <c r="D2580" s="31"/>
      <c r="E2580" s="32"/>
      <c r="F2580" s="42" t="s">
        <v>416</v>
      </c>
      <c r="G2580" s="33" t="str">
        <f>IF(ISNUMBER(F2580),E2580*F2580,"")</f>
        <v/>
      </c>
      <c r="H2580" s="34"/>
      <c r="I2580" s="30"/>
      <c r="J2580" s="152">
        <v>0</v>
      </c>
    </row>
    <row r="2581" spans="1:10" ht="26.25" hidden="1" thickBot="1" x14ac:dyDescent="0.3">
      <c r="A2581" s="176"/>
      <c r="B2581" s="174"/>
      <c r="C2581" s="35" t="s">
        <v>633</v>
      </c>
      <c r="D2581" s="35" t="s">
        <v>87</v>
      </c>
      <c r="E2581" s="36">
        <v>1</v>
      </c>
      <c r="F2581" s="30">
        <v>203.71799999999999</v>
      </c>
      <c r="G2581" s="33">
        <f>IF(ISNUMBER(F2581),E2581*F2581,"")</f>
        <v>203.71799999999999</v>
      </c>
      <c r="H2581" s="38">
        <f>SUM(G2581:G2583)</f>
        <v>247.19175179999999</v>
      </c>
      <c r="I2581" s="39"/>
      <c r="J2581" s="152">
        <v>0</v>
      </c>
    </row>
    <row r="2582" spans="1:10" ht="51.75" hidden="1" thickBot="1" x14ac:dyDescent="0.3">
      <c r="A2582" s="176"/>
      <c r="B2582" s="174"/>
      <c r="C2582" s="35" t="s">
        <v>3071</v>
      </c>
      <c r="D2582" s="35" t="s">
        <v>80</v>
      </c>
      <c r="E2582" s="36">
        <f>E2581</f>
        <v>1</v>
      </c>
      <c r="F2582" s="33">
        <v>7.9257587999999988</v>
      </c>
      <c r="G2582" s="33">
        <f>IF(ISNUMBER(F2582),E2582*F2582,"")</f>
        <v>7.9257587999999988</v>
      </c>
      <c r="H2582" s="34"/>
      <c r="I2582" s="30"/>
      <c r="J2582" s="152">
        <v>0</v>
      </c>
    </row>
    <row r="2583" spans="1:10" ht="39" hidden="1" thickBot="1" x14ac:dyDescent="0.3">
      <c r="A2583" s="176"/>
      <c r="B2583" s="174"/>
      <c r="C2583" s="35" t="s">
        <v>629</v>
      </c>
      <c r="D2583" s="46" t="s">
        <v>630</v>
      </c>
      <c r="E2583" s="36">
        <f>E2581*20</f>
        <v>20</v>
      </c>
      <c r="F2583" s="30">
        <v>1.7773996499999998</v>
      </c>
      <c r="G2583" s="33">
        <f>IF(ISNUMBER(F2583),E2583*F2583,"")</f>
        <v>35.547992999999998</v>
      </c>
      <c r="H2583" s="34"/>
      <c r="I2583" s="30"/>
      <c r="J2583" s="152">
        <v>0</v>
      </c>
    </row>
    <row r="2584" spans="1:10" ht="15.75" hidden="1" thickBot="1" x14ac:dyDescent="0.3">
      <c r="A2584" s="176"/>
      <c r="B2584" s="174"/>
      <c r="C2584" s="35"/>
      <c r="D2584" s="46"/>
      <c r="E2584" s="36"/>
      <c r="F2584" s="30" t="s">
        <v>416</v>
      </c>
      <c r="G2584" s="33" t="str">
        <f>IF(ISNUMBER(F2584),E2584*F2584,"")</f>
        <v/>
      </c>
      <c r="H2584" s="34"/>
      <c r="I2584" s="30"/>
      <c r="J2584" s="152">
        <v>0</v>
      </c>
    </row>
    <row r="2585" spans="1:10" ht="15.75" hidden="1" thickBot="1" x14ac:dyDescent="0.3">
      <c r="A2585" s="176"/>
      <c r="B2585" s="174"/>
      <c r="C2585" s="47" t="s">
        <v>634</v>
      </c>
      <c r="D2585" s="46"/>
      <c r="E2585" s="36"/>
      <c r="F2585" s="30" t="s">
        <v>416</v>
      </c>
      <c r="G2585" s="33" t="str">
        <f>IF(ISNUMBER(F2585),E2585*F2585,"")</f>
        <v/>
      </c>
      <c r="H2585" s="34"/>
      <c r="I2585" s="30"/>
      <c r="J2585" s="152">
        <v>0</v>
      </c>
    </row>
    <row r="2586" spans="1:10" ht="15.75" hidden="1" thickBot="1" x14ac:dyDescent="0.3">
      <c r="A2586" s="177"/>
      <c r="B2586" s="175"/>
      <c r="C2586" s="35"/>
      <c r="D2586" s="35"/>
      <c r="E2586" s="36"/>
      <c r="F2586" s="30" t="s">
        <v>416</v>
      </c>
      <c r="G2586" s="33" t="str">
        <f>IF(ISNUMBER(F2586),E2586*F2586,"")</f>
        <v/>
      </c>
      <c r="H2586" s="34"/>
      <c r="I2586" s="30"/>
      <c r="J2586" s="152">
        <v>0</v>
      </c>
    </row>
    <row r="2587" spans="1:10" ht="15.75" hidden="1" thickBot="1" x14ac:dyDescent="0.3">
      <c r="A2587" s="170" t="s">
        <v>635</v>
      </c>
      <c r="B2587" s="173" t="str">
        <f>INDEX(Orçamentária!A:B,MATCH(Composições!A2587,Orçamentária!A:A,0),2)</f>
        <v>Brita Nº 1</v>
      </c>
      <c r="C2587" s="40"/>
      <c r="D2587" s="25" t="s">
        <v>80</v>
      </c>
      <c r="E2587" s="26"/>
      <c r="F2587" s="41" t="s">
        <v>416</v>
      </c>
      <c r="G2587" s="27" t="str">
        <f>IF(ISNUMBER(F2587),E2587*F2587,"")</f>
        <v/>
      </c>
      <c r="H2587" s="28"/>
      <c r="I2587" s="29"/>
      <c r="J2587" s="152">
        <v>0</v>
      </c>
    </row>
    <row r="2588" spans="1:10" ht="15.75" hidden="1" thickBot="1" x14ac:dyDescent="0.3">
      <c r="A2588" s="176"/>
      <c r="B2588" s="174"/>
      <c r="C2588" s="31"/>
      <c r="D2588" s="31"/>
      <c r="E2588" s="32"/>
      <c r="F2588" s="42" t="s">
        <v>416</v>
      </c>
      <c r="G2588" s="33" t="str">
        <f>IF(ISNUMBER(F2588),E2588*F2588,"")</f>
        <v/>
      </c>
      <c r="H2588" s="34"/>
      <c r="I2588" s="30"/>
      <c r="J2588" s="152">
        <v>0</v>
      </c>
    </row>
    <row r="2589" spans="1:10" ht="26.25" hidden="1" thickBot="1" x14ac:dyDescent="0.3">
      <c r="A2589" s="176"/>
      <c r="B2589" s="174"/>
      <c r="C2589" s="35" t="s">
        <v>8311</v>
      </c>
      <c r="D2589" s="35" t="s">
        <v>87</v>
      </c>
      <c r="E2589" s="36">
        <v>1</v>
      </c>
      <c r="F2589" s="30">
        <v>176.453</v>
      </c>
      <c r="G2589" s="33">
        <f>IF(ISNUMBER(F2589),E2589*F2589,"")</f>
        <v>176.453</v>
      </c>
      <c r="H2589" s="38">
        <f>SUM(G2589:G2591)</f>
        <v>219.92675180000001</v>
      </c>
      <c r="I2589" s="39"/>
      <c r="J2589" s="152">
        <v>0</v>
      </c>
    </row>
    <row r="2590" spans="1:10" ht="51.75" hidden="1" thickBot="1" x14ac:dyDescent="0.3">
      <c r="A2590" s="176"/>
      <c r="B2590" s="174"/>
      <c r="C2590" s="35" t="s">
        <v>3071</v>
      </c>
      <c r="D2590" s="35" t="s">
        <v>80</v>
      </c>
      <c r="E2590" s="36">
        <f>E2589</f>
        <v>1</v>
      </c>
      <c r="F2590" s="33">
        <v>7.9257587999999988</v>
      </c>
      <c r="G2590" s="33">
        <f>IF(ISNUMBER(F2590),E2590*F2590,"")</f>
        <v>7.9257587999999988</v>
      </c>
      <c r="H2590" s="34"/>
      <c r="I2590" s="30"/>
      <c r="J2590" s="152">
        <v>0</v>
      </c>
    </row>
    <row r="2591" spans="1:10" ht="39" hidden="1" thickBot="1" x14ac:dyDescent="0.3">
      <c r="A2591" s="176"/>
      <c r="B2591" s="174"/>
      <c r="C2591" s="35" t="s">
        <v>629</v>
      </c>
      <c r="D2591" s="46" t="s">
        <v>630</v>
      </c>
      <c r="E2591" s="36">
        <f>E2589*20</f>
        <v>20</v>
      </c>
      <c r="F2591" s="30">
        <v>1.7773996499999998</v>
      </c>
      <c r="G2591" s="33">
        <f>IF(ISNUMBER(F2591),E2591*F2591,"")</f>
        <v>35.547992999999998</v>
      </c>
      <c r="H2591" s="34"/>
      <c r="I2591" s="30"/>
      <c r="J2591" s="152">
        <v>0</v>
      </c>
    </row>
    <row r="2592" spans="1:10" ht="15.75" hidden="1" thickBot="1" x14ac:dyDescent="0.3">
      <c r="A2592" s="176"/>
      <c r="B2592" s="174"/>
      <c r="C2592" s="35"/>
      <c r="D2592" s="46"/>
      <c r="E2592" s="36"/>
      <c r="F2592" s="30" t="s">
        <v>416</v>
      </c>
      <c r="G2592" s="33" t="str">
        <f>IF(ISNUMBER(F2592),E2592*F2592,"")</f>
        <v/>
      </c>
      <c r="H2592" s="34"/>
      <c r="I2592" s="30"/>
      <c r="J2592" s="152">
        <v>0</v>
      </c>
    </row>
    <row r="2593" spans="1:10" ht="15.75" hidden="1" thickBot="1" x14ac:dyDescent="0.3">
      <c r="A2593" s="176"/>
      <c r="B2593" s="174"/>
      <c r="C2593" s="47" t="s">
        <v>634</v>
      </c>
      <c r="D2593" s="46"/>
      <c r="E2593" s="36"/>
      <c r="F2593" s="30" t="s">
        <v>416</v>
      </c>
      <c r="G2593" s="33" t="str">
        <f>IF(ISNUMBER(F2593),E2593*F2593,"")</f>
        <v/>
      </c>
      <c r="H2593" s="34"/>
      <c r="I2593" s="30"/>
      <c r="J2593" s="152">
        <v>0</v>
      </c>
    </row>
    <row r="2594" spans="1:10" ht="15.75" hidden="1" thickBot="1" x14ac:dyDescent="0.3">
      <c r="A2594" s="177"/>
      <c r="B2594" s="175"/>
      <c r="C2594" s="35"/>
      <c r="D2594" s="35"/>
      <c r="E2594" s="36"/>
      <c r="F2594" s="30" t="s">
        <v>416</v>
      </c>
      <c r="G2594" s="33" t="str">
        <f>IF(ISNUMBER(F2594),E2594*F2594,"")</f>
        <v/>
      </c>
      <c r="H2594" s="34"/>
      <c r="I2594" s="30"/>
      <c r="J2594" s="152">
        <v>0</v>
      </c>
    </row>
    <row r="2595" spans="1:10" ht="15.75" hidden="1" thickBot="1" x14ac:dyDescent="0.3">
      <c r="A2595" s="170" t="s">
        <v>636</v>
      </c>
      <c r="B2595" s="173" t="str">
        <f>INDEX(Orçamentária!A:B,MATCH(Composições!A2595,Orçamentária!A:A,0),2)</f>
        <v>Bloco Cerâmico De 08 Furos</v>
      </c>
      <c r="C2595" s="40"/>
      <c r="D2595" s="25" t="s">
        <v>16</v>
      </c>
      <c r="E2595" s="26"/>
      <c r="F2595" s="41" t="s">
        <v>416</v>
      </c>
      <c r="G2595" s="27" t="str">
        <f>IF(ISNUMBER(F2595),E2595*F2595,"")</f>
        <v/>
      </c>
      <c r="H2595" s="28"/>
      <c r="I2595" s="29"/>
      <c r="J2595" s="152">
        <v>0</v>
      </c>
    </row>
    <row r="2596" spans="1:10" ht="15.75" hidden="1" thickBot="1" x14ac:dyDescent="0.3">
      <c r="A2596" s="176"/>
      <c r="B2596" s="174"/>
      <c r="C2596" s="31"/>
      <c r="D2596" s="31"/>
      <c r="E2596" s="32"/>
      <c r="F2596" s="42" t="s">
        <v>416</v>
      </c>
      <c r="G2596" s="33" t="str">
        <f>IF(ISNUMBER(F2596),E2596*F2596,"")</f>
        <v/>
      </c>
      <c r="H2596" s="34"/>
      <c r="I2596" s="30"/>
      <c r="J2596" s="152">
        <v>0</v>
      </c>
    </row>
    <row r="2597" spans="1:10" ht="26.25" hidden="1" thickBot="1" x14ac:dyDescent="0.3">
      <c r="A2597" s="176"/>
      <c r="B2597" s="174"/>
      <c r="C2597" s="35" t="s">
        <v>8000</v>
      </c>
      <c r="D2597" s="35" t="s">
        <v>213</v>
      </c>
      <c r="E2597" s="36">
        <v>1</v>
      </c>
      <c r="F2597" s="30">
        <v>0.66499999999999992</v>
      </c>
      <c r="G2597" s="33">
        <f>IF(ISNUMBER(F2597),E2597*F2597,"")</f>
        <v>0.66499999999999992</v>
      </c>
      <c r="H2597" s="38">
        <f>SUM(G2597:G2597)</f>
        <v>0.66499999999999992</v>
      </c>
      <c r="I2597" s="39"/>
      <c r="J2597" s="152">
        <v>0</v>
      </c>
    </row>
    <row r="2598" spans="1:10" ht="15.75" hidden="1" thickBot="1" x14ac:dyDescent="0.3">
      <c r="A2598" s="177"/>
      <c r="B2598" s="175"/>
      <c r="C2598" s="35"/>
      <c r="D2598" s="35"/>
      <c r="E2598" s="36"/>
      <c r="F2598" s="30" t="s">
        <v>416</v>
      </c>
      <c r="G2598" s="33" t="str">
        <f>IF(ISNUMBER(F2598),E2598*F2598,"")</f>
        <v/>
      </c>
      <c r="H2598" s="34"/>
      <c r="I2598" s="30"/>
      <c r="J2598" s="152">
        <v>0</v>
      </c>
    </row>
    <row r="2599" spans="1:10" ht="15.75" hidden="1" thickBot="1" x14ac:dyDescent="0.3">
      <c r="A2599" s="170" t="s">
        <v>637</v>
      </c>
      <c r="B2599" s="173" t="str">
        <f>INDEX(Orçamentária!A:B,MATCH(Composições!A2599,Orçamentária!A:A,0),2)</f>
        <v>Tijolo Maciço</v>
      </c>
      <c r="C2599" s="40"/>
      <c r="D2599" s="25" t="s">
        <v>16</v>
      </c>
      <c r="E2599" s="26"/>
      <c r="F2599" s="41" t="s">
        <v>416</v>
      </c>
      <c r="G2599" s="27" t="str">
        <f>IF(ISNUMBER(F2599),E2599*F2599,"")</f>
        <v/>
      </c>
      <c r="H2599" s="28"/>
      <c r="I2599" s="29"/>
      <c r="J2599" s="152">
        <v>0</v>
      </c>
    </row>
    <row r="2600" spans="1:10" ht="15.75" hidden="1" thickBot="1" x14ac:dyDescent="0.3">
      <c r="A2600" s="176"/>
      <c r="B2600" s="174"/>
      <c r="C2600" s="31"/>
      <c r="D2600" s="31"/>
      <c r="E2600" s="32"/>
      <c r="F2600" s="42" t="s">
        <v>416</v>
      </c>
      <c r="G2600" s="33" t="str">
        <f>IF(ISNUMBER(F2600),E2600*F2600,"")</f>
        <v/>
      </c>
      <c r="H2600" s="34"/>
      <c r="I2600" s="30"/>
      <c r="J2600" s="152">
        <v>0</v>
      </c>
    </row>
    <row r="2601" spans="1:10" ht="15.75" hidden="1" thickBot="1" x14ac:dyDescent="0.3">
      <c r="A2601" s="176"/>
      <c r="B2601" s="174"/>
      <c r="C2601" s="35" t="s">
        <v>3062</v>
      </c>
      <c r="D2601" s="35" t="s">
        <v>213</v>
      </c>
      <c r="E2601" s="36">
        <v>1</v>
      </c>
      <c r="F2601" s="30">
        <v>0.56999999999999995</v>
      </c>
      <c r="G2601" s="33">
        <f>IF(ISNUMBER(F2601),E2601*F2601,"")</f>
        <v>0.56999999999999995</v>
      </c>
      <c r="H2601" s="38">
        <f>SUM(G2601:G2601)</f>
        <v>0.56999999999999995</v>
      </c>
      <c r="I2601" s="39"/>
      <c r="J2601" s="152">
        <v>0</v>
      </c>
    </row>
    <row r="2602" spans="1:10" ht="15.75" hidden="1" thickBot="1" x14ac:dyDescent="0.3">
      <c r="A2602" s="177"/>
      <c r="B2602" s="175"/>
      <c r="C2602" s="35"/>
      <c r="D2602" s="35"/>
      <c r="E2602" s="36"/>
      <c r="F2602" s="30" t="s">
        <v>416</v>
      </c>
      <c r="G2602" s="33" t="str">
        <f>IF(ISNUMBER(F2602),E2602*F2602,"")</f>
        <v/>
      </c>
      <c r="H2602" s="34"/>
      <c r="I2602" s="30"/>
      <c r="J2602" s="152">
        <v>0</v>
      </c>
    </row>
    <row r="2603" spans="1:10" ht="15.75" hidden="1" thickBot="1" x14ac:dyDescent="0.3">
      <c r="A2603" s="170" t="s">
        <v>638</v>
      </c>
      <c r="B2603" s="173" t="str">
        <f>INDEX(Orçamentária!A:B,MATCH(Composições!A2603,Orçamentária!A:A,0),2)</f>
        <v>Bloco De Concreto Com 02 Furos</v>
      </c>
      <c r="C2603" s="40"/>
      <c r="D2603" s="25" t="s">
        <v>16</v>
      </c>
      <c r="E2603" s="26"/>
      <c r="F2603" s="41" t="s">
        <v>416</v>
      </c>
      <c r="G2603" s="27" t="str">
        <f>IF(ISNUMBER(F2603),E2603*F2603,"")</f>
        <v/>
      </c>
      <c r="H2603" s="28"/>
      <c r="I2603" s="29"/>
      <c r="J2603" s="152">
        <v>0</v>
      </c>
    </row>
    <row r="2604" spans="1:10" ht="15.75" hidden="1" thickBot="1" x14ac:dyDescent="0.3">
      <c r="A2604" s="176"/>
      <c r="B2604" s="174"/>
      <c r="C2604" s="31"/>
      <c r="D2604" s="31"/>
      <c r="E2604" s="32"/>
      <c r="F2604" s="42" t="s">
        <v>416</v>
      </c>
      <c r="G2604" s="33" t="str">
        <f>IF(ISNUMBER(F2604),E2604*F2604,"")</f>
        <v/>
      </c>
      <c r="H2604" s="34"/>
      <c r="I2604" s="30"/>
      <c r="J2604" s="152">
        <v>0</v>
      </c>
    </row>
    <row r="2605" spans="1:10" ht="26.25" hidden="1" thickBot="1" x14ac:dyDescent="0.3">
      <c r="A2605" s="176"/>
      <c r="B2605" s="174"/>
      <c r="C2605" s="35" t="s">
        <v>8005</v>
      </c>
      <c r="D2605" s="35" t="s">
        <v>213</v>
      </c>
      <c r="E2605" s="36">
        <v>1</v>
      </c>
      <c r="F2605" s="30">
        <v>4.5504999999999995</v>
      </c>
      <c r="G2605" s="33">
        <f>IF(ISNUMBER(F2605),E2605*F2605,"")</f>
        <v>4.5504999999999995</v>
      </c>
      <c r="H2605" s="38">
        <f>SUM(G2605:G2605)</f>
        <v>4.5504999999999995</v>
      </c>
      <c r="I2605" s="39"/>
      <c r="J2605" s="152">
        <v>0</v>
      </c>
    </row>
    <row r="2606" spans="1:10" ht="15.75" hidden="1" thickBot="1" x14ac:dyDescent="0.3">
      <c r="A2606" s="177"/>
      <c r="B2606" s="175"/>
      <c r="C2606" s="35"/>
      <c r="D2606" s="35"/>
      <c r="E2606" s="36"/>
      <c r="F2606" s="30" t="s">
        <v>416</v>
      </c>
      <c r="G2606" s="33" t="str">
        <f>IF(ISNUMBER(F2606),E2606*F2606,"")</f>
        <v/>
      </c>
      <c r="H2606" s="34"/>
      <c r="I2606" s="30"/>
      <c r="J2606" s="152">
        <v>0</v>
      </c>
    </row>
    <row r="2607" spans="1:10" ht="15.75" hidden="1" thickBot="1" x14ac:dyDescent="0.3">
      <c r="A2607" s="170" t="s">
        <v>639</v>
      </c>
      <c r="B2607" s="173" t="str">
        <f>INDEX(Orçamentária!A:B,MATCH(Composições!A2607,Orçamentária!A:A,0),2)</f>
        <v>Bloco De Concreto Tipo Canaleta</v>
      </c>
      <c r="C2607" s="40"/>
      <c r="D2607" s="25" t="s">
        <v>16</v>
      </c>
      <c r="E2607" s="26"/>
      <c r="F2607" s="41" t="s">
        <v>416</v>
      </c>
      <c r="G2607" s="27" t="str">
        <f>IF(ISNUMBER(F2607),E2607*F2607,"")</f>
        <v/>
      </c>
      <c r="H2607" s="28"/>
      <c r="I2607" s="29"/>
      <c r="J2607" s="152">
        <v>0</v>
      </c>
    </row>
    <row r="2608" spans="1:10" ht="15.75" hidden="1" thickBot="1" x14ac:dyDescent="0.3">
      <c r="A2608" s="176"/>
      <c r="B2608" s="174"/>
      <c r="C2608" s="31"/>
      <c r="D2608" s="31"/>
      <c r="E2608" s="32"/>
      <c r="F2608" s="42" t="s">
        <v>416</v>
      </c>
      <c r="G2608" s="33" t="str">
        <f>IF(ISNUMBER(F2608),E2608*F2608,"")</f>
        <v/>
      </c>
      <c r="H2608" s="34"/>
      <c r="I2608" s="30"/>
      <c r="J2608" s="152">
        <v>0</v>
      </c>
    </row>
    <row r="2609" spans="1:10" ht="26.25" hidden="1" thickBot="1" x14ac:dyDescent="0.3">
      <c r="A2609" s="176"/>
      <c r="B2609" s="174"/>
      <c r="C2609" s="35" t="s">
        <v>6721</v>
      </c>
      <c r="D2609" s="35" t="s">
        <v>107</v>
      </c>
      <c r="E2609" s="36">
        <v>1</v>
      </c>
      <c r="F2609" s="30">
        <v>0</v>
      </c>
      <c r="G2609" s="33">
        <f>IF(ISNUMBER(F2609),E2609*F2609,"")</f>
        <v>0</v>
      </c>
      <c r="H2609" s="38">
        <f>SUM(G2609:G2609)</f>
        <v>0</v>
      </c>
      <c r="I2609" s="39"/>
      <c r="J2609" s="152">
        <v>0</v>
      </c>
    </row>
    <row r="2610" spans="1:10" ht="15.75" hidden="1" thickBot="1" x14ac:dyDescent="0.3">
      <c r="A2610" s="177"/>
      <c r="B2610" s="175"/>
      <c r="C2610" s="35"/>
      <c r="D2610" s="35"/>
      <c r="E2610" s="36"/>
      <c r="F2610" s="30" t="s">
        <v>416</v>
      </c>
      <c r="G2610" s="33" t="str">
        <f>IF(ISNUMBER(F2610),E2610*F2610,"")</f>
        <v/>
      </c>
      <c r="H2610" s="34"/>
      <c r="I2610" s="30"/>
      <c r="J2610" s="152">
        <v>0</v>
      </c>
    </row>
    <row r="2611" spans="1:10" ht="15.75" hidden="1" thickBot="1" x14ac:dyDescent="0.3">
      <c r="A2611" s="170" t="s">
        <v>640</v>
      </c>
      <c r="B2611" s="173" t="str">
        <f>INDEX(Orçamentária!A:B,MATCH(Composições!A2611,Orçamentária!A:A,0),2)</f>
        <v>Vergalhão Ca-60 Diâmetro 5,0 mm</v>
      </c>
      <c r="C2611" s="40"/>
      <c r="D2611" s="25" t="s">
        <v>69</v>
      </c>
      <c r="E2611" s="26"/>
      <c r="F2611" s="41" t="s">
        <v>416</v>
      </c>
      <c r="G2611" s="27" t="str">
        <f>IF(ISNUMBER(F2611),E2611*F2611,"")</f>
        <v/>
      </c>
      <c r="H2611" s="28"/>
      <c r="I2611" s="29"/>
      <c r="J2611" s="152">
        <v>0</v>
      </c>
    </row>
    <row r="2612" spans="1:10" ht="15.75" hidden="1" thickBot="1" x14ac:dyDescent="0.3">
      <c r="A2612" s="176"/>
      <c r="B2612" s="174"/>
      <c r="C2612" s="31"/>
      <c r="D2612" s="31"/>
      <c r="E2612" s="32"/>
      <c r="F2612" s="42" t="s">
        <v>416</v>
      </c>
      <c r="G2612" s="33" t="str">
        <f>IF(ISNUMBER(F2612),E2612*F2612,"")</f>
        <v/>
      </c>
      <c r="H2612" s="34"/>
      <c r="I2612" s="30"/>
      <c r="J2612" s="152">
        <v>0</v>
      </c>
    </row>
    <row r="2613" spans="1:10" ht="15.75" hidden="1" thickBot="1" x14ac:dyDescent="0.3">
      <c r="A2613" s="176"/>
      <c r="B2613" s="174"/>
      <c r="C2613" s="35" t="s">
        <v>1277</v>
      </c>
      <c r="D2613" s="35" t="s">
        <v>773</v>
      </c>
      <c r="E2613" s="36">
        <v>0.154</v>
      </c>
      <c r="F2613" s="30">
        <v>8.9205000000000005</v>
      </c>
      <c r="G2613" s="33">
        <f>IF(ISNUMBER(F2613),E2613*F2613,"")</f>
        <v>1.3737570000000001</v>
      </c>
      <c r="H2613" s="38">
        <f>SUM(G2613:G2613)</f>
        <v>1.3737570000000001</v>
      </c>
      <c r="I2613" s="39"/>
      <c r="J2613" s="152">
        <v>0</v>
      </c>
    </row>
    <row r="2614" spans="1:10" ht="15.75" hidden="1" thickBot="1" x14ac:dyDescent="0.3">
      <c r="A2614" s="177"/>
      <c r="B2614" s="175"/>
      <c r="C2614" s="35"/>
      <c r="D2614" s="35"/>
      <c r="E2614" s="36"/>
      <c r="F2614" s="30" t="s">
        <v>416</v>
      </c>
      <c r="G2614" s="33" t="str">
        <f>IF(ISNUMBER(F2614),E2614*F2614,"")</f>
        <v/>
      </c>
      <c r="H2614" s="34"/>
      <c r="I2614" s="30"/>
      <c r="J2614" s="152">
        <v>0</v>
      </c>
    </row>
    <row r="2615" spans="1:10" ht="15.75" hidden="1" thickBot="1" x14ac:dyDescent="0.3">
      <c r="A2615" s="170" t="s">
        <v>641</v>
      </c>
      <c r="B2615" s="173" t="str">
        <f>INDEX(Orçamentária!A:B,MATCH(Composições!A2615,Orçamentária!A:A,0),2)</f>
        <v>Vergalhão Ca-50 Diâmetro 6,3 mm</v>
      </c>
      <c r="C2615" s="40"/>
      <c r="D2615" s="25" t="s">
        <v>69</v>
      </c>
      <c r="E2615" s="26"/>
      <c r="F2615" s="41" t="s">
        <v>416</v>
      </c>
      <c r="G2615" s="27" t="str">
        <f>IF(ISNUMBER(F2615),E2615*F2615,"")</f>
        <v/>
      </c>
      <c r="H2615" s="28"/>
      <c r="I2615" s="29"/>
      <c r="J2615" s="152">
        <v>0</v>
      </c>
    </row>
    <row r="2616" spans="1:10" ht="15.75" hidden="1" thickBot="1" x14ac:dyDescent="0.3">
      <c r="A2616" s="176"/>
      <c r="B2616" s="174"/>
      <c r="C2616" s="31"/>
      <c r="D2616" s="31"/>
      <c r="E2616" s="32"/>
      <c r="F2616" s="42" t="s">
        <v>416</v>
      </c>
      <c r="G2616" s="33" t="str">
        <f>IF(ISNUMBER(F2616),E2616*F2616,"")</f>
        <v/>
      </c>
      <c r="H2616" s="34"/>
      <c r="I2616" s="30"/>
      <c r="J2616" s="152">
        <v>0</v>
      </c>
    </row>
    <row r="2617" spans="1:10" ht="15.75" hidden="1" thickBot="1" x14ac:dyDescent="0.3">
      <c r="A2617" s="176"/>
      <c r="B2617" s="174"/>
      <c r="C2617" s="35" t="s">
        <v>642</v>
      </c>
      <c r="D2617" s="35" t="s">
        <v>773</v>
      </c>
      <c r="E2617" s="36">
        <v>0.245</v>
      </c>
      <c r="F2617" s="30">
        <v>9.9465000000000003</v>
      </c>
      <c r="G2617" s="33">
        <f>IF(ISNUMBER(F2617),E2617*F2617,"")</f>
        <v>2.4368924999999999</v>
      </c>
      <c r="H2617" s="38">
        <f>SUM(G2617:G2617)</f>
        <v>2.4368924999999999</v>
      </c>
      <c r="I2617" s="39"/>
      <c r="J2617" s="152">
        <v>0</v>
      </c>
    </row>
    <row r="2618" spans="1:10" ht="15.75" hidden="1" thickBot="1" x14ac:dyDescent="0.3">
      <c r="A2618" s="177"/>
      <c r="B2618" s="175"/>
      <c r="C2618" s="35"/>
      <c r="D2618" s="35"/>
      <c r="E2618" s="36"/>
      <c r="F2618" s="30" t="s">
        <v>416</v>
      </c>
      <c r="G2618" s="33" t="str">
        <f>IF(ISNUMBER(F2618),E2618*F2618,"")</f>
        <v/>
      </c>
      <c r="H2618" s="34"/>
      <c r="I2618" s="30"/>
      <c r="J2618" s="152">
        <v>0</v>
      </c>
    </row>
    <row r="2619" spans="1:10" ht="15.75" hidden="1" thickBot="1" x14ac:dyDescent="0.3">
      <c r="A2619" s="170" t="s">
        <v>643</v>
      </c>
      <c r="B2619" s="173" t="str">
        <f>INDEX(Orçamentária!A:B,MATCH(Composições!A2619,Orçamentária!A:A,0),2)</f>
        <v>Vergalhão Ca-50 Diâmetro 8,0 mm</v>
      </c>
      <c r="C2619" s="40"/>
      <c r="D2619" s="25" t="s">
        <v>69</v>
      </c>
      <c r="E2619" s="26"/>
      <c r="F2619" s="41" t="s">
        <v>416</v>
      </c>
      <c r="G2619" s="27" t="str">
        <f>IF(ISNUMBER(F2619),E2619*F2619,"")</f>
        <v/>
      </c>
      <c r="H2619" s="28"/>
      <c r="I2619" s="29"/>
      <c r="J2619" s="152">
        <v>0</v>
      </c>
    </row>
    <row r="2620" spans="1:10" ht="15.75" hidden="1" thickBot="1" x14ac:dyDescent="0.3">
      <c r="A2620" s="176"/>
      <c r="B2620" s="174"/>
      <c r="C2620" s="31"/>
      <c r="D2620" s="31"/>
      <c r="E2620" s="32"/>
      <c r="F2620" s="42" t="s">
        <v>416</v>
      </c>
      <c r="G2620" s="33" t="str">
        <f>IF(ISNUMBER(F2620),E2620*F2620,"")</f>
        <v/>
      </c>
      <c r="H2620" s="34"/>
      <c r="I2620" s="30"/>
      <c r="J2620" s="152">
        <v>0</v>
      </c>
    </row>
    <row r="2621" spans="1:10" ht="15.75" hidden="1" thickBot="1" x14ac:dyDescent="0.3">
      <c r="A2621" s="176"/>
      <c r="B2621" s="174"/>
      <c r="C2621" s="35" t="s">
        <v>644</v>
      </c>
      <c r="D2621" s="35" t="s">
        <v>773</v>
      </c>
      <c r="E2621" s="36">
        <v>0.39500000000000002</v>
      </c>
      <c r="F2621" s="30">
        <v>10.003499999999999</v>
      </c>
      <c r="G2621" s="33">
        <f>IF(ISNUMBER(F2621),E2621*F2621,"")</f>
        <v>3.9513824999999998</v>
      </c>
      <c r="H2621" s="38">
        <f>SUM(G2621:G2621)</f>
        <v>3.9513824999999998</v>
      </c>
      <c r="I2621" s="39"/>
      <c r="J2621" s="152">
        <v>0</v>
      </c>
    </row>
    <row r="2622" spans="1:10" ht="15.75" hidden="1" thickBot="1" x14ac:dyDescent="0.3">
      <c r="A2622" s="177"/>
      <c r="B2622" s="175"/>
      <c r="C2622" s="35"/>
      <c r="D2622" s="35"/>
      <c r="E2622" s="36"/>
      <c r="F2622" s="30" t="s">
        <v>416</v>
      </c>
      <c r="G2622" s="33" t="str">
        <f>IF(ISNUMBER(F2622),E2622*F2622,"")</f>
        <v/>
      </c>
      <c r="H2622" s="34"/>
      <c r="I2622" s="30"/>
      <c r="J2622" s="152">
        <v>0</v>
      </c>
    </row>
    <row r="2623" spans="1:10" ht="15.75" hidden="1" thickBot="1" x14ac:dyDescent="0.3">
      <c r="A2623" s="170" t="s">
        <v>645</v>
      </c>
      <c r="B2623" s="173" t="str">
        <f>INDEX(Orçamentária!A:B,MATCH(Composições!A2623,Orçamentária!A:A,0),2)</f>
        <v>Vergalhão Ca-50 Diâmetro 10,0 mm</v>
      </c>
      <c r="C2623" s="40"/>
      <c r="D2623" s="25" t="s">
        <v>69</v>
      </c>
      <c r="E2623" s="26"/>
      <c r="F2623" s="41" t="s">
        <v>416</v>
      </c>
      <c r="G2623" s="27" t="str">
        <f>IF(ISNUMBER(F2623),E2623*F2623,"")</f>
        <v/>
      </c>
      <c r="H2623" s="28"/>
      <c r="I2623" s="29"/>
      <c r="J2623" s="152">
        <v>0</v>
      </c>
    </row>
    <row r="2624" spans="1:10" ht="15.75" hidden="1" thickBot="1" x14ac:dyDescent="0.3">
      <c r="A2624" s="176"/>
      <c r="B2624" s="174"/>
      <c r="C2624" s="31"/>
      <c r="D2624" s="31"/>
      <c r="E2624" s="32"/>
      <c r="F2624" s="42" t="s">
        <v>416</v>
      </c>
      <c r="G2624" s="33" t="str">
        <f>IF(ISNUMBER(F2624),E2624*F2624,"")</f>
        <v/>
      </c>
      <c r="H2624" s="34"/>
      <c r="I2624" s="30"/>
      <c r="J2624" s="152">
        <v>0</v>
      </c>
    </row>
    <row r="2625" spans="1:10" ht="15.75" hidden="1" thickBot="1" x14ac:dyDescent="0.3">
      <c r="A2625" s="176"/>
      <c r="B2625" s="174"/>
      <c r="C2625" s="35" t="s">
        <v>7958</v>
      </c>
      <c r="D2625" s="35" t="s">
        <v>773</v>
      </c>
      <c r="E2625" s="36">
        <v>0.61699999999999999</v>
      </c>
      <c r="F2625" s="30">
        <v>9.4334999999999987</v>
      </c>
      <c r="G2625" s="33">
        <f>IF(ISNUMBER(F2625),E2625*F2625,"")</f>
        <v>5.8204694999999989</v>
      </c>
      <c r="H2625" s="38">
        <f>SUM(G2625:G2625)</f>
        <v>5.8204694999999989</v>
      </c>
      <c r="I2625" s="39"/>
      <c r="J2625" s="152">
        <v>0</v>
      </c>
    </row>
    <row r="2626" spans="1:10" ht="15.75" hidden="1" thickBot="1" x14ac:dyDescent="0.3">
      <c r="A2626" s="177"/>
      <c r="B2626" s="175"/>
      <c r="C2626" s="35"/>
      <c r="D2626" s="35"/>
      <c r="E2626" s="36"/>
      <c r="F2626" s="30" t="s">
        <v>416</v>
      </c>
      <c r="G2626" s="33" t="str">
        <f>IF(ISNUMBER(F2626),E2626*F2626,"")</f>
        <v/>
      </c>
      <c r="H2626" s="34"/>
      <c r="I2626" s="30"/>
      <c r="J2626" s="152">
        <v>0</v>
      </c>
    </row>
    <row r="2627" spans="1:10" ht="15.75" hidden="1" thickBot="1" x14ac:dyDescent="0.3">
      <c r="A2627" s="170" t="s">
        <v>646</v>
      </c>
      <c r="B2627" s="173" t="str">
        <f>INDEX(Orçamentária!A:B,MATCH(Composições!A2627,Orçamentária!A:A,0),2)</f>
        <v>Vergalhão Ca-50 Diâmetro 12,5 mm</v>
      </c>
      <c r="C2627" s="40"/>
      <c r="D2627" s="25" t="s">
        <v>69</v>
      </c>
      <c r="E2627" s="26"/>
      <c r="F2627" s="41" t="s">
        <v>416</v>
      </c>
      <c r="G2627" s="27" t="str">
        <f>IF(ISNUMBER(F2627),E2627*F2627,"")</f>
        <v/>
      </c>
      <c r="H2627" s="28"/>
      <c r="I2627" s="29"/>
      <c r="J2627" s="152">
        <v>0</v>
      </c>
    </row>
    <row r="2628" spans="1:10" ht="15.75" hidden="1" thickBot="1" x14ac:dyDescent="0.3">
      <c r="A2628" s="176"/>
      <c r="B2628" s="174"/>
      <c r="C2628" s="31"/>
      <c r="D2628" s="31"/>
      <c r="E2628" s="32"/>
      <c r="F2628" s="42" t="s">
        <v>416</v>
      </c>
      <c r="G2628" s="33" t="str">
        <f>IF(ISNUMBER(F2628),E2628*F2628,"")</f>
        <v/>
      </c>
      <c r="H2628" s="34"/>
      <c r="I2628" s="30"/>
      <c r="J2628" s="152">
        <v>0</v>
      </c>
    </row>
    <row r="2629" spans="1:10" ht="15.75" hidden="1" thickBot="1" x14ac:dyDescent="0.3">
      <c r="A2629" s="176"/>
      <c r="B2629" s="174"/>
      <c r="C2629" s="35" t="s">
        <v>647</v>
      </c>
      <c r="D2629" s="35" t="s">
        <v>773</v>
      </c>
      <c r="E2629" s="36">
        <v>0.96299999999999997</v>
      </c>
      <c r="F2629" s="30">
        <v>8.17</v>
      </c>
      <c r="G2629" s="33">
        <f>IF(ISNUMBER(F2629),E2629*F2629,"")</f>
        <v>7.8677099999999998</v>
      </c>
      <c r="H2629" s="38">
        <f>SUM(G2629:G2629)</f>
        <v>7.8677099999999998</v>
      </c>
      <c r="I2629" s="39"/>
      <c r="J2629" s="152">
        <v>0</v>
      </c>
    </row>
    <row r="2630" spans="1:10" ht="15.75" hidden="1" thickBot="1" x14ac:dyDescent="0.3">
      <c r="A2630" s="177"/>
      <c r="B2630" s="175"/>
      <c r="C2630" s="35"/>
      <c r="D2630" s="35"/>
      <c r="E2630" s="36"/>
      <c r="F2630" s="30" t="s">
        <v>416</v>
      </c>
      <c r="G2630" s="33" t="str">
        <f>IF(ISNUMBER(F2630),E2630*F2630,"")</f>
        <v/>
      </c>
      <c r="H2630" s="34"/>
      <c r="I2630" s="30"/>
      <c r="J2630" s="152">
        <v>0</v>
      </c>
    </row>
    <row r="2631" spans="1:10" ht="15.75" hidden="1" thickBot="1" x14ac:dyDescent="0.3">
      <c r="A2631" s="170" t="s">
        <v>648</v>
      </c>
      <c r="B2631" s="173" t="str">
        <f>INDEX(Orçamentária!A:B,MATCH(Composições!A2631,Orçamentária!A:A,0),2)</f>
        <v>Arame Recozido Nº 18</v>
      </c>
      <c r="C2631" s="40"/>
      <c r="D2631" s="25" t="s">
        <v>28</v>
      </c>
      <c r="E2631" s="26"/>
      <c r="F2631" s="41" t="s">
        <v>416</v>
      </c>
      <c r="G2631" s="27" t="str">
        <f>IF(ISNUMBER(F2631),E2631*F2631,"")</f>
        <v/>
      </c>
      <c r="H2631" s="28"/>
      <c r="I2631" s="29"/>
      <c r="J2631" s="152">
        <v>0</v>
      </c>
    </row>
    <row r="2632" spans="1:10" ht="15.75" hidden="1" thickBot="1" x14ac:dyDescent="0.3">
      <c r="A2632" s="176"/>
      <c r="B2632" s="174"/>
      <c r="C2632" s="31"/>
      <c r="D2632" s="31"/>
      <c r="E2632" s="32"/>
      <c r="F2632" s="42" t="s">
        <v>416</v>
      </c>
      <c r="G2632" s="33" t="str">
        <f>IF(ISNUMBER(F2632),E2632*F2632,"")</f>
        <v/>
      </c>
      <c r="H2632" s="34"/>
      <c r="I2632" s="30"/>
      <c r="J2632" s="152">
        <v>0</v>
      </c>
    </row>
    <row r="2633" spans="1:10" ht="26.25" hidden="1" thickBot="1" x14ac:dyDescent="0.3">
      <c r="A2633" s="176"/>
      <c r="B2633" s="174"/>
      <c r="C2633" s="35" t="s">
        <v>3060</v>
      </c>
      <c r="D2633" s="35" t="s">
        <v>773</v>
      </c>
      <c r="E2633" s="36">
        <v>1</v>
      </c>
      <c r="F2633" s="30">
        <v>21.042499999999997</v>
      </c>
      <c r="G2633" s="33">
        <f>IF(ISNUMBER(F2633),E2633*F2633,"")</f>
        <v>21.042499999999997</v>
      </c>
      <c r="H2633" s="38">
        <f>SUM(G2633:G2633)</f>
        <v>21.042499999999997</v>
      </c>
      <c r="I2633" s="39"/>
      <c r="J2633" s="152">
        <v>0</v>
      </c>
    </row>
    <row r="2634" spans="1:10" ht="15.75" hidden="1" thickBot="1" x14ac:dyDescent="0.3">
      <c r="A2634" s="177"/>
      <c r="B2634" s="175"/>
      <c r="C2634" s="35"/>
      <c r="D2634" s="35"/>
      <c r="E2634" s="36"/>
      <c r="F2634" s="30" t="s">
        <v>416</v>
      </c>
      <c r="G2634" s="33" t="str">
        <f>IF(ISNUMBER(F2634),E2634*F2634,"")</f>
        <v/>
      </c>
      <c r="H2634" s="34"/>
      <c r="I2634" s="30"/>
      <c r="J2634" s="152">
        <v>0</v>
      </c>
    </row>
    <row r="2635" spans="1:10" ht="15.75" hidden="1" thickBot="1" x14ac:dyDescent="0.3">
      <c r="A2635" s="170" t="s">
        <v>649</v>
      </c>
      <c r="B2635" s="173" t="str">
        <f>INDEX(Orçamentária!A:B,MATCH(Composições!A2635,Orçamentária!A:A,0),2)</f>
        <v>Adesivo Estrutural Epóxi Bicomponente</v>
      </c>
      <c r="C2635" s="40"/>
      <c r="D2635" s="25" t="s">
        <v>28</v>
      </c>
      <c r="E2635" s="26"/>
      <c r="F2635" s="41" t="s">
        <v>416</v>
      </c>
      <c r="G2635" s="27" t="str">
        <f>IF(ISNUMBER(F2635),E2635*F2635,"")</f>
        <v/>
      </c>
      <c r="H2635" s="28"/>
      <c r="I2635" s="29"/>
      <c r="J2635" s="152">
        <v>0</v>
      </c>
    </row>
    <row r="2636" spans="1:10" ht="15.75" hidden="1" thickBot="1" x14ac:dyDescent="0.3">
      <c r="A2636" s="176"/>
      <c r="B2636" s="174"/>
      <c r="C2636" s="31"/>
      <c r="D2636" s="31"/>
      <c r="E2636" s="32"/>
      <c r="F2636" s="42" t="s">
        <v>416</v>
      </c>
      <c r="G2636" s="33" t="str">
        <f>IF(ISNUMBER(F2636),E2636*F2636,"")</f>
        <v/>
      </c>
      <c r="H2636" s="34"/>
      <c r="I2636" s="30"/>
      <c r="J2636" s="152">
        <v>0</v>
      </c>
    </row>
    <row r="2637" spans="1:10" ht="26.25" hidden="1" thickBot="1" x14ac:dyDescent="0.3">
      <c r="A2637" s="176"/>
      <c r="B2637" s="174"/>
      <c r="C2637" s="35" t="s">
        <v>2921</v>
      </c>
      <c r="D2637" s="35" t="s">
        <v>773</v>
      </c>
      <c r="E2637" s="36">
        <v>1</v>
      </c>
      <c r="F2637" s="30">
        <v>61.113499999999995</v>
      </c>
      <c r="G2637" s="33">
        <f>IF(ISNUMBER(F2637),E2637*F2637,"")</f>
        <v>61.113499999999995</v>
      </c>
      <c r="H2637" s="38">
        <f>SUM(G2637:G2637)</f>
        <v>61.113499999999995</v>
      </c>
      <c r="I2637" s="39"/>
      <c r="J2637" s="152">
        <v>0</v>
      </c>
    </row>
    <row r="2638" spans="1:10" ht="15.75" hidden="1" thickBot="1" x14ac:dyDescent="0.3">
      <c r="A2638" s="177"/>
      <c r="B2638" s="175"/>
      <c r="C2638" s="35"/>
      <c r="D2638" s="35"/>
      <c r="E2638" s="36"/>
      <c r="F2638" s="30" t="s">
        <v>416</v>
      </c>
      <c r="G2638" s="33" t="str">
        <f>IF(ISNUMBER(F2638),E2638*F2638,"")</f>
        <v/>
      </c>
      <c r="H2638" s="34"/>
      <c r="I2638" s="30"/>
      <c r="J2638" s="152">
        <v>0</v>
      </c>
    </row>
    <row r="2639" spans="1:10" ht="15.75" hidden="1" thickBot="1" x14ac:dyDescent="0.3">
      <c r="A2639" s="170" t="s">
        <v>1946</v>
      </c>
      <c r="B2639" s="173" t="str">
        <f>INDEX(Orçamentária!A:B,MATCH(Composições!A2639,Orçamentária!A:A,0),2)</f>
        <v>Adesivo Selante Poliuretano</v>
      </c>
      <c r="C2639" s="40"/>
      <c r="D2639" s="25" t="s">
        <v>16</v>
      </c>
      <c r="E2639" s="26"/>
      <c r="F2639" s="41" t="s">
        <v>416</v>
      </c>
      <c r="G2639" s="27" t="str">
        <f>IF(ISNUMBER(F2639),E2639*F2639,"")</f>
        <v/>
      </c>
      <c r="H2639" s="28"/>
      <c r="I2639" s="29"/>
      <c r="J2639" s="152">
        <v>0</v>
      </c>
    </row>
    <row r="2640" spans="1:10" ht="15.75" hidden="1" thickBot="1" x14ac:dyDescent="0.3">
      <c r="A2640" s="176"/>
      <c r="B2640" s="174"/>
      <c r="C2640" s="31"/>
      <c r="D2640" s="31"/>
      <c r="E2640" s="32"/>
      <c r="F2640" s="42" t="s">
        <v>416</v>
      </c>
      <c r="G2640" s="33" t="str">
        <f>IF(ISNUMBER(F2640),E2640*F2640,"")</f>
        <v/>
      </c>
      <c r="H2640" s="34"/>
      <c r="I2640" s="30"/>
      <c r="J2640" s="152">
        <v>0</v>
      </c>
    </row>
    <row r="2641" spans="1:10" ht="26.25" hidden="1" thickBot="1" x14ac:dyDescent="0.3">
      <c r="A2641" s="176"/>
      <c r="B2641" s="174"/>
      <c r="C2641" s="35" t="s">
        <v>928</v>
      </c>
      <c r="D2641" s="35" t="s">
        <v>8526</v>
      </c>
      <c r="E2641" s="36">
        <v>1</v>
      </c>
      <c r="F2641" s="30">
        <v>39.548499999999997</v>
      </c>
      <c r="G2641" s="33">
        <f>IF(ISNUMBER(F2641),E2641*F2641,"")</f>
        <v>39.548499999999997</v>
      </c>
      <c r="H2641" s="38">
        <f>SUM(G2641:G2641)</f>
        <v>39.548499999999997</v>
      </c>
      <c r="I2641" s="39"/>
      <c r="J2641" s="152">
        <v>0</v>
      </c>
    </row>
    <row r="2642" spans="1:10" ht="15.75" hidden="1" thickBot="1" x14ac:dyDescent="0.3">
      <c r="A2642" s="177"/>
      <c r="B2642" s="175"/>
      <c r="C2642" s="35"/>
      <c r="D2642" s="35"/>
      <c r="E2642" s="36"/>
      <c r="F2642" s="30" t="s">
        <v>416</v>
      </c>
      <c r="G2642" s="33" t="str">
        <f>IF(ISNUMBER(F2642),E2642*F2642,"")</f>
        <v/>
      </c>
      <c r="H2642" s="34"/>
      <c r="I2642" s="30"/>
      <c r="J2642" s="152">
        <v>0</v>
      </c>
    </row>
    <row r="2643" spans="1:10" ht="15.75" hidden="1" thickBot="1" x14ac:dyDescent="0.3">
      <c r="A2643" s="170" t="s">
        <v>1948</v>
      </c>
      <c r="B2643" s="173" t="str">
        <f>INDEX(Orçamentária!A:B,MATCH(Composições!A2643,Orçamentária!A:A,0),2)</f>
        <v>Selante de Silicone</v>
      </c>
      <c r="C2643" s="40"/>
      <c r="D2643" s="25" t="s">
        <v>16</v>
      </c>
      <c r="E2643" s="26"/>
      <c r="F2643" s="41" t="s">
        <v>416</v>
      </c>
      <c r="G2643" s="27" t="str">
        <f>IF(ISNUMBER(F2643),E2643*F2643,"")</f>
        <v/>
      </c>
      <c r="H2643" s="28"/>
      <c r="I2643" s="29"/>
      <c r="J2643" s="152">
        <v>0</v>
      </c>
    </row>
    <row r="2644" spans="1:10" ht="15.75" hidden="1" thickBot="1" x14ac:dyDescent="0.3">
      <c r="A2644" s="176"/>
      <c r="B2644" s="174"/>
      <c r="C2644" s="31"/>
      <c r="D2644" s="31"/>
      <c r="E2644" s="32"/>
      <c r="F2644" s="42" t="s">
        <v>416</v>
      </c>
      <c r="G2644" s="33" t="str">
        <f>IF(ISNUMBER(F2644),E2644*F2644,"")</f>
        <v/>
      </c>
      <c r="H2644" s="34"/>
      <c r="I2644" s="30"/>
      <c r="J2644" s="152">
        <v>0</v>
      </c>
    </row>
    <row r="2645" spans="1:10" ht="15.75" hidden="1" thickBot="1" x14ac:dyDescent="0.3">
      <c r="A2645" s="176"/>
      <c r="B2645" s="174"/>
      <c r="C2645" s="35" t="s">
        <v>8373</v>
      </c>
      <c r="D2645" s="35" t="s">
        <v>213</v>
      </c>
      <c r="E2645" s="36">
        <v>1</v>
      </c>
      <c r="F2645" s="30">
        <v>26.125</v>
      </c>
      <c r="G2645" s="33">
        <f>IF(ISNUMBER(F2645),E2645*F2645,"")</f>
        <v>26.125</v>
      </c>
      <c r="H2645" s="38">
        <f>SUM(G2645:G2645)</f>
        <v>26.125</v>
      </c>
      <c r="I2645" s="39"/>
      <c r="J2645" s="152">
        <v>0</v>
      </c>
    </row>
    <row r="2646" spans="1:10" ht="15.75" hidden="1" thickBot="1" x14ac:dyDescent="0.3">
      <c r="A2646" s="177"/>
      <c r="B2646" s="175"/>
      <c r="C2646" s="35"/>
      <c r="D2646" s="35"/>
      <c r="E2646" s="36"/>
      <c r="F2646" s="30" t="s">
        <v>416</v>
      </c>
      <c r="G2646" s="33" t="str">
        <f>IF(ISNUMBER(F2646),E2646*F2646,"")</f>
        <v/>
      </c>
      <c r="H2646" s="34"/>
      <c r="I2646" s="30"/>
      <c r="J2646" s="152">
        <v>0</v>
      </c>
    </row>
    <row r="2647" spans="1:10" ht="15.75" hidden="1" thickBot="1" x14ac:dyDescent="0.3">
      <c r="A2647" s="170" t="s">
        <v>651</v>
      </c>
      <c r="B2647" s="173" t="str">
        <f>INDEX(Orçamentária!A:B,MATCH(Composições!A2647,Orçamentária!A:A,0),2)</f>
        <v>Aditivo Impermeabilizante</v>
      </c>
      <c r="C2647" s="40"/>
      <c r="D2647" s="25" t="s">
        <v>75</v>
      </c>
      <c r="E2647" s="26"/>
      <c r="F2647" s="41" t="s">
        <v>416</v>
      </c>
      <c r="G2647" s="27" t="str">
        <f>IF(ISNUMBER(F2647),E2647*F2647,"")</f>
        <v/>
      </c>
      <c r="H2647" s="28"/>
      <c r="I2647" s="29"/>
      <c r="J2647" s="152">
        <v>0</v>
      </c>
    </row>
    <row r="2648" spans="1:10" ht="15.75" hidden="1" thickBot="1" x14ac:dyDescent="0.3">
      <c r="A2648" s="176"/>
      <c r="B2648" s="174"/>
      <c r="C2648" s="31"/>
      <c r="D2648" s="31"/>
      <c r="E2648" s="32"/>
      <c r="F2648" s="42" t="s">
        <v>416</v>
      </c>
      <c r="G2648" s="33" t="str">
        <f>IF(ISNUMBER(F2648),E2648*F2648,"")</f>
        <v/>
      </c>
      <c r="H2648" s="34"/>
      <c r="I2648" s="30"/>
      <c r="J2648" s="152">
        <v>0</v>
      </c>
    </row>
    <row r="2649" spans="1:10" ht="39" hidden="1" thickBot="1" x14ac:dyDescent="0.3">
      <c r="A2649" s="176"/>
      <c r="B2649" s="174"/>
      <c r="C2649" s="35" t="s">
        <v>652</v>
      </c>
      <c r="D2649" s="35" t="s">
        <v>75</v>
      </c>
      <c r="E2649" s="36">
        <v>1</v>
      </c>
      <c r="F2649" s="30">
        <v>8.2459999999999987</v>
      </c>
      <c r="G2649" s="33">
        <f>IF(ISNUMBER(F2649),E2649*F2649,"")</f>
        <v>8.2459999999999987</v>
      </c>
      <c r="H2649" s="38">
        <f>SUM(G2649:G2649)</f>
        <v>8.2459999999999987</v>
      </c>
      <c r="I2649" s="39"/>
      <c r="J2649" s="152">
        <v>0</v>
      </c>
    </row>
    <row r="2650" spans="1:10" ht="15.75" hidden="1" thickBot="1" x14ac:dyDescent="0.3">
      <c r="A2650" s="177"/>
      <c r="B2650" s="175"/>
      <c r="C2650" s="35"/>
      <c r="D2650" s="35"/>
      <c r="E2650" s="36"/>
      <c r="F2650" s="30" t="s">
        <v>416</v>
      </c>
      <c r="G2650" s="33" t="str">
        <f>IF(ISNUMBER(F2650),E2650*F2650,"")</f>
        <v/>
      </c>
      <c r="H2650" s="34"/>
      <c r="I2650" s="30"/>
      <c r="J2650" s="152">
        <v>0</v>
      </c>
    </row>
    <row r="2651" spans="1:10" ht="15.75" hidden="1" thickBot="1" x14ac:dyDescent="0.3">
      <c r="A2651" s="170" t="s">
        <v>1965</v>
      </c>
      <c r="B2651" s="173" t="str">
        <f>INDEX(Orçamentária!A:B,MATCH(Composições!A2651,Orçamentária!A:A,0),2)</f>
        <v>Lona Plástica</v>
      </c>
      <c r="C2651" s="40"/>
      <c r="D2651" s="25" t="s">
        <v>70</v>
      </c>
      <c r="E2651" s="26"/>
      <c r="F2651" s="41" t="s">
        <v>416</v>
      </c>
      <c r="G2651" s="27" t="str">
        <f>IF(ISNUMBER(F2651),E2651*F2651,"")</f>
        <v/>
      </c>
      <c r="H2651" s="28"/>
      <c r="I2651" s="29"/>
      <c r="J2651" s="152">
        <v>0</v>
      </c>
    </row>
    <row r="2652" spans="1:10" ht="15.75" hidden="1" thickBot="1" x14ac:dyDescent="0.3">
      <c r="A2652" s="176"/>
      <c r="B2652" s="174"/>
      <c r="C2652" s="31"/>
      <c r="D2652" s="31"/>
      <c r="E2652" s="32"/>
      <c r="F2652" s="42" t="s">
        <v>416</v>
      </c>
      <c r="G2652" s="33" t="str">
        <f>IF(ISNUMBER(F2652),E2652*F2652,"")</f>
        <v/>
      </c>
      <c r="H2652" s="34"/>
      <c r="I2652" s="30"/>
      <c r="J2652" s="152">
        <v>0</v>
      </c>
    </row>
    <row r="2653" spans="1:10" ht="15.75" hidden="1" thickBot="1" x14ac:dyDescent="0.3">
      <c r="A2653" s="176"/>
      <c r="B2653" s="174"/>
      <c r="C2653" s="35" t="s">
        <v>3228</v>
      </c>
      <c r="D2653" s="35" t="s">
        <v>861</v>
      </c>
      <c r="E2653" s="36">
        <v>1</v>
      </c>
      <c r="F2653" s="30">
        <v>1.8144999999999998</v>
      </c>
      <c r="G2653" s="33">
        <f>IF(ISNUMBER(F2653),E2653*F2653,"")</f>
        <v>1.8144999999999998</v>
      </c>
      <c r="H2653" s="38">
        <f>SUM(G2653:G2653)</f>
        <v>1.8144999999999998</v>
      </c>
      <c r="I2653" s="39"/>
      <c r="J2653" s="152">
        <v>0</v>
      </c>
    </row>
    <row r="2654" spans="1:10" ht="15.75" hidden="1" thickBot="1" x14ac:dyDescent="0.3">
      <c r="A2654" s="177"/>
      <c r="B2654" s="175"/>
      <c r="C2654" s="35"/>
      <c r="D2654" s="35"/>
      <c r="E2654" s="36"/>
      <c r="F2654" s="30" t="s">
        <v>416</v>
      </c>
      <c r="G2654" s="33" t="str">
        <f>IF(ISNUMBER(F2654),E2654*F2654,"")</f>
        <v/>
      </c>
      <c r="H2654" s="34"/>
      <c r="I2654" s="30"/>
      <c r="J2654" s="152">
        <v>0</v>
      </c>
    </row>
    <row r="2655" spans="1:10" ht="15.75" hidden="1" thickBot="1" x14ac:dyDescent="0.3">
      <c r="A2655" s="170" t="s">
        <v>653</v>
      </c>
      <c r="B2655" s="173" t="str">
        <f>INDEX(Orçamentária!A:B,MATCH(Composições!A2655,Orçamentária!A:A,0),2)</f>
        <v>Supervisor(a)-Geral</v>
      </c>
      <c r="C2655" s="40"/>
      <c r="D2655" s="25" t="s">
        <v>2177</v>
      </c>
      <c r="E2655" s="26"/>
      <c r="F2655" s="41" t="s">
        <v>416</v>
      </c>
      <c r="G2655" s="27" t="str">
        <f>IF(ISNUMBER(F2655),E2655*F2655,"")</f>
        <v/>
      </c>
      <c r="H2655" s="28"/>
      <c r="I2655" s="29"/>
      <c r="J2655" s="152">
        <v>0</v>
      </c>
    </row>
    <row r="2656" spans="1:10" ht="15.75" hidden="1" thickBot="1" x14ac:dyDescent="0.3">
      <c r="A2656" s="176"/>
      <c r="B2656" s="174"/>
      <c r="C2656" s="31"/>
      <c r="D2656" s="31"/>
      <c r="E2656" s="32"/>
      <c r="F2656" s="42" t="s">
        <v>416</v>
      </c>
      <c r="G2656" s="33" t="str">
        <f>IF(ISNUMBER(F2656),E2656*F2656,"")</f>
        <v/>
      </c>
      <c r="H2656" s="34"/>
      <c r="I2656" s="30"/>
      <c r="J2656" s="152">
        <v>0</v>
      </c>
    </row>
    <row r="2657" spans="1:10" ht="26.25" hidden="1" thickBot="1" x14ac:dyDescent="0.3">
      <c r="A2657" s="176"/>
      <c r="B2657" s="174"/>
      <c r="C2657" s="35" t="s">
        <v>654</v>
      </c>
      <c r="D2657" s="35" t="s">
        <v>583</v>
      </c>
      <c r="E2657" s="36">
        <f>ROUND(220/(1+110.14%),4)</f>
        <v>104.6921</v>
      </c>
      <c r="F2657" s="30">
        <v>118.2085</v>
      </c>
      <c r="G2657" s="33">
        <f>IF(ISNUMBER(F2657),E2657*F2657,"")</f>
        <v>12375.49610285</v>
      </c>
      <c r="H2657" s="38">
        <f>SUM(G2657:G2657)</f>
        <v>12375.49610285</v>
      </c>
      <c r="I2657" s="39"/>
      <c r="J2657" s="152">
        <v>0</v>
      </c>
    </row>
    <row r="2658" spans="1:10" ht="15.75" hidden="1" thickBot="1" x14ac:dyDescent="0.3">
      <c r="A2658" s="176"/>
      <c r="B2658" s="174"/>
      <c r="C2658" s="35"/>
      <c r="D2658" s="46"/>
      <c r="E2658" s="36"/>
      <c r="F2658" s="30" t="s">
        <v>416</v>
      </c>
      <c r="G2658" s="33" t="str">
        <f>IF(ISNUMBER(F2658),E2658*F2658,"")</f>
        <v/>
      </c>
      <c r="H2658" s="34"/>
      <c r="I2658" s="39"/>
      <c r="J2658" s="152">
        <v>0</v>
      </c>
    </row>
    <row r="2659" spans="1:10" ht="26.25" hidden="1" thickBot="1" x14ac:dyDescent="0.3">
      <c r="A2659" s="176"/>
      <c r="B2659" s="174"/>
      <c r="C2659" s="47" t="s">
        <v>655</v>
      </c>
      <c r="D2659" s="46"/>
      <c r="E2659" s="36"/>
      <c r="F2659" s="30" t="s">
        <v>416</v>
      </c>
      <c r="G2659" s="33" t="str">
        <f>IF(ISNUMBER(F2659),E2659*F2659,"")</f>
        <v/>
      </c>
      <c r="H2659" s="34"/>
      <c r="I2659" s="39"/>
      <c r="J2659" s="152">
        <v>0</v>
      </c>
    </row>
    <row r="2660" spans="1:10" ht="15.75" hidden="1" thickBot="1" x14ac:dyDescent="0.3">
      <c r="A2660" s="177"/>
      <c r="B2660" s="175"/>
      <c r="C2660" s="35"/>
      <c r="D2660" s="35"/>
      <c r="E2660" s="36"/>
      <c r="F2660" s="30" t="s">
        <v>416</v>
      </c>
      <c r="G2660" s="33" t="str">
        <f>IF(ISNUMBER(F2660),E2660*F2660,"")</f>
        <v/>
      </c>
      <c r="H2660" s="34"/>
      <c r="I2660" s="30"/>
      <c r="J2660" s="152">
        <v>0</v>
      </c>
    </row>
    <row r="2661" spans="1:10" ht="15.75" hidden="1" thickBot="1" x14ac:dyDescent="0.3">
      <c r="A2661" s="170" t="s">
        <v>656</v>
      </c>
      <c r="B2661" s="173" t="str">
        <f>INDEX(Orçamentária!A:B,MATCH(Composições!A2661,Orçamentária!A:A,0),2)</f>
        <v>Apoio Técnico Administrativo – Controle de Almoxarifado</v>
      </c>
      <c r="C2661" s="40"/>
      <c r="D2661" s="25" t="s">
        <v>2177</v>
      </c>
      <c r="E2661" s="26"/>
      <c r="F2661" s="41" t="s">
        <v>416</v>
      </c>
      <c r="G2661" s="27" t="str">
        <f>IF(ISNUMBER(F2661),E2661*F2661,"")</f>
        <v/>
      </c>
      <c r="H2661" s="28"/>
      <c r="I2661" s="29"/>
      <c r="J2661" s="152">
        <v>0</v>
      </c>
    </row>
    <row r="2662" spans="1:10" ht="15.75" hidden="1" thickBot="1" x14ac:dyDescent="0.3">
      <c r="A2662" s="171"/>
      <c r="B2662" s="174"/>
      <c r="C2662" s="31"/>
      <c r="D2662" s="31"/>
      <c r="E2662" s="32"/>
      <c r="F2662" s="42" t="s">
        <v>416</v>
      </c>
      <c r="G2662" s="33" t="str">
        <f>IF(ISNUMBER(F2662),E2662*F2662,"")</f>
        <v/>
      </c>
      <c r="H2662" s="34"/>
      <c r="I2662" s="30"/>
      <c r="J2662" s="152">
        <v>0</v>
      </c>
    </row>
    <row r="2663" spans="1:10" ht="15.75" hidden="1" thickBot="1" x14ac:dyDescent="0.3">
      <c r="A2663" s="171"/>
      <c r="B2663" s="174"/>
      <c r="C2663" s="35" t="s">
        <v>657</v>
      </c>
      <c r="D2663" s="35" t="s">
        <v>583</v>
      </c>
      <c r="E2663" s="36">
        <f>ROUND(220/(1+110.14%),4)</f>
        <v>104.6921</v>
      </c>
      <c r="F2663" s="30">
        <v>31.264499999999995</v>
      </c>
      <c r="G2663" s="33">
        <f>IF(ISNUMBER(F2663),E2663*F2663,"")</f>
        <v>3273.1461604499991</v>
      </c>
      <c r="H2663" s="38">
        <f>SUM(G2663:G2663)</f>
        <v>3273.1461604499991</v>
      </c>
      <c r="I2663" s="39"/>
      <c r="J2663" s="152">
        <v>0</v>
      </c>
    </row>
    <row r="2664" spans="1:10" ht="15.75" hidden="1" thickBot="1" x14ac:dyDescent="0.3">
      <c r="A2664" s="171"/>
      <c r="B2664" s="174"/>
      <c r="C2664" s="35"/>
      <c r="D2664" s="46"/>
      <c r="E2664" s="36"/>
      <c r="F2664" s="30" t="s">
        <v>416</v>
      </c>
      <c r="G2664" s="33" t="str">
        <f>IF(ISNUMBER(F2664),E2664*F2664,"")</f>
        <v/>
      </c>
      <c r="H2664" s="38"/>
      <c r="I2664" s="39"/>
      <c r="J2664" s="152">
        <v>0</v>
      </c>
    </row>
    <row r="2665" spans="1:10" ht="26.25" hidden="1" thickBot="1" x14ac:dyDescent="0.3">
      <c r="A2665" s="171"/>
      <c r="B2665" s="174"/>
      <c r="C2665" s="47" t="s">
        <v>655</v>
      </c>
      <c r="D2665" s="46"/>
      <c r="E2665" s="36"/>
      <c r="F2665" s="30" t="s">
        <v>416</v>
      </c>
      <c r="G2665" s="33" t="str">
        <f>IF(ISNUMBER(F2665),E2665*F2665,"")</f>
        <v/>
      </c>
      <c r="H2665" s="38"/>
      <c r="I2665" s="39"/>
      <c r="J2665" s="152">
        <v>0</v>
      </c>
    </row>
    <row r="2666" spans="1:10" ht="15.75" hidden="1" thickBot="1" x14ac:dyDescent="0.3">
      <c r="A2666" s="172"/>
      <c r="B2666" s="175"/>
      <c r="C2666" s="35"/>
      <c r="D2666" s="35"/>
      <c r="E2666" s="36"/>
      <c r="F2666" s="30" t="s">
        <v>416</v>
      </c>
      <c r="G2666" s="33" t="str">
        <f>IF(ISNUMBER(F2666),E2666*F2666,"")</f>
        <v/>
      </c>
      <c r="H2666" s="34"/>
      <c r="I2666" s="30"/>
      <c r="J2666" s="152">
        <v>0</v>
      </c>
    </row>
    <row r="2667" spans="1:10" ht="15.75" hidden="1" thickBot="1" x14ac:dyDescent="0.3">
      <c r="A2667" s="170" t="s">
        <v>658</v>
      </c>
      <c r="B2667" s="173" t="str">
        <f>INDEX(Orçamentária!A:B,MATCH(Composições!A2667,Orçamentária!A:A,0),2)</f>
        <v>Ajudante de Serviços Gerais</v>
      </c>
      <c r="C2667" s="40"/>
      <c r="D2667" s="25" t="s">
        <v>2177</v>
      </c>
      <c r="E2667" s="26"/>
      <c r="F2667" s="41" t="s">
        <v>416</v>
      </c>
      <c r="G2667" s="27" t="str">
        <f>IF(ISNUMBER(F2667),E2667*F2667,"")</f>
        <v/>
      </c>
      <c r="H2667" s="28"/>
      <c r="I2667" s="29"/>
      <c r="J2667" s="152">
        <v>0</v>
      </c>
    </row>
    <row r="2668" spans="1:10" ht="15.75" hidden="1" thickBot="1" x14ac:dyDescent="0.3">
      <c r="A2668" s="176"/>
      <c r="B2668" s="174"/>
      <c r="C2668" s="31"/>
      <c r="D2668" s="31"/>
      <c r="E2668" s="32"/>
      <c r="F2668" s="42" t="s">
        <v>416</v>
      </c>
      <c r="G2668" s="33" t="str">
        <f>IF(ISNUMBER(F2668),E2668*F2668,"")</f>
        <v/>
      </c>
      <c r="H2668" s="34"/>
      <c r="I2668" s="30"/>
      <c r="J2668" s="152">
        <v>0</v>
      </c>
    </row>
    <row r="2669" spans="1:10" ht="15.75" hidden="1" thickBot="1" x14ac:dyDescent="0.3">
      <c r="A2669" s="176"/>
      <c r="B2669" s="174"/>
      <c r="C2669" s="35" t="s">
        <v>584</v>
      </c>
      <c r="D2669" s="35" t="s">
        <v>583</v>
      </c>
      <c r="E2669" s="36">
        <f>ROUND(220/(1+110.14%),4)</f>
        <v>104.6921</v>
      </c>
      <c r="F2669" s="30">
        <v>20.225499999999997</v>
      </c>
      <c r="G2669" s="33">
        <f>IF(ISNUMBER(F2669),E2669*F2669,"")</f>
        <v>2117.4500685499997</v>
      </c>
      <c r="H2669" s="38">
        <f>SUM(G2669:G2669)</f>
        <v>2117.4500685499997</v>
      </c>
      <c r="I2669" s="39"/>
      <c r="J2669" s="152">
        <v>0</v>
      </c>
    </row>
    <row r="2670" spans="1:10" ht="15.75" hidden="1" thickBot="1" x14ac:dyDescent="0.3">
      <c r="A2670" s="176"/>
      <c r="B2670" s="174"/>
      <c r="C2670" s="35"/>
      <c r="D2670" s="46"/>
      <c r="E2670" s="36"/>
      <c r="F2670" s="30" t="s">
        <v>416</v>
      </c>
      <c r="G2670" s="33" t="str">
        <f>IF(ISNUMBER(F2670),E2670*F2670,"")</f>
        <v/>
      </c>
      <c r="H2670" s="38"/>
      <c r="I2670" s="39"/>
      <c r="J2670" s="152">
        <v>0</v>
      </c>
    </row>
    <row r="2671" spans="1:10" ht="26.25" hidden="1" thickBot="1" x14ac:dyDescent="0.3">
      <c r="A2671" s="176"/>
      <c r="B2671" s="174"/>
      <c r="C2671" s="47" t="s">
        <v>655</v>
      </c>
      <c r="D2671" s="46"/>
      <c r="E2671" s="36"/>
      <c r="F2671" s="30" t="s">
        <v>416</v>
      </c>
      <c r="G2671" s="33" t="str">
        <f>IF(ISNUMBER(F2671),E2671*F2671,"")</f>
        <v/>
      </c>
      <c r="H2671" s="38"/>
      <c r="I2671" s="39"/>
      <c r="J2671" s="152">
        <v>0</v>
      </c>
    </row>
    <row r="2672" spans="1:10" ht="15.75" hidden="1" thickBot="1" x14ac:dyDescent="0.3">
      <c r="A2672" s="177"/>
      <c r="B2672" s="175"/>
      <c r="C2672" s="35"/>
      <c r="D2672" s="35"/>
      <c r="E2672" s="36"/>
      <c r="F2672" s="30" t="s">
        <v>416</v>
      </c>
      <c r="G2672" s="33" t="str">
        <f>IF(ISNUMBER(F2672),E2672*F2672,"")</f>
        <v/>
      </c>
      <c r="H2672" s="34"/>
      <c r="I2672" s="30"/>
      <c r="J2672" s="152">
        <v>0</v>
      </c>
    </row>
    <row r="2673" spans="1:10" ht="15.75" hidden="1" thickBot="1" x14ac:dyDescent="0.3">
      <c r="A2673" s="170" t="s">
        <v>659</v>
      </c>
      <c r="B2673" s="173" t="str">
        <f>INDEX(Orçamentária!A:B,MATCH(Composições!A2673,Orçamentária!A:A,0),2)</f>
        <v>Ajudante de Marceneiro(a)</v>
      </c>
      <c r="C2673" s="40"/>
      <c r="D2673" s="25" t="s">
        <v>2177</v>
      </c>
      <c r="E2673" s="26"/>
      <c r="F2673" s="41" t="s">
        <v>416</v>
      </c>
      <c r="G2673" s="27" t="str">
        <f>IF(ISNUMBER(F2673),E2673*F2673,"")</f>
        <v/>
      </c>
      <c r="H2673" s="28"/>
      <c r="I2673" s="29"/>
      <c r="J2673" s="152">
        <v>0</v>
      </c>
    </row>
    <row r="2674" spans="1:10" ht="15.75" hidden="1" thickBot="1" x14ac:dyDescent="0.3">
      <c r="A2674" s="176"/>
      <c r="B2674" s="174"/>
      <c r="C2674" s="31"/>
      <c r="D2674" s="31"/>
      <c r="E2674" s="32"/>
      <c r="F2674" s="42" t="s">
        <v>416</v>
      </c>
      <c r="G2674" s="33" t="str">
        <f>IF(ISNUMBER(F2674),E2674*F2674,"")</f>
        <v/>
      </c>
      <c r="H2674" s="34"/>
      <c r="I2674" s="30"/>
      <c r="J2674" s="152">
        <v>0</v>
      </c>
    </row>
    <row r="2675" spans="1:10" ht="15.75" hidden="1" thickBot="1" x14ac:dyDescent="0.3">
      <c r="A2675" s="176"/>
      <c r="B2675" s="174"/>
      <c r="C2675" s="35" t="s">
        <v>660</v>
      </c>
      <c r="D2675" s="35" t="s">
        <v>583</v>
      </c>
      <c r="E2675" s="36">
        <f>ROUND(220/(1+110.14%),4)</f>
        <v>104.6921</v>
      </c>
      <c r="F2675" s="30">
        <v>21.337</v>
      </c>
      <c r="G2675" s="33">
        <f>IF(ISNUMBER(F2675),E2675*F2675,"")</f>
        <v>2233.8153376999999</v>
      </c>
      <c r="H2675" s="38">
        <f>SUM(G2675:G2675)</f>
        <v>2233.8153376999999</v>
      </c>
      <c r="I2675" s="39"/>
      <c r="J2675" s="152">
        <v>0</v>
      </c>
    </row>
    <row r="2676" spans="1:10" ht="15.75" hidden="1" thickBot="1" x14ac:dyDescent="0.3">
      <c r="A2676" s="176"/>
      <c r="B2676" s="174"/>
      <c r="C2676" s="35"/>
      <c r="D2676" s="46"/>
      <c r="E2676" s="36"/>
      <c r="F2676" s="30" t="s">
        <v>416</v>
      </c>
      <c r="G2676" s="33" t="str">
        <f>IF(ISNUMBER(F2676),E2676*F2676,"")</f>
        <v/>
      </c>
      <c r="H2676" s="38"/>
      <c r="I2676" s="39"/>
      <c r="J2676" s="152">
        <v>0</v>
      </c>
    </row>
    <row r="2677" spans="1:10" ht="26.25" hidden="1" thickBot="1" x14ac:dyDescent="0.3">
      <c r="A2677" s="176"/>
      <c r="B2677" s="174"/>
      <c r="C2677" s="47" t="s">
        <v>655</v>
      </c>
      <c r="D2677" s="46"/>
      <c r="E2677" s="36"/>
      <c r="F2677" s="30" t="s">
        <v>416</v>
      </c>
      <c r="G2677" s="33" t="str">
        <f>IF(ISNUMBER(F2677),E2677*F2677,"")</f>
        <v/>
      </c>
      <c r="H2677" s="38"/>
      <c r="I2677" s="39"/>
      <c r="J2677" s="152">
        <v>0</v>
      </c>
    </row>
    <row r="2678" spans="1:10" ht="15.75" hidden="1" thickBot="1" x14ac:dyDescent="0.3">
      <c r="A2678" s="177"/>
      <c r="B2678" s="175"/>
      <c r="C2678" s="35"/>
      <c r="D2678" s="35"/>
      <c r="E2678" s="36"/>
      <c r="F2678" s="30" t="s">
        <v>416</v>
      </c>
      <c r="G2678" s="33" t="str">
        <f>IF(ISNUMBER(F2678),E2678*F2678,"")</f>
        <v/>
      </c>
      <c r="H2678" s="34"/>
      <c r="I2678" s="30"/>
      <c r="J2678" s="152">
        <v>0</v>
      </c>
    </row>
    <row r="2679" spans="1:10" ht="15.75" hidden="1" thickBot="1" x14ac:dyDescent="0.3">
      <c r="A2679" s="170" t="s">
        <v>661</v>
      </c>
      <c r="B2679" s="173" t="str">
        <f>INDEX(Orçamentária!A:B,MATCH(Composições!A2679,Orçamentária!A:A,0),2)</f>
        <v>Ajudante de Serralheiro(a)</v>
      </c>
      <c r="C2679" s="40"/>
      <c r="D2679" s="25" t="s">
        <v>2177</v>
      </c>
      <c r="E2679" s="26"/>
      <c r="F2679" s="41" t="s">
        <v>416</v>
      </c>
      <c r="G2679" s="27" t="str">
        <f>IF(ISNUMBER(F2679),E2679*F2679,"")</f>
        <v/>
      </c>
      <c r="H2679" s="28"/>
      <c r="I2679" s="29"/>
      <c r="J2679" s="152">
        <v>0</v>
      </c>
    </row>
    <row r="2680" spans="1:10" ht="15.75" hidden="1" thickBot="1" x14ac:dyDescent="0.3">
      <c r="A2680" s="176"/>
      <c r="B2680" s="174"/>
      <c r="C2680" s="31"/>
      <c r="D2680" s="31"/>
      <c r="E2680" s="32"/>
      <c r="F2680" s="42" t="s">
        <v>416</v>
      </c>
      <c r="G2680" s="33" t="str">
        <f>IF(ISNUMBER(F2680),E2680*F2680,"")</f>
        <v/>
      </c>
      <c r="H2680" s="34"/>
      <c r="I2680" s="30"/>
      <c r="J2680" s="152">
        <v>0</v>
      </c>
    </row>
    <row r="2681" spans="1:10" ht="15.75" hidden="1" thickBot="1" x14ac:dyDescent="0.3">
      <c r="A2681" s="176"/>
      <c r="B2681" s="174"/>
      <c r="C2681" s="35" t="s">
        <v>662</v>
      </c>
      <c r="D2681" s="35" t="s">
        <v>583</v>
      </c>
      <c r="E2681" s="36">
        <f>ROUND(220/(1+110.14%),4)</f>
        <v>104.6921</v>
      </c>
      <c r="F2681" s="30">
        <v>21.479499999999998</v>
      </c>
      <c r="G2681" s="33">
        <f>IF(ISNUMBER(F2681),E2681*F2681,"")</f>
        <v>2248.7339619499999</v>
      </c>
      <c r="H2681" s="38">
        <f>SUM(G2681:G2681)</f>
        <v>2248.7339619499999</v>
      </c>
      <c r="I2681" s="39"/>
      <c r="J2681" s="152">
        <v>0</v>
      </c>
    </row>
    <row r="2682" spans="1:10" ht="15.75" hidden="1" thickBot="1" x14ac:dyDescent="0.3">
      <c r="A2682" s="176"/>
      <c r="B2682" s="174"/>
      <c r="C2682" s="35"/>
      <c r="D2682" s="46"/>
      <c r="E2682" s="36"/>
      <c r="F2682" s="30" t="s">
        <v>416</v>
      </c>
      <c r="G2682" s="33" t="str">
        <f>IF(ISNUMBER(F2682),E2682*F2682,"")</f>
        <v/>
      </c>
      <c r="H2682" s="38"/>
      <c r="I2682" s="39"/>
      <c r="J2682" s="152">
        <v>0</v>
      </c>
    </row>
    <row r="2683" spans="1:10" ht="26.25" hidden="1" thickBot="1" x14ac:dyDescent="0.3">
      <c r="A2683" s="176"/>
      <c r="B2683" s="174"/>
      <c r="C2683" s="47" t="s">
        <v>655</v>
      </c>
      <c r="D2683" s="46"/>
      <c r="E2683" s="36"/>
      <c r="F2683" s="30" t="s">
        <v>416</v>
      </c>
      <c r="G2683" s="33" t="str">
        <f>IF(ISNUMBER(F2683),E2683*F2683,"")</f>
        <v/>
      </c>
      <c r="H2683" s="38"/>
      <c r="I2683" s="39"/>
      <c r="J2683" s="152">
        <v>0</v>
      </c>
    </row>
    <row r="2684" spans="1:10" ht="15.75" hidden="1" thickBot="1" x14ac:dyDescent="0.3">
      <c r="A2684" s="177"/>
      <c r="B2684" s="175"/>
      <c r="C2684" s="35"/>
      <c r="D2684" s="35"/>
      <c r="E2684" s="36"/>
      <c r="F2684" s="30" t="s">
        <v>416</v>
      </c>
      <c r="G2684" s="33" t="str">
        <f>IF(ISNUMBER(F2684),E2684*F2684,"")</f>
        <v/>
      </c>
      <c r="H2684" s="34"/>
      <c r="I2684" s="30"/>
      <c r="J2684" s="152">
        <v>0</v>
      </c>
    </row>
    <row r="2685" spans="1:10" ht="15.75" hidden="1" thickBot="1" x14ac:dyDescent="0.3">
      <c r="A2685" s="170" t="s">
        <v>663</v>
      </c>
      <c r="B2685" s="173" t="str">
        <f>INDEX(Orçamentária!A:B,MATCH(Composições!A2685,Orçamentária!A:A,0),2)</f>
        <v>Lustrador(a) de Móveis</v>
      </c>
      <c r="C2685" s="40"/>
      <c r="D2685" s="25" t="s">
        <v>2177</v>
      </c>
      <c r="E2685" s="26"/>
      <c r="F2685" s="41" t="s">
        <v>416</v>
      </c>
      <c r="G2685" s="27" t="str">
        <f>IF(ISNUMBER(F2685),E2685*F2685,"")</f>
        <v/>
      </c>
      <c r="H2685" s="28"/>
      <c r="I2685" s="29"/>
      <c r="J2685" s="152">
        <v>0</v>
      </c>
    </row>
    <row r="2686" spans="1:10" ht="15.75" hidden="1" thickBot="1" x14ac:dyDescent="0.3">
      <c r="A2686" s="176"/>
      <c r="B2686" s="174"/>
      <c r="C2686" s="31"/>
      <c r="D2686" s="31"/>
      <c r="E2686" s="32"/>
      <c r="F2686" s="42" t="s">
        <v>416</v>
      </c>
      <c r="G2686" s="33" t="str">
        <f>IF(ISNUMBER(F2686),E2686*F2686,"")</f>
        <v/>
      </c>
      <c r="H2686" s="34"/>
      <c r="I2686" s="30"/>
      <c r="J2686" s="152">
        <v>0</v>
      </c>
    </row>
    <row r="2687" spans="1:10" ht="15.75" hidden="1" thickBot="1" x14ac:dyDescent="0.3">
      <c r="A2687" s="176"/>
      <c r="B2687" s="174"/>
      <c r="C2687" s="35" t="s">
        <v>2905</v>
      </c>
      <c r="D2687" s="35" t="s">
        <v>583</v>
      </c>
      <c r="E2687" s="36">
        <f>ROUND(220/(1+110.14%),4)</f>
        <v>104.6921</v>
      </c>
      <c r="F2687" s="30">
        <v>25.4315</v>
      </c>
      <c r="G2687" s="33">
        <f>IF(ISNUMBER(F2687),E2687*F2687,"")</f>
        <v>2662.4771411500001</v>
      </c>
      <c r="H2687" s="38">
        <f>SUM(G2687:G2687)</f>
        <v>2662.4771411500001</v>
      </c>
      <c r="I2687" s="39"/>
      <c r="J2687" s="152">
        <v>0</v>
      </c>
    </row>
    <row r="2688" spans="1:10" ht="15.75" hidden="1" thickBot="1" x14ac:dyDescent="0.3">
      <c r="A2688" s="176"/>
      <c r="B2688" s="174"/>
      <c r="C2688" s="35"/>
      <c r="D2688" s="46"/>
      <c r="E2688" s="36"/>
      <c r="F2688" s="30" t="s">
        <v>416</v>
      </c>
      <c r="G2688" s="33" t="str">
        <f>IF(ISNUMBER(F2688),E2688*F2688,"")</f>
        <v/>
      </c>
      <c r="H2688" s="38"/>
      <c r="I2688" s="39"/>
      <c r="J2688" s="152">
        <v>0</v>
      </c>
    </row>
    <row r="2689" spans="1:10" ht="26.25" hidden="1" thickBot="1" x14ac:dyDescent="0.3">
      <c r="A2689" s="176"/>
      <c r="B2689" s="174"/>
      <c r="C2689" s="47" t="s">
        <v>655</v>
      </c>
      <c r="D2689" s="46"/>
      <c r="E2689" s="36"/>
      <c r="F2689" s="30" t="s">
        <v>416</v>
      </c>
      <c r="G2689" s="33" t="str">
        <f>IF(ISNUMBER(F2689),E2689*F2689,"")</f>
        <v/>
      </c>
      <c r="H2689" s="38"/>
      <c r="I2689" s="39"/>
      <c r="J2689" s="152">
        <v>0</v>
      </c>
    </row>
    <row r="2690" spans="1:10" ht="15.75" hidden="1" thickBot="1" x14ac:dyDescent="0.3">
      <c r="A2690" s="177"/>
      <c r="B2690" s="175"/>
      <c r="C2690" s="35"/>
      <c r="D2690" s="35"/>
      <c r="E2690" s="36"/>
      <c r="F2690" s="30" t="s">
        <v>416</v>
      </c>
      <c r="G2690" s="33" t="str">
        <f>IF(ISNUMBER(F2690),E2690*F2690,"")</f>
        <v/>
      </c>
      <c r="H2690" s="34"/>
      <c r="I2690" s="30"/>
      <c r="J2690" s="152">
        <v>0</v>
      </c>
    </row>
    <row r="2691" spans="1:10" ht="15.75" hidden="1" thickBot="1" x14ac:dyDescent="0.3">
      <c r="A2691" s="170" t="s">
        <v>664</v>
      </c>
      <c r="B2691" s="173" t="str">
        <f>INDEX(Orçamentária!A:B,MATCH(Composições!A2691,Orçamentária!A:A,0),2)</f>
        <v>Marceneiro(a)</v>
      </c>
      <c r="C2691" s="40"/>
      <c r="D2691" s="25" t="s">
        <v>2177</v>
      </c>
      <c r="E2691" s="26"/>
      <c r="F2691" s="41" t="s">
        <v>416</v>
      </c>
      <c r="G2691" s="27" t="str">
        <f>IF(ISNUMBER(F2691),E2691*F2691,"")</f>
        <v/>
      </c>
      <c r="H2691" s="28"/>
      <c r="I2691" s="29"/>
      <c r="J2691" s="152">
        <v>0</v>
      </c>
    </row>
    <row r="2692" spans="1:10" ht="15.75" hidden="1" thickBot="1" x14ac:dyDescent="0.3">
      <c r="A2692" s="176"/>
      <c r="B2692" s="174"/>
      <c r="C2692" s="31"/>
      <c r="D2692" s="31"/>
      <c r="E2692" s="32"/>
      <c r="F2692" s="42" t="s">
        <v>416</v>
      </c>
      <c r="G2692" s="33" t="str">
        <f>IF(ISNUMBER(F2692),E2692*F2692,"")</f>
        <v/>
      </c>
      <c r="H2692" s="34"/>
      <c r="I2692" s="30"/>
      <c r="J2692" s="152">
        <v>0</v>
      </c>
    </row>
    <row r="2693" spans="1:10" ht="15.75" hidden="1" thickBot="1" x14ac:dyDescent="0.3">
      <c r="A2693" s="176"/>
      <c r="B2693" s="174"/>
      <c r="C2693" s="35" t="s">
        <v>2905</v>
      </c>
      <c r="D2693" s="35" t="s">
        <v>583</v>
      </c>
      <c r="E2693" s="36">
        <f>ROUND(220/(1+110.14%),4)</f>
        <v>104.6921</v>
      </c>
      <c r="F2693" s="30">
        <v>25.4315</v>
      </c>
      <c r="G2693" s="33">
        <f>IF(ISNUMBER(F2693),E2693*F2693,"")</f>
        <v>2662.4771411500001</v>
      </c>
      <c r="H2693" s="38">
        <f>SUM(G2693:G2693)</f>
        <v>2662.4771411500001</v>
      </c>
      <c r="I2693" s="39"/>
      <c r="J2693" s="152">
        <v>0</v>
      </c>
    </row>
    <row r="2694" spans="1:10" ht="15.75" hidden="1" thickBot="1" x14ac:dyDescent="0.3">
      <c r="A2694" s="176"/>
      <c r="B2694" s="174"/>
      <c r="C2694" s="35"/>
      <c r="D2694" s="46"/>
      <c r="E2694" s="36"/>
      <c r="F2694" s="30" t="s">
        <v>416</v>
      </c>
      <c r="G2694" s="33" t="str">
        <f>IF(ISNUMBER(F2694),E2694*F2694,"")</f>
        <v/>
      </c>
      <c r="H2694" s="38"/>
      <c r="I2694" s="39"/>
      <c r="J2694" s="152">
        <v>0</v>
      </c>
    </row>
    <row r="2695" spans="1:10" ht="26.25" hidden="1" thickBot="1" x14ac:dyDescent="0.3">
      <c r="A2695" s="176"/>
      <c r="B2695" s="174"/>
      <c r="C2695" s="47" t="s">
        <v>655</v>
      </c>
      <c r="D2695" s="46"/>
      <c r="E2695" s="36"/>
      <c r="F2695" s="30" t="s">
        <v>416</v>
      </c>
      <c r="G2695" s="33" t="str">
        <f>IF(ISNUMBER(F2695),E2695*F2695,"")</f>
        <v/>
      </c>
      <c r="H2695" s="38"/>
      <c r="I2695" s="39"/>
      <c r="J2695" s="152">
        <v>0</v>
      </c>
    </row>
    <row r="2696" spans="1:10" ht="15.75" hidden="1" thickBot="1" x14ac:dyDescent="0.3">
      <c r="A2696" s="177"/>
      <c r="B2696" s="175"/>
      <c r="C2696" s="35"/>
      <c r="D2696" s="35"/>
      <c r="E2696" s="36"/>
      <c r="F2696" s="30" t="s">
        <v>416</v>
      </c>
      <c r="G2696" s="33" t="str">
        <f>IF(ISNUMBER(F2696),E2696*F2696,"")</f>
        <v/>
      </c>
      <c r="H2696" s="34"/>
      <c r="I2696" s="30"/>
      <c r="J2696" s="152">
        <v>0</v>
      </c>
    </row>
    <row r="2697" spans="1:10" ht="15.75" hidden="1" thickBot="1" x14ac:dyDescent="0.3">
      <c r="A2697" s="170" t="s">
        <v>665</v>
      </c>
      <c r="B2697" s="173" t="str">
        <f>INDEX(Orçamentária!A:B,MATCH(Composições!A2697,Orçamentária!A:A,0),2)</f>
        <v>Serralheiro(a)</v>
      </c>
      <c r="C2697" s="40"/>
      <c r="D2697" s="25" t="s">
        <v>2177</v>
      </c>
      <c r="E2697" s="26"/>
      <c r="F2697" s="41" t="s">
        <v>416</v>
      </c>
      <c r="G2697" s="27" t="str">
        <f>IF(ISNUMBER(F2697),E2697*F2697,"")</f>
        <v/>
      </c>
      <c r="H2697" s="28"/>
      <c r="I2697" s="29"/>
      <c r="J2697" s="152">
        <v>0</v>
      </c>
    </row>
    <row r="2698" spans="1:10" ht="15.75" hidden="1" thickBot="1" x14ac:dyDescent="0.3">
      <c r="A2698" s="176"/>
      <c r="B2698" s="174"/>
      <c r="C2698" s="31"/>
      <c r="D2698" s="31"/>
      <c r="E2698" s="32"/>
      <c r="F2698" s="42" t="s">
        <v>416</v>
      </c>
      <c r="G2698" s="33" t="str">
        <f>IF(ISNUMBER(F2698),E2698*F2698,"")</f>
        <v/>
      </c>
      <c r="H2698" s="34"/>
      <c r="I2698" s="30"/>
      <c r="J2698" s="152">
        <v>0</v>
      </c>
    </row>
    <row r="2699" spans="1:10" ht="15.75" hidden="1" thickBot="1" x14ac:dyDescent="0.3">
      <c r="A2699" s="176"/>
      <c r="B2699" s="174"/>
      <c r="C2699" s="35" t="s">
        <v>1041</v>
      </c>
      <c r="D2699" s="35" t="s">
        <v>583</v>
      </c>
      <c r="E2699" s="36">
        <f>ROUND(220/(1+110.14%),4)</f>
        <v>104.6921</v>
      </c>
      <c r="F2699" s="30">
        <v>26.970499999999998</v>
      </c>
      <c r="G2699" s="33">
        <f>IF(ISNUMBER(F2699),E2699*F2699,"")</f>
        <v>2823.5982830499997</v>
      </c>
      <c r="H2699" s="38">
        <f>SUM(G2699:G2699)</f>
        <v>2823.5982830499997</v>
      </c>
      <c r="I2699" s="39"/>
      <c r="J2699" s="152">
        <v>0</v>
      </c>
    </row>
    <row r="2700" spans="1:10" ht="15.75" hidden="1" thickBot="1" x14ac:dyDescent="0.3">
      <c r="A2700" s="176"/>
      <c r="B2700" s="174"/>
      <c r="C2700" s="35"/>
      <c r="D2700" s="46"/>
      <c r="E2700" s="36"/>
      <c r="F2700" s="30" t="s">
        <v>416</v>
      </c>
      <c r="G2700" s="33" t="str">
        <f>IF(ISNUMBER(F2700),E2700*F2700,"")</f>
        <v/>
      </c>
      <c r="H2700" s="38"/>
      <c r="I2700" s="39"/>
      <c r="J2700" s="152">
        <v>0</v>
      </c>
    </row>
    <row r="2701" spans="1:10" ht="26.25" hidden="1" thickBot="1" x14ac:dyDescent="0.3">
      <c r="A2701" s="176"/>
      <c r="B2701" s="174"/>
      <c r="C2701" s="47" t="s">
        <v>655</v>
      </c>
      <c r="D2701" s="46"/>
      <c r="E2701" s="36"/>
      <c r="F2701" s="30" t="s">
        <v>416</v>
      </c>
      <c r="G2701" s="33" t="str">
        <f>IF(ISNUMBER(F2701),E2701*F2701,"")</f>
        <v/>
      </c>
      <c r="H2701" s="38"/>
      <c r="I2701" s="39"/>
      <c r="J2701" s="152">
        <v>0</v>
      </c>
    </row>
    <row r="2702" spans="1:10" ht="15.75" hidden="1" thickBot="1" x14ac:dyDescent="0.3">
      <c r="A2702" s="177"/>
      <c r="B2702" s="175"/>
      <c r="C2702" s="35"/>
      <c r="D2702" s="35"/>
      <c r="E2702" s="36"/>
      <c r="F2702" s="30" t="s">
        <v>416</v>
      </c>
      <c r="G2702" s="33" t="str">
        <f>IF(ISNUMBER(F2702),E2702*F2702,"")</f>
        <v/>
      </c>
      <c r="H2702" s="34"/>
      <c r="I2702" s="30"/>
      <c r="J2702" s="152">
        <v>0</v>
      </c>
    </row>
    <row r="2703" spans="1:10" ht="15.75" hidden="1" thickBot="1" x14ac:dyDescent="0.3">
      <c r="A2703" s="170" t="s">
        <v>666</v>
      </c>
      <c r="B2703" s="173" t="str">
        <f>INDEX(Orçamentária!A:B,MATCH(Composições!A2703,Orçamentária!A:A,0),2)</f>
        <v>Mestre de Obras (Posto de Trabalho)</v>
      </c>
      <c r="C2703" s="40"/>
      <c r="D2703" s="25" t="s">
        <v>2177</v>
      </c>
      <c r="E2703" s="26"/>
      <c r="F2703" s="41" t="s">
        <v>416</v>
      </c>
      <c r="G2703" s="27" t="str">
        <f>IF(ISNUMBER(F2703),E2703*F2703,"")</f>
        <v/>
      </c>
      <c r="H2703" s="28"/>
      <c r="I2703" s="29"/>
      <c r="J2703" s="152">
        <v>0</v>
      </c>
    </row>
    <row r="2704" spans="1:10" ht="15.75" hidden="1" thickBot="1" x14ac:dyDescent="0.3">
      <c r="A2704" s="176"/>
      <c r="B2704" s="174"/>
      <c r="C2704" s="31"/>
      <c r="D2704" s="31"/>
      <c r="E2704" s="32"/>
      <c r="F2704" s="42" t="s">
        <v>416</v>
      </c>
      <c r="G2704" s="33" t="str">
        <f>IF(ISNUMBER(F2704),E2704*F2704,"")</f>
        <v/>
      </c>
      <c r="H2704" s="34"/>
      <c r="I2704" s="30"/>
      <c r="J2704" s="152">
        <v>0</v>
      </c>
    </row>
    <row r="2705" spans="1:10" ht="15.75" hidden="1" thickBot="1" x14ac:dyDescent="0.3">
      <c r="A2705" s="176"/>
      <c r="B2705" s="174"/>
      <c r="C2705" s="35" t="s">
        <v>2915</v>
      </c>
      <c r="D2705" s="35" t="s">
        <v>583</v>
      </c>
      <c r="E2705" s="36">
        <f>ROUND(220/(1+110.14%),4)</f>
        <v>104.6921</v>
      </c>
      <c r="F2705" s="30">
        <v>44.564499999999995</v>
      </c>
      <c r="G2705" s="33">
        <f>IF(ISNUMBER(F2705),E2705*F2705,"")</f>
        <v>4665.5510904499997</v>
      </c>
      <c r="H2705" s="38">
        <f>SUM(G2705:G2705)</f>
        <v>4665.5510904499997</v>
      </c>
      <c r="I2705" s="39"/>
      <c r="J2705" s="152">
        <v>0</v>
      </c>
    </row>
    <row r="2706" spans="1:10" ht="15.75" hidden="1" thickBot="1" x14ac:dyDescent="0.3">
      <c r="A2706" s="176"/>
      <c r="B2706" s="174"/>
      <c r="C2706" s="35"/>
      <c r="D2706" s="46"/>
      <c r="E2706" s="36"/>
      <c r="F2706" s="30" t="s">
        <v>416</v>
      </c>
      <c r="G2706" s="33" t="str">
        <f>IF(ISNUMBER(F2706),E2706*F2706,"")</f>
        <v/>
      </c>
      <c r="H2706" s="38"/>
      <c r="I2706" s="39"/>
      <c r="J2706" s="152">
        <v>0</v>
      </c>
    </row>
    <row r="2707" spans="1:10" ht="26.25" hidden="1" thickBot="1" x14ac:dyDescent="0.3">
      <c r="A2707" s="176"/>
      <c r="B2707" s="174"/>
      <c r="C2707" s="47" t="s">
        <v>655</v>
      </c>
      <c r="D2707" s="46"/>
      <c r="E2707" s="36"/>
      <c r="F2707" s="30" t="s">
        <v>416</v>
      </c>
      <c r="G2707" s="33" t="str">
        <f>IF(ISNUMBER(F2707),E2707*F2707,"")</f>
        <v/>
      </c>
      <c r="H2707" s="38"/>
      <c r="I2707" s="39"/>
      <c r="J2707" s="152">
        <v>0</v>
      </c>
    </row>
    <row r="2708" spans="1:10" ht="15.75" hidden="1" thickBot="1" x14ac:dyDescent="0.3">
      <c r="A2708" s="177"/>
      <c r="B2708" s="175"/>
      <c r="C2708" s="35"/>
      <c r="D2708" s="35"/>
      <c r="E2708" s="36"/>
      <c r="F2708" s="30" t="s">
        <v>416</v>
      </c>
      <c r="G2708" s="33" t="str">
        <f>IF(ISNUMBER(F2708),E2708*F2708,"")</f>
        <v/>
      </c>
      <c r="H2708" s="34"/>
      <c r="I2708" s="30"/>
      <c r="J2708" s="152">
        <v>0</v>
      </c>
    </row>
    <row r="2709" spans="1:10" ht="15.75" hidden="1" thickBot="1" x14ac:dyDescent="0.3">
      <c r="A2709" s="170" t="s">
        <v>667</v>
      </c>
      <c r="B2709" s="173" t="str">
        <f>INDEX(Orçamentária!A:B,MATCH(Composições!A2709,Orçamentária!A:A,0),2)</f>
        <v>Oficial de Serviços Gerais</v>
      </c>
      <c r="C2709" s="40"/>
      <c r="D2709" s="25" t="s">
        <v>2177</v>
      </c>
      <c r="E2709" s="26"/>
      <c r="F2709" s="41" t="s">
        <v>416</v>
      </c>
      <c r="G2709" s="27" t="str">
        <f>IF(ISNUMBER(F2709),E2709*F2709,"")</f>
        <v/>
      </c>
      <c r="H2709" s="28"/>
      <c r="I2709" s="29"/>
      <c r="J2709" s="152">
        <v>0</v>
      </c>
    </row>
    <row r="2710" spans="1:10" ht="15.75" hidden="1" thickBot="1" x14ac:dyDescent="0.3">
      <c r="A2710" s="176"/>
      <c r="B2710" s="174"/>
      <c r="C2710" s="31"/>
      <c r="D2710" s="31"/>
      <c r="E2710" s="32"/>
      <c r="F2710" s="42" t="s">
        <v>416</v>
      </c>
      <c r="G2710" s="33" t="str">
        <f>IF(ISNUMBER(F2710),E2710*F2710,"")</f>
        <v/>
      </c>
      <c r="H2710" s="34"/>
      <c r="I2710" s="30"/>
      <c r="J2710" s="152">
        <v>0</v>
      </c>
    </row>
    <row r="2711" spans="1:10" ht="15.75" hidden="1" thickBot="1" x14ac:dyDescent="0.3">
      <c r="A2711" s="176"/>
      <c r="B2711" s="174"/>
      <c r="C2711" s="35" t="s">
        <v>591</v>
      </c>
      <c r="D2711" s="35" t="s">
        <v>583</v>
      </c>
      <c r="E2711" s="36">
        <f>ROUND(220/(1+110.14%),4)</f>
        <v>104.6921</v>
      </c>
      <c r="F2711" s="30">
        <v>27.160499999999999</v>
      </c>
      <c r="G2711" s="33">
        <f>IF(ISNUMBER(F2711),E2711*F2711,"")</f>
        <v>2843.4897820499996</v>
      </c>
      <c r="H2711" s="38">
        <f>SUM(G2711:G2711)</f>
        <v>2843.4897820499996</v>
      </c>
      <c r="I2711" s="39"/>
      <c r="J2711" s="152">
        <v>0</v>
      </c>
    </row>
    <row r="2712" spans="1:10" ht="15.75" hidden="1" thickBot="1" x14ac:dyDescent="0.3">
      <c r="A2712" s="176"/>
      <c r="B2712" s="174"/>
      <c r="C2712" s="35"/>
      <c r="D2712" s="46"/>
      <c r="E2712" s="36"/>
      <c r="F2712" s="30" t="s">
        <v>416</v>
      </c>
      <c r="G2712" s="33" t="str">
        <f>IF(ISNUMBER(F2712),E2712*F2712,"")</f>
        <v/>
      </c>
      <c r="H2712" s="38"/>
      <c r="I2712" s="39"/>
      <c r="J2712" s="152">
        <v>0</v>
      </c>
    </row>
    <row r="2713" spans="1:10" ht="26.25" hidden="1" thickBot="1" x14ac:dyDescent="0.3">
      <c r="A2713" s="176"/>
      <c r="B2713" s="174"/>
      <c r="C2713" s="47" t="s">
        <v>655</v>
      </c>
      <c r="D2713" s="46"/>
      <c r="E2713" s="36"/>
      <c r="F2713" s="30" t="s">
        <v>416</v>
      </c>
      <c r="G2713" s="33" t="str">
        <f>IF(ISNUMBER(F2713),E2713*F2713,"")</f>
        <v/>
      </c>
      <c r="H2713" s="38"/>
      <c r="I2713" s="39"/>
      <c r="J2713" s="152">
        <v>0</v>
      </c>
    </row>
    <row r="2714" spans="1:10" ht="15.75" hidden="1" thickBot="1" x14ac:dyDescent="0.3">
      <c r="A2714" s="177"/>
      <c r="B2714" s="175"/>
      <c r="C2714" s="35"/>
      <c r="D2714" s="35"/>
      <c r="E2714" s="36"/>
      <c r="F2714" s="30" t="s">
        <v>416</v>
      </c>
      <c r="G2714" s="33" t="str">
        <f>IF(ISNUMBER(F2714),E2714*F2714,"")</f>
        <v/>
      </c>
      <c r="H2714" s="34"/>
      <c r="I2714" s="30"/>
      <c r="J2714" s="152">
        <v>0</v>
      </c>
    </row>
    <row r="2715" spans="1:10" ht="15.75" hidden="1" thickBot="1" x14ac:dyDescent="0.3">
      <c r="A2715" s="170" t="s">
        <v>2187</v>
      </c>
      <c r="B2715" s="173" t="str">
        <f>INDEX(Orçamentária!A:B,MATCH(Composições!A2715,Orçamentária!A:A,0),2)</f>
        <v>Alicate  de corte diagonal 6''</v>
      </c>
      <c r="C2715" s="40"/>
      <c r="D2715" s="25" t="s">
        <v>16</v>
      </c>
      <c r="E2715" s="26"/>
      <c r="F2715" s="48" t="s">
        <v>416</v>
      </c>
      <c r="G2715" s="27" t="str">
        <f>IF(ISNUMBER(F2715),E2715*F2715,"")</f>
        <v/>
      </c>
      <c r="H2715" s="28"/>
      <c r="I2715" s="29"/>
      <c r="J2715" s="152">
        <v>0</v>
      </c>
    </row>
    <row r="2716" spans="1:10" ht="15.75" hidden="1" thickBot="1" x14ac:dyDescent="0.3">
      <c r="A2716" s="171"/>
      <c r="B2716" s="174"/>
      <c r="C2716" s="31"/>
      <c r="D2716" s="31"/>
      <c r="E2716" s="32"/>
      <c r="F2716" s="53" t="s">
        <v>416</v>
      </c>
      <c r="G2716" s="53" t="str">
        <f>IF(ISNUMBER(F2716),E2716*F2716,"")</f>
        <v/>
      </c>
      <c r="H2716" s="72"/>
      <c r="I2716" s="73"/>
      <c r="J2716" s="152">
        <v>0</v>
      </c>
    </row>
    <row r="2717" spans="1:10" ht="15.75" hidden="1" thickBot="1" x14ac:dyDescent="0.3">
      <c r="A2717" s="171"/>
      <c r="B2717" s="174"/>
      <c r="C2717" s="35" t="s">
        <v>7977</v>
      </c>
      <c r="D2717" s="35" t="s">
        <v>213</v>
      </c>
      <c r="E2717" s="36">
        <v>1</v>
      </c>
      <c r="F2717" s="30">
        <v>52.610999999999997</v>
      </c>
      <c r="G2717" s="53">
        <f>IF(ISNUMBER(F2717),E2717*F2717,"")</f>
        <v>52.610999999999997</v>
      </c>
      <c r="H2717" s="38">
        <f>SUM(G2717:G2717)</f>
        <v>52.610999999999997</v>
      </c>
      <c r="I2717" s="39"/>
      <c r="J2717" s="152">
        <v>0</v>
      </c>
    </row>
    <row r="2718" spans="1:10" ht="15.75" hidden="1" thickBot="1" x14ac:dyDescent="0.3">
      <c r="A2718" s="172"/>
      <c r="B2718" s="175"/>
      <c r="C2718" s="54"/>
      <c r="D2718" s="155"/>
      <c r="E2718" s="65"/>
      <c r="F2718" s="75" t="s">
        <v>416</v>
      </c>
      <c r="G2718" s="75" t="str">
        <f>IF(ISNUMBER(F2718),E2718*F2718,"")</f>
        <v/>
      </c>
      <c r="H2718" s="76"/>
      <c r="I2718" s="73"/>
      <c r="J2718" s="152">
        <v>0</v>
      </c>
    </row>
    <row r="2719" spans="1:10" ht="15.75" hidden="1" thickBot="1" x14ac:dyDescent="0.3">
      <c r="A2719" s="170" t="s">
        <v>2205</v>
      </c>
      <c r="B2719" s="173" t="str">
        <f>INDEX(Orçamentária!A:B,MATCH(Composições!A2719,Orçamentária!A:A,0),2)</f>
        <v>Carrinho de mão reforçado</v>
      </c>
      <c r="C2719" s="40"/>
      <c r="D2719" s="25" t="s">
        <v>16</v>
      </c>
      <c r="E2719" s="26"/>
      <c r="F2719" s="48" t="s">
        <v>416</v>
      </c>
      <c r="G2719" s="27" t="str">
        <f>IF(ISNUMBER(F2719),E2719*F2719,"")</f>
        <v/>
      </c>
      <c r="H2719" s="28"/>
      <c r="I2719" s="29"/>
      <c r="J2719" s="152">
        <v>0</v>
      </c>
    </row>
    <row r="2720" spans="1:10" ht="15.75" hidden="1" thickBot="1" x14ac:dyDescent="0.3">
      <c r="A2720" s="171"/>
      <c r="B2720" s="174"/>
      <c r="C2720" s="31"/>
      <c r="D2720" s="31"/>
      <c r="E2720" s="32"/>
      <c r="F2720" s="53" t="s">
        <v>416</v>
      </c>
      <c r="G2720" s="53" t="str">
        <f>IF(ISNUMBER(F2720),E2720*F2720,"")</f>
        <v/>
      </c>
      <c r="H2720" s="72"/>
      <c r="I2720" s="73"/>
      <c r="J2720" s="152">
        <v>0</v>
      </c>
    </row>
    <row r="2721" spans="1:10" ht="26.25" hidden="1" thickBot="1" x14ac:dyDescent="0.3">
      <c r="A2721" s="171"/>
      <c r="B2721" s="174"/>
      <c r="C2721" s="35" t="s">
        <v>8057</v>
      </c>
      <c r="D2721" s="35" t="s">
        <v>213</v>
      </c>
      <c r="E2721" s="36">
        <v>1</v>
      </c>
      <c r="F2721" s="30">
        <v>229.00700000000001</v>
      </c>
      <c r="G2721" s="53">
        <f>IF(ISNUMBER(F2721),E2721*F2721,"")</f>
        <v>229.00700000000001</v>
      </c>
      <c r="H2721" s="38">
        <f>SUM(G2721:G2721)</f>
        <v>229.00700000000001</v>
      </c>
      <c r="I2721" s="39"/>
      <c r="J2721" s="152">
        <v>0</v>
      </c>
    </row>
    <row r="2722" spans="1:10" ht="15.75" hidden="1" thickBot="1" x14ac:dyDescent="0.3">
      <c r="A2722" s="172"/>
      <c r="B2722" s="175"/>
      <c r="C2722" s="54"/>
      <c r="D2722" s="155"/>
      <c r="E2722" s="65"/>
      <c r="F2722" s="75" t="s">
        <v>416</v>
      </c>
      <c r="G2722" s="75" t="str">
        <f>IF(ISNUMBER(F2722),E2722*F2722,"")</f>
        <v/>
      </c>
      <c r="H2722" s="76"/>
      <c r="I2722" s="73"/>
      <c r="J2722" s="152">
        <v>0</v>
      </c>
    </row>
    <row r="2723" spans="1:10" ht="15.75" hidden="1" thickBot="1" x14ac:dyDescent="0.3">
      <c r="A2723" s="170" t="s">
        <v>2221</v>
      </c>
      <c r="B2723" s="173" t="str">
        <f>INDEX(Orçamentária!A:B,MATCH(Composições!A2723,Orçamentária!A:A,0),2)</f>
        <v>Enxadão estreito com cabo</v>
      </c>
      <c r="C2723" s="40"/>
      <c r="D2723" s="25" t="s">
        <v>16</v>
      </c>
      <c r="E2723" s="26"/>
      <c r="F2723" s="48" t="s">
        <v>416</v>
      </c>
      <c r="G2723" s="27" t="str">
        <f>IF(ISNUMBER(F2723),E2723*F2723,"")</f>
        <v/>
      </c>
      <c r="H2723" s="28"/>
      <c r="I2723" s="29"/>
      <c r="J2723" s="152">
        <v>0</v>
      </c>
    </row>
    <row r="2724" spans="1:10" ht="15.75" hidden="1" thickBot="1" x14ac:dyDescent="0.3">
      <c r="A2724" s="171"/>
      <c r="B2724" s="174"/>
      <c r="C2724" s="31"/>
      <c r="D2724" s="31"/>
      <c r="E2724" s="32"/>
      <c r="F2724" s="53" t="s">
        <v>416</v>
      </c>
      <c r="G2724" s="53" t="str">
        <f>IF(ISNUMBER(F2724),E2724*F2724,"")</f>
        <v/>
      </c>
      <c r="H2724" s="72"/>
      <c r="I2724" s="73"/>
      <c r="J2724" s="152">
        <v>0</v>
      </c>
    </row>
    <row r="2725" spans="1:10" ht="15.75" hidden="1" thickBot="1" x14ac:dyDescent="0.3">
      <c r="A2725" s="171"/>
      <c r="B2725" s="174"/>
      <c r="C2725" s="35" t="s">
        <v>8155</v>
      </c>
      <c r="D2725" s="35" t="s">
        <v>213</v>
      </c>
      <c r="E2725" s="36">
        <v>1</v>
      </c>
      <c r="F2725" s="30">
        <v>56.733999999999995</v>
      </c>
      <c r="G2725" s="53">
        <f>IF(ISNUMBER(F2725),E2725*F2725,"")</f>
        <v>56.733999999999995</v>
      </c>
      <c r="H2725" s="38">
        <f>SUM(G2725:G2725)</f>
        <v>56.733999999999995</v>
      </c>
      <c r="I2725" s="39"/>
      <c r="J2725" s="152">
        <v>0</v>
      </c>
    </row>
    <row r="2726" spans="1:10" ht="15.75" hidden="1" thickBot="1" x14ac:dyDescent="0.3">
      <c r="A2726" s="172"/>
      <c r="B2726" s="175"/>
      <c r="C2726" s="54"/>
      <c r="D2726" s="155"/>
      <c r="E2726" s="65"/>
      <c r="F2726" s="75" t="s">
        <v>416</v>
      </c>
      <c r="G2726" s="75" t="str">
        <f>IF(ISNUMBER(F2726),E2726*F2726,"")</f>
        <v/>
      </c>
      <c r="H2726" s="76"/>
      <c r="I2726" s="73"/>
      <c r="J2726" s="152">
        <v>0</v>
      </c>
    </row>
    <row r="2727" spans="1:10" ht="15.75" hidden="1" thickBot="1" x14ac:dyDescent="0.3">
      <c r="A2727" s="170" t="s">
        <v>2235</v>
      </c>
      <c r="B2727" s="173" t="str">
        <f>INDEX(Orçamentária!A:B,MATCH(Composições!A2727,Orçamentária!A:A,0),2)</f>
        <v>Espátula forjada de 8 cm</v>
      </c>
      <c r="C2727" s="40"/>
      <c r="D2727" s="25" t="s">
        <v>16</v>
      </c>
      <c r="E2727" s="26"/>
      <c r="F2727" s="48" t="s">
        <v>416</v>
      </c>
      <c r="G2727" s="27" t="str">
        <f>IF(ISNUMBER(F2727),E2727*F2727,"")</f>
        <v/>
      </c>
      <c r="H2727" s="28"/>
      <c r="I2727" s="29"/>
      <c r="J2727" s="152">
        <v>0</v>
      </c>
    </row>
    <row r="2728" spans="1:10" ht="15.75" hidden="1" thickBot="1" x14ac:dyDescent="0.3">
      <c r="A2728" s="171"/>
      <c r="B2728" s="174"/>
      <c r="C2728" s="31"/>
      <c r="D2728" s="31"/>
      <c r="E2728" s="32"/>
      <c r="F2728" s="53" t="s">
        <v>416</v>
      </c>
      <c r="G2728" s="53" t="str">
        <f>IF(ISNUMBER(F2728),E2728*F2728,"")</f>
        <v/>
      </c>
      <c r="H2728" s="72"/>
      <c r="I2728" s="73"/>
      <c r="J2728" s="152">
        <v>0</v>
      </c>
    </row>
    <row r="2729" spans="1:10" ht="15.75" hidden="1" thickBot="1" x14ac:dyDescent="0.3">
      <c r="A2729" s="171"/>
      <c r="B2729" s="174"/>
      <c r="C2729" s="35" t="s">
        <v>8157</v>
      </c>
      <c r="D2729" s="35" t="s">
        <v>213</v>
      </c>
      <c r="E2729" s="36">
        <v>1</v>
      </c>
      <c r="F2729" s="30">
        <v>22.904499999999999</v>
      </c>
      <c r="G2729" s="53">
        <f>IF(ISNUMBER(F2729),E2729*F2729,"")</f>
        <v>22.904499999999999</v>
      </c>
      <c r="H2729" s="38">
        <f>SUM(G2729:G2729)</f>
        <v>22.904499999999999</v>
      </c>
      <c r="I2729" s="39"/>
      <c r="J2729" s="152">
        <v>0</v>
      </c>
    </row>
    <row r="2730" spans="1:10" ht="15.75" hidden="1" thickBot="1" x14ac:dyDescent="0.3">
      <c r="A2730" s="172"/>
      <c r="B2730" s="175"/>
      <c r="C2730" s="54"/>
      <c r="D2730" s="155"/>
      <c r="E2730" s="65"/>
      <c r="F2730" s="75" t="s">
        <v>416</v>
      </c>
      <c r="G2730" s="75" t="str">
        <f>IF(ISNUMBER(F2730),E2730*F2730,"")</f>
        <v/>
      </c>
      <c r="H2730" s="76"/>
      <c r="I2730" s="73"/>
      <c r="J2730" s="152">
        <v>0</v>
      </c>
    </row>
    <row r="2731" spans="1:10" ht="15.75" hidden="1" thickBot="1" x14ac:dyDescent="0.3">
      <c r="A2731" s="170" t="s">
        <v>2237</v>
      </c>
      <c r="B2731" s="173" t="str">
        <f>INDEX(Orçamentária!A:B,MATCH(Composições!A2731,Orçamentária!A:A,0),2)</f>
        <v>Esquadro 300 mm</v>
      </c>
      <c r="C2731" s="40"/>
      <c r="D2731" s="25" t="s">
        <v>16</v>
      </c>
      <c r="E2731" s="26"/>
      <c r="F2731" s="48" t="s">
        <v>416</v>
      </c>
      <c r="G2731" s="27" t="str">
        <f>IF(ISNUMBER(F2731),E2731*F2731,"")</f>
        <v/>
      </c>
      <c r="H2731" s="28"/>
      <c r="I2731" s="29"/>
      <c r="J2731" s="152">
        <v>0</v>
      </c>
    </row>
    <row r="2732" spans="1:10" ht="15.75" hidden="1" thickBot="1" x14ac:dyDescent="0.3">
      <c r="A2732" s="176"/>
      <c r="B2732" s="174"/>
      <c r="C2732" s="31"/>
      <c r="D2732" s="31"/>
      <c r="E2732" s="32"/>
      <c r="F2732" s="53" t="s">
        <v>416</v>
      </c>
      <c r="G2732" s="53" t="str">
        <f>IF(ISNUMBER(F2732),E2732*F2732,"")</f>
        <v/>
      </c>
      <c r="H2732" s="72"/>
      <c r="I2732" s="30"/>
      <c r="J2732" s="152">
        <v>0</v>
      </c>
    </row>
    <row r="2733" spans="1:10" ht="15.75" hidden="1" thickBot="1" x14ac:dyDescent="0.3">
      <c r="A2733" s="176"/>
      <c r="B2733" s="174"/>
      <c r="C2733" s="35" t="s">
        <v>8160</v>
      </c>
      <c r="D2733" s="35" t="s">
        <v>213</v>
      </c>
      <c r="E2733" s="36">
        <v>1</v>
      </c>
      <c r="F2733" s="30">
        <v>36.394500000000001</v>
      </c>
      <c r="G2733" s="53">
        <f>IF(ISNUMBER(F2733),E2733*F2733,"")</f>
        <v>36.394500000000001</v>
      </c>
      <c r="H2733" s="38">
        <f>SUM(G2733:G2733)</f>
        <v>36.394500000000001</v>
      </c>
      <c r="I2733" s="39"/>
      <c r="J2733" s="152">
        <v>0</v>
      </c>
    </row>
    <row r="2734" spans="1:10" ht="15.75" hidden="1" thickBot="1" x14ac:dyDescent="0.3">
      <c r="A2734" s="177"/>
      <c r="B2734" s="175"/>
      <c r="C2734" s="35"/>
      <c r="D2734" s="35"/>
      <c r="E2734" s="36"/>
      <c r="F2734" s="30" t="s">
        <v>416</v>
      </c>
      <c r="G2734" s="33" t="str">
        <f>IF(ISNUMBER(F2734),E2734*F2734,"")</f>
        <v/>
      </c>
      <c r="H2734" s="34"/>
      <c r="I2734" s="30"/>
      <c r="J2734" s="152">
        <v>0</v>
      </c>
    </row>
    <row r="2735" spans="1:10" ht="15.75" hidden="1" thickBot="1" x14ac:dyDescent="0.3">
      <c r="A2735" s="170" t="s">
        <v>2277</v>
      </c>
      <c r="B2735" s="173" t="str">
        <f>INDEX(Orçamentária!A:B,MATCH(Composições!A2735,Orçamentária!A:A,0),2)</f>
        <v>Prumo de centro</v>
      </c>
      <c r="C2735" s="40"/>
      <c r="D2735" s="25" t="s">
        <v>16</v>
      </c>
      <c r="E2735" s="26"/>
      <c r="F2735" s="48" t="s">
        <v>416</v>
      </c>
      <c r="G2735" s="27" t="str">
        <f>IF(ISNUMBER(F2735),E2735*F2735,"")</f>
        <v/>
      </c>
      <c r="H2735" s="28"/>
      <c r="I2735" s="29"/>
      <c r="J2735" s="152">
        <v>0</v>
      </c>
    </row>
    <row r="2736" spans="1:10" ht="15.75" hidden="1" thickBot="1" x14ac:dyDescent="0.3">
      <c r="A2736" s="171"/>
      <c r="B2736" s="174"/>
      <c r="C2736" s="31"/>
      <c r="D2736" s="31"/>
      <c r="E2736" s="32"/>
      <c r="F2736" s="53" t="s">
        <v>416</v>
      </c>
      <c r="G2736" s="53" t="str">
        <f>IF(ISNUMBER(F2736),E2736*F2736,"")</f>
        <v/>
      </c>
      <c r="H2736" s="72"/>
      <c r="I2736" s="73"/>
      <c r="J2736" s="152">
        <v>0</v>
      </c>
    </row>
    <row r="2737" spans="1:10" ht="15.75" hidden="1" thickBot="1" x14ac:dyDescent="0.3">
      <c r="A2737" s="171"/>
      <c r="B2737" s="174"/>
      <c r="C2737" s="35" t="s">
        <v>8342</v>
      </c>
      <c r="D2737" s="35" t="s">
        <v>213</v>
      </c>
      <c r="E2737" s="36">
        <v>1</v>
      </c>
      <c r="F2737" s="30">
        <v>46.036999999999999</v>
      </c>
      <c r="G2737" s="53">
        <f>IF(ISNUMBER(F2737),E2737*F2737,"")</f>
        <v>46.036999999999999</v>
      </c>
      <c r="H2737" s="38">
        <f>SUM(G2737:G2737)</f>
        <v>46.036999999999999</v>
      </c>
      <c r="I2737" s="39"/>
      <c r="J2737" s="152">
        <v>0</v>
      </c>
    </row>
    <row r="2738" spans="1:10" ht="15.75" hidden="1" thickBot="1" x14ac:dyDescent="0.3">
      <c r="A2738" s="172"/>
      <c r="B2738" s="175"/>
      <c r="C2738" s="54"/>
      <c r="D2738" s="155"/>
      <c r="E2738" s="65"/>
      <c r="F2738" s="75" t="s">
        <v>416</v>
      </c>
      <c r="G2738" s="75" t="str">
        <f>IF(ISNUMBER(F2738),E2738*F2738,"")</f>
        <v/>
      </c>
      <c r="H2738" s="76"/>
      <c r="I2738" s="73"/>
      <c r="J2738" s="152">
        <v>0</v>
      </c>
    </row>
    <row r="2739" spans="1:10" ht="15.75" hidden="1" thickBot="1" x14ac:dyDescent="0.3">
      <c r="A2739" s="170" t="s">
        <v>2279</v>
      </c>
      <c r="B2739" s="173" t="str">
        <f>INDEX(Orçamentária!A:B,MATCH(Composições!A2739,Orçamentária!A:A,0),2)</f>
        <v>Prumo de parede</v>
      </c>
      <c r="C2739" s="40"/>
      <c r="D2739" s="25" t="s">
        <v>16</v>
      </c>
      <c r="E2739" s="26"/>
      <c r="F2739" s="48" t="s">
        <v>416</v>
      </c>
      <c r="G2739" s="27" t="str">
        <f>IF(ISNUMBER(F2739),E2739*F2739,"")</f>
        <v/>
      </c>
      <c r="H2739" s="28"/>
      <c r="I2739" s="29"/>
      <c r="J2739" s="152">
        <v>0</v>
      </c>
    </row>
    <row r="2740" spans="1:10" ht="15.75" hidden="1" thickBot="1" x14ac:dyDescent="0.3">
      <c r="A2740" s="176"/>
      <c r="B2740" s="174"/>
      <c r="C2740" s="31"/>
      <c r="D2740" s="31"/>
      <c r="E2740" s="32"/>
      <c r="F2740" s="53" t="s">
        <v>416</v>
      </c>
      <c r="G2740" s="53" t="str">
        <f>IF(ISNUMBER(F2740),E2740*F2740,"")</f>
        <v/>
      </c>
      <c r="H2740" s="72"/>
      <c r="I2740" s="30"/>
      <c r="J2740" s="152">
        <v>0</v>
      </c>
    </row>
    <row r="2741" spans="1:10" ht="15.75" hidden="1" thickBot="1" x14ac:dyDescent="0.3">
      <c r="A2741" s="176"/>
      <c r="B2741" s="174"/>
      <c r="C2741" s="35" t="s">
        <v>8343</v>
      </c>
      <c r="D2741" s="35" t="s">
        <v>213</v>
      </c>
      <c r="E2741" s="36">
        <v>1</v>
      </c>
      <c r="F2741" s="30">
        <v>52.487499999999997</v>
      </c>
      <c r="G2741" s="53">
        <f>IF(ISNUMBER(F2741),E2741*F2741,"")</f>
        <v>52.487499999999997</v>
      </c>
      <c r="H2741" s="38">
        <f>SUM(G2741:G2741)</f>
        <v>52.487499999999997</v>
      </c>
      <c r="I2741" s="39"/>
      <c r="J2741" s="152">
        <v>0</v>
      </c>
    </row>
    <row r="2742" spans="1:10" ht="15.75" hidden="1" thickBot="1" x14ac:dyDescent="0.3">
      <c r="A2742" s="177"/>
      <c r="B2742" s="175"/>
      <c r="C2742" s="35"/>
      <c r="D2742" s="35"/>
      <c r="E2742" s="36"/>
      <c r="F2742" s="30" t="s">
        <v>416</v>
      </c>
      <c r="G2742" s="33" t="str">
        <f>IF(ISNUMBER(F2742),E2742*F2742,"")</f>
        <v/>
      </c>
      <c r="H2742" s="34"/>
      <c r="I2742" s="30"/>
      <c r="J2742" s="152">
        <v>0</v>
      </c>
    </row>
    <row r="2743" spans="1:10" ht="15.75" hidden="1" thickBot="1" x14ac:dyDescent="0.3">
      <c r="A2743" s="170" t="s">
        <v>2282</v>
      </c>
      <c r="B2743" s="173" t="str">
        <f>INDEX(Orçamentária!A:B,MATCH(Composições!A2743,Orçamentária!A:A,0),2)</f>
        <v>Régua de alumínio para pedreiro com 2 m</v>
      </c>
      <c r="C2743" s="40"/>
      <c r="D2743" s="25" t="s">
        <v>16</v>
      </c>
      <c r="E2743" s="26"/>
      <c r="F2743" s="48" t="s">
        <v>416</v>
      </c>
      <c r="G2743" s="27" t="str">
        <f>IF(ISNUMBER(F2743),E2743*F2743,"")</f>
        <v/>
      </c>
      <c r="H2743" s="28"/>
      <c r="I2743" s="29"/>
      <c r="J2743" s="152">
        <v>0</v>
      </c>
    </row>
    <row r="2744" spans="1:10" ht="15.75" hidden="1" thickBot="1" x14ac:dyDescent="0.3">
      <c r="A2744" s="176"/>
      <c r="B2744" s="174"/>
      <c r="C2744" s="31"/>
      <c r="D2744" s="31"/>
      <c r="E2744" s="32"/>
      <c r="F2744" s="53" t="s">
        <v>416</v>
      </c>
      <c r="G2744" s="53" t="str">
        <f>IF(ISNUMBER(F2744),E2744*F2744,"")</f>
        <v/>
      </c>
      <c r="H2744" s="72"/>
      <c r="I2744" s="30"/>
      <c r="J2744" s="152">
        <v>0</v>
      </c>
    </row>
    <row r="2745" spans="1:10" ht="15.75" hidden="1" thickBot="1" x14ac:dyDescent="0.3">
      <c r="A2745" s="176"/>
      <c r="B2745" s="174"/>
      <c r="C2745" s="35" t="s">
        <v>8366</v>
      </c>
      <c r="D2745" s="35" t="s">
        <v>385</v>
      </c>
      <c r="E2745" s="36">
        <v>2</v>
      </c>
      <c r="F2745" s="30">
        <v>61.588499999999996</v>
      </c>
      <c r="G2745" s="53">
        <f>IF(ISNUMBER(F2745),E2745*F2745,"")</f>
        <v>123.17699999999999</v>
      </c>
      <c r="H2745" s="38">
        <f>SUM(G2745:G2745)</f>
        <v>123.17699999999999</v>
      </c>
      <c r="I2745" s="39"/>
      <c r="J2745" s="152">
        <v>0</v>
      </c>
    </row>
    <row r="2746" spans="1:10" ht="15.75" hidden="1" thickBot="1" x14ac:dyDescent="0.3">
      <c r="A2746" s="177"/>
      <c r="B2746" s="175"/>
      <c r="C2746" s="35"/>
      <c r="D2746" s="35"/>
      <c r="E2746" s="36"/>
      <c r="F2746" s="30" t="s">
        <v>416</v>
      </c>
      <c r="G2746" s="33" t="str">
        <f>IF(ISNUMBER(F2746),E2746*F2746,"")</f>
        <v/>
      </c>
      <c r="H2746" s="34"/>
      <c r="I2746" s="30"/>
      <c r="J2746" s="152">
        <v>0</v>
      </c>
    </row>
    <row r="2747" spans="1:10" ht="15.75" hidden="1" thickBot="1" x14ac:dyDescent="0.3">
      <c r="A2747" s="170" t="s">
        <v>2359</v>
      </c>
      <c r="B2747" s="173" t="str">
        <f>INDEX(Orçamentária!A:B,MATCH(Composições!A2747,Orçamentária!A:A,0),2)</f>
        <v>Desempenadeira de aço lisa</v>
      </c>
      <c r="C2747" s="40"/>
      <c r="D2747" s="25" t="s">
        <v>16</v>
      </c>
      <c r="E2747" s="26"/>
      <c r="F2747" s="48" t="s">
        <v>416</v>
      </c>
      <c r="G2747" s="27" t="str">
        <f>IF(ISNUMBER(F2747),E2747*F2747,"")</f>
        <v/>
      </c>
      <c r="H2747" s="28"/>
      <c r="I2747" s="29"/>
      <c r="J2747" s="152">
        <v>0</v>
      </c>
    </row>
    <row r="2748" spans="1:10" ht="15.75" hidden="1" thickBot="1" x14ac:dyDescent="0.3">
      <c r="A2748" s="171"/>
      <c r="B2748" s="174"/>
      <c r="C2748" s="31"/>
      <c r="D2748" s="31"/>
      <c r="E2748" s="32"/>
      <c r="F2748" s="53" t="s">
        <v>416</v>
      </c>
      <c r="G2748" s="53" t="str">
        <f>IF(ISNUMBER(F2748),E2748*F2748,"")</f>
        <v/>
      </c>
      <c r="H2748" s="72"/>
      <c r="I2748" s="73"/>
      <c r="J2748" s="152">
        <v>0</v>
      </c>
    </row>
    <row r="2749" spans="1:10" ht="26.25" hidden="1" thickBot="1" x14ac:dyDescent="0.3">
      <c r="A2749" s="171"/>
      <c r="B2749" s="174"/>
      <c r="C2749" s="35" t="s">
        <v>8134</v>
      </c>
      <c r="D2749" s="35" t="s">
        <v>213</v>
      </c>
      <c r="E2749" s="36">
        <v>1</v>
      </c>
      <c r="F2749" s="30">
        <v>22.923499999999997</v>
      </c>
      <c r="G2749" s="53">
        <f>IF(ISNUMBER(F2749),E2749*F2749,"")</f>
        <v>22.923499999999997</v>
      </c>
      <c r="H2749" s="38">
        <f>SUM(G2749:G2749)</f>
        <v>22.923499999999997</v>
      </c>
      <c r="I2749" s="39"/>
      <c r="J2749" s="152">
        <v>0</v>
      </c>
    </row>
    <row r="2750" spans="1:10" ht="15.75" hidden="1" thickBot="1" x14ac:dyDescent="0.3">
      <c r="A2750" s="172"/>
      <c r="B2750" s="175"/>
      <c r="C2750" s="54"/>
      <c r="D2750" s="155"/>
      <c r="E2750" s="65"/>
      <c r="F2750" s="75" t="s">
        <v>416</v>
      </c>
      <c r="G2750" s="75" t="str">
        <f>IF(ISNUMBER(F2750),E2750*F2750,"")</f>
        <v/>
      </c>
      <c r="H2750" s="76"/>
      <c r="I2750" s="73"/>
      <c r="J2750" s="152">
        <v>0</v>
      </c>
    </row>
    <row r="2751" spans="1:10" ht="15.75" hidden="1" thickBot="1" x14ac:dyDescent="0.3">
      <c r="A2751" s="170" t="s">
        <v>2361</v>
      </c>
      <c r="B2751" s="173" t="str">
        <f>INDEX(Orçamentária!A:B,MATCH(Composições!A2751,Orçamentária!A:A,0),2)</f>
        <v>Desempenadeira estriada em PVC 14 x 27 cm</v>
      </c>
      <c r="C2751" s="40"/>
      <c r="D2751" s="25" t="s">
        <v>16</v>
      </c>
      <c r="E2751" s="26"/>
      <c r="F2751" s="48" t="s">
        <v>416</v>
      </c>
      <c r="G2751" s="27" t="str">
        <f>IF(ISNUMBER(F2751),E2751*F2751,"")</f>
        <v/>
      </c>
      <c r="H2751" s="28"/>
      <c r="I2751" s="29"/>
      <c r="J2751" s="152">
        <v>0</v>
      </c>
    </row>
    <row r="2752" spans="1:10" ht="15.75" hidden="1" thickBot="1" x14ac:dyDescent="0.3">
      <c r="A2752" s="176"/>
      <c r="B2752" s="174"/>
      <c r="C2752" s="31"/>
      <c r="D2752" s="31"/>
      <c r="E2752" s="32"/>
      <c r="F2752" s="53" t="s">
        <v>416</v>
      </c>
      <c r="G2752" s="53" t="str">
        <f>IF(ISNUMBER(F2752),E2752*F2752,"")</f>
        <v/>
      </c>
      <c r="H2752" s="72"/>
      <c r="I2752" s="30"/>
      <c r="J2752" s="152">
        <v>0</v>
      </c>
    </row>
    <row r="2753" spans="1:10" ht="15.75" hidden="1" thickBot="1" x14ac:dyDescent="0.3">
      <c r="A2753" s="176"/>
      <c r="B2753" s="174"/>
      <c r="C2753" s="35" t="s">
        <v>8135</v>
      </c>
      <c r="D2753" s="35" t="s">
        <v>213</v>
      </c>
      <c r="E2753" s="36">
        <v>1</v>
      </c>
      <c r="F2753" s="30">
        <v>19.57</v>
      </c>
      <c r="G2753" s="53">
        <f>IF(ISNUMBER(F2753),E2753*F2753,"")</f>
        <v>19.57</v>
      </c>
      <c r="H2753" s="38">
        <f>SUM(G2753:G2753)</f>
        <v>19.57</v>
      </c>
      <c r="I2753" s="39"/>
      <c r="J2753" s="152">
        <v>0</v>
      </c>
    </row>
    <row r="2754" spans="1:10" ht="15.75" hidden="1" thickBot="1" x14ac:dyDescent="0.3">
      <c r="A2754" s="177"/>
      <c r="B2754" s="175"/>
      <c r="C2754" s="35"/>
      <c r="D2754" s="35"/>
      <c r="E2754" s="36"/>
      <c r="F2754" s="30" t="s">
        <v>416</v>
      </c>
      <c r="G2754" s="33" t="str">
        <f>IF(ISNUMBER(F2754),E2754*F2754,"")</f>
        <v/>
      </c>
      <c r="H2754" s="34"/>
      <c r="I2754" s="30"/>
      <c r="J2754" s="152">
        <v>0</v>
      </c>
    </row>
    <row r="2755" spans="1:10" ht="15.75" hidden="1" thickBot="1" x14ac:dyDescent="0.3">
      <c r="A2755" s="170" t="s">
        <v>2384</v>
      </c>
      <c r="B2755" s="173" t="str">
        <f>INDEX(Orçamentária!A:B,MATCH(Composições!A2755,Orçamentária!A:A,0),2)</f>
        <v>Bota de PVC</v>
      </c>
      <c r="C2755" s="40"/>
      <c r="D2755" s="25" t="s">
        <v>1683</v>
      </c>
      <c r="E2755" s="26"/>
      <c r="F2755" s="48" t="s">
        <v>416</v>
      </c>
      <c r="G2755" s="27" t="str">
        <f>IF(ISNUMBER(F2755),E2755*F2755,"")</f>
        <v/>
      </c>
      <c r="H2755" s="28"/>
      <c r="I2755" s="29"/>
      <c r="J2755" s="152">
        <v>0</v>
      </c>
    </row>
    <row r="2756" spans="1:10" ht="15.75" hidden="1" thickBot="1" x14ac:dyDescent="0.3">
      <c r="A2756" s="171"/>
      <c r="B2756" s="174"/>
      <c r="C2756" s="31"/>
      <c r="D2756" s="31"/>
      <c r="E2756" s="32"/>
      <c r="F2756" s="53" t="s">
        <v>416</v>
      </c>
      <c r="G2756" s="53" t="str">
        <f>IF(ISNUMBER(F2756),E2756*F2756,"")</f>
        <v/>
      </c>
      <c r="H2756" s="72"/>
      <c r="I2756" s="73"/>
      <c r="J2756" s="152">
        <v>0</v>
      </c>
    </row>
    <row r="2757" spans="1:10" ht="15.75" hidden="1" thickBot="1" x14ac:dyDescent="0.3">
      <c r="A2757" s="171"/>
      <c r="B2757" s="174"/>
      <c r="C2757" s="35" t="s">
        <v>8007</v>
      </c>
      <c r="D2757" s="35" t="s">
        <v>8527</v>
      </c>
      <c r="E2757" s="36">
        <v>1</v>
      </c>
      <c r="F2757" s="30">
        <v>38.959499999999998</v>
      </c>
      <c r="G2757" s="53">
        <f>IF(ISNUMBER(F2757),E2757*F2757,"")</f>
        <v>38.959499999999998</v>
      </c>
      <c r="H2757" s="38">
        <f>SUM(G2757:G2757)</f>
        <v>38.959499999999998</v>
      </c>
      <c r="I2757" s="39"/>
      <c r="J2757" s="152">
        <v>0</v>
      </c>
    </row>
    <row r="2758" spans="1:10" ht="15.75" hidden="1" thickBot="1" x14ac:dyDescent="0.3">
      <c r="A2758" s="172"/>
      <c r="B2758" s="175"/>
      <c r="C2758" s="54"/>
      <c r="D2758" s="155"/>
      <c r="E2758" s="65"/>
      <c r="F2758" s="75" t="s">
        <v>416</v>
      </c>
      <c r="G2758" s="75" t="str">
        <f>IF(ISNUMBER(F2758),E2758*F2758,"")</f>
        <v/>
      </c>
      <c r="H2758" s="76"/>
      <c r="I2758" s="73"/>
      <c r="J2758" s="152">
        <v>0</v>
      </c>
    </row>
    <row r="2759" spans="1:10" ht="15.75" hidden="1" thickBot="1" x14ac:dyDescent="0.3">
      <c r="A2759" s="170" t="s">
        <v>2385</v>
      </c>
      <c r="B2759" s="173" t="str">
        <f>INDEX(Orçamentária!A:B,MATCH(Composições!A2759,Orçamentária!A:A,0),2)</f>
        <v>Capa de chuva</v>
      </c>
      <c r="C2759" s="40"/>
      <c r="D2759" s="25" t="s">
        <v>16</v>
      </c>
      <c r="E2759" s="26"/>
      <c r="F2759" s="48" t="s">
        <v>416</v>
      </c>
      <c r="G2759" s="27" t="str">
        <f>IF(ISNUMBER(F2759),E2759*F2759,"")</f>
        <v/>
      </c>
      <c r="H2759" s="28"/>
      <c r="I2759" s="29"/>
      <c r="J2759" s="152">
        <v>0</v>
      </c>
    </row>
    <row r="2760" spans="1:10" ht="15.75" hidden="1" thickBot="1" x14ac:dyDescent="0.3">
      <c r="A2760" s="171"/>
      <c r="B2760" s="174"/>
      <c r="C2760" s="31"/>
      <c r="D2760" s="31"/>
      <c r="E2760" s="32"/>
      <c r="F2760" s="53" t="s">
        <v>416</v>
      </c>
      <c r="G2760" s="53" t="str">
        <f>IF(ISNUMBER(F2760),E2760*F2760,"")</f>
        <v/>
      </c>
      <c r="H2760" s="72"/>
      <c r="I2760" s="73"/>
      <c r="J2760" s="152">
        <v>0</v>
      </c>
    </row>
    <row r="2761" spans="1:10" ht="26.25" hidden="1" thickBot="1" x14ac:dyDescent="0.3">
      <c r="A2761" s="171"/>
      <c r="B2761" s="174"/>
      <c r="C2761" s="35" t="s">
        <v>8056</v>
      </c>
      <c r="D2761" s="35" t="s">
        <v>213</v>
      </c>
      <c r="E2761" s="36">
        <v>1</v>
      </c>
      <c r="F2761" s="30">
        <v>17.584500000000002</v>
      </c>
      <c r="G2761" s="53">
        <f>IF(ISNUMBER(F2761),E2761*F2761,"")</f>
        <v>17.584500000000002</v>
      </c>
      <c r="H2761" s="38">
        <f>SUM(G2761:G2761)</f>
        <v>17.584500000000002</v>
      </c>
      <c r="I2761" s="39"/>
      <c r="J2761" s="152">
        <v>0</v>
      </c>
    </row>
    <row r="2762" spans="1:10" ht="15.75" hidden="1" thickBot="1" x14ac:dyDescent="0.3">
      <c r="A2762" s="172"/>
      <c r="B2762" s="175"/>
      <c r="C2762" s="54"/>
      <c r="D2762" s="155"/>
      <c r="E2762" s="65"/>
      <c r="F2762" s="75" t="s">
        <v>416</v>
      </c>
      <c r="G2762" s="75" t="str">
        <f>IF(ISNUMBER(F2762),E2762*F2762,"")</f>
        <v/>
      </c>
      <c r="H2762" s="76"/>
      <c r="I2762" s="73"/>
      <c r="J2762" s="152">
        <v>0</v>
      </c>
    </row>
    <row r="2763" spans="1:10" ht="15.75" hidden="1" thickBot="1" x14ac:dyDescent="0.3">
      <c r="A2763" s="170" t="s">
        <v>2404</v>
      </c>
      <c r="B2763" s="173" t="str">
        <f>INDEX(Orçamentária!A:B,MATCH(Composições!A2763,Orçamentária!A:A,0),2)</f>
        <v>Talabarte em Y</v>
      </c>
      <c r="C2763" s="40"/>
      <c r="D2763" s="25" t="s">
        <v>16</v>
      </c>
      <c r="E2763" s="26"/>
      <c r="F2763" s="48" t="s">
        <v>416</v>
      </c>
      <c r="G2763" s="27" t="str">
        <f>IF(ISNUMBER(F2763),E2763*F2763,"")</f>
        <v/>
      </c>
      <c r="H2763" s="28"/>
      <c r="I2763" s="29"/>
      <c r="J2763" s="152">
        <v>0</v>
      </c>
    </row>
    <row r="2764" spans="1:10" ht="15.75" hidden="1" thickBot="1" x14ac:dyDescent="0.3">
      <c r="A2764" s="176"/>
      <c r="B2764" s="174"/>
      <c r="C2764" s="31"/>
      <c r="D2764" s="31"/>
      <c r="E2764" s="32"/>
      <c r="F2764" s="53" t="s">
        <v>416</v>
      </c>
      <c r="G2764" s="53" t="str">
        <f>IF(ISNUMBER(F2764),E2764*F2764,"")</f>
        <v/>
      </c>
      <c r="H2764" s="72"/>
      <c r="I2764" s="30"/>
      <c r="J2764" s="152">
        <v>0</v>
      </c>
    </row>
    <row r="2765" spans="1:10" ht="26.25" hidden="1" thickBot="1" x14ac:dyDescent="0.3">
      <c r="A2765" s="176"/>
      <c r="B2765" s="174"/>
      <c r="C2765" s="35" t="s">
        <v>8382</v>
      </c>
      <c r="D2765" s="35" t="s">
        <v>213</v>
      </c>
      <c r="E2765" s="36">
        <v>1</v>
      </c>
      <c r="F2765" s="30">
        <v>180.93700000000001</v>
      </c>
      <c r="G2765" s="53">
        <f>IF(ISNUMBER(F2765),E2765*F2765,"")</f>
        <v>180.93700000000001</v>
      </c>
      <c r="H2765" s="38">
        <f>SUM(G2765:G2765)</f>
        <v>180.93700000000001</v>
      </c>
      <c r="I2765" s="39"/>
      <c r="J2765" s="152">
        <v>0</v>
      </c>
    </row>
    <row r="2766" spans="1:10" ht="15.75" hidden="1" thickBot="1" x14ac:dyDescent="0.3">
      <c r="A2766" s="177"/>
      <c r="B2766" s="175"/>
      <c r="C2766" s="35"/>
      <c r="D2766" s="35"/>
      <c r="E2766" s="36"/>
      <c r="F2766" s="30" t="s">
        <v>416</v>
      </c>
      <c r="G2766" s="33" t="str">
        <f>IF(ISNUMBER(F2766),E2766*F2766,"")</f>
        <v/>
      </c>
      <c r="H2766" s="34"/>
      <c r="I2766" s="30"/>
      <c r="J2766" s="152">
        <v>0</v>
      </c>
    </row>
    <row r="2767" spans="1:10" ht="15.75" hidden="1" thickBot="1" x14ac:dyDescent="0.3">
      <c r="A2767" s="170" t="s">
        <v>2406</v>
      </c>
      <c r="B2767" s="173" t="str">
        <f>INDEX(Orçamentária!A:B,MATCH(Composições!A2763,Orçamentária!A:A,0),2)</f>
        <v>Talabarte em Y</v>
      </c>
      <c r="C2767" s="40"/>
      <c r="D2767" s="25" t="s">
        <v>16</v>
      </c>
      <c r="E2767" s="26"/>
      <c r="F2767" s="48" t="s">
        <v>416</v>
      </c>
      <c r="G2767" s="27" t="str">
        <f>IF(ISNUMBER(F2767),E2767*F2767,"")</f>
        <v/>
      </c>
      <c r="H2767" s="28"/>
      <c r="I2767" s="29"/>
      <c r="J2767" s="152">
        <v>0</v>
      </c>
    </row>
    <row r="2768" spans="1:10" ht="15.75" hidden="1" thickBot="1" x14ac:dyDescent="0.3">
      <c r="A2768" s="171"/>
      <c r="B2768" s="174"/>
      <c r="C2768" s="31"/>
      <c r="D2768" s="31"/>
      <c r="E2768" s="32"/>
      <c r="F2768" s="53" t="s">
        <v>416</v>
      </c>
      <c r="G2768" s="53" t="str">
        <f>IF(ISNUMBER(F2768),E2768*F2768,"")</f>
        <v/>
      </c>
      <c r="H2768" s="72"/>
      <c r="I2768" s="73"/>
      <c r="J2768" s="152">
        <v>0</v>
      </c>
    </row>
    <row r="2769" spans="1:10" ht="26.25" hidden="1" thickBot="1" x14ac:dyDescent="0.3">
      <c r="A2769" s="171"/>
      <c r="B2769" s="174"/>
      <c r="C2769" s="35" t="s">
        <v>8452</v>
      </c>
      <c r="D2769" s="35" t="s">
        <v>213</v>
      </c>
      <c r="E2769" s="36">
        <v>1</v>
      </c>
      <c r="F2769" s="30">
        <v>158.95399999999998</v>
      </c>
      <c r="G2769" s="53">
        <f>IF(ISNUMBER(F2769),E2769*F2769,"")</f>
        <v>158.95399999999998</v>
      </c>
      <c r="H2769" s="38">
        <f>SUM(G2769:G2769)</f>
        <v>158.95399999999998</v>
      </c>
      <c r="I2769" s="39"/>
      <c r="J2769" s="152">
        <v>0</v>
      </c>
    </row>
    <row r="2770" spans="1:10" ht="15.75" hidden="1" thickBot="1" x14ac:dyDescent="0.3">
      <c r="A2770" s="172"/>
      <c r="B2770" s="175"/>
      <c r="C2770" s="54"/>
      <c r="D2770" s="155"/>
      <c r="E2770" s="65"/>
      <c r="F2770" s="75" t="s">
        <v>416</v>
      </c>
      <c r="G2770" s="75" t="str">
        <f>IF(ISNUMBER(F2770),E2770*F2770,"")</f>
        <v/>
      </c>
      <c r="H2770" s="76"/>
      <c r="I2770" s="73"/>
      <c r="J2770" s="152">
        <v>0</v>
      </c>
    </row>
    <row r="2771" spans="1:10" ht="15.75" hidden="1" thickBot="1" x14ac:dyDescent="0.3">
      <c r="A2771" s="170" t="s">
        <v>668</v>
      </c>
      <c r="B2771" s="173" t="str">
        <f>INDEX(Orçamentária!A:B,MATCH(Composições!A2771,Orçamentária!A:A,0),2)</f>
        <v>Instalação de vidro (comum, temperado, aramado ou laminado) reaproveitado</v>
      </c>
      <c r="C2771" s="40"/>
      <c r="D2771" s="25" t="s">
        <v>70</v>
      </c>
      <c r="E2771" s="26"/>
      <c r="F2771" s="41" t="s">
        <v>416</v>
      </c>
      <c r="G2771" s="27" t="str">
        <f>IF(ISNUMBER(F2771),E2771*F2771,"")</f>
        <v/>
      </c>
      <c r="H2771" s="28"/>
      <c r="I2771" s="29"/>
      <c r="J2771" s="152">
        <v>0</v>
      </c>
    </row>
    <row r="2772" spans="1:10" ht="15.75" hidden="1" thickBot="1" x14ac:dyDescent="0.3">
      <c r="A2772" s="176"/>
      <c r="B2772" s="174"/>
      <c r="C2772" s="31"/>
      <c r="D2772" s="31"/>
      <c r="E2772" s="32"/>
      <c r="F2772" s="42" t="s">
        <v>416</v>
      </c>
      <c r="G2772" s="33" t="str">
        <f>IF(ISNUMBER(F2772),E2772*F2772,"")</f>
        <v/>
      </c>
      <c r="H2772" s="34"/>
      <c r="I2772" s="30"/>
      <c r="J2772" s="152">
        <v>0</v>
      </c>
    </row>
    <row r="2773" spans="1:10" ht="15.75" hidden="1" thickBot="1" x14ac:dyDescent="0.3">
      <c r="A2773" s="176"/>
      <c r="B2773" s="174"/>
      <c r="C2773" s="35" t="s">
        <v>2909</v>
      </c>
      <c r="D2773" s="35" t="s">
        <v>583</v>
      </c>
      <c r="E2773" s="36">
        <v>1</v>
      </c>
      <c r="F2773" s="30">
        <v>25.060999999999996</v>
      </c>
      <c r="G2773" s="33">
        <f>IF(ISNUMBER(F2773),E2773*F2773,"")</f>
        <v>25.060999999999996</v>
      </c>
      <c r="H2773" s="38">
        <f>SUM(G2773:G2774)</f>
        <v>33.933999999999997</v>
      </c>
      <c r="I2773" s="39"/>
      <c r="J2773" s="152">
        <v>0</v>
      </c>
    </row>
    <row r="2774" spans="1:10" ht="15.75" hidden="1" thickBot="1" x14ac:dyDescent="0.3">
      <c r="A2774" s="176"/>
      <c r="B2774" s="174"/>
      <c r="C2774" s="35" t="s">
        <v>8290</v>
      </c>
      <c r="D2774" s="35" t="s">
        <v>773</v>
      </c>
      <c r="E2774" s="36">
        <v>2</v>
      </c>
      <c r="F2774" s="33">
        <v>4.4364999999999997</v>
      </c>
      <c r="G2774" s="33">
        <f>IF(ISNUMBER(F2774),E2774*F2774,"")</f>
        <v>8.8729999999999993</v>
      </c>
      <c r="H2774" s="34"/>
      <c r="I2774" s="30"/>
      <c r="J2774" s="152">
        <v>0</v>
      </c>
    </row>
    <row r="2775" spans="1:10" ht="15.75" hidden="1" thickBot="1" x14ac:dyDescent="0.3">
      <c r="A2775" s="177"/>
      <c r="B2775" s="175"/>
      <c r="C2775" s="35"/>
      <c r="D2775" s="35"/>
      <c r="E2775" s="36"/>
      <c r="F2775" s="30" t="s">
        <v>416</v>
      </c>
      <c r="G2775" s="33" t="str">
        <f>IF(ISNUMBER(F2775),E2775*F2775,"")</f>
        <v/>
      </c>
      <c r="H2775" s="34"/>
      <c r="I2775" s="30"/>
      <c r="J2775" s="152">
        <v>0</v>
      </c>
    </row>
    <row r="2776" spans="1:10" ht="15.75" hidden="1" thickBot="1" x14ac:dyDescent="0.3">
      <c r="A2776" s="170" t="s">
        <v>670</v>
      </c>
      <c r="B2776" s="173" t="str">
        <f>INDEX(Orçamentária!A:B,MATCH(Composições!A2776,Orçamentária!A:A,0),2)</f>
        <v>Vidro temperado incolor com 8mm de espessura</v>
      </c>
      <c r="C2776" s="40"/>
      <c r="D2776" s="25" t="s">
        <v>70</v>
      </c>
      <c r="E2776" s="26"/>
      <c r="F2776" s="41" t="s">
        <v>416</v>
      </c>
      <c r="G2776" s="27" t="str">
        <f>IF(ISNUMBER(F2776),E2776*F2776,"")</f>
        <v/>
      </c>
      <c r="H2776" s="28"/>
      <c r="I2776" s="29"/>
      <c r="J2776" s="152">
        <v>0</v>
      </c>
    </row>
    <row r="2777" spans="1:10" ht="15.75" hidden="1" thickBot="1" x14ac:dyDescent="0.3">
      <c r="A2777" s="176"/>
      <c r="B2777" s="174"/>
      <c r="C2777" s="31"/>
      <c r="D2777" s="31"/>
      <c r="E2777" s="32"/>
      <c r="F2777" s="42" t="s">
        <v>416</v>
      </c>
      <c r="G2777" s="33" t="str">
        <f>IF(ISNUMBER(F2777),E2777*F2777,"")</f>
        <v/>
      </c>
      <c r="H2777" s="34"/>
      <c r="I2777" s="30"/>
      <c r="J2777" s="152">
        <v>0</v>
      </c>
    </row>
    <row r="2778" spans="1:10" ht="15.75" hidden="1" thickBot="1" x14ac:dyDescent="0.3">
      <c r="A2778" s="176"/>
      <c r="B2778" s="174"/>
      <c r="C2778" s="35" t="s">
        <v>673</v>
      </c>
      <c r="D2778" s="35" t="s">
        <v>861</v>
      </c>
      <c r="E2778" s="36">
        <v>1</v>
      </c>
      <c r="F2778" s="33">
        <v>158.99200000000002</v>
      </c>
      <c r="G2778" s="33">
        <f>IF(ISNUMBER(F2778),E2778*F2778,"")</f>
        <v>158.99200000000002</v>
      </c>
      <c r="H2778" s="38">
        <f>SUM(G2778:G2784)</f>
        <v>275.42850299999998</v>
      </c>
      <c r="I2778" s="39"/>
      <c r="J2778" s="152">
        <v>0</v>
      </c>
    </row>
    <row r="2779" spans="1:10" ht="39" hidden="1" thickBot="1" x14ac:dyDescent="0.3">
      <c r="A2779" s="176"/>
      <c r="B2779" s="174"/>
      <c r="C2779" s="35" t="s">
        <v>8010</v>
      </c>
      <c r="D2779" s="35" t="s">
        <v>213</v>
      </c>
      <c r="E2779" s="36">
        <v>1.913</v>
      </c>
      <c r="F2779" s="33">
        <v>0.3705</v>
      </c>
      <c r="G2779" s="33">
        <f>IF(ISNUMBER(F2779),E2779*F2779,"")</f>
        <v>0.70876649999999997</v>
      </c>
      <c r="H2779" s="34"/>
      <c r="I2779" s="30"/>
      <c r="J2779" s="152">
        <v>0</v>
      </c>
    </row>
    <row r="2780" spans="1:10" ht="15.75" hidden="1" thickBot="1" x14ac:dyDescent="0.3">
      <c r="A2780" s="176"/>
      <c r="B2780" s="174"/>
      <c r="C2780" s="35" t="s">
        <v>709</v>
      </c>
      <c r="D2780" s="35" t="s">
        <v>773</v>
      </c>
      <c r="E2780" s="36">
        <v>0.83899999999999997</v>
      </c>
      <c r="F2780" s="33">
        <v>39.063999999999993</v>
      </c>
      <c r="G2780" s="33">
        <f>IF(ISNUMBER(F2780),E2780*F2780,"")</f>
        <v>32.774695999999992</v>
      </c>
      <c r="H2780" s="34"/>
      <c r="I2780" s="30"/>
      <c r="J2780" s="152">
        <v>0</v>
      </c>
    </row>
    <row r="2781" spans="1:10" ht="26.25" hidden="1" thickBot="1" x14ac:dyDescent="0.3">
      <c r="A2781" s="176"/>
      <c r="B2781" s="174"/>
      <c r="C2781" s="35" t="s">
        <v>8168</v>
      </c>
      <c r="D2781" s="35" t="s">
        <v>385</v>
      </c>
      <c r="E2781" s="36">
        <v>2.605</v>
      </c>
      <c r="F2781" s="33">
        <v>2.4319999999999999</v>
      </c>
      <c r="G2781" s="33">
        <f>IF(ISNUMBER(F2781),E2781*F2781,"")</f>
        <v>6.3353599999999997</v>
      </c>
      <c r="H2781" s="34"/>
      <c r="I2781" s="30"/>
      <c r="J2781" s="152">
        <v>0</v>
      </c>
    </row>
    <row r="2782" spans="1:10" ht="15.75" hidden="1" thickBot="1" x14ac:dyDescent="0.3">
      <c r="A2782" s="176"/>
      <c r="B2782" s="174"/>
      <c r="C2782" s="35" t="s">
        <v>8373</v>
      </c>
      <c r="D2782" s="35" t="s">
        <v>213</v>
      </c>
      <c r="E2782" s="36">
        <v>0.34599999999999997</v>
      </c>
      <c r="F2782" s="33">
        <v>26.125</v>
      </c>
      <c r="G2782" s="33">
        <f>IF(ISNUMBER(F2782),E2782*F2782,"")</f>
        <v>9.0392499999999991</v>
      </c>
      <c r="H2782" s="34"/>
      <c r="I2782" s="30"/>
      <c r="J2782" s="152">
        <v>0</v>
      </c>
    </row>
    <row r="2783" spans="1:10" ht="15.75" hidden="1" thickBot="1" x14ac:dyDescent="0.3">
      <c r="A2783" s="176"/>
      <c r="B2783" s="174"/>
      <c r="C2783" s="35" t="s">
        <v>584</v>
      </c>
      <c r="D2783" s="35" t="s">
        <v>583</v>
      </c>
      <c r="E2783" s="36">
        <v>1.4690000000000001</v>
      </c>
      <c r="F2783" s="33">
        <v>20.225499999999997</v>
      </c>
      <c r="G2783" s="33">
        <f>IF(ISNUMBER(F2783),E2783*F2783,"")</f>
        <v>29.711259499999997</v>
      </c>
      <c r="H2783" s="34"/>
      <c r="I2783" s="30"/>
      <c r="J2783" s="152">
        <v>0</v>
      </c>
    </row>
    <row r="2784" spans="1:10" ht="15.75" hidden="1" thickBot="1" x14ac:dyDescent="0.3">
      <c r="A2784" s="176"/>
      <c r="B2784" s="174"/>
      <c r="C2784" s="35" t="s">
        <v>2909</v>
      </c>
      <c r="D2784" s="35" t="s">
        <v>583</v>
      </c>
      <c r="E2784" s="36">
        <v>1.5109999999999999</v>
      </c>
      <c r="F2784" s="33">
        <v>25.060999999999996</v>
      </c>
      <c r="G2784" s="33">
        <f>IF(ISNUMBER(F2784),E2784*F2784,"")</f>
        <v>37.867170999999992</v>
      </c>
      <c r="H2784" s="34"/>
      <c r="I2784" s="30"/>
      <c r="J2784" s="152">
        <v>0</v>
      </c>
    </row>
    <row r="2785" spans="1:10" ht="15.75" hidden="1" thickBot="1" x14ac:dyDescent="0.3">
      <c r="A2785" s="177"/>
      <c r="B2785" s="175"/>
      <c r="C2785" s="35"/>
      <c r="D2785" s="35"/>
      <c r="E2785" s="36"/>
      <c r="F2785" s="30" t="s">
        <v>416</v>
      </c>
      <c r="G2785" s="33" t="str">
        <f>IF(ISNUMBER(F2785),E2785*F2785,"")</f>
        <v/>
      </c>
      <c r="H2785" s="34"/>
      <c r="I2785" s="30"/>
      <c r="J2785" s="152">
        <v>0</v>
      </c>
    </row>
    <row r="2786" spans="1:10" ht="15.75" hidden="1" thickBot="1" x14ac:dyDescent="0.3">
      <c r="A2786" s="170" t="s">
        <v>672</v>
      </c>
      <c r="B2786" s="173" t="str">
        <f>INDEX(Orçamentária!A:B,MATCH(Composições!A2786,Orçamentária!A:A,0),2)</f>
        <v>Vidro liso comum transparente 5mm</v>
      </c>
      <c r="C2786" s="40"/>
      <c r="D2786" s="25" t="s">
        <v>70</v>
      </c>
      <c r="E2786" s="26"/>
      <c r="F2786" s="41" t="s">
        <v>416</v>
      </c>
      <c r="G2786" s="27" t="str">
        <f>IF(ISNUMBER(F2786),E2786*F2786,"")</f>
        <v/>
      </c>
      <c r="H2786" s="28"/>
      <c r="I2786" s="29"/>
      <c r="J2786" s="152">
        <v>0</v>
      </c>
    </row>
    <row r="2787" spans="1:10" ht="15.75" hidden="1" thickBot="1" x14ac:dyDescent="0.3">
      <c r="A2787" s="176"/>
      <c r="B2787" s="174"/>
      <c r="C2787" s="31"/>
      <c r="D2787" s="31"/>
      <c r="E2787" s="32"/>
      <c r="F2787" s="42" t="s">
        <v>416</v>
      </c>
      <c r="G2787" s="33" t="str">
        <f>IF(ISNUMBER(F2787),E2787*F2787,"")</f>
        <v/>
      </c>
      <c r="H2787" s="34"/>
      <c r="I2787" s="30"/>
      <c r="J2787" s="152">
        <v>0</v>
      </c>
    </row>
    <row r="2788" spans="1:10" ht="15.75" hidden="1" thickBot="1" x14ac:dyDescent="0.3">
      <c r="A2788" s="176"/>
      <c r="B2788" s="174"/>
      <c r="C2788" s="35" t="s">
        <v>2909</v>
      </c>
      <c r="D2788" s="35" t="s">
        <v>583</v>
      </c>
      <c r="E2788" s="36">
        <v>1</v>
      </c>
      <c r="F2788" s="33">
        <v>25.060999999999996</v>
      </c>
      <c r="G2788" s="33">
        <f>IF(ISNUMBER(F2788),E2788*F2788,"")</f>
        <v>25.060999999999996</v>
      </c>
      <c r="H2788" s="38">
        <f>SUM(G2788:G2790)</f>
        <v>115.28249999999998</v>
      </c>
      <c r="I2788" s="39"/>
      <c r="J2788" s="152">
        <v>0</v>
      </c>
    </row>
    <row r="2789" spans="1:10" ht="15.75" hidden="1" thickBot="1" x14ac:dyDescent="0.3">
      <c r="A2789" s="176"/>
      <c r="B2789" s="174"/>
      <c r="C2789" s="35" t="s">
        <v>8290</v>
      </c>
      <c r="D2789" s="35" t="s">
        <v>773</v>
      </c>
      <c r="E2789" s="36">
        <v>2</v>
      </c>
      <c r="F2789" s="30">
        <v>4.4364999999999997</v>
      </c>
      <c r="G2789" s="33">
        <f>IF(ISNUMBER(F2789),E2789*F2789,"")</f>
        <v>8.8729999999999993</v>
      </c>
      <c r="H2789" s="34"/>
      <c r="I2789" s="30"/>
      <c r="J2789" s="152">
        <v>0</v>
      </c>
    </row>
    <row r="2790" spans="1:10" ht="15.75" hidden="1" thickBot="1" x14ac:dyDescent="0.3">
      <c r="A2790" s="176"/>
      <c r="B2790" s="174"/>
      <c r="C2790" s="35" t="s">
        <v>671</v>
      </c>
      <c r="D2790" s="35" t="s">
        <v>861</v>
      </c>
      <c r="E2790" s="36">
        <v>1</v>
      </c>
      <c r="F2790" s="30">
        <v>81.348499999999987</v>
      </c>
      <c r="G2790" s="33">
        <f>IF(ISNUMBER(F2790),E2790*F2790,"")</f>
        <v>81.348499999999987</v>
      </c>
      <c r="H2790" s="34"/>
      <c r="I2790" s="30"/>
      <c r="J2790" s="152">
        <v>0</v>
      </c>
    </row>
    <row r="2791" spans="1:10" ht="15.75" hidden="1" thickBot="1" x14ac:dyDescent="0.3">
      <c r="A2791" s="177"/>
      <c r="B2791" s="175"/>
      <c r="C2791" s="35"/>
      <c r="D2791" s="35"/>
      <c r="E2791" s="36"/>
      <c r="F2791" s="30" t="s">
        <v>416</v>
      </c>
      <c r="G2791" s="33" t="str">
        <f>IF(ISNUMBER(F2791),E2791*F2791,"")</f>
        <v/>
      </c>
      <c r="H2791" s="34"/>
      <c r="I2791" s="30"/>
      <c r="J2791" s="152">
        <v>0</v>
      </c>
    </row>
    <row r="2792" spans="1:10" ht="15.75" hidden="1" thickBot="1" x14ac:dyDescent="0.3">
      <c r="A2792" s="170" t="s">
        <v>2413</v>
      </c>
      <c r="B2792" s="173" t="str">
        <f>INDEX(Orçamentária!A:B,MATCH(Composições!A2792,Orçamentária!A:A,0),2)</f>
        <v>Corte em vidro ou espelho reaproveitado</v>
      </c>
      <c r="C2792" s="40"/>
      <c r="D2792" s="25" t="s">
        <v>69</v>
      </c>
      <c r="E2792" s="26"/>
      <c r="F2792" s="41" t="s">
        <v>416</v>
      </c>
      <c r="G2792" s="27" t="str">
        <f>IF(ISNUMBER(F2792),E2792*F2792,"")</f>
        <v/>
      </c>
      <c r="H2792" s="28"/>
      <c r="I2792" s="29"/>
      <c r="J2792" s="152">
        <v>0</v>
      </c>
    </row>
    <row r="2793" spans="1:10" ht="15.75" hidden="1" thickBot="1" x14ac:dyDescent="0.3">
      <c r="A2793" s="176"/>
      <c r="B2793" s="174"/>
      <c r="C2793" s="31"/>
      <c r="D2793" s="31"/>
      <c r="E2793" s="32"/>
      <c r="F2793" s="42" t="s">
        <v>416</v>
      </c>
      <c r="G2793" s="33" t="str">
        <f>IF(ISNUMBER(F2793),E2793*F2793,"")</f>
        <v/>
      </c>
      <c r="H2793" s="34"/>
      <c r="I2793" s="30"/>
      <c r="J2793" s="152">
        <v>0</v>
      </c>
    </row>
    <row r="2794" spans="1:10" ht="15.75" hidden="1" thickBot="1" x14ac:dyDescent="0.3">
      <c r="A2794" s="176"/>
      <c r="B2794" s="174"/>
      <c r="C2794" s="35" t="s">
        <v>2909</v>
      </c>
      <c r="D2794" s="35" t="s">
        <v>583</v>
      </c>
      <c r="E2794" s="36">
        <v>0.5</v>
      </c>
      <c r="F2794" s="30">
        <v>25.060999999999996</v>
      </c>
      <c r="G2794" s="33">
        <f>IF(ISNUMBER(F2794),E2794*F2794,"")</f>
        <v>12.530499999999998</v>
      </c>
      <c r="H2794" s="38">
        <f>SUM(G2794:G2795)</f>
        <v>22.643249999999995</v>
      </c>
      <c r="I2794" s="39"/>
      <c r="J2794" s="152">
        <v>0</v>
      </c>
    </row>
    <row r="2795" spans="1:10" ht="15.75" hidden="1" thickBot="1" x14ac:dyDescent="0.3">
      <c r="A2795" s="176"/>
      <c r="B2795" s="174"/>
      <c r="C2795" s="35" t="s">
        <v>584</v>
      </c>
      <c r="D2795" s="35" t="s">
        <v>583</v>
      </c>
      <c r="E2795" s="36">
        <v>0.5</v>
      </c>
      <c r="F2795" s="30">
        <v>20.225499999999997</v>
      </c>
      <c r="G2795" s="33">
        <f>IF(ISNUMBER(F2795),E2795*F2795,"")</f>
        <v>10.112749999999998</v>
      </c>
      <c r="H2795" s="34"/>
      <c r="I2795" s="30"/>
      <c r="J2795" s="152">
        <v>0</v>
      </c>
    </row>
    <row r="2796" spans="1:10" ht="15.75" hidden="1" thickBot="1" x14ac:dyDescent="0.3">
      <c r="A2796" s="177"/>
      <c r="B2796" s="175"/>
      <c r="C2796" s="35"/>
      <c r="D2796" s="35"/>
      <c r="E2796" s="36"/>
      <c r="F2796" s="30" t="s">
        <v>416</v>
      </c>
      <c r="G2796" s="33" t="str">
        <f>IF(ISNUMBER(F2796),E2796*F2796,"")</f>
        <v/>
      </c>
      <c r="H2796" s="34"/>
      <c r="I2796" s="30"/>
      <c r="J2796" s="152">
        <v>0</v>
      </c>
    </row>
    <row r="2797" spans="1:10" ht="15.75" hidden="1" thickBot="1" x14ac:dyDescent="0.3">
      <c r="A2797" s="170" t="s">
        <v>2415</v>
      </c>
      <c r="B2797" s="173" t="str">
        <f>INDEX(Orçamentária!A:B,MATCH(Composições!A2797,Orçamentária!A:A,0),2)</f>
        <v>Lapidação de vidro / espelho reaproveitado</v>
      </c>
      <c r="C2797" s="40"/>
      <c r="D2797" s="25" t="s">
        <v>69</v>
      </c>
      <c r="E2797" s="26"/>
      <c r="F2797" s="41" t="s">
        <v>416</v>
      </c>
      <c r="G2797" s="27" t="str">
        <f>IF(ISNUMBER(F2797),E2797*F2797,"")</f>
        <v/>
      </c>
      <c r="H2797" s="28"/>
      <c r="I2797" s="29"/>
      <c r="J2797" s="152">
        <v>0</v>
      </c>
    </row>
    <row r="2798" spans="1:10" ht="15.75" hidden="1" thickBot="1" x14ac:dyDescent="0.3">
      <c r="A2798" s="176"/>
      <c r="B2798" s="174"/>
      <c r="C2798" s="31"/>
      <c r="D2798" s="31"/>
      <c r="E2798" s="32"/>
      <c r="F2798" s="42" t="s">
        <v>416</v>
      </c>
      <c r="G2798" s="33" t="str">
        <f>IF(ISNUMBER(F2798),E2798*F2798,"")</f>
        <v/>
      </c>
      <c r="H2798" s="34"/>
      <c r="I2798" s="30"/>
      <c r="J2798" s="152">
        <v>0</v>
      </c>
    </row>
    <row r="2799" spans="1:10" ht="15.75" hidden="1" thickBot="1" x14ac:dyDescent="0.3">
      <c r="A2799" s="176"/>
      <c r="B2799" s="174"/>
      <c r="C2799" s="35" t="s">
        <v>2909</v>
      </c>
      <c r="D2799" s="35" t="s">
        <v>583</v>
      </c>
      <c r="E2799" s="36">
        <v>0.75</v>
      </c>
      <c r="F2799" s="30">
        <v>25.060999999999996</v>
      </c>
      <c r="G2799" s="33">
        <f>IF(ISNUMBER(F2799),E2799*F2799,"")</f>
        <v>18.795749999999998</v>
      </c>
      <c r="H2799" s="38">
        <f>SUM(G2799:G2800)</f>
        <v>33.964874999999992</v>
      </c>
      <c r="I2799" s="39"/>
      <c r="J2799" s="152">
        <v>0</v>
      </c>
    </row>
    <row r="2800" spans="1:10" ht="15.75" hidden="1" thickBot="1" x14ac:dyDescent="0.3">
      <c r="A2800" s="176"/>
      <c r="B2800" s="174"/>
      <c r="C2800" s="35" t="s">
        <v>584</v>
      </c>
      <c r="D2800" s="35" t="s">
        <v>583</v>
      </c>
      <c r="E2800" s="36">
        <v>0.75</v>
      </c>
      <c r="F2800" s="30">
        <v>20.225499999999997</v>
      </c>
      <c r="G2800" s="33">
        <f>IF(ISNUMBER(F2800),E2800*F2800,"")</f>
        <v>15.169124999999998</v>
      </c>
      <c r="H2800" s="34"/>
      <c r="I2800" s="30"/>
      <c r="J2800" s="152">
        <v>0</v>
      </c>
    </row>
    <row r="2801" spans="1:10" ht="15.75" hidden="1" thickBot="1" x14ac:dyDescent="0.3">
      <c r="A2801" s="177"/>
      <c r="B2801" s="175"/>
      <c r="C2801" s="35"/>
      <c r="D2801" s="35"/>
      <c r="E2801" s="36"/>
      <c r="F2801" s="30" t="s">
        <v>416</v>
      </c>
      <c r="G2801" s="33" t="str">
        <f>IF(ISNUMBER(F2801),E2801*F2801,"")</f>
        <v/>
      </c>
      <c r="H2801" s="34"/>
      <c r="I2801" s="30"/>
      <c r="J2801" s="152">
        <v>0</v>
      </c>
    </row>
    <row r="2802" spans="1:10" ht="15.75" hidden="1" thickBot="1" x14ac:dyDescent="0.3">
      <c r="A2802" s="170" t="s">
        <v>674</v>
      </c>
      <c r="B2802" s="173" t="str">
        <f>INDEX(Orçamentária!A:B,MATCH(Composições!A2802,Orçamentária!A:A,0),2)</f>
        <v>Vidro temperado incolor com 10 mm de espessura</v>
      </c>
      <c r="C2802" s="40"/>
      <c r="D2802" s="25" t="s">
        <v>70</v>
      </c>
      <c r="E2802" s="26"/>
      <c r="F2802" s="41" t="s">
        <v>416</v>
      </c>
      <c r="G2802" s="27" t="str">
        <f>IF(ISNUMBER(F2802),E2802*F2802,"")</f>
        <v/>
      </c>
      <c r="H2802" s="28"/>
      <c r="I2802" s="29"/>
      <c r="J2802" s="152">
        <v>0</v>
      </c>
    </row>
    <row r="2803" spans="1:10" ht="15.75" hidden="1" thickBot="1" x14ac:dyDescent="0.3">
      <c r="A2803" s="176"/>
      <c r="B2803" s="174"/>
      <c r="C2803" s="31"/>
      <c r="D2803" s="31"/>
      <c r="E2803" s="32"/>
      <c r="F2803" s="42" t="s">
        <v>416</v>
      </c>
      <c r="G2803" s="33" t="str">
        <f>IF(ISNUMBER(F2803),E2803*F2803,"")</f>
        <v/>
      </c>
      <c r="H2803" s="34"/>
      <c r="I2803" s="30"/>
      <c r="J2803" s="152">
        <v>0</v>
      </c>
    </row>
    <row r="2804" spans="1:10" ht="15.75" hidden="1" thickBot="1" x14ac:dyDescent="0.3">
      <c r="A2804" s="176"/>
      <c r="B2804" s="174"/>
      <c r="C2804" s="35" t="s">
        <v>675</v>
      </c>
      <c r="D2804" s="35" t="s">
        <v>861</v>
      </c>
      <c r="E2804" s="36">
        <v>1</v>
      </c>
      <c r="F2804" s="33">
        <v>206.40649999999999</v>
      </c>
      <c r="G2804" s="33">
        <f>IF(ISNUMBER(F2804),E2804*F2804,"")</f>
        <v>206.40649999999999</v>
      </c>
      <c r="H2804" s="38">
        <f>SUM(G2804:G2810)</f>
        <v>313.38504049999995</v>
      </c>
      <c r="I2804" s="39"/>
      <c r="J2804" s="152">
        <v>0</v>
      </c>
    </row>
    <row r="2805" spans="1:10" ht="39" hidden="1" thickBot="1" x14ac:dyDescent="0.3">
      <c r="A2805" s="176"/>
      <c r="B2805" s="174"/>
      <c r="C2805" s="35" t="s">
        <v>8010</v>
      </c>
      <c r="D2805" s="35" t="s">
        <v>213</v>
      </c>
      <c r="E2805" s="36">
        <v>1.7050000000000001</v>
      </c>
      <c r="F2805" s="33">
        <v>0.3705</v>
      </c>
      <c r="G2805" s="33">
        <f>IF(ISNUMBER(F2805),E2805*F2805,"")</f>
        <v>0.63170250000000006</v>
      </c>
      <c r="H2805" s="34"/>
      <c r="I2805" s="30"/>
      <c r="J2805" s="152">
        <v>0</v>
      </c>
    </row>
    <row r="2806" spans="1:10" ht="15.75" hidden="1" thickBot="1" x14ac:dyDescent="0.3">
      <c r="A2806" s="176"/>
      <c r="B2806" s="174"/>
      <c r="C2806" s="35" t="s">
        <v>709</v>
      </c>
      <c r="D2806" s="35" t="s">
        <v>773</v>
      </c>
      <c r="E2806" s="36">
        <v>0.748</v>
      </c>
      <c r="F2806" s="33">
        <v>39.063999999999993</v>
      </c>
      <c r="G2806" s="33">
        <f>IF(ISNUMBER(F2806),E2806*F2806,"")</f>
        <v>29.219871999999995</v>
      </c>
      <c r="H2806" s="34"/>
      <c r="I2806" s="30"/>
      <c r="J2806" s="152">
        <v>0</v>
      </c>
    </row>
    <row r="2807" spans="1:10" ht="26.25" hidden="1" thickBot="1" x14ac:dyDescent="0.3">
      <c r="A2807" s="176"/>
      <c r="B2807" s="174"/>
      <c r="C2807" s="35" t="s">
        <v>8168</v>
      </c>
      <c r="D2807" s="35" t="s">
        <v>385</v>
      </c>
      <c r="E2807" s="36">
        <v>2.3220000000000001</v>
      </c>
      <c r="F2807" s="33">
        <v>2.4319999999999999</v>
      </c>
      <c r="G2807" s="33">
        <f>IF(ISNUMBER(F2807),E2807*F2807,"")</f>
        <v>5.6471039999999997</v>
      </c>
      <c r="H2807" s="34"/>
      <c r="I2807" s="30"/>
      <c r="J2807" s="152">
        <v>0</v>
      </c>
    </row>
    <row r="2808" spans="1:10" ht="15.75" hidden="1" thickBot="1" x14ac:dyDescent="0.3">
      <c r="A2808" s="176"/>
      <c r="B2808" s="174"/>
      <c r="C2808" s="35" t="s">
        <v>8373</v>
      </c>
      <c r="D2808" s="35" t="s">
        <v>213</v>
      </c>
      <c r="E2808" s="36">
        <v>0.309</v>
      </c>
      <c r="F2808" s="33">
        <v>26.125</v>
      </c>
      <c r="G2808" s="33">
        <f>IF(ISNUMBER(F2808),E2808*F2808,"")</f>
        <v>8.0726250000000004</v>
      </c>
      <c r="H2808" s="34"/>
      <c r="I2808" s="30"/>
      <c r="J2808" s="152">
        <v>0</v>
      </c>
    </row>
    <row r="2809" spans="1:10" ht="15.75" hidden="1" thickBot="1" x14ac:dyDescent="0.3">
      <c r="A2809" s="176"/>
      <c r="B2809" s="174"/>
      <c r="C2809" s="35" t="s">
        <v>584</v>
      </c>
      <c r="D2809" s="35" t="s">
        <v>583</v>
      </c>
      <c r="E2809" s="36">
        <v>1.3779999999999999</v>
      </c>
      <c r="F2809" s="30">
        <v>20.225499999999997</v>
      </c>
      <c r="G2809" s="33">
        <f>IF(ISNUMBER(F2809),E2809*F2809,"")</f>
        <v>27.870738999999993</v>
      </c>
      <c r="H2809" s="34"/>
      <c r="I2809" s="30"/>
      <c r="J2809" s="152">
        <v>0</v>
      </c>
    </row>
    <row r="2810" spans="1:10" ht="15.75" hidden="1" thickBot="1" x14ac:dyDescent="0.3">
      <c r="A2810" s="176"/>
      <c r="B2810" s="174"/>
      <c r="C2810" s="35" t="s">
        <v>2909</v>
      </c>
      <c r="D2810" s="35" t="s">
        <v>583</v>
      </c>
      <c r="E2810" s="36">
        <v>1.4179999999999999</v>
      </c>
      <c r="F2810" s="30">
        <v>25.060999999999996</v>
      </c>
      <c r="G2810" s="33">
        <f>IF(ISNUMBER(F2810),E2810*F2810,"")</f>
        <v>35.536497999999995</v>
      </c>
      <c r="H2810" s="34"/>
      <c r="I2810" s="30"/>
      <c r="J2810" s="152">
        <v>0</v>
      </c>
    </row>
    <row r="2811" spans="1:10" ht="15.75" hidden="1" thickBot="1" x14ac:dyDescent="0.3">
      <c r="A2811" s="177"/>
      <c r="B2811" s="175"/>
      <c r="C2811" s="35"/>
      <c r="D2811" s="35"/>
      <c r="E2811" s="36"/>
      <c r="F2811" s="30" t="s">
        <v>416</v>
      </c>
      <c r="G2811" s="33" t="str">
        <f>IF(ISNUMBER(F2811),E2811*F2811,"")</f>
        <v/>
      </c>
      <c r="H2811" s="34"/>
      <c r="I2811" s="30"/>
      <c r="J2811" s="152">
        <v>0</v>
      </c>
    </row>
    <row r="2812" spans="1:10" ht="15.75" hidden="1" thickBot="1" x14ac:dyDescent="0.3">
      <c r="A2812" s="170" t="s">
        <v>676</v>
      </c>
      <c r="B2812" s="173" t="str">
        <f>INDEX(Orçamentária!A:B,MATCH(Composições!A2812,Orçamentária!A:A,0),2)</f>
        <v>Bucha para pivô de dobradiça para vidro temperado</v>
      </c>
      <c r="C2812" s="40"/>
      <c r="D2812" s="25" t="s">
        <v>16</v>
      </c>
      <c r="E2812" s="26"/>
      <c r="F2812" s="41" t="s">
        <v>416</v>
      </c>
      <c r="G2812" s="27" t="str">
        <f>IF(ISNUMBER(F2812),E2812*F2812,"")</f>
        <v/>
      </c>
      <c r="H2812" s="28"/>
      <c r="I2812" s="29"/>
      <c r="J2812" s="152">
        <v>0</v>
      </c>
    </row>
    <row r="2813" spans="1:10" ht="15.75" hidden="1" thickBot="1" x14ac:dyDescent="0.3">
      <c r="A2813" s="176"/>
      <c r="B2813" s="174"/>
      <c r="C2813" s="31"/>
      <c r="D2813" s="31"/>
      <c r="E2813" s="32"/>
      <c r="F2813" s="42" t="s">
        <v>416</v>
      </c>
      <c r="G2813" s="33" t="str">
        <f>IF(ISNUMBER(F2813),E2813*F2813,"")</f>
        <v/>
      </c>
      <c r="H2813" s="34"/>
      <c r="I2813" s="30"/>
      <c r="J2813" s="152">
        <v>0</v>
      </c>
    </row>
    <row r="2814" spans="1:10" ht="15.75" hidden="1" thickBot="1" x14ac:dyDescent="0.3">
      <c r="A2814" s="176"/>
      <c r="B2814" s="174"/>
      <c r="C2814" s="35" t="s">
        <v>2909</v>
      </c>
      <c r="D2814" s="35" t="s">
        <v>583</v>
      </c>
      <c r="E2814" s="36">
        <v>0.15</v>
      </c>
      <c r="F2814" s="33">
        <v>25.060999999999996</v>
      </c>
      <c r="G2814" s="33">
        <f>IF(ISNUMBER(F2814),E2814*F2814,"")</f>
        <v>3.7591499999999991</v>
      </c>
      <c r="H2814" s="38">
        <f>SUM(G2814:G2815)</f>
        <v>3.7591499999999991</v>
      </c>
      <c r="I2814" s="39"/>
      <c r="J2814" s="152">
        <v>0</v>
      </c>
    </row>
    <row r="2815" spans="1:10" ht="26.25" hidden="1" thickBot="1" x14ac:dyDescent="0.3">
      <c r="A2815" s="176"/>
      <c r="B2815" s="174"/>
      <c r="C2815" s="35" t="s">
        <v>677</v>
      </c>
      <c r="D2815" s="35" t="s">
        <v>16</v>
      </c>
      <c r="E2815" s="36">
        <v>1</v>
      </c>
      <c r="F2815" s="30">
        <v>0</v>
      </c>
      <c r="G2815" s="33">
        <f>IF(ISNUMBER(F2815),E2815*F2815,"")</f>
        <v>0</v>
      </c>
      <c r="H2815" s="34"/>
      <c r="I2815" s="30"/>
      <c r="J2815" s="152">
        <v>0</v>
      </c>
    </row>
    <row r="2816" spans="1:10" ht="15.75" hidden="1" thickBot="1" x14ac:dyDescent="0.3">
      <c r="A2816" s="177"/>
      <c r="B2816" s="175"/>
      <c r="C2816" s="35"/>
      <c r="D2816" s="35"/>
      <c r="E2816" s="36"/>
      <c r="F2816" s="30" t="s">
        <v>416</v>
      </c>
      <c r="G2816" s="33" t="str">
        <f>IF(ISNUMBER(F2816),E2816*F2816,"")</f>
        <v/>
      </c>
      <c r="H2816" s="34"/>
      <c r="I2816" s="30"/>
      <c r="J2816" s="152">
        <v>0</v>
      </c>
    </row>
    <row r="2817" spans="1:10" ht="15.75" hidden="1" thickBot="1" x14ac:dyDescent="0.3">
      <c r="A2817" s="170" t="s">
        <v>678</v>
      </c>
      <c r="B2817" s="173" t="str">
        <f>INDEX(Orçamentária!A:B,MATCH(Composições!A2817,Orçamentária!A:A,0),2)</f>
        <v>Suporte para bandeira de vidro temperado, com ponto de giro para dobradiça</v>
      </c>
      <c r="C2817" s="40"/>
      <c r="D2817" s="25" t="s">
        <v>16</v>
      </c>
      <c r="E2817" s="26"/>
      <c r="F2817" s="41" t="s">
        <v>416</v>
      </c>
      <c r="G2817" s="27" t="str">
        <f>IF(ISNUMBER(F2817),E2817*F2817,"")</f>
        <v/>
      </c>
      <c r="H2817" s="28"/>
      <c r="I2817" s="29"/>
      <c r="J2817" s="152">
        <v>0</v>
      </c>
    </row>
    <row r="2818" spans="1:10" ht="15.75" hidden="1" thickBot="1" x14ac:dyDescent="0.3">
      <c r="A2818" s="176"/>
      <c r="B2818" s="174"/>
      <c r="C2818" s="31"/>
      <c r="D2818" s="31"/>
      <c r="E2818" s="32"/>
      <c r="F2818" s="42" t="s">
        <v>416</v>
      </c>
      <c r="G2818" s="33" t="str">
        <f>IF(ISNUMBER(F2818),E2818*F2818,"")</f>
        <v/>
      </c>
      <c r="H2818" s="34"/>
      <c r="I2818" s="30"/>
      <c r="J2818" s="152">
        <v>0</v>
      </c>
    </row>
    <row r="2819" spans="1:10" ht="15.75" hidden="1" thickBot="1" x14ac:dyDescent="0.3">
      <c r="A2819" s="176"/>
      <c r="B2819" s="174"/>
      <c r="C2819" s="35" t="s">
        <v>2909</v>
      </c>
      <c r="D2819" s="35" t="s">
        <v>583</v>
      </c>
      <c r="E2819" s="36">
        <v>0.3</v>
      </c>
      <c r="F2819" s="33">
        <v>25.060999999999996</v>
      </c>
      <c r="G2819" s="33">
        <f>IF(ISNUMBER(F2819),E2819*F2819,"")</f>
        <v>7.5182999999999982</v>
      </c>
      <c r="H2819" s="38">
        <f>SUM(G2819:G2820)</f>
        <v>7.5182999999999982</v>
      </c>
      <c r="I2819" s="39"/>
      <c r="J2819" s="152">
        <v>0</v>
      </c>
    </row>
    <row r="2820" spans="1:10" ht="26.25" hidden="1" thickBot="1" x14ac:dyDescent="0.3">
      <c r="A2820" s="176"/>
      <c r="B2820" s="174"/>
      <c r="C2820" s="35" t="s">
        <v>679</v>
      </c>
      <c r="D2820" s="46" t="s">
        <v>16</v>
      </c>
      <c r="E2820" s="36">
        <v>1</v>
      </c>
      <c r="F2820" s="30">
        <v>0</v>
      </c>
      <c r="G2820" s="33">
        <f>IF(ISNUMBER(F2820),E2820*F2820,"")</f>
        <v>0</v>
      </c>
      <c r="H2820" s="34"/>
      <c r="I2820" s="30"/>
      <c r="J2820" s="152">
        <v>0</v>
      </c>
    </row>
    <row r="2821" spans="1:10" ht="15.75" hidden="1" thickBot="1" x14ac:dyDescent="0.3">
      <c r="A2821" s="177"/>
      <c r="B2821" s="175"/>
      <c r="C2821" s="35"/>
      <c r="D2821" s="35"/>
      <c r="E2821" s="36"/>
      <c r="F2821" s="30" t="s">
        <v>416</v>
      </c>
      <c r="G2821" s="33" t="str">
        <f>IF(ISNUMBER(F2821),E2821*F2821,"")</f>
        <v/>
      </c>
      <c r="H2821" s="34"/>
      <c r="I2821" s="30"/>
      <c r="J2821" s="152">
        <v>0</v>
      </c>
    </row>
    <row r="2822" spans="1:10" ht="15.75" hidden="1" thickBot="1" x14ac:dyDescent="0.3">
      <c r="A2822" s="170" t="s">
        <v>680</v>
      </c>
      <c r="B2822" s="173" t="str">
        <f>INDEX(Orçamentária!A:B,MATCH(Composições!A2822,Orçamentária!A:A,0),2)</f>
        <v>Suporte de canto, simples, para vidro temperado</v>
      </c>
      <c r="C2822" s="40"/>
      <c r="D2822" s="25" t="s">
        <v>16</v>
      </c>
      <c r="E2822" s="26"/>
      <c r="F2822" s="41" t="s">
        <v>416</v>
      </c>
      <c r="G2822" s="27" t="str">
        <f>IF(ISNUMBER(F2822),E2822*F2822,"")</f>
        <v/>
      </c>
      <c r="H2822" s="28"/>
      <c r="I2822" s="29"/>
      <c r="J2822" s="152">
        <v>0</v>
      </c>
    </row>
    <row r="2823" spans="1:10" ht="15.75" hidden="1" thickBot="1" x14ac:dyDescent="0.3">
      <c r="A2823" s="176"/>
      <c r="B2823" s="174"/>
      <c r="C2823" s="31"/>
      <c r="D2823" s="31"/>
      <c r="E2823" s="32"/>
      <c r="F2823" s="42" t="s">
        <v>416</v>
      </c>
      <c r="G2823" s="33" t="str">
        <f>IF(ISNUMBER(F2823),E2823*F2823,"")</f>
        <v/>
      </c>
      <c r="H2823" s="34"/>
      <c r="I2823" s="30"/>
      <c r="J2823" s="152">
        <v>0</v>
      </c>
    </row>
    <row r="2824" spans="1:10" ht="15.75" hidden="1" thickBot="1" x14ac:dyDescent="0.3">
      <c r="A2824" s="176"/>
      <c r="B2824" s="174"/>
      <c r="C2824" s="35" t="s">
        <v>2909</v>
      </c>
      <c r="D2824" s="35" t="s">
        <v>583</v>
      </c>
      <c r="E2824" s="36">
        <v>0.15</v>
      </c>
      <c r="F2824" s="33">
        <v>25.060999999999996</v>
      </c>
      <c r="G2824" s="33">
        <f>IF(ISNUMBER(F2824),E2824*F2824,"")</f>
        <v>3.7591499999999991</v>
      </c>
      <c r="H2824" s="38">
        <f>SUM(G2824:G2825)</f>
        <v>3.7591499999999991</v>
      </c>
      <c r="I2824" s="39"/>
      <c r="J2824" s="152">
        <v>0</v>
      </c>
    </row>
    <row r="2825" spans="1:10" ht="26.25" hidden="1" thickBot="1" x14ac:dyDescent="0.3">
      <c r="A2825" s="176"/>
      <c r="B2825" s="174"/>
      <c r="C2825" s="35" t="s">
        <v>681</v>
      </c>
      <c r="D2825" s="35" t="s">
        <v>16</v>
      </c>
      <c r="E2825" s="36">
        <v>1</v>
      </c>
      <c r="F2825" s="30">
        <v>0</v>
      </c>
      <c r="G2825" s="33">
        <f>IF(ISNUMBER(F2825),E2825*F2825,"")</f>
        <v>0</v>
      </c>
      <c r="H2825" s="34"/>
      <c r="I2825" s="30"/>
      <c r="J2825" s="152">
        <v>0</v>
      </c>
    </row>
    <row r="2826" spans="1:10" ht="15.75" hidden="1" thickBot="1" x14ac:dyDescent="0.3">
      <c r="A2826" s="177"/>
      <c r="B2826" s="175"/>
      <c r="C2826" s="35"/>
      <c r="D2826" s="35"/>
      <c r="E2826" s="36"/>
      <c r="F2826" s="30" t="s">
        <v>416</v>
      </c>
      <c r="G2826" s="33" t="str">
        <f>IF(ISNUMBER(F2826),E2826*F2826,"")</f>
        <v/>
      </c>
      <c r="H2826" s="34"/>
      <c r="I2826" s="30"/>
      <c r="J2826" s="152">
        <v>0</v>
      </c>
    </row>
    <row r="2827" spans="1:10" ht="15.75" hidden="1" thickBot="1" x14ac:dyDescent="0.3">
      <c r="A2827" s="170" t="s">
        <v>682</v>
      </c>
      <c r="B2827" s="173" t="str">
        <f>INDEX(Orçamentária!A:B,MATCH(Composições!A2827,Orçamentária!A:A,0),2)</f>
        <v>Suporte de união, sem batedor, para dois ou três vidros temperados</v>
      </c>
      <c r="C2827" s="40"/>
      <c r="D2827" s="25" t="s">
        <v>16</v>
      </c>
      <c r="E2827" s="26"/>
      <c r="F2827" s="41" t="s">
        <v>416</v>
      </c>
      <c r="G2827" s="27" t="str">
        <f>IF(ISNUMBER(F2827),E2827*F2827,"")</f>
        <v/>
      </c>
      <c r="H2827" s="28"/>
      <c r="I2827" s="29"/>
      <c r="J2827" s="152">
        <v>0</v>
      </c>
    </row>
    <row r="2828" spans="1:10" ht="15.75" hidden="1" thickBot="1" x14ac:dyDescent="0.3">
      <c r="A2828" s="176"/>
      <c r="B2828" s="174"/>
      <c r="C2828" s="31"/>
      <c r="D2828" s="31"/>
      <c r="E2828" s="32"/>
      <c r="F2828" s="42" t="s">
        <v>416</v>
      </c>
      <c r="G2828" s="33" t="str">
        <f>IF(ISNUMBER(F2828),E2828*F2828,"")</f>
        <v/>
      </c>
      <c r="H2828" s="34"/>
      <c r="I2828" s="30"/>
      <c r="J2828" s="152">
        <v>0</v>
      </c>
    </row>
    <row r="2829" spans="1:10" ht="15.75" hidden="1" thickBot="1" x14ac:dyDescent="0.3">
      <c r="A2829" s="176"/>
      <c r="B2829" s="174"/>
      <c r="C2829" s="35" t="s">
        <v>2909</v>
      </c>
      <c r="D2829" s="35" t="s">
        <v>583</v>
      </c>
      <c r="E2829" s="36">
        <v>0.3</v>
      </c>
      <c r="F2829" s="33">
        <v>25.060999999999996</v>
      </c>
      <c r="G2829" s="33">
        <f>IF(ISNUMBER(F2829),E2829*F2829,"")</f>
        <v>7.5182999999999982</v>
      </c>
      <c r="H2829" s="38">
        <f>SUM(G2829:G2830)</f>
        <v>7.5182999999999982</v>
      </c>
      <c r="I2829" s="39"/>
      <c r="J2829" s="152">
        <v>0</v>
      </c>
    </row>
    <row r="2830" spans="1:10" ht="26.25" hidden="1" thickBot="1" x14ac:dyDescent="0.3">
      <c r="A2830" s="176"/>
      <c r="B2830" s="174"/>
      <c r="C2830" s="35" t="s">
        <v>683</v>
      </c>
      <c r="D2830" s="35" t="s">
        <v>16</v>
      </c>
      <c r="E2830" s="36">
        <v>1</v>
      </c>
      <c r="F2830" s="30">
        <v>0</v>
      </c>
      <c r="G2830" s="33">
        <f>IF(ISNUMBER(F2830),E2830*F2830,"")</f>
        <v>0</v>
      </c>
      <c r="H2830" s="34"/>
      <c r="I2830" s="30"/>
      <c r="J2830" s="152">
        <v>0</v>
      </c>
    </row>
    <row r="2831" spans="1:10" ht="15.75" hidden="1" thickBot="1" x14ac:dyDescent="0.3">
      <c r="A2831" s="176"/>
      <c r="B2831" s="174"/>
      <c r="C2831" s="35"/>
      <c r="D2831" s="35"/>
      <c r="E2831" s="36"/>
      <c r="F2831" s="30" t="s">
        <v>416</v>
      </c>
      <c r="G2831" s="33" t="str">
        <f>IF(ISNUMBER(F2831),E2831*F2831,"")</f>
        <v/>
      </c>
      <c r="H2831" s="34"/>
      <c r="I2831" s="30"/>
      <c r="J2831" s="152">
        <v>0</v>
      </c>
    </row>
    <row r="2832" spans="1:10" ht="39.75" hidden="1" thickBot="1" x14ac:dyDescent="0.3">
      <c r="A2832" s="176"/>
      <c r="B2832" s="174"/>
      <c r="C2832" s="146" t="s">
        <v>684</v>
      </c>
      <c r="D2832" s="35"/>
      <c r="E2832" s="36"/>
      <c r="F2832" s="30" t="s">
        <v>416</v>
      </c>
      <c r="G2832" s="33" t="str">
        <f>IF(ISNUMBER(F2832),E2832*F2832,"")</f>
        <v/>
      </c>
      <c r="H2832" s="34"/>
      <c r="I2832" s="30"/>
      <c r="J2832" s="152">
        <v>0</v>
      </c>
    </row>
    <row r="2833" spans="1:10" ht="15.75" hidden="1" thickBot="1" x14ac:dyDescent="0.3">
      <c r="A2833" s="177"/>
      <c r="B2833" s="175"/>
      <c r="C2833" s="35"/>
      <c r="D2833" s="35"/>
      <c r="E2833" s="36"/>
      <c r="F2833" s="30" t="s">
        <v>416</v>
      </c>
      <c r="G2833" s="33" t="str">
        <f>IF(ISNUMBER(F2833),E2833*F2833,"")</f>
        <v/>
      </c>
      <c r="H2833" s="34"/>
      <c r="I2833" s="30"/>
      <c r="J2833" s="152">
        <v>0</v>
      </c>
    </row>
    <row r="2834" spans="1:10" ht="15.75" hidden="1" thickBot="1" x14ac:dyDescent="0.3">
      <c r="A2834" s="170" t="s">
        <v>685</v>
      </c>
      <c r="B2834" s="173" t="str">
        <f>INDEX(Orçamentária!A:B,MATCH(Composições!A2834,Orçamentária!A:A,0),2)</f>
        <v>Botão de correção para vidro temperado</v>
      </c>
      <c r="C2834" s="40"/>
      <c r="D2834" s="25" t="s">
        <v>16</v>
      </c>
      <c r="E2834" s="26"/>
      <c r="F2834" s="41" t="s">
        <v>416</v>
      </c>
      <c r="G2834" s="27" t="str">
        <f>IF(ISNUMBER(F2834),E2834*F2834,"")</f>
        <v/>
      </c>
      <c r="H2834" s="28"/>
      <c r="I2834" s="29"/>
      <c r="J2834" s="152">
        <v>0</v>
      </c>
    </row>
    <row r="2835" spans="1:10" ht="15.75" hidden="1" thickBot="1" x14ac:dyDescent="0.3">
      <c r="A2835" s="176"/>
      <c r="B2835" s="174"/>
      <c r="C2835" s="31"/>
      <c r="D2835" s="31"/>
      <c r="E2835" s="32"/>
      <c r="F2835" s="42" t="s">
        <v>416</v>
      </c>
      <c r="G2835" s="33" t="str">
        <f>IF(ISNUMBER(F2835),E2835*F2835,"")</f>
        <v/>
      </c>
      <c r="H2835" s="34"/>
      <c r="I2835" s="30"/>
      <c r="J2835" s="152">
        <v>0</v>
      </c>
    </row>
    <row r="2836" spans="1:10" ht="15.75" hidden="1" thickBot="1" x14ac:dyDescent="0.3">
      <c r="A2836" s="176"/>
      <c r="B2836" s="174"/>
      <c r="C2836" s="35" t="s">
        <v>2909</v>
      </c>
      <c r="D2836" s="35" t="s">
        <v>583</v>
      </c>
      <c r="E2836" s="36">
        <v>0.15</v>
      </c>
      <c r="F2836" s="33">
        <v>25.060999999999996</v>
      </c>
      <c r="G2836" s="33">
        <f>IF(ISNUMBER(F2836),E2836*F2836,"")</f>
        <v>3.7591499999999991</v>
      </c>
      <c r="H2836" s="38">
        <f>SUM(G2836:G2837)</f>
        <v>3.7591499999999991</v>
      </c>
      <c r="I2836" s="39"/>
      <c r="J2836" s="152">
        <v>0</v>
      </c>
    </row>
    <row r="2837" spans="1:10" ht="15.75" hidden="1" thickBot="1" x14ac:dyDescent="0.3">
      <c r="A2837" s="176"/>
      <c r="B2837" s="174"/>
      <c r="C2837" s="35" t="s">
        <v>686</v>
      </c>
      <c r="D2837" s="35" t="s">
        <v>16</v>
      </c>
      <c r="E2837" s="36">
        <v>1</v>
      </c>
      <c r="F2837" s="30">
        <v>0</v>
      </c>
      <c r="G2837" s="33">
        <f>IF(ISNUMBER(F2837),E2837*F2837,"")</f>
        <v>0</v>
      </c>
      <c r="H2837" s="34"/>
      <c r="I2837" s="30"/>
      <c r="J2837" s="152">
        <v>0</v>
      </c>
    </row>
    <row r="2838" spans="1:10" ht="15.75" hidden="1" thickBot="1" x14ac:dyDescent="0.3">
      <c r="A2838" s="177"/>
      <c r="B2838" s="175"/>
      <c r="C2838" s="35"/>
      <c r="D2838" s="35"/>
      <c r="E2838" s="36"/>
      <c r="F2838" s="30" t="s">
        <v>416</v>
      </c>
      <c r="G2838" s="33" t="str">
        <f>IF(ISNUMBER(F2838),E2838*F2838,"")</f>
        <v/>
      </c>
      <c r="H2838" s="34"/>
      <c r="I2838" s="30"/>
      <c r="J2838" s="152">
        <v>0</v>
      </c>
    </row>
    <row r="2839" spans="1:10" ht="15.75" hidden="1" thickBot="1" x14ac:dyDescent="0.3">
      <c r="A2839" s="170" t="s">
        <v>687</v>
      </c>
      <c r="B2839" s="173" t="str">
        <f>INDEX(Orçamentária!A:B,MATCH(Composições!A2839,Orçamentária!A:A,0),2)</f>
        <v>Fechadura bico-de-papagaio, com furo, para vidro temperado</v>
      </c>
      <c r="C2839" s="40"/>
      <c r="D2839" s="25" t="s">
        <v>16</v>
      </c>
      <c r="E2839" s="26"/>
      <c r="F2839" s="41" t="s">
        <v>416</v>
      </c>
      <c r="G2839" s="27" t="str">
        <f>IF(ISNUMBER(F2839),E2839*F2839,"")</f>
        <v/>
      </c>
      <c r="H2839" s="28"/>
      <c r="I2839" s="29"/>
      <c r="J2839" s="152">
        <v>0</v>
      </c>
    </row>
    <row r="2840" spans="1:10" ht="15.75" hidden="1" thickBot="1" x14ac:dyDescent="0.3">
      <c r="A2840" s="176"/>
      <c r="B2840" s="174"/>
      <c r="C2840" s="31"/>
      <c r="D2840" s="31"/>
      <c r="E2840" s="32"/>
      <c r="F2840" s="42" t="s">
        <v>416</v>
      </c>
      <c r="G2840" s="33" t="str">
        <f>IF(ISNUMBER(F2840),E2840*F2840,"")</f>
        <v/>
      </c>
      <c r="H2840" s="34"/>
      <c r="I2840" s="30"/>
      <c r="J2840" s="152">
        <v>0</v>
      </c>
    </row>
    <row r="2841" spans="1:10" ht="15.75" hidden="1" thickBot="1" x14ac:dyDescent="0.3">
      <c r="A2841" s="176"/>
      <c r="B2841" s="174"/>
      <c r="C2841" s="35" t="s">
        <v>2909</v>
      </c>
      <c r="D2841" s="35" t="s">
        <v>583</v>
      </c>
      <c r="E2841" s="36">
        <v>0.4</v>
      </c>
      <c r="F2841" s="33">
        <v>25.060999999999996</v>
      </c>
      <c r="G2841" s="33">
        <f>IF(ISNUMBER(F2841),E2841*F2841,"")</f>
        <v>10.0244</v>
      </c>
      <c r="H2841" s="38">
        <f>SUM(G2841:G2842)</f>
        <v>10.0244</v>
      </c>
      <c r="I2841" s="39"/>
      <c r="J2841" s="152">
        <v>0</v>
      </c>
    </row>
    <row r="2842" spans="1:10" ht="26.25" hidden="1" thickBot="1" x14ac:dyDescent="0.3">
      <c r="A2842" s="176"/>
      <c r="B2842" s="174"/>
      <c r="C2842" s="35" t="s">
        <v>688</v>
      </c>
      <c r="D2842" s="35" t="s">
        <v>16</v>
      </c>
      <c r="E2842" s="36">
        <v>1</v>
      </c>
      <c r="F2842" s="30" t="s">
        <v>416</v>
      </c>
      <c r="G2842" s="33" t="str">
        <f>IF(ISNUMBER(F2842),E2842*F2842,"")</f>
        <v/>
      </c>
      <c r="H2842" s="34"/>
      <c r="I2842" s="30"/>
      <c r="J2842" s="152">
        <v>0</v>
      </c>
    </row>
    <row r="2843" spans="1:10" ht="15.75" hidden="1" thickBot="1" x14ac:dyDescent="0.3">
      <c r="A2843" s="177"/>
      <c r="B2843" s="175"/>
      <c r="C2843" s="35"/>
      <c r="D2843" s="35"/>
      <c r="E2843" s="36"/>
      <c r="F2843" s="30" t="s">
        <v>416</v>
      </c>
      <c r="G2843" s="33" t="str">
        <f>IF(ISNUMBER(F2843),E2843*F2843,"")</f>
        <v/>
      </c>
      <c r="H2843" s="34"/>
      <c r="I2843" s="30"/>
      <c r="J2843" s="152">
        <v>0</v>
      </c>
    </row>
    <row r="2844" spans="1:10" ht="15.75" hidden="1" thickBot="1" x14ac:dyDescent="0.3">
      <c r="A2844" s="170" t="s">
        <v>689</v>
      </c>
      <c r="B2844" s="173" t="str">
        <f>INDEX(Orçamentária!A:B,MATCH(Composições!A2844,Orçamentária!A:A,0),2)</f>
        <v>Fechadura bico-de-papagaio, com furo, para janela de vidro temperado</v>
      </c>
      <c r="C2844" s="40"/>
      <c r="D2844" s="25" t="s">
        <v>16</v>
      </c>
      <c r="E2844" s="26"/>
      <c r="F2844" s="41" t="s">
        <v>416</v>
      </c>
      <c r="G2844" s="27" t="str">
        <f>IF(ISNUMBER(F2844),E2844*F2844,"")</f>
        <v/>
      </c>
      <c r="H2844" s="28"/>
      <c r="I2844" s="29"/>
      <c r="J2844" s="152">
        <v>0</v>
      </c>
    </row>
    <row r="2845" spans="1:10" ht="15.75" hidden="1" thickBot="1" x14ac:dyDescent="0.3">
      <c r="A2845" s="176"/>
      <c r="B2845" s="174"/>
      <c r="C2845" s="31"/>
      <c r="D2845" s="31"/>
      <c r="E2845" s="32"/>
      <c r="F2845" s="42" t="s">
        <v>416</v>
      </c>
      <c r="G2845" s="33" t="str">
        <f>IF(ISNUMBER(F2845),E2845*F2845,"")</f>
        <v/>
      </c>
      <c r="H2845" s="34"/>
      <c r="I2845" s="30"/>
      <c r="J2845" s="152">
        <v>0</v>
      </c>
    </row>
    <row r="2846" spans="1:10" ht="15.75" hidden="1" thickBot="1" x14ac:dyDescent="0.3">
      <c r="A2846" s="176"/>
      <c r="B2846" s="174"/>
      <c r="C2846" s="35" t="s">
        <v>2909</v>
      </c>
      <c r="D2846" s="35" t="s">
        <v>583</v>
      </c>
      <c r="E2846" s="36">
        <v>0.4</v>
      </c>
      <c r="F2846" s="33">
        <v>25.060999999999996</v>
      </c>
      <c r="G2846" s="33">
        <f>IF(ISNUMBER(F2846),E2846*F2846,"")</f>
        <v>10.0244</v>
      </c>
      <c r="H2846" s="38">
        <f>SUM(G2846:G2847)</f>
        <v>10.0244</v>
      </c>
      <c r="I2846" s="39"/>
      <c r="J2846" s="152">
        <v>0</v>
      </c>
    </row>
    <row r="2847" spans="1:10" ht="39" hidden="1" thickBot="1" x14ac:dyDescent="0.3">
      <c r="A2847" s="176"/>
      <c r="B2847" s="174"/>
      <c r="C2847" s="35" t="s">
        <v>690</v>
      </c>
      <c r="D2847" s="35" t="s">
        <v>16</v>
      </c>
      <c r="E2847" s="36">
        <v>1</v>
      </c>
      <c r="F2847" s="30" t="s">
        <v>416</v>
      </c>
      <c r="G2847" s="33" t="str">
        <f>IF(ISNUMBER(F2847),E2847*F2847,"")</f>
        <v/>
      </c>
      <c r="H2847" s="34"/>
      <c r="I2847" s="30"/>
      <c r="J2847" s="152">
        <v>0</v>
      </c>
    </row>
    <row r="2848" spans="1:10" ht="15.75" hidden="1" thickBot="1" x14ac:dyDescent="0.3">
      <c r="A2848" s="177"/>
      <c r="B2848" s="175"/>
      <c r="C2848" s="35"/>
      <c r="D2848" s="35"/>
      <c r="E2848" s="36"/>
      <c r="F2848" s="30" t="s">
        <v>416</v>
      </c>
      <c r="G2848" s="33" t="str">
        <f>IF(ISNUMBER(F2848),E2848*F2848,"")</f>
        <v/>
      </c>
      <c r="H2848" s="34"/>
      <c r="I2848" s="30"/>
      <c r="J2848" s="152">
        <v>0</v>
      </c>
    </row>
    <row r="2849" spans="1:10" ht="15.75" hidden="1" thickBot="1" x14ac:dyDescent="0.3">
      <c r="A2849" s="170" t="s">
        <v>691</v>
      </c>
      <c r="B2849" s="173" t="str">
        <f>INDEX(Orçamentária!A:B,MATCH(Composições!A2849,Orçamentária!A:A,0),2)</f>
        <v>Fechadura para porta de abrir de vidro temperado</v>
      </c>
      <c r="C2849" s="40"/>
      <c r="D2849" s="25" t="s">
        <v>16</v>
      </c>
      <c r="E2849" s="26"/>
      <c r="F2849" s="41" t="s">
        <v>416</v>
      </c>
      <c r="G2849" s="27" t="str">
        <f>IF(ISNUMBER(F2849),E2849*F2849,"")</f>
        <v/>
      </c>
      <c r="H2849" s="28"/>
      <c r="I2849" s="29"/>
      <c r="J2849" s="152">
        <v>0</v>
      </c>
    </row>
    <row r="2850" spans="1:10" ht="15.75" hidden="1" thickBot="1" x14ac:dyDescent="0.3">
      <c r="A2850" s="176"/>
      <c r="B2850" s="174"/>
      <c r="C2850" s="31"/>
      <c r="D2850" s="31"/>
      <c r="E2850" s="32"/>
      <c r="F2850" s="42" t="s">
        <v>416</v>
      </c>
      <c r="G2850" s="33" t="str">
        <f>IF(ISNUMBER(F2850),E2850*F2850,"")</f>
        <v/>
      </c>
      <c r="H2850" s="34"/>
      <c r="I2850" s="30"/>
      <c r="J2850" s="152">
        <v>0</v>
      </c>
    </row>
    <row r="2851" spans="1:10" ht="15.75" hidden="1" thickBot="1" x14ac:dyDescent="0.3">
      <c r="A2851" s="176"/>
      <c r="B2851" s="174"/>
      <c r="C2851" s="35" t="s">
        <v>2909</v>
      </c>
      <c r="D2851" s="35" t="s">
        <v>583</v>
      </c>
      <c r="E2851" s="36">
        <v>0.4</v>
      </c>
      <c r="F2851" s="33">
        <v>25.060999999999996</v>
      </c>
      <c r="G2851" s="33">
        <f>IF(ISNUMBER(F2851),E2851*F2851,"")</f>
        <v>10.0244</v>
      </c>
      <c r="H2851" s="38">
        <f>SUM(G2851:G2852)</f>
        <v>10.0244</v>
      </c>
      <c r="I2851" s="39"/>
      <c r="J2851" s="152">
        <v>0</v>
      </c>
    </row>
    <row r="2852" spans="1:10" ht="26.25" hidden="1" thickBot="1" x14ac:dyDescent="0.3">
      <c r="A2852" s="176"/>
      <c r="B2852" s="174"/>
      <c r="C2852" s="35" t="s">
        <v>692</v>
      </c>
      <c r="D2852" s="35" t="s">
        <v>16</v>
      </c>
      <c r="E2852" s="36">
        <v>1</v>
      </c>
      <c r="F2852" s="30" t="s">
        <v>416</v>
      </c>
      <c r="G2852" s="33" t="str">
        <f>IF(ISNUMBER(F2852),E2852*F2852,"")</f>
        <v/>
      </c>
      <c r="H2852" s="34"/>
      <c r="I2852" s="30"/>
      <c r="J2852" s="152">
        <v>0</v>
      </c>
    </row>
    <row r="2853" spans="1:10" ht="15.75" hidden="1" thickBot="1" x14ac:dyDescent="0.3">
      <c r="A2853" s="177"/>
      <c r="B2853" s="175"/>
      <c r="C2853" s="35"/>
      <c r="D2853" s="35"/>
      <c r="E2853" s="36"/>
      <c r="F2853" s="30" t="s">
        <v>416</v>
      </c>
      <c r="G2853" s="33" t="str">
        <f>IF(ISNUMBER(F2853),E2853*F2853,"")</f>
        <v/>
      </c>
      <c r="H2853" s="34"/>
      <c r="I2853" s="30"/>
      <c r="J2853" s="152">
        <v>0</v>
      </c>
    </row>
    <row r="2854" spans="1:10" ht="15.75" hidden="1" thickBot="1" x14ac:dyDescent="0.3">
      <c r="A2854" s="170" t="s">
        <v>693</v>
      </c>
      <c r="B2854" s="173" t="str">
        <f>INDEX(Orçamentária!A:B,MATCH(Composições!A2854,Orçamentária!A:A,0),2)</f>
        <v>Contra fechadura, para alvenaria, para porta com fechadura 1520/9520</v>
      </c>
      <c r="C2854" s="40"/>
      <c r="D2854" s="25" t="s">
        <v>16</v>
      </c>
      <c r="E2854" s="26"/>
      <c r="F2854" s="41" t="s">
        <v>416</v>
      </c>
      <c r="G2854" s="27" t="str">
        <f>IF(ISNUMBER(F2854),E2854*F2854,"")</f>
        <v/>
      </c>
      <c r="H2854" s="28"/>
      <c r="I2854" s="29"/>
      <c r="J2854" s="152">
        <v>0</v>
      </c>
    </row>
    <row r="2855" spans="1:10" ht="15.75" hidden="1" thickBot="1" x14ac:dyDescent="0.3">
      <c r="A2855" s="176"/>
      <c r="B2855" s="174"/>
      <c r="C2855" s="31"/>
      <c r="D2855" s="31"/>
      <c r="E2855" s="32"/>
      <c r="F2855" s="42" t="s">
        <v>416</v>
      </c>
      <c r="G2855" s="33" t="str">
        <f>IF(ISNUMBER(F2855),E2855*F2855,"")</f>
        <v/>
      </c>
      <c r="H2855" s="34"/>
      <c r="I2855" s="30"/>
      <c r="J2855" s="152">
        <v>0</v>
      </c>
    </row>
    <row r="2856" spans="1:10" ht="15.75" hidden="1" thickBot="1" x14ac:dyDescent="0.3">
      <c r="A2856" s="176"/>
      <c r="B2856" s="174"/>
      <c r="C2856" s="35" t="s">
        <v>2909</v>
      </c>
      <c r="D2856" s="35" t="s">
        <v>583</v>
      </c>
      <c r="E2856" s="36">
        <v>0.25</v>
      </c>
      <c r="F2856" s="33">
        <v>25.060999999999996</v>
      </c>
      <c r="G2856" s="33">
        <f>IF(ISNUMBER(F2856),E2856*F2856,"")</f>
        <v>6.2652499999999991</v>
      </c>
      <c r="H2856" s="38">
        <f>SUM(G2856:G2857)</f>
        <v>6.2652499999999991</v>
      </c>
      <c r="I2856" s="39"/>
      <c r="J2856" s="152">
        <v>0</v>
      </c>
    </row>
    <row r="2857" spans="1:10" ht="39" hidden="1" thickBot="1" x14ac:dyDescent="0.3">
      <c r="A2857" s="176"/>
      <c r="B2857" s="174"/>
      <c r="C2857" s="35" t="s">
        <v>694</v>
      </c>
      <c r="D2857" s="35" t="s">
        <v>16</v>
      </c>
      <c r="E2857" s="36">
        <v>1</v>
      </c>
      <c r="F2857" s="30" t="s">
        <v>416</v>
      </c>
      <c r="G2857" s="33" t="str">
        <f>IF(ISNUMBER(F2857),E2857*F2857,"")</f>
        <v/>
      </c>
      <c r="H2857" s="34"/>
      <c r="I2857" s="30"/>
      <c r="J2857" s="152">
        <v>0</v>
      </c>
    </row>
    <row r="2858" spans="1:10" ht="15.75" hidden="1" thickBot="1" x14ac:dyDescent="0.3">
      <c r="A2858" s="177"/>
      <c r="B2858" s="175"/>
      <c r="C2858" s="35"/>
      <c r="D2858" s="35"/>
      <c r="E2858" s="36"/>
      <c r="F2858" s="30" t="s">
        <v>416</v>
      </c>
      <c r="G2858" s="33" t="str">
        <f>IF(ISNUMBER(F2858),E2858*F2858,"")</f>
        <v/>
      </c>
      <c r="H2858" s="34"/>
      <c r="I2858" s="30"/>
      <c r="J2858" s="152">
        <v>0</v>
      </c>
    </row>
    <row r="2859" spans="1:10" ht="15.75" hidden="1" thickBot="1" x14ac:dyDescent="0.3">
      <c r="A2859" s="170" t="s">
        <v>695</v>
      </c>
      <c r="B2859" s="173" t="str">
        <f>INDEX(Orçamentária!A:B,MATCH(Composições!A2859,Orçamentária!A:A,0),2)</f>
        <v>Contra fechadura de pressão para porta de vidro temperado</v>
      </c>
      <c r="C2859" s="40"/>
      <c r="D2859" s="25" t="s">
        <v>16</v>
      </c>
      <c r="E2859" s="26"/>
      <c r="F2859" s="41" t="s">
        <v>416</v>
      </c>
      <c r="G2859" s="27" t="str">
        <f>IF(ISNUMBER(F2859),E2859*F2859,"")</f>
        <v/>
      </c>
      <c r="H2859" s="28"/>
      <c r="I2859" s="29"/>
      <c r="J2859" s="152">
        <v>0</v>
      </c>
    </row>
    <row r="2860" spans="1:10" ht="15.75" hidden="1" thickBot="1" x14ac:dyDescent="0.3">
      <c r="A2860" s="176"/>
      <c r="B2860" s="174"/>
      <c r="C2860" s="31"/>
      <c r="D2860" s="31"/>
      <c r="E2860" s="32"/>
      <c r="F2860" s="42" t="s">
        <v>416</v>
      </c>
      <c r="G2860" s="33" t="str">
        <f>IF(ISNUMBER(F2860),E2860*F2860,"")</f>
        <v/>
      </c>
      <c r="H2860" s="34"/>
      <c r="I2860" s="30"/>
      <c r="J2860" s="152">
        <v>0</v>
      </c>
    </row>
    <row r="2861" spans="1:10" ht="15.75" hidden="1" thickBot="1" x14ac:dyDescent="0.3">
      <c r="A2861" s="176"/>
      <c r="B2861" s="174"/>
      <c r="C2861" s="35" t="s">
        <v>2909</v>
      </c>
      <c r="D2861" s="35" t="s">
        <v>583</v>
      </c>
      <c r="E2861" s="36">
        <v>0.25</v>
      </c>
      <c r="F2861" s="33">
        <v>25.060999999999996</v>
      </c>
      <c r="G2861" s="33">
        <f>IF(ISNUMBER(F2861),E2861*F2861,"")</f>
        <v>6.2652499999999991</v>
      </c>
      <c r="H2861" s="38">
        <f>SUM(G2861:G2862)</f>
        <v>6.2652499999999991</v>
      </c>
      <c r="I2861" s="39"/>
      <c r="J2861" s="152">
        <v>0</v>
      </c>
    </row>
    <row r="2862" spans="1:10" ht="39" hidden="1" thickBot="1" x14ac:dyDescent="0.3">
      <c r="A2862" s="176"/>
      <c r="B2862" s="174"/>
      <c r="C2862" s="35" t="s">
        <v>696</v>
      </c>
      <c r="D2862" s="35" t="s">
        <v>16</v>
      </c>
      <c r="E2862" s="36">
        <v>1</v>
      </c>
      <c r="F2862" s="30" t="s">
        <v>416</v>
      </c>
      <c r="G2862" s="33" t="str">
        <f>IF(ISNUMBER(F2862),E2862*F2862,"")</f>
        <v/>
      </c>
      <c r="H2862" s="34"/>
      <c r="I2862" s="30"/>
      <c r="J2862" s="152">
        <v>0</v>
      </c>
    </row>
    <row r="2863" spans="1:10" ht="15.75" hidden="1" thickBot="1" x14ac:dyDescent="0.3">
      <c r="A2863" s="177"/>
      <c r="B2863" s="175"/>
      <c r="C2863" s="35"/>
      <c r="D2863" s="35"/>
      <c r="E2863" s="36"/>
      <c r="F2863" s="30" t="s">
        <v>416</v>
      </c>
      <c r="G2863" s="33" t="str">
        <f>IF(ISNUMBER(F2863),E2863*F2863,"")</f>
        <v/>
      </c>
      <c r="H2863" s="34"/>
      <c r="I2863" s="30"/>
      <c r="J2863" s="152">
        <v>0</v>
      </c>
    </row>
    <row r="2864" spans="1:10" ht="15.75" hidden="1" thickBot="1" x14ac:dyDescent="0.3">
      <c r="A2864" s="170" t="s">
        <v>697</v>
      </c>
      <c r="B2864" s="173" t="str">
        <f>INDEX(Orçamentária!A:B,MATCH(Composições!A2864,Orçamentária!A:A,0),2)</f>
        <v>Contra fechadura, com furo, para porta com furo</v>
      </c>
      <c r="C2864" s="40"/>
      <c r="D2864" s="25" t="s">
        <v>16</v>
      </c>
      <c r="E2864" s="26"/>
      <c r="F2864" s="41" t="s">
        <v>416</v>
      </c>
      <c r="G2864" s="27" t="str">
        <f>IF(ISNUMBER(F2864),E2864*F2864,"")</f>
        <v/>
      </c>
      <c r="H2864" s="28"/>
      <c r="I2864" s="29"/>
      <c r="J2864" s="152">
        <v>0</v>
      </c>
    </row>
    <row r="2865" spans="1:10" ht="15.75" hidden="1" thickBot="1" x14ac:dyDescent="0.3">
      <c r="A2865" s="176"/>
      <c r="B2865" s="174"/>
      <c r="C2865" s="31"/>
      <c r="D2865" s="31"/>
      <c r="E2865" s="32"/>
      <c r="F2865" s="42" t="s">
        <v>416</v>
      </c>
      <c r="G2865" s="33" t="str">
        <f>IF(ISNUMBER(F2865),E2865*F2865,"")</f>
        <v/>
      </c>
      <c r="H2865" s="34"/>
      <c r="I2865" s="30"/>
      <c r="J2865" s="152">
        <v>0</v>
      </c>
    </row>
    <row r="2866" spans="1:10" ht="15.75" hidden="1" thickBot="1" x14ac:dyDescent="0.3">
      <c r="A2866" s="176"/>
      <c r="B2866" s="174"/>
      <c r="C2866" s="35" t="s">
        <v>2909</v>
      </c>
      <c r="D2866" s="35" t="s">
        <v>583</v>
      </c>
      <c r="E2866" s="36">
        <v>0.25</v>
      </c>
      <c r="F2866" s="33">
        <v>25.060999999999996</v>
      </c>
      <c r="G2866" s="33">
        <f>IF(ISNUMBER(F2866),E2866*F2866,"")</f>
        <v>6.2652499999999991</v>
      </c>
      <c r="H2866" s="38">
        <f>SUM(G2866:G2867)</f>
        <v>6.2652499999999991</v>
      </c>
      <c r="I2866" s="39"/>
      <c r="J2866" s="152">
        <v>0</v>
      </c>
    </row>
    <row r="2867" spans="1:10" ht="39" hidden="1" thickBot="1" x14ac:dyDescent="0.3">
      <c r="A2867" s="176"/>
      <c r="B2867" s="174"/>
      <c r="C2867" s="35" t="s">
        <v>698</v>
      </c>
      <c r="D2867" s="35" t="s">
        <v>16</v>
      </c>
      <c r="E2867" s="36">
        <v>1</v>
      </c>
      <c r="F2867" s="30" t="s">
        <v>416</v>
      </c>
      <c r="G2867" s="33" t="str">
        <f>IF(ISNUMBER(F2867),E2867*F2867,"")</f>
        <v/>
      </c>
      <c r="H2867" s="34"/>
      <c r="I2867" s="30"/>
      <c r="J2867" s="152">
        <v>0</v>
      </c>
    </row>
    <row r="2868" spans="1:10" ht="15.75" hidden="1" thickBot="1" x14ac:dyDescent="0.3">
      <c r="A2868" s="177"/>
      <c r="B2868" s="175"/>
      <c r="C2868" s="35"/>
      <c r="D2868" s="35"/>
      <c r="E2868" s="36"/>
      <c r="F2868" s="30" t="s">
        <v>416</v>
      </c>
      <c r="G2868" s="33" t="str">
        <f>IF(ISNUMBER(F2868),E2868*F2868,"")</f>
        <v/>
      </c>
      <c r="H2868" s="34"/>
      <c r="I2868" s="30"/>
      <c r="J2868" s="152">
        <v>0</v>
      </c>
    </row>
    <row r="2869" spans="1:10" ht="15.75" hidden="1" thickBot="1" x14ac:dyDescent="0.3">
      <c r="A2869" s="170" t="s">
        <v>699</v>
      </c>
      <c r="B2869" s="173" t="str">
        <f>INDEX(Orçamentária!A:B,MATCH(Composições!A2869,Orçamentária!A:A,0),2)</f>
        <v>Trinco inferior, com miolo, para porta de vidro temperado</v>
      </c>
      <c r="C2869" s="40"/>
      <c r="D2869" s="25" t="s">
        <v>16</v>
      </c>
      <c r="E2869" s="26"/>
      <c r="F2869" s="41" t="s">
        <v>416</v>
      </c>
      <c r="G2869" s="27" t="str">
        <f>IF(ISNUMBER(F2869),E2869*F2869,"")</f>
        <v/>
      </c>
      <c r="H2869" s="28"/>
      <c r="I2869" s="29"/>
      <c r="J2869" s="152">
        <v>0</v>
      </c>
    </row>
    <row r="2870" spans="1:10" ht="15.75" hidden="1" thickBot="1" x14ac:dyDescent="0.3">
      <c r="A2870" s="176"/>
      <c r="B2870" s="174"/>
      <c r="C2870" s="31"/>
      <c r="D2870" s="31"/>
      <c r="E2870" s="32"/>
      <c r="F2870" s="42" t="s">
        <v>416</v>
      </c>
      <c r="G2870" s="33" t="str">
        <f>IF(ISNUMBER(F2870),E2870*F2870,"")</f>
        <v/>
      </c>
      <c r="H2870" s="34"/>
      <c r="I2870" s="30"/>
      <c r="J2870" s="152">
        <v>0</v>
      </c>
    </row>
    <row r="2871" spans="1:10" ht="15.75" hidden="1" thickBot="1" x14ac:dyDescent="0.3">
      <c r="A2871" s="176"/>
      <c r="B2871" s="174"/>
      <c r="C2871" s="35" t="s">
        <v>2909</v>
      </c>
      <c r="D2871" s="35" t="s">
        <v>583</v>
      </c>
      <c r="E2871" s="36">
        <v>0.25</v>
      </c>
      <c r="F2871" s="33">
        <v>25.060999999999996</v>
      </c>
      <c r="G2871" s="33">
        <f>IF(ISNUMBER(F2871),E2871*F2871,"")</f>
        <v>6.2652499999999991</v>
      </c>
      <c r="H2871" s="38">
        <f>SUM(G2871:G2872)</f>
        <v>6.2652499999999991</v>
      </c>
      <c r="I2871" s="39"/>
      <c r="J2871" s="152">
        <v>0</v>
      </c>
    </row>
    <row r="2872" spans="1:10" ht="26.25" hidden="1" thickBot="1" x14ac:dyDescent="0.3">
      <c r="A2872" s="176"/>
      <c r="B2872" s="174"/>
      <c r="C2872" s="35" t="s">
        <v>700</v>
      </c>
      <c r="D2872" s="35" t="s">
        <v>16</v>
      </c>
      <c r="E2872" s="36">
        <v>1</v>
      </c>
      <c r="F2872" s="30">
        <v>0</v>
      </c>
      <c r="G2872" s="33">
        <f>IF(ISNUMBER(F2872),E2872*F2872,"")</f>
        <v>0</v>
      </c>
      <c r="H2872" s="34"/>
      <c r="I2872" s="30"/>
      <c r="J2872" s="152">
        <v>0</v>
      </c>
    </row>
    <row r="2873" spans="1:10" ht="15.75" hidden="1" thickBot="1" x14ac:dyDescent="0.3">
      <c r="A2873" s="177"/>
      <c r="B2873" s="175"/>
      <c r="C2873" s="35"/>
      <c r="D2873" s="35"/>
      <c r="E2873" s="36"/>
      <c r="F2873" s="30" t="s">
        <v>416</v>
      </c>
      <c r="G2873" s="33" t="str">
        <f>IF(ISNUMBER(F2873),E2873*F2873,"")</f>
        <v/>
      </c>
      <c r="H2873" s="34"/>
      <c r="I2873" s="30"/>
      <c r="J2873" s="152">
        <v>0</v>
      </c>
    </row>
    <row r="2874" spans="1:10" ht="15.75" hidden="1" thickBot="1" x14ac:dyDescent="0.3">
      <c r="A2874" s="170" t="s">
        <v>701</v>
      </c>
      <c r="B2874" s="173" t="str">
        <f>INDEX(Orçamentária!A:B,MATCH(Composições!A2874,Orçamentária!A:A,0),2)</f>
        <v>Mola hidráulica BTS 75R</v>
      </c>
      <c r="C2874" s="40"/>
      <c r="D2874" s="25" t="s">
        <v>16</v>
      </c>
      <c r="E2874" s="26"/>
      <c r="F2874" s="41" t="s">
        <v>416</v>
      </c>
      <c r="G2874" s="27" t="str">
        <f>IF(ISNUMBER(F2874),E2874*F2874,"")</f>
        <v/>
      </c>
      <c r="H2874" s="28"/>
      <c r="I2874" s="29"/>
      <c r="J2874" s="152">
        <v>0</v>
      </c>
    </row>
    <row r="2875" spans="1:10" ht="15.75" hidden="1" thickBot="1" x14ac:dyDescent="0.3">
      <c r="A2875" s="176"/>
      <c r="B2875" s="174"/>
      <c r="C2875" s="31"/>
      <c r="D2875" s="31"/>
      <c r="E2875" s="32"/>
      <c r="F2875" s="42" t="s">
        <v>416</v>
      </c>
      <c r="G2875" s="33" t="str">
        <f>IF(ISNUMBER(F2875),E2875*F2875,"")</f>
        <v/>
      </c>
      <c r="H2875" s="34"/>
      <c r="I2875" s="30"/>
      <c r="J2875" s="152">
        <v>0</v>
      </c>
    </row>
    <row r="2876" spans="1:10" ht="15.75" hidden="1" thickBot="1" x14ac:dyDescent="0.3">
      <c r="A2876" s="176"/>
      <c r="B2876" s="174"/>
      <c r="C2876" s="35" t="s">
        <v>2909</v>
      </c>
      <c r="D2876" s="35" t="s">
        <v>583</v>
      </c>
      <c r="E2876" s="36">
        <v>1.8180000000000001</v>
      </c>
      <c r="F2876" s="33">
        <v>25.060999999999996</v>
      </c>
      <c r="G2876" s="33">
        <f>IF(ISNUMBER(F2876),E2876*F2876,"")</f>
        <v>45.560897999999995</v>
      </c>
      <c r="H2876" s="38">
        <f>SUM(G2876:G2879)</f>
        <v>81.299356499999988</v>
      </c>
      <c r="I2876" s="39"/>
      <c r="J2876" s="152">
        <v>0</v>
      </c>
    </row>
    <row r="2877" spans="1:10" ht="15.75" hidden="1" thickBot="1" x14ac:dyDescent="0.3">
      <c r="A2877" s="176"/>
      <c r="B2877" s="174"/>
      <c r="C2877" s="35" t="s">
        <v>584</v>
      </c>
      <c r="D2877" s="35" t="s">
        <v>583</v>
      </c>
      <c r="E2877" s="36">
        <v>1.7669999999999999</v>
      </c>
      <c r="F2877" s="30">
        <v>20.225499999999997</v>
      </c>
      <c r="G2877" s="33">
        <f>IF(ISNUMBER(F2877),E2877*F2877,"")</f>
        <v>35.738458499999993</v>
      </c>
      <c r="H2877" s="34"/>
      <c r="I2877" s="30"/>
      <c r="J2877" s="152">
        <v>0</v>
      </c>
    </row>
    <row r="2878" spans="1:10" ht="15.75" hidden="1" thickBot="1" x14ac:dyDescent="0.3">
      <c r="A2878" s="176"/>
      <c r="B2878" s="174"/>
      <c r="C2878" s="35" t="s">
        <v>5551</v>
      </c>
      <c r="D2878" s="35" t="s">
        <v>16</v>
      </c>
      <c r="E2878" s="36">
        <v>1</v>
      </c>
      <c r="F2878" s="30" t="s">
        <v>416</v>
      </c>
      <c r="G2878" s="30" t="str">
        <f>IF(ISNUMBER(F2878),E2878*F2878,"")</f>
        <v/>
      </c>
      <c r="H2878" s="34"/>
      <c r="I2878" s="30"/>
      <c r="J2878" s="152">
        <v>0</v>
      </c>
    </row>
    <row r="2879" spans="1:10" ht="39" hidden="1" thickBot="1" x14ac:dyDescent="0.3">
      <c r="A2879" s="176"/>
      <c r="B2879" s="174"/>
      <c r="C2879" s="35" t="s">
        <v>5550</v>
      </c>
      <c r="D2879" s="35" t="s">
        <v>16</v>
      </c>
      <c r="E2879" s="36">
        <v>1</v>
      </c>
      <c r="F2879" s="30" t="s">
        <v>416</v>
      </c>
      <c r="G2879" s="33" t="str">
        <f>IF(ISNUMBER(F2879),E2879*F2879,"")</f>
        <v/>
      </c>
      <c r="H2879" s="34"/>
      <c r="I2879" s="30"/>
      <c r="J2879" s="152">
        <v>0</v>
      </c>
    </row>
    <row r="2880" spans="1:10" ht="15.75" hidden="1" thickBot="1" x14ac:dyDescent="0.3">
      <c r="A2880" s="177"/>
      <c r="B2880" s="175"/>
      <c r="C2880" s="35"/>
      <c r="D2880" s="35"/>
      <c r="E2880" s="36"/>
      <c r="F2880" s="30" t="s">
        <v>416</v>
      </c>
      <c r="G2880" s="33" t="str">
        <f>IF(ISNUMBER(F2880),E2880*F2880,"")</f>
        <v/>
      </c>
      <c r="H2880" s="34"/>
      <c r="I2880" s="30"/>
      <c r="J2880" s="152">
        <v>0</v>
      </c>
    </row>
    <row r="2881" spans="1:10" ht="15.75" hidden="1" thickBot="1" x14ac:dyDescent="0.3">
      <c r="A2881" s="170" t="s">
        <v>702</v>
      </c>
      <c r="B2881" s="173" t="str">
        <f>INDEX(Orçamentária!A:B,MATCH(Composições!A2881,Orçamentária!A:A,0),2)</f>
        <v>Puxador redondo, padrão em poliéster, para porta de vidro temperado</v>
      </c>
      <c r="C2881" s="40"/>
      <c r="D2881" s="25" t="s">
        <v>16</v>
      </c>
      <c r="E2881" s="26"/>
      <c r="F2881" s="41" t="s">
        <v>416</v>
      </c>
      <c r="G2881" s="27" t="str">
        <f>IF(ISNUMBER(F2881),E2881*F2881,"")</f>
        <v/>
      </c>
      <c r="H2881" s="28"/>
      <c r="I2881" s="29"/>
      <c r="J2881" s="152">
        <v>0</v>
      </c>
    </row>
    <row r="2882" spans="1:10" ht="15.75" hidden="1" thickBot="1" x14ac:dyDescent="0.3">
      <c r="A2882" s="176"/>
      <c r="B2882" s="174"/>
      <c r="C2882" s="31"/>
      <c r="D2882" s="31"/>
      <c r="E2882" s="32"/>
      <c r="F2882" s="42" t="s">
        <v>416</v>
      </c>
      <c r="G2882" s="33" t="str">
        <f>IF(ISNUMBER(F2882),E2882*F2882,"")</f>
        <v/>
      </c>
      <c r="H2882" s="34"/>
      <c r="I2882" s="30"/>
      <c r="J2882" s="152">
        <v>0</v>
      </c>
    </row>
    <row r="2883" spans="1:10" ht="15.75" hidden="1" thickBot="1" x14ac:dyDescent="0.3">
      <c r="A2883" s="176"/>
      <c r="B2883" s="174"/>
      <c r="C2883" s="35" t="s">
        <v>2909</v>
      </c>
      <c r="D2883" s="35" t="s">
        <v>583</v>
      </c>
      <c r="E2883" s="36">
        <v>0.2</v>
      </c>
      <c r="F2883" s="33">
        <v>25.060999999999996</v>
      </c>
      <c r="G2883" s="33">
        <f>IF(ISNUMBER(F2883),E2883*F2883,"")</f>
        <v>5.0122</v>
      </c>
      <c r="H2883" s="38">
        <f>SUM(G2883:G2884)</f>
        <v>5.0122</v>
      </c>
      <c r="I2883" s="39"/>
      <c r="J2883" s="152">
        <v>0</v>
      </c>
    </row>
    <row r="2884" spans="1:10" ht="39" hidden="1" thickBot="1" x14ac:dyDescent="0.3">
      <c r="A2884" s="176"/>
      <c r="B2884" s="174"/>
      <c r="C2884" s="35" t="s">
        <v>703</v>
      </c>
      <c r="D2884" s="35" t="s">
        <v>16</v>
      </c>
      <c r="E2884" s="36">
        <v>1</v>
      </c>
      <c r="F2884" s="30" t="s">
        <v>416</v>
      </c>
      <c r="G2884" s="33" t="str">
        <f>IF(ISNUMBER(F2884),E2884*F2884,"")</f>
        <v/>
      </c>
      <c r="H2884" s="34"/>
      <c r="I2884" s="30"/>
      <c r="J2884" s="152">
        <v>0</v>
      </c>
    </row>
    <row r="2885" spans="1:10" ht="15.75" hidden="1" thickBot="1" x14ac:dyDescent="0.3">
      <c r="A2885" s="177"/>
      <c r="B2885" s="175"/>
      <c r="C2885" s="35"/>
      <c r="D2885" s="35"/>
      <c r="E2885" s="36"/>
      <c r="F2885" s="30" t="s">
        <v>416</v>
      </c>
      <c r="G2885" s="33" t="str">
        <f>IF(ISNUMBER(F2885),E2885*F2885,"")</f>
        <v/>
      </c>
      <c r="H2885" s="34"/>
      <c r="I2885" s="30"/>
      <c r="J2885" s="152">
        <v>0</v>
      </c>
    </row>
    <row r="2886" spans="1:10" ht="15.75" hidden="1" thickBot="1" x14ac:dyDescent="0.3">
      <c r="A2886" s="170" t="s">
        <v>704</v>
      </c>
      <c r="B2886" s="173" t="str">
        <f>INDEX(Orçamentária!A:B,MATCH(Composições!A2886,Orçamentária!A:A,0),2)</f>
        <v>Puxador em aço inox sob medida – Tipo A</v>
      </c>
      <c r="C2886" s="40"/>
      <c r="D2886" s="25" t="s">
        <v>16</v>
      </c>
      <c r="E2886" s="26"/>
      <c r="F2886" s="41" t="s">
        <v>416</v>
      </c>
      <c r="G2886" s="27" t="str">
        <f>IF(ISNUMBER(F2886),E2886*F2886,"")</f>
        <v/>
      </c>
      <c r="H2886" s="28"/>
      <c r="I2886" s="29"/>
      <c r="J2886" s="152">
        <v>0</v>
      </c>
    </row>
    <row r="2887" spans="1:10" ht="15.75" hidden="1" thickBot="1" x14ac:dyDescent="0.3">
      <c r="A2887" s="176"/>
      <c r="B2887" s="174"/>
      <c r="C2887" s="31"/>
      <c r="D2887" s="31"/>
      <c r="E2887" s="32"/>
      <c r="F2887" s="42" t="s">
        <v>416</v>
      </c>
      <c r="G2887" s="33" t="str">
        <f>IF(ISNUMBER(F2887),E2887*F2887,"")</f>
        <v/>
      </c>
      <c r="H2887" s="34"/>
      <c r="I2887" s="30"/>
      <c r="J2887" s="152">
        <v>0</v>
      </c>
    </row>
    <row r="2888" spans="1:10" ht="15.75" hidden="1" thickBot="1" x14ac:dyDescent="0.3">
      <c r="A2888" s="176"/>
      <c r="B2888" s="174"/>
      <c r="C2888" s="35" t="s">
        <v>2909</v>
      </c>
      <c r="D2888" s="35" t="s">
        <v>583</v>
      </c>
      <c r="E2888" s="36">
        <v>0.4</v>
      </c>
      <c r="F2888" s="33">
        <v>25.060999999999996</v>
      </c>
      <c r="G2888" s="33">
        <f>IF(ISNUMBER(F2888),E2888*F2888,"")</f>
        <v>10.0244</v>
      </c>
      <c r="H2888" s="38">
        <f>SUM(G2888:G2889)</f>
        <v>10.0244</v>
      </c>
      <c r="I2888" s="39"/>
      <c r="J2888" s="152">
        <v>0</v>
      </c>
    </row>
    <row r="2889" spans="1:10" ht="15.75" hidden="1" thickBot="1" x14ac:dyDescent="0.3">
      <c r="A2889" s="176"/>
      <c r="B2889" s="174"/>
      <c r="C2889" s="35" t="s">
        <v>705</v>
      </c>
      <c r="D2889" s="46" t="s">
        <v>16</v>
      </c>
      <c r="E2889" s="36">
        <v>1</v>
      </c>
      <c r="F2889" s="30" t="s">
        <v>416</v>
      </c>
      <c r="G2889" s="33" t="str">
        <f>IF(ISNUMBER(F2889),E2889*F2889,"")</f>
        <v/>
      </c>
      <c r="H2889" s="34"/>
      <c r="I2889" s="30"/>
      <c r="J2889" s="152">
        <v>0</v>
      </c>
    </row>
    <row r="2890" spans="1:10" ht="15.75" hidden="1" thickBot="1" x14ac:dyDescent="0.3">
      <c r="A2890" s="177"/>
      <c r="B2890" s="175"/>
      <c r="C2890" s="35"/>
      <c r="D2890" s="35"/>
      <c r="E2890" s="36"/>
      <c r="F2890" s="30" t="s">
        <v>416</v>
      </c>
      <c r="G2890" s="33" t="str">
        <f>IF(ISNUMBER(F2890),E2890*F2890,"")</f>
        <v/>
      </c>
      <c r="H2890" s="34"/>
      <c r="I2890" s="30"/>
      <c r="J2890" s="152">
        <v>0</v>
      </c>
    </row>
    <row r="2891" spans="1:10" ht="15.75" hidden="1" thickBot="1" x14ac:dyDescent="0.3">
      <c r="A2891" s="170" t="s">
        <v>706</v>
      </c>
      <c r="B2891" s="173" t="str">
        <f>INDEX(Orçamentária!A:B,MATCH(Composições!A2891,Orçamentária!A:A,0),2)</f>
        <v>Dobradiça superior para porta de vidro temperado</v>
      </c>
      <c r="C2891" s="40"/>
      <c r="D2891" s="25" t="s">
        <v>16</v>
      </c>
      <c r="E2891" s="26"/>
      <c r="F2891" s="41" t="s">
        <v>416</v>
      </c>
      <c r="G2891" s="27" t="str">
        <f>IF(ISNUMBER(F2891),E2891*F2891,"")</f>
        <v/>
      </c>
      <c r="H2891" s="28"/>
      <c r="I2891" s="29"/>
      <c r="J2891" s="152">
        <v>0</v>
      </c>
    </row>
    <row r="2892" spans="1:10" ht="15.75" hidden="1" thickBot="1" x14ac:dyDescent="0.3">
      <c r="A2892" s="176"/>
      <c r="B2892" s="174"/>
      <c r="C2892" s="31"/>
      <c r="D2892" s="31"/>
      <c r="E2892" s="32"/>
      <c r="F2892" s="42" t="s">
        <v>416</v>
      </c>
      <c r="G2892" s="33" t="str">
        <f>IF(ISNUMBER(F2892),E2892*F2892,"")</f>
        <v/>
      </c>
      <c r="H2892" s="34"/>
      <c r="I2892" s="30"/>
      <c r="J2892" s="152">
        <v>0</v>
      </c>
    </row>
    <row r="2893" spans="1:10" ht="15.75" hidden="1" thickBot="1" x14ac:dyDescent="0.3">
      <c r="A2893" s="176"/>
      <c r="B2893" s="174"/>
      <c r="C2893" s="35" t="s">
        <v>2909</v>
      </c>
      <c r="D2893" s="35" t="s">
        <v>583</v>
      </c>
      <c r="E2893" s="36">
        <v>0.3</v>
      </c>
      <c r="F2893" s="33">
        <v>25.060999999999996</v>
      </c>
      <c r="G2893" s="33">
        <f>IF(ISNUMBER(F2893),E2893*F2893,"")</f>
        <v>7.5182999999999982</v>
      </c>
      <c r="H2893" s="38">
        <f>SUM(G2893:G2894)</f>
        <v>7.5182999999999982</v>
      </c>
      <c r="I2893" s="39"/>
      <c r="J2893" s="152">
        <v>0</v>
      </c>
    </row>
    <row r="2894" spans="1:10" ht="26.25" hidden="1" thickBot="1" x14ac:dyDescent="0.3">
      <c r="A2894" s="176"/>
      <c r="B2894" s="174"/>
      <c r="C2894" s="35" t="s">
        <v>707</v>
      </c>
      <c r="D2894" s="46" t="s">
        <v>16</v>
      </c>
      <c r="E2894" s="36">
        <v>1</v>
      </c>
      <c r="F2894" s="30">
        <v>0</v>
      </c>
      <c r="G2894" s="33">
        <f>IF(ISNUMBER(F2894),E2894*F2894,"")</f>
        <v>0</v>
      </c>
      <c r="H2894" s="34"/>
      <c r="I2894" s="30"/>
      <c r="J2894" s="152">
        <v>0</v>
      </c>
    </row>
    <row r="2895" spans="1:10" ht="15.75" hidden="1" thickBot="1" x14ac:dyDescent="0.3">
      <c r="A2895" s="177"/>
      <c r="B2895" s="175"/>
      <c r="C2895" s="35"/>
      <c r="D2895" s="35"/>
      <c r="E2895" s="36"/>
      <c r="F2895" s="30" t="s">
        <v>416</v>
      </c>
      <c r="G2895" s="33" t="str">
        <f>IF(ISNUMBER(F2895),E2895*F2895,"")</f>
        <v/>
      </c>
      <c r="H2895" s="34"/>
      <c r="I2895" s="30"/>
      <c r="J2895" s="152">
        <v>0</v>
      </c>
    </row>
    <row r="2896" spans="1:10" ht="15.75" hidden="1" thickBot="1" x14ac:dyDescent="0.3">
      <c r="A2896" s="170" t="s">
        <v>708</v>
      </c>
      <c r="B2896" s="173" t="str">
        <f>INDEX(Orçamentária!A:B,MATCH(Composições!A2896,Orçamentária!A:A,0),2)</f>
        <v>Perfil em alumínio, tipo U - abas iguais - PU 5/8" x 5/8" – espessura 1,58 mm</v>
      </c>
      <c r="C2896" s="40"/>
      <c r="D2896" s="25" t="s">
        <v>69</v>
      </c>
      <c r="E2896" s="26"/>
      <c r="F2896" s="41" t="s">
        <v>416</v>
      </c>
      <c r="G2896" s="27" t="str">
        <f>IF(ISNUMBER(F2896),E2896*F2896,"")</f>
        <v/>
      </c>
      <c r="H2896" s="28"/>
      <c r="I2896" s="29"/>
      <c r="J2896" s="152">
        <v>0</v>
      </c>
    </row>
    <row r="2897" spans="1:10" ht="15.75" hidden="1" thickBot="1" x14ac:dyDescent="0.3">
      <c r="A2897" s="176"/>
      <c r="B2897" s="174"/>
      <c r="C2897" s="31"/>
      <c r="D2897" s="31"/>
      <c r="E2897" s="32"/>
      <c r="F2897" s="42" t="s">
        <v>416</v>
      </c>
      <c r="G2897" s="33" t="str">
        <f>IF(ISNUMBER(F2897),E2897*F2897,"")</f>
        <v/>
      </c>
      <c r="H2897" s="34"/>
      <c r="I2897" s="30"/>
      <c r="J2897" s="152">
        <v>0</v>
      </c>
    </row>
    <row r="2898" spans="1:10" ht="15.75" hidden="1" thickBot="1" x14ac:dyDescent="0.3">
      <c r="A2898" s="176"/>
      <c r="B2898" s="174"/>
      <c r="C2898" s="35" t="s">
        <v>2909</v>
      </c>
      <c r="D2898" s="35" t="s">
        <v>583</v>
      </c>
      <c r="E2898" s="36">
        <v>0.2</v>
      </c>
      <c r="F2898" s="33">
        <v>25.060999999999996</v>
      </c>
      <c r="G2898" s="33">
        <f>IF(ISNUMBER(F2898),E2898*F2898,"")</f>
        <v>5.0122</v>
      </c>
      <c r="H2898" s="38">
        <f>SUM(G2898:G2899)</f>
        <v>12.434359999999998</v>
      </c>
      <c r="I2898" s="39"/>
      <c r="J2898" s="152">
        <v>0</v>
      </c>
    </row>
    <row r="2899" spans="1:10" ht="15.75" hidden="1" thickBot="1" x14ac:dyDescent="0.3">
      <c r="A2899" s="176"/>
      <c r="B2899" s="174"/>
      <c r="C2899" s="35" t="s">
        <v>709</v>
      </c>
      <c r="D2899" s="35" t="s">
        <v>773</v>
      </c>
      <c r="E2899" s="36">
        <v>0.19</v>
      </c>
      <c r="F2899" s="30">
        <v>39.063999999999993</v>
      </c>
      <c r="G2899" s="33">
        <f>IF(ISNUMBER(F2899),E2899*F2899,"")</f>
        <v>7.422159999999999</v>
      </c>
      <c r="H2899" s="34"/>
      <c r="I2899" s="30"/>
      <c r="J2899" s="152">
        <v>0</v>
      </c>
    </row>
    <row r="2900" spans="1:10" ht="15.75" hidden="1" thickBot="1" x14ac:dyDescent="0.3">
      <c r="A2900" s="176"/>
      <c r="B2900" s="174"/>
      <c r="C2900" s="35"/>
      <c r="D2900" s="35"/>
      <c r="E2900" s="36"/>
      <c r="F2900" s="30" t="s">
        <v>416</v>
      </c>
      <c r="G2900" s="33" t="str">
        <f>IF(ISNUMBER(F2900),E2900*F2900,"")</f>
        <v/>
      </c>
      <c r="H2900" s="34"/>
      <c r="I2900" s="30"/>
      <c r="J2900" s="152">
        <v>0</v>
      </c>
    </row>
    <row r="2901" spans="1:10" ht="26.25" hidden="1" thickBot="1" x14ac:dyDescent="0.3">
      <c r="A2901" s="176"/>
      <c r="B2901" s="174"/>
      <c r="C2901" s="47" t="s">
        <v>710</v>
      </c>
      <c r="D2901" s="35"/>
      <c r="E2901" s="36"/>
      <c r="F2901" s="30" t="s">
        <v>416</v>
      </c>
      <c r="G2901" s="33" t="str">
        <f>IF(ISNUMBER(F2901),E2901*F2901,"")</f>
        <v/>
      </c>
      <c r="H2901" s="34"/>
      <c r="I2901" s="30"/>
      <c r="J2901" s="152">
        <v>0</v>
      </c>
    </row>
    <row r="2902" spans="1:10" ht="39" hidden="1" thickBot="1" x14ac:dyDescent="0.3">
      <c r="A2902" s="176"/>
      <c r="B2902" s="174"/>
      <c r="C2902" s="51" t="s">
        <v>711</v>
      </c>
      <c r="D2902" s="64"/>
      <c r="E2902" s="36"/>
      <c r="F2902" s="30" t="s">
        <v>416</v>
      </c>
      <c r="G2902" s="33" t="str">
        <f>IF(ISNUMBER(F2902),E2902*F2902,"")</f>
        <v/>
      </c>
      <c r="H2902" s="34"/>
      <c r="I2902" s="30"/>
      <c r="J2902" s="152">
        <v>0</v>
      </c>
    </row>
    <row r="2903" spans="1:10" ht="15.75" hidden="1" thickBot="1" x14ac:dyDescent="0.3">
      <c r="A2903" s="177"/>
      <c r="B2903" s="175"/>
      <c r="C2903" s="35"/>
      <c r="D2903" s="35"/>
      <c r="E2903" s="36"/>
      <c r="F2903" s="30" t="s">
        <v>416</v>
      </c>
      <c r="G2903" s="33" t="str">
        <f>IF(ISNUMBER(F2903),E2903*F2903,"")</f>
        <v/>
      </c>
      <c r="H2903" s="34"/>
      <c r="I2903" s="30"/>
      <c r="J2903" s="152">
        <v>0</v>
      </c>
    </row>
    <row r="2904" spans="1:10" ht="15.75" hidden="1" thickBot="1" x14ac:dyDescent="0.3">
      <c r="A2904" s="170" t="s">
        <v>712</v>
      </c>
      <c r="B2904" s="173" t="str">
        <f>INDEX(Orçamentária!A:B,MATCH(Composições!A2904,Orçamentária!A:A,0),2)</f>
        <v>Trilho superior em alumínio 60 mm x 49,5 mm, para vidro temperado</v>
      </c>
      <c r="C2904" s="40"/>
      <c r="D2904" s="25" t="s">
        <v>69</v>
      </c>
      <c r="E2904" s="26"/>
      <c r="F2904" s="41" t="s">
        <v>416</v>
      </c>
      <c r="G2904" s="27" t="str">
        <f>IF(ISNUMBER(F2904),E2904*F2904,"")</f>
        <v/>
      </c>
      <c r="H2904" s="28"/>
      <c r="I2904" s="29"/>
      <c r="J2904" s="152">
        <v>0</v>
      </c>
    </row>
    <row r="2905" spans="1:10" ht="15.75" hidden="1" thickBot="1" x14ac:dyDescent="0.3">
      <c r="A2905" s="171"/>
      <c r="B2905" s="174"/>
      <c r="C2905" s="31"/>
      <c r="D2905" s="31"/>
      <c r="E2905" s="32"/>
      <c r="F2905" s="42" t="s">
        <v>416</v>
      </c>
      <c r="G2905" s="33" t="str">
        <f>IF(ISNUMBER(F2905),E2905*F2905,"")</f>
        <v/>
      </c>
      <c r="H2905" s="34"/>
      <c r="I2905" s="30"/>
      <c r="J2905" s="152">
        <v>0</v>
      </c>
    </row>
    <row r="2906" spans="1:10" ht="15.75" hidden="1" thickBot="1" x14ac:dyDescent="0.3">
      <c r="A2906" s="171"/>
      <c r="B2906" s="174"/>
      <c r="C2906" s="35" t="s">
        <v>2909</v>
      </c>
      <c r="D2906" s="35" t="s">
        <v>583</v>
      </c>
      <c r="E2906" s="36">
        <v>0.3</v>
      </c>
      <c r="F2906" s="33">
        <v>25.060999999999996</v>
      </c>
      <c r="G2906" s="33">
        <f>IF(ISNUMBER(F2906),E2906*F2906,"")</f>
        <v>7.5182999999999982</v>
      </c>
      <c r="H2906" s="38">
        <f>SUM(G2906:G2907)</f>
        <v>37.714771999999996</v>
      </c>
      <c r="I2906" s="39"/>
      <c r="J2906" s="152">
        <v>0</v>
      </c>
    </row>
    <row r="2907" spans="1:10" ht="15.75" hidden="1" thickBot="1" x14ac:dyDescent="0.3">
      <c r="A2907" s="171"/>
      <c r="B2907" s="174"/>
      <c r="C2907" s="35" t="s">
        <v>709</v>
      </c>
      <c r="D2907" s="35" t="s">
        <v>773</v>
      </c>
      <c r="E2907" s="36">
        <v>0.77300000000000002</v>
      </c>
      <c r="F2907" s="30">
        <v>39.063999999999993</v>
      </c>
      <c r="G2907" s="33">
        <f>IF(ISNUMBER(F2907),E2907*F2907,"")</f>
        <v>30.196471999999996</v>
      </c>
      <c r="H2907" s="34"/>
      <c r="I2907" s="30"/>
      <c r="J2907" s="152">
        <v>0</v>
      </c>
    </row>
    <row r="2908" spans="1:10" ht="15.75" hidden="1" thickBot="1" x14ac:dyDescent="0.3">
      <c r="A2908" s="171"/>
      <c r="B2908" s="174"/>
      <c r="C2908" s="35"/>
      <c r="D2908" s="46"/>
      <c r="E2908" s="36"/>
      <c r="F2908" s="30" t="s">
        <v>416</v>
      </c>
      <c r="G2908" s="33" t="str">
        <f>IF(ISNUMBER(F2908),E2908*F2908,"")</f>
        <v/>
      </c>
      <c r="H2908" s="34"/>
      <c r="I2908" s="30"/>
      <c r="J2908" s="152">
        <v>0</v>
      </c>
    </row>
    <row r="2909" spans="1:10" ht="26.25" hidden="1" thickBot="1" x14ac:dyDescent="0.3">
      <c r="A2909" s="171"/>
      <c r="B2909" s="174"/>
      <c r="C2909" s="47" t="s">
        <v>713</v>
      </c>
      <c r="D2909" s="46"/>
      <c r="E2909" s="36"/>
      <c r="F2909" s="30" t="s">
        <v>416</v>
      </c>
      <c r="G2909" s="33" t="str">
        <f>IF(ISNUMBER(F2909),E2909*F2909,"")</f>
        <v/>
      </c>
      <c r="H2909" s="34"/>
      <c r="I2909" s="30"/>
      <c r="J2909" s="152">
        <v>0</v>
      </c>
    </row>
    <row r="2910" spans="1:10" ht="26.25" hidden="1" thickBot="1" x14ac:dyDescent="0.3">
      <c r="A2910" s="171"/>
      <c r="B2910" s="174"/>
      <c r="C2910" s="51" t="s">
        <v>714</v>
      </c>
      <c r="D2910" s="46"/>
      <c r="E2910" s="36"/>
      <c r="F2910" s="30" t="s">
        <v>416</v>
      </c>
      <c r="G2910" s="33" t="str">
        <f>IF(ISNUMBER(F2910),E2910*F2910,"")</f>
        <v/>
      </c>
      <c r="H2910" s="34"/>
      <c r="I2910" s="30"/>
      <c r="J2910" s="152">
        <v>0</v>
      </c>
    </row>
    <row r="2911" spans="1:10" ht="15.75" hidden="1" thickBot="1" x14ac:dyDescent="0.3">
      <c r="A2911" s="172"/>
      <c r="B2911" s="175"/>
      <c r="C2911" s="35"/>
      <c r="D2911" s="35"/>
      <c r="E2911" s="36"/>
      <c r="F2911" s="30" t="s">
        <v>416</v>
      </c>
      <c r="G2911" s="33" t="str">
        <f>IF(ISNUMBER(F2911),E2911*F2911,"")</f>
        <v/>
      </c>
      <c r="H2911" s="34"/>
      <c r="I2911" s="30"/>
      <c r="J2911" s="152">
        <v>0</v>
      </c>
    </row>
    <row r="2912" spans="1:10" ht="15.75" hidden="1" thickBot="1" x14ac:dyDescent="0.3">
      <c r="A2912" s="170" t="s">
        <v>715</v>
      </c>
      <c r="B2912" s="173" t="str">
        <f>INDEX(Orçamentária!A:B,MATCH(Composições!A2912,Orçamentária!A:A,0),2)</f>
        <v>Perfil em alumínio para acabamento de trilho superior</v>
      </c>
      <c r="C2912" s="40"/>
      <c r="D2912" s="25" t="s">
        <v>69</v>
      </c>
      <c r="E2912" s="26"/>
      <c r="F2912" s="41" t="s">
        <v>416</v>
      </c>
      <c r="G2912" s="27" t="str">
        <f>IF(ISNUMBER(F2912),E2912*F2912,"")</f>
        <v/>
      </c>
      <c r="H2912" s="28"/>
      <c r="I2912" s="29"/>
      <c r="J2912" s="152">
        <v>0</v>
      </c>
    </row>
    <row r="2913" spans="1:10" ht="15.75" hidden="1" thickBot="1" x14ac:dyDescent="0.3">
      <c r="A2913" s="171"/>
      <c r="B2913" s="174"/>
      <c r="C2913" s="31"/>
      <c r="D2913" s="31"/>
      <c r="E2913" s="32"/>
      <c r="F2913" s="42" t="s">
        <v>416</v>
      </c>
      <c r="G2913" s="33" t="str">
        <f>IF(ISNUMBER(F2913),E2913*F2913,"")</f>
        <v/>
      </c>
      <c r="H2913" s="34"/>
      <c r="I2913" s="30"/>
      <c r="J2913" s="152">
        <v>0</v>
      </c>
    </row>
    <row r="2914" spans="1:10" ht="15.75" hidden="1" thickBot="1" x14ac:dyDescent="0.3">
      <c r="A2914" s="171"/>
      <c r="B2914" s="174"/>
      <c r="C2914" s="35" t="s">
        <v>2909</v>
      </c>
      <c r="D2914" s="35" t="s">
        <v>583</v>
      </c>
      <c r="E2914" s="36">
        <v>0.2</v>
      </c>
      <c r="F2914" s="33">
        <v>25.060999999999996</v>
      </c>
      <c r="G2914" s="33">
        <f>IF(ISNUMBER(F2914),E2914*F2914,"")</f>
        <v>5.0122</v>
      </c>
      <c r="H2914" s="38">
        <f>SUM(G2914:G2915)</f>
        <v>15.989184</v>
      </c>
      <c r="I2914" s="39"/>
      <c r="J2914" s="152">
        <v>0</v>
      </c>
    </row>
    <row r="2915" spans="1:10" ht="15.75" hidden="1" thickBot="1" x14ac:dyDescent="0.3">
      <c r="A2915" s="171"/>
      <c r="B2915" s="174"/>
      <c r="C2915" s="35" t="s">
        <v>709</v>
      </c>
      <c r="D2915" s="35" t="s">
        <v>773</v>
      </c>
      <c r="E2915" s="36">
        <v>0.28100000000000003</v>
      </c>
      <c r="F2915" s="30">
        <v>39.063999999999993</v>
      </c>
      <c r="G2915" s="33">
        <f>IF(ISNUMBER(F2915),E2915*F2915,"")</f>
        <v>10.976984</v>
      </c>
      <c r="H2915" s="34"/>
      <c r="I2915" s="30"/>
      <c r="J2915" s="152">
        <v>0</v>
      </c>
    </row>
    <row r="2916" spans="1:10" ht="15.75" hidden="1" thickBot="1" x14ac:dyDescent="0.3">
      <c r="A2916" s="171"/>
      <c r="B2916" s="174"/>
      <c r="C2916" s="35"/>
      <c r="D2916" s="46"/>
      <c r="E2916" s="36"/>
      <c r="F2916" s="30" t="s">
        <v>416</v>
      </c>
      <c r="G2916" s="33" t="str">
        <f>IF(ISNUMBER(F2916),E2916*F2916,"")</f>
        <v/>
      </c>
      <c r="H2916" s="34"/>
      <c r="I2916" s="30"/>
      <c r="J2916" s="152">
        <v>0</v>
      </c>
    </row>
    <row r="2917" spans="1:10" ht="26.25" hidden="1" thickBot="1" x14ac:dyDescent="0.3">
      <c r="A2917" s="171"/>
      <c r="B2917" s="174"/>
      <c r="C2917" s="47" t="s">
        <v>716</v>
      </c>
      <c r="D2917" s="46"/>
      <c r="E2917" s="36"/>
      <c r="F2917" s="30" t="s">
        <v>416</v>
      </c>
      <c r="G2917" s="33" t="str">
        <f>IF(ISNUMBER(F2917),E2917*F2917,"")</f>
        <v/>
      </c>
      <c r="H2917" s="34"/>
      <c r="I2917" s="30"/>
      <c r="J2917" s="152">
        <v>0</v>
      </c>
    </row>
    <row r="2918" spans="1:10" ht="26.25" hidden="1" thickBot="1" x14ac:dyDescent="0.3">
      <c r="A2918" s="171"/>
      <c r="B2918" s="174"/>
      <c r="C2918" s="51" t="s">
        <v>714</v>
      </c>
      <c r="D2918" s="46"/>
      <c r="E2918" s="36"/>
      <c r="F2918" s="30" t="s">
        <v>416</v>
      </c>
      <c r="G2918" s="33" t="str">
        <f>IF(ISNUMBER(F2918),E2918*F2918,"")</f>
        <v/>
      </c>
      <c r="H2918" s="34"/>
      <c r="I2918" s="30"/>
      <c r="J2918" s="152">
        <v>0</v>
      </c>
    </row>
    <row r="2919" spans="1:10" ht="15.75" hidden="1" thickBot="1" x14ac:dyDescent="0.3">
      <c r="A2919" s="172"/>
      <c r="B2919" s="175"/>
      <c r="C2919" s="35"/>
      <c r="D2919" s="35"/>
      <c r="E2919" s="36"/>
      <c r="F2919" s="30" t="s">
        <v>416</v>
      </c>
      <c r="G2919" s="33" t="str">
        <f>IF(ISNUMBER(F2919),E2919*F2919,"")</f>
        <v/>
      </c>
      <c r="H2919" s="34"/>
      <c r="I2919" s="30"/>
      <c r="J2919" s="152">
        <v>0</v>
      </c>
    </row>
    <row r="2920" spans="1:10" ht="15.75" hidden="1" thickBot="1" x14ac:dyDescent="0.3">
      <c r="A2920" s="170" t="s">
        <v>717</v>
      </c>
      <c r="B2920" s="173" t="str">
        <f>INDEX(Orçamentária!A:B,MATCH(Composições!A2920,Orçamentária!A:A,0),2)</f>
        <v>Perfil guia inferior de alumínio 39,3 mm x 24 mm para vidro temperado 10 mm</v>
      </c>
      <c r="C2920" s="40"/>
      <c r="D2920" s="25" t="s">
        <v>69</v>
      </c>
      <c r="E2920" s="26"/>
      <c r="F2920" s="41" t="s">
        <v>416</v>
      </c>
      <c r="G2920" s="27" t="str">
        <f>IF(ISNUMBER(F2920),E2920*F2920,"")</f>
        <v/>
      </c>
      <c r="H2920" s="28"/>
      <c r="I2920" s="29"/>
      <c r="J2920" s="152">
        <v>0</v>
      </c>
    </row>
    <row r="2921" spans="1:10" ht="15.75" hidden="1" thickBot="1" x14ac:dyDescent="0.3">
      <c r="A2921" s="171"/>
      <c r="B2921" s="174"/>
      <c r="C2921" s="31"/>
      <c r="D2921" s="31"/>
      <c r="E2921" s="32"/>
      <c r="F2921" s="42" t="s">
        <v>416</v>
      </c>
      <c r="G2921" s="33" t="str">
        <f>IF(ISNUMBER(F2921),E2921*F2921,"")</f>
        <v/>
      </c>
      <c r="H2921" s="34"/>
      <c r="I2921" s="30"/>
      <c r="J2921" s="152">
        <v>0</v>
      </c>
    </row>
    <row r="2922" spans="1:10" ht="15.75" hidden="1" thickBot="1" x14ac:dyDescent="0.3">
      <c r="A2922" s="171"/>
      <c r="B2922" s="174"/>
      <c r="C2922" s="35" t="s">
        <v>2909</v>
      </c>
      <c r="D2922" s="35" t="s">
        <v>583</v>
      </c>
      <c r="E2922" s="36">
        <v>0.3</v>
      </c>
      <c r="F2922" s="33">
        <v>25.060999999999996</v>
      </c>
      <c r="G2922" s="33">
        <f>IF(ISNUMBER(F2922),E2922*F2922,"")</f>
        <v>7.5182999999999982</v>
      </c>
      <c r="H2922" s="38">
        <f>SUM(G2922:G2923)</f>
        <v>25.136163999999994</v>
      </c>
      <c r="I2922" s="39"/>
      <c r="J2922" s="152">
        <v>0</v>
      </c>
    </row>
    <row r="2923" spans="1:10" ht="15.75" hidden="1" thickBot="1" x14ac:dyDescent="0.3">
      <c r="A2923" s="171"/>
      <c r="B2923" s="174"/>
      <c r="C2923" s="35" t="s">
        <v>709</v>
      </c>
      <c r="D2923" s="35" t="s">
        <v>773</v>
      </c>
      <c r="E2923" s="36">
        <v>0.45100000000000001</v>
      </c>
      <c r="F2923" s="30">
        <v>39.063999999999993</v>
      </c>
      <c r="G2923" s="33">
        <f>IF(ISNUMBER(F2923),E2923*F2923,"")</f>
        <v>17.617863999999997</v>
      </c>
      <c r="H2923" s="34"/>
      <c r="I2923" s="30"/>
      <c r="J2923" s="152">
        <v>0</v>
      </c>
    </row>
    <row r="2924" spans="1:10" ht="15.75" hidden="1" thickBot="1" x14ac:dyDescent="0.3">
      <c r="A2924" s="171"/>
      <c r="B2924" s="174"/>
      <c r="C2924" s="35"/>
      <c r="D2924" s="46"/>
      <c r="E2924" s="36"/>
      <c r="F2924" s="30" t="s">
        <v>416</v>
      </c>
      <c r="G2924" s="33" t="str">
        <f>IF(ISNUMBER(F2924),E2924*F2924,"")</f>
        <v/>
      </c>
      <c r="H2924" s="34"/>
      <c r="I2924" s="30"/>
      <c r="J2924" s="152">
        <v>0</v>
      </c>
    </row>
    <row r="2925" spans="1:10" ht="26.25" hidden="1" thickBot="1" x14ac:dyDescent="0.3">
      <c r="A2925" s="171"/>
      <c r="B2925" s="174"/>
      <c r="C2925" s="47" t="s">
        <v>716</v>
      </c>
      <c r="D2925" s="46"/>
      <c r="E2925" s="36"/>
      <c r="F2925" s="30" t="s">
        <v>416</v>
      </c>
      <c r="G2925" s="33" t="str">
        <f>IF(ISNUMBER(F2925),E2925*F2925,"")</f>
        <v/>
      </c>
      <c r="H2925" s="34"/>
      <c r="I2925" s="30"/>
      <c r="J2925" s="152">
        <v>0</v>
      </c>
    </row>
    <row r="2926" spans="1:10" ht="26.25" hidden="1" thickBot="1" x14ac:dyDescent="0.3">
      <c r="A2926" s="171"/>
      <c r="B2926" s="174"/>
      <c r="C2926" s="51" t="s">
        <v>714</v>
      </c>
      <c r="D2926" s="46"/>
      <c r="E2926" s="36"/>
      <c r="F2926" s="30" t="s">
        <v>416</v>
      </c>
      <c r="G2926" s="33" t="str">
        <f>IF(ISNUMBER(F2926),E2926*F2926,"")</f>
        <v/>
      </c>
      <c r="H2926" s="34"/>
      <c r="I2926" s="30"/>
      <c r="J2926" s="152">
        <v>0</v>
      </c>
    </row>
    <row r="2927" spans="1:10" ht="15.75" hidden="1" thickBot="1" x14ac:dyDescent="0.3">
      <c r="A2927" s="172"/>
      <c r="B2927" s="175"/>
      <c r="C2927" s="35"/>
      <c r="D2927" s="35"/>
      <c r="E2927" s="36"/>
      <c r="F2927" s="30" t="s">
        <v>416</v>
      </c>
      <c r="G2927" s="33" t="str">
        <f>IF(ISNUMBER(F2927),E2927*F2927,"")</f>
        <v/>
      </c>
      <c r="H2927" s="34"/>
      <c r="I2927" s="30"/>
      <c r="J2927" s="152">
        <v>0</v>
      </c>
    </row>
    <row r="2928" spans="1:10" ht="15.75" hidden="1" thickBot="1" x14ac:dyDescent="0.3">
      <c r="A2928" s="170" t="s">
        <v>718</v>
      </c>
      <c r="B2928" s="173" t="str">
        <f>INDEX(Orçamentária!A:B,MATCH(Composições!A2928,Orçamentária!A:A,0),2)</f>
        <v>Capa do Perfil Guia Inferior “Click”</v>
      </c>
      <c r="C2928" s="40"/>
      <c r="D2928" s="25" t="s">
        <v>69</v>
      </c>
      <c r="E2928" s="26"/>
      <c r="F2928" s="41" t="s">
        <v>416</v>
      </c>
      <c r="G2928" s="27" t="str">
        <f>IF(ISNUMBER(F2928),E2928*F2928,"")</f>
        <v/>
      </c>
      <c r="H2928" s="28"/>
      <c r="I2928" s="29"/>
      <c r="J2928" s="152">
        <v>0</v>
      </c>
    </row>
    <row r="2929" spans="1:10" ht="15.75" hidden="1" thickBot="1" x14ac:dyDescent="0.3">
      <c r="A2929" s="171"/>
      <c r="B2929" s="174"/>
      <c r="C2929" s="31"/>
      <c r="D2929" s="31"/>
      <c r="E2929" s="32"/>
      <c r="F2929" s="42" t="s">
        <v>416</v>
      </c>
      <c r="G2929" s="33" t="str">
        <f>IF(ISNUMBER(F2929),E2929*F2929,"")</f>
        <v/>
      </c>
      <c r="H2929" s="34"/>
      <c r="I2929" s="30"/>
      <c r="J2929" s="152">
        <v>0</v>
      </c>
    </row>
    <row r="2930" spans="1:10" ht="15.75" hidden="1" thickBot="1" x14ac:dyDescent="0.3">
      <c r="A2930" s="171"/>
      <c r="B2930" s="174"/>
      <c r="C2930" s="35" t="s">
        <v>2909</v>
      </c>
      <c r="D2930" s="35" t="s">
        <v>583</v>
      </c>
      <c r="E2930" s="36">
        <v>0.15</v>
      </c>
      <c r="F2930" s="33">
        <v>25.060999999999996</v>
      </c>
      <c r="G2930" s="33">
        <f>IF(ISNUMBER(F2930),E2930*F2930,"")</f>
        <v>3.7591499999999991</v>
      </c>
      <c r="H2930" s="38">
        <f>SUM(G2930:G2931)</f>
        <v>8.0561899999999973</v>
      </c>
      <c r="I2930" s="39"/>
      <c r="J2930" s="152">
        <v>0</v>
      </c>
    </row>
    <row r="2931" spans="1:10" ht="15.75" hidden="1" thickBot="1" x14ac:dyDescent="0.3">
      <c r="A2931" s="171"/>
      <c r="B2931" s="174"/>
      <c r="C2931" s="35" t="s">
        <v>709</v>
      </c>
      <c r="D2931" s="35" t="s">
        <v>773</v>
      </c>
      <c r="E2931" s="36">
        <v>0.11</v>
      </c>
      <c r="F2931" s="30">
        <v>39.063999999999993</v>
      </c>
      <c r="G2931" s="33">
        <f>IF(ISNUMBER(F2931),E2931*F2931,"")</f>
        <v>4.2970399999999991</v>
      </c>
      <c r="H2931" s="34"/>
      <c r="I2931" s="30"/>
      <c r="J2931" s="152">
        <v>0</v>
      </c>
    </row>
    <row r="2932" spans="1:10" ht="15.75" hidden="1" thickBot="1" x14ac:dyDescent="0.3">
      <c r="A2932" s="171"/>
      <c r="B2932" s="174"/>
      <c r="C2932" s="35"/>
      <c r="D2932" s="46"/>
      <c r="E2932" s="36"/>
      <c r="F2932" s="30" t="s">
        <v>416</v>
      </c>
      <c r="G2932" s="33" t="str">
        <f>IF(ISNUMBER(F2932),E2932*F2932,"")</f>
        <v/>
      </c>
      <c r="H2932" s="34"/>
      <c r="I2932" s="30"/>
      <c r="J2932" s="152">
        <v>0</v>
      </c>
    </row>
    <row r="2933" spans="1:10" ht="26.25" hidden="1" thickBot="1" x14ac:dyDescent="0.3">
      <c r="A2933" s="171"/>
      <c r="B2933" s="174"/>
      <c r="C2933" s="47" t="s">
        <v>719</v>
      </c>
      <c r="D2933" s="46"/>
      <c r="E2933" s="36"/>
      <c r="F2933" s="30" t="s">
        <v>416</v>
      </c>
      <c r="G2933" s="33" t="str">
        <f>IF(ISNUMBER(F2933),E2933*F2933,"")</f>
        <v/>
      </c>
      <c r="H2933" s="34"/>
      <c r="I2933" s="30"/>
      <c r="J2933" s="152">
        <v>0</v>
      </c>
    </row>
    <row r="2934" spans="1:10" ht="26.25" hidden="1" thickBot="1" x14ac:dyDescent="0.3">
      <c r="A2934" s="171"/>
      <c r="B2934" s="174"/>
      <c r="C2934" s="51" t="s">
        <v>714</v>
      </c>
      <c r="D2934" s="46"/>
      <c r="E2934" s="36"/>
      <c r="F2934" s="30" t="s">
        <v>416</v>
      </c>
      <c r="G2934" s="33" t="str">
        <f>IF(ISNUMBER(F2934),E2934*F2934,"")</f>
        <v/>
      </c>
      <c r="H2934" s="34"/>
      <c r="I2934" s="30"/>
      <c r="J2934" s="152">
        <v>0</v>
      </c>
    </row>
    <row r="2935" spans="1:10" ht="15.75" hidden="1" thickBot="1" x14ac:dyDescent="0.3">
      <c r="A2935" s="172"/>
      <c r="B2935" s="175"/>
      <c r="C2935" s="35"/>
      <c r="D2935" s="35"/>
      <c r="E2935" s="36"/>
      <c r="F2935" s="30" t="s">
        <v>416</v>
      </c>
      <c r="G2935" s="33" t="str">
        <f>IF(ISNUMBER(F2935),E2935*F2935,"")</f>
        <v/>
      </c>
      <c r="H2935" s="34"/>
      <c r="I2935" s="30"/>
      <c r="J2935" s="152">
        <v>0</v>
      </c>
    </row>
    <row r="2936" spans="1:10" ht="15.75" hidden="1" thickBot="1" x14ac:dyDescent="0.3">
      <c r="A2936" s="170" t="s">
        <v>720</v>
      </c>
      <c r="B2936" s="173" t="str">
        <f>INDEX(Orçamentária!A:B,MATCH(Composições!A2936,Orçamentária!A:A,0),2)</f>
        <v>Dobradiça inferior para porta de vidro temperado</v>
      </c>
      <c r="C2936" s="40"/>
      <c r="D2936" s="25" t="s">
        <v>16</v>
      </c>
      <c r="E2936" s="26"/>
      <c r="F2936" s="41" t="s">
        <v>416</v>
      </c>
      <c r="G2936" s="27" t="str">
        <f>IF(ISNUMBER(F2936),E2936*F2936,"")</f>
        <v/>
      </c>
      <c r="H2936" s="28"/>
      <c r="I2936" s="29"/>
      <c r="J2936" s="152">
        <v>0</v>
      </c>
    </row>
    <row r="2937" spans="1:10" ht="15.75" hidden="1" thickBot="1" x14ac:dyDescent="0.3">
      <c r="A2937" s="176"/>
      <c r="B2937" s="174"/>
      <c r="C2937" s="31"/>
      <c r="D2937" s="31"/>
      <c r="E2937" s="32"/>
      <c r="F2937" s="42" t="s">
        <v>416</v>
      </c>
      <c r="G2937" s="33" t="str">
        <f>IF(ISNUMBER(F2937),E2937*F2937,"")</f>
        <v/>
      </c>
      <c r="H2937" s="34"/>
      <c r="I2937" s="30"/>
      <c r="J2937" s="152">
        <v>0</v>
      </c>
    </row>
    <row r="2938" spans="1:10" ht="15.75" hidden="1" thickBot="1" x14ac:dyDescent="0.3">
      <c r="A2938" s="176"/>
      <c r="B2938" s="174"/>
      <c r="C2938" s="35" t="s">
        <v>2909</v>
      </c>
      <c r="D2938" s="35" t="s">
        <v>583</v>
      </c>
      <c r="E2938" s="36">
        <v>0.3</v>
      </c>
      <c r="F2938" s="33">
        <v>25.060999999999996</v>
      </c>
      <c r="G2938" s="33">
        <f>IF(ISNUMBER(F2938),E2938*F2938,"")</f>
        <v>7.5182999999999982</v>
      </c>
      <c r="H2938" s="38">
        <f>SUM(G2938:G2939)</f>
        <v>7.5182999999999982</v>
      </c>
      <c r="I2938" s="39"/>
      <c r="J2938" s="152">
        <v>0</v>
      </c>
    </row>
    <row r="2939" spans="1:10" ht="26.25" hidden="1" thickBot="1" x14ac:dyDescent="0.3">
      <c r="A2939" s="176"/>
      <c r="B2939" s="174"/>
      <c r="C2939" s="35" t="s">
        <v>721</v>
      </c>
      <c r="D2939" s="35" t="s">
        <v>16</v>
      </c>
      <c r="E2939" s="36">
        <v>1</v>
      </c>
      <c r="F2939" s="30">
        <v>0</v>
      </c>
      <c r="G2939" s="33">
        <f>IF(ISNUMBER(F2939),E2939*F2939,"")</f>
        <v>0</v>
      </c>
      <c r="H2939" s="34"/>
      <c r="I2939" s="30"/>
      <c r="J2939" s="152">
        <v>0</v>
      </c>
    </row>
    <row r="2940" spans="1:10" ht="15.75" hidden="1" thickBot="1" x14ac:dyDescent="0.3">
      <c r="A2940" s="177"/>
      <c r="B2940" s="175"/>
      <c r="C2940" s="35"/>
      <c r="D2940" s="35"/>
      <c r="E2940" s="36"/>
      <c r="F2940" s="30" t="s">
        <v>416</v>
      </c>
      <c r="G2940" s="33" t="str">
        <f>IF(ISNUMBER(F2940),E2940*F2940,"")</f>
        <v/>
      </c>
      <c r="H2940" s="34"/>
      <c r="I2940" s="30"/>
      <c r="J2940" s="152">
        <v>0</v>
      </c>
    </row>
    <row r="2941" spans="1:10" ht="15.75" hidden="1" thickBot="1" x14ac:dyDescent="0.3">
      <c r="A2941" s="170" t="s">
        <v>722</v>
      </c>
      <c r="B2941" s="173" t="str">
        <f>INDEX(Orçamentária!A:B,MATCH(Composições!A2941,Orçamentária!A:A,0),2)</f>
        <v>Escova de vedação para vidro temperado</v>
      </c>
      <c r="C2941" s="40"/>
      <c r="D2941" s="25" t="s">
        <v>69</v>
      </c>
      <c r="E2941" s="26"/>
      <c r="F2941" s="41" t="s">
        <v>416</v>
      </c>
      <c r="G2941" s="27" t="str">
        <f>IF(ISNUMBER(F2941),E2941*F2941,"")</f>
        <v/>
      </c>
      <c r="H2941" s="28"/>
      <c r="I2941" s="29"/>
      <c r="J2941" s="152">
        <v>0</v>
      </c>
    </row>
    <row r="2942" spans="1:10" ht="15.75" hidden="1" thickBot="1" x14ac:dyDescent="0.3">
      <c r="A2942" s="176"/>
      <c r="B2942" s="174"/>
      <c r="C2942" s="31"/>
      <c r="D2942" s="31"/>
      <c r="E2942" s="32"/>
      <c r="F2942" s="42" t="s">
        <v>416</v>
      </c>
      <c r="G2942" s="33" t="str">
        <f>IF(ISNUMBER(F2942),E2942*F2942,"")</f>
        <v/>
      </c>
      <c r="H2942" s="34"/>
      <c r="I2942" s="30"/>
      <c r="J2942" s="152">
        <v>0</v>
      </c>
    </row>
    <row r="2943" spans="1:10" ht="15.75" hidden="1" thickBot="1" x14ac:dyDescent="0.3">
      <c r="A2943" s="176"/>
      <c r="B2943" s="174"/>
      <c r="C2943" s="35" t="s">
        <v>2909</v>
      </c>
      <c r="D2943" s="35" t="s">
        <v>583</v>
      </c>
      <c r="E2943" s="36">
        <v>0.3</v>
      </c>
      <c r="F2943" s="33">
        <v>25.060999999999996</v>
      </c>
      <c r="G2943" s="33">
        <f>IF(ISNUMBER(F2943),E2943*F2943,"")</f>
        <v>7.5182999999999982</v>
      </c>
      <c r="H2943" s="38">
        <f>SUM(G2943:G2944)</f>
        <v>7.5182999999999982</v>
      </c>
      <c r="I2943" s="39"/>
      <c r="J2943" s="152">
        <v>0</v>
      </c>
    </row>
    <row r="2944" spans="1:10" ht="51.75" hidden="1" thickBot="1" x14ac:dyDescent="0.3">
      <c r="A2944" s="176"/>
      <c r="B2944" s="174"/>
      <c r="C2944" s="35" t="s">
        <v>723</v>
      </c>
      <c r="D2944" s="35" t="s">
        <v>16</v>
      </c>
      <c r="E2944" s="36">
        <v>1</v>
      </c>
      <c r="F2944" s="30" t="s">
        <v>416</v>
      </c>
      <c r="G2944" s="33" t="str">
        <f>IF(ISNUMBER(F2944),E2944*F2944,"")</f>
        <v/>
      </c>
      <c r="H2944" s="34"/>
      <c r="I2944" s="30"/>
      <c r="J2944" s="152">
        <v>0</v>
      </c>
    </row>
    <row r="2945" spans="1:10" ht="15.75" hidden="1" thickBot="1" x14ac:dyDescent="0.3">
      <c r="A2945" s="177"/>
      <c r="B2945" s="175"/>
      <c r="C2945" s="35"/>
      <c r="D2945" s="35"/>
      <c r="E2945" s="36"/>
      <c r="F2945" s="30" t="s">
        <v>416</v>
      </c>
      <c r="G2945" s="33" t="str">
        <f>IF(ISNUMBER(F2945),E2945*F2945,"")</f>
        <v/>
      </c>
      <c r="H2945" s="34"/>
      <c r="I2945" s="30"/>
      <c r="J2945" s="152">
        <v>0</v>
      </c>
    </row>
    <row r="2946" spans="1:10" ht="15.75" hidden="1" thickBot="1" x14ac:dyDescent="0.3">
      <c r="A2946" s="170" t="s">
        <v>724</v>
      </c>
      <c r="B2946" s="173" t="str">
        <f>INDEX(Orçamentária!A:B,MATCH(Composições!A2946,Orçamentária!A:A,0),2)</f>
        <v>Roldana simples para porta de correr em vidro temperado</v>
      </c>
      <c r="C2946" s="40"/>
      <c r="D2946" s="25" t="s">
        <v>16</v>
      </c>
      <c r="E2946" s="26"/>
      <c r="F2946" s="41" t="s">
        <v>416</v>
      </c>
      <c r="G2946" s="27" t="str">
        <f>IF(ISNUMBER(F2946),E2946*F2946,"")</f>
        <v/>
      </c>
      <c r="H2946" s="28"/>
      <c r="I2946" s="29"/>
      <c r="J2946" s="152">
        <v>0</v>
      </c>
    </row>
    <row r="2947" spans="1:10" ht="15.75" hidden="1" thickBot="1" x14ac:dyDescent="0.3">
      <c r="A2947" s="176"/>
      <c r="B2947" s="174"/>
      <c r="C2947" s="31"/>
      <c r="D2947" s="31"/>
      <c r="E2947" s="32"/>
      <c r="F2947" s="42" t="s">
        <v>416</v>
      </c>
      <c r="G2947" s="33" t="str">
        <f>IF(ISNUMBER(F2947),E2947*F2947,"")</f>
        <v/>
      </c>
      <c r="H2947" s="34"/>
      <c r="I2947" s="30"/>
      <c r="J2947" s="152">
        <v>0</v>
      </c>
    </row>
    <row r="2948" spans="1:10" ht="15.75" hidden="1" thickBot="1" x14ac:dyDescent="0.3">
      <c r="A2948" s="176"/>
      <c r="B2948" s="174"/>
      <c r="C2948" s="35" t="s">
        <v>2909</v>
      </c>
      <c r="D2948" s="35" t="s">
        <v>583</v>
      </c>
      <c r="E2948" s="36">
        <v>0.15</v>
      </c>
      <c r="F2948" s="33">
        <v>25.060999999999996</v>
      </c>
      <c r="G2948" s="33">
        <f>IF(ISNUMBER(F2948),E2948*F2948,"")</f>
        <v>3.7591499999999991</v>
      </c>
      <c r="H2948" s="38">
        <f>SUM(G2948:G2949)</f>
        <v>3.7591499999999991</v>
      </c>
      <c r="I2948" s="39"/>
      <c r="J2948" s="152">
        <v>0</v>
      </c>
    </row>
    <row r="2949" spans="1:10" ht="26.25" hidden="1" thickBot="1" x14ac:dyDescent="0.3">
      <c r="A2949" s="176"/>
      <c r="B2949" s="174"/>
      <c r="C2949" s="35" t="s">
        <v>725</v>
      </c>
      <c r="D2949" s="35" t="s">
        <v>16</v>
      </c>
      <c r="E2949" s="36">
        <v>1</v>
      </c>
      <c r="F2949" s="30" t="s">
        <v>416</v>
      </c>
      <c r="G2949" s="33" t="str">
        <f>IF(ISNUMBER(F2949),E2949*F2949,"")</f>
        <v/>
      </c>
      <c r="H2949" s="34"/>
      <c r="I2949" s="30"/>
      <c r="J2949" s="152">
        <v>0</v>
      </c>
    </row>
    <row r="2950" spans="1:10" ht="15.75" hidden="1" thickBot="1" x14ac:dyDescent="0.3">
      <c r="A2950" s="177"/>
      <c r="B2950" s="175"/>
      <c r="C2950" s="35"/>
      <c r="D2950" s="35"/>
      <c r="E2950" s="36"/>
      <c r="F2950" s="30" t="s">
        <v>416</v>
      </c>
      <c r="G2950" s="33" t="str">
        <f>IF(ISNUMBER(F2950),E2950*F2950,"")</f>
        <v/>
      </c>
      <c r="H2950" s="34"/>
      <c r="I2950" s="30"/>
      <c r="J2950" s="152">
        <v>0</v>
      </c>
    </row>
    <row r="2951" spans="1:10" ht="15.75" hidden="1" thickBot="1" x14ac:dyDescent="0.3">
      <c r="A2951" s="170" t="s">
        <v>726</v>
      </c>
      <c r="B2951" s="173" t="str">
        <f>INDEX(Orçamentária!A:B,MATCH(Composições!A2951,Orçamentária!A:A,0),2)</f>
        <v>Roldana dupla para porta de correr em vidro temperado</v>
      </c>
      <c r="C2951" s="40"/>
      <c r="D2951" s="25" t="s">
        <v>16</v>
      </c>
      <c r="E2951" s="26"/>
      <c r="F2951" s="41" t="s">
        <v>416</v>
      </c>
      <c r="G2951" s="27" t="str">
        <f>IF(ISNUMBER(F2951),E2951*F2951,"")</f>
        <v/>
      </c>
      <c r="H2951" s="28"/>
      <c r="I2951" s="29"/>
      <c r="J2951" s="152">
        <v>0</v>
      </c>
    </row>
    <row r="2952" spans="1:10" ht="15.75" hidden="1" thickBot="1" x14ac:dyDescent="0.3">
      <c r="A2952" s="176"/>
      <c r="B2952" s="174"/>
      <c r="C2952" s="31"/>
      <c r="D2952" s="31"/>
      <c r="E2952" s="32"/>
      <c r="F2952" s="42" t="s">
        <v>416</v>
      </c>
      <c r="G2952" s="33" t="str">
        <f>IF(ISNUMBER(F2952),E2952*F2952,"")</f>
        <v/>
      </c>
      <c r="H2952" s="34"/>
      <c r="I2952" s="30"/>
      <c r="J2952" s="152">
        <v>0</v>
      </c>
    </row>
    <row r="2953" spans="1:10" ht="15.75" hidden="1" thickBot="1" x14ac:dyDescent="0.3">
      <c r="A2953" s="176"/>
      <c r="B2953" s="174"/>
      <c r="C2953" s="35" t="s">
        <v>2909</v>
      </c>
      <c r="D2953" s="35" t="s">
        <v>583</v>
      </c>
      <c r="E2953" s="36">
        <v>0.15</v>
      </c>
      <c r="F2953" s="33">
        <v>25.060999999999996</v>
      </c>
      <c r="G2953" s="33">
        <f>IF(ISNUMBER(F2953),E2953*F2953,"")</f>
        <v>3.7591499999999991</v>
      </c>
      <c r="H2953" s="38">
        <f>SUM(G2953:G2954)</f>
        <v>3.7591499999999991</v>
      </c>
      <c r="I2953" s="39"/>
      <c r="J2953" s="152">
        <v>0</v>
      </c>
    </row>
    <row r="2954" spans="1:10" ht="26.25" hidden="1" thickBot="1" x14ac:dyDescent="0.3">
      <c r="A2954" s="176"/>
      <c r="B2954" s="174"/>
      <c r="C2954" s="35" t="s">
        <v>727</v>
      </c>
      <c r="D2954" s="35" t="s">
        <v>16</v>
      </c>
      <c r="E2954" s="36">
        <v>1</v>
      </c>
      <c r="F2954" s="30" t="s">
        <v>416</v>
      </c>
      <c r="G2954" s="33" t="str">
        <f>IF(ISNUMBER(F2954),E2954*F2954,"")</f>
        <v/>
      </c>
      <c r="H2954" s="34"/>
      <c r="I2954" s="30"/>
      <c r="J2954" s="152">
        <v>0</v>
      </c>
    </row>
    <row r="2955" spans="1:10" ht="15.75" hidden="1" thickBot="1" x14ac:dyDescent="0.3">
      <c r="A2955" s="177"/>
      <c r="B2955" s="175"/>
      <c r="C2955" s="35"/>
      <c r="D2955" s="35"/>
      <c r="E2955" s="36"/>
      <c r="F2955" s="30" t="s">
        <v>416</v>
      </c>
      <c r="G2955" s="33" t="str">
        <f>IF(ISNUMBER(F2955),E2955*F2955,"")</f>
        <v/>
      </c>
      <c r="H2955" s="34"/>
      <c r="I2955" s="30"/>
      <c r="J2955" s="152">
        <v>0</v>
      </c>
    </row>
    <row r="2956" spans="1:10" ht="15.75" hidden="1" thickBot="1" x14ac:dyDescent="0.3">
      <c r="A2956" s="170" t="s">
        <v>728</v>
      </c>
      <c r="B2956" s="173" t="str">
        <f>INDEX(Orçamentária!A:B,MATCH(Composições!A2956,Orçamentária!A:A,0),2)</f>
        <v>Capuchinho para trinco para vidro temperado</v>
      </c>
      <c r="C2956" s="40"/>
      <c r="D2956" s="25" t="s">
        <v>16</v>
      </c>
      <c r="E2956" s="26"/>
      <c r="F2956" s="41" t="s">
        <v>416</v>
      </c>
      <c r="G2956" s="27" t="str">
        <f>IF(ISNUMBER(F2956),E2956*F2956,"")</f>
        <v/>
      </c>
      <c r="H2956" s="28"/>
      <c r="I2956" s="29"/>
      <c r="J2956" s="152">
        <v>0</v>
      </c>
    </row>
    <row r="2957" spans="1:10" ht="15.75" hidden="1" thickBot="1" x14ac:dyDescent="0.3">
      <c r="A2957" s="176"/>
      <c r="B2957" s="174"/>
      <c r="C2957" s="31"/>
      <c r="D2957" s="31"/>
      <c r="E2957" s="32"/>
      <c r="F2957" s="42" t="s">
        <v>416</v>
      </c>
      <c r="G2957" s="33" t="str">
        <f>IF(ISNUMBER(F2957),E2957*F2957,"")</f>
        <v/>
      </c>
      <c r="H2957" s="34"/>
      <c r="I2957" s="30"/>
      <c r="J2957" s="152">
        <v>0</v>
      </c>
    </row>
    <row r="2958" spans="1:10" ht="15.75" hidden="1" thickBot="1" x14ac:dyDescent="0.3">
      <c r="A2958" s="176"/>
      <c r="B2958" s="174"/>
      <c r="C2958" s="35" t="s">
        <v>2909</v>
      </c>
      <c r="D2958" s="35" t="s">
        <v>583</v>
      </c>
      <c r="E2958" s="36">
        <v>0.1</v>
      </c>
      <c r="F2958" s="33">
        <v>25.060999999999996</v>
      </c>
      <c r="G2958" s="33">
        <f>IF(ISNUMBER(F2958),E2958*F2958,"")</f>
        <v>2.5061</v>
      </c>
      <c r="H2958" s="38">
        <f>SUM(G2958:G2959)</f>
        <v>2.5061</v>
      </c>
      <c r="I2958" s="39"/>
      <c r="J2958" s="152">
        <v>0</v>
      </c>
    </row>
    <row r="2959" spans="1:10" ht="39" hidden="1" thickBot="1" x14ac:dyDescent="0.3">
      <c r="A2959" s="176"/>
      <c r="B2959" s="174"/>
      <c r="C2959" s="35" t="s">
        <v>729</v>
      </c>
      <c r="D2959" s="35" t="s">
        <v>16</v>
      </c>
      <c r="E2959" s="36">
        <v>1</v>
      </c>
      <c r="F2959" s="30">
        <v>0</v>
      </c>
      <c r="G2959" s="33">
        <f>IF(ISNUMBER(F2959),E2959*F2959,"")</f>
        <v>0</v>
      </c>
      <c r="H2959" s="34"/>
      <c r="I2959" s="30"/>
      <c r="J2959" s="152">
        <v>0</v>
      </c>
    </row>
    <row r="2960" spans="1:10" ht="15.75" hidden="1" thickBot="1" x14ac:dyDescent="0.3">
      <c r="A2960" s="177"/>
      <c r="B2960" s="175"/>
      <c r="C2960" s="35"/>
      <c r="D2960" s="35"/>
      <c r="E2960" s="36"/>
      <c r="F2960" s="30" t="s">
        <v>416</v>
      </c>
      <c r="G2960" s="33" t="str">
        <f>IF(ISNUMBER(F2960),E2960*F2960,"")</f>
        <v/>
      </c>
      <c r="H2960" s="34"/>
      <c r="I2960" s="30"/>
      <c r="J2960" s="152">
        <v>0</v>
      </c>
    </row>
    <row r="2961" spans="1:10" ht="15.75" hidden="1" thickBot="1" x14ac:dyDescent="0.3">
      <c r="A2961" s="170" t="s">
        <v>730</v>
      </c>
      <c r="B2961" s="173" t="str">
        <f>INDEX(Orçamentária!A:B,MATCH(Composições!A2961,Orçamentária!A:A,0),2)</f>
        <v>Facão simples para lateral e bandeira de vidro temperado</v>
      </c>
      <c r="C2961" s="40"/>
      <c r="D2961" s="25" t="s">
        <v>16</v>
      </c>
      <c r="E2961" s="26"/>
      <c r="F2961" s="41" t="s">
        <v>416</v>
      </c>
      <c r="G2961" s="27" t="str">
        <f>IF(ISNUMBER(F2961),E2961*F2961,"")</f>
        <v/>
      </c>
      <c r="H2961" s="28"/>
      <c r="I2961" s="29"/>
      <c r="J2961" s="152">
        <v>0</v>
      </c>
    </row>
    <row r="2962" spans="1:10" ht="15.75" hidden="1" thickBot="1" x14ac:dyDescent="0.3">
      <c r="A2962" s="176"/>
      <c r="B2962" s="174"/>
      <c r="C2962" s="31"/>
      <c r="D2962" s="31"/>
      <c r="E2962" s="32"/>
      <c r="F2962" s="42" t="s">
        <v>416</v>
      </c>
      <c r="G2962" s="33" t="str">
        <f>IF(ISNUMBER(F2962),E2962*F2962,"")</f>
        <v/>
      </c>
      <c r="H2962" s="34"/>
      <c r="I2962" s="30"/>
      <c r="J2962" s="152">
        <v>0</v>
      </c>
    </row>
    <row r="2963" spans="1:10" ht="15.75" hidden="1" thickBot="1" x14ac:dyDescent="0.3">
      <c r="A2963" s="176"/>
      <c r="B2963" s="174"/>
      <c r="C2963" s="35" t="s">
        <v>2909</v>
      </c>
      <c r="D2963" s="35" t="s">
        <v>583</v>
      </c>
      <c r="E2963" s="36">
        <v>0.4</v>
      </c>
      <c r="F2963" s="33">
        <v>25.060999999999996</v>
      </c>
      <c r="G2963" s="33">
        <f>IF(ISNUMBER(F2963),E2963*F2963,"")</f>
        <v>10.0244</v>
      </c>
      <c r="H2963" s="38">
        <f>SUM(G2963:G2964)</f>
        <v>10.0244</v>
      </c>
      <c r="I2963" s="39"/>
      <c r="J2963" s="152">
        <v>0</v>
      </c>
    </row>
    <row r="2964" spans="1:10" ht="39" hidden="1" thickBot="1" x14ac:dyDescent="0.3">
      <c r="A2964" s="176"/>
      <c r="B2964" s="174"/>
      <c r="C2964" s="35" t="s">
        <v>731</v>
      </c>
      <c r="D2964" s="35" t="s">
        <v>16</v>
      </c>
      <c r="E2964" s="36">
        <v>1</v>
      </c>
      <c r="F2964" s="30">
        <v>0</v>
      </c>
      <c r="G2964" s="33">
        <f>IF(ISNUMBER(F2964),E2964*F2964,"")</f>
        <v>0</v>
      </c>
      <c r="H2964" s="34"/>
      <c r="I2964" s="30"/>
      <c r="J2964" s="152">
        <v>0</v>
      </c>
    </row>
    <row r="2965" spans="1:10" ht="15.75" hidden="1" thickBot="1" x14ac:dyDescent="0.3">
      <c r="A2965" s="177"/>
      <c r="B2965" s="175"/>
      <c r="C2965" s="35"/>
      <c r="D2965" s="35"/>
      <c r="E2965" s="36"/>
      <c r="F2965" s="30" t="s">
        <v>416</v>
      </c>
      <c r="G2965" s="33" t="str">
        <f>IF(ISNUMBER(F2965),E2965*F2965,"")</f>
        <v/>
      </c>
      <c r="H2965" s="34"/>
      <c r="I2965" s="30"/>
      <c r="J2965" s="152">
        <v>0</v>
      </c>
    </row>
    <row r="2966" spans="1:10" ht="15.75" hidden="1" thickBot="1" x14ac:dyDescent="0.3">
      <c r="A2966" s="170" t="s">
        <v>732</v>
      </c>
      <c r="B2966" s="173" t="str">
        <f>INDEX(Orçamentária!A:B,MATCH(Composições!A2966,Orçamentária!A:A,0),2)</f>
        <v>Fechadura de pressão para porta de abrir em vidro temperado</v>
      </c>
      <c r="C2966" s="40"/>
      <c r="D2966" s="25" t="s">
        <v>16</v>
      </c>
      <c r="E2966" s="26"/>
      <c r="F2966" s="41" t="s">
        <v>416</v>
      </c>
      <c r="G2966" s="27" t="str">
        <f>IF(ISNUMBER(F2966),E2966*F2966,"")</f>
        <v/>
      </c>
      <c r="H2966" s="28"/>
      <c r="I2966" s="29"/>
      <c r="J2966" s="152">
        <v>0</v>
      </c>
    </row>
    <row r="2967" spans="1:10" ht="15.75" hidden="1" thickBot="1" x14ac:dyDescent="0.3">
      <c r="A2967" s="176"/>
      <c r="B2967" s="174"/>
      <c r="C2967" s="31"/>
      <c r="D2967" s="31"/>
      <c r="E2967" s="32"/>
      <c r="F2967" s="42" t="s">
        <v>416</v>
      </c>
      <c r="G2967" s="33" t="str">
        <f>IF(ISNUMBER(F2967),E2967*F2967,"")</f>
        <v/>
      </c>
      <c r="H2967" s="34"/>
      <c r="I2967" s="30"/>
      <c r="J2967" s="152">
        <v>0</v>
      </c>
    </row>
    <row r="2968" spans="1:10" ht="15.75" hidden="1" thickBot="1" x14ac:dyDescent="0.3">
      <c r="A2968" s="176"/>
      <c r="B2968" s="174"/>
      <c r="C2968" s="35" t="s">
        <v>2909</v>
      </c>
      <c r="D2968" s="35" t="s">
        <v>583</v>
      </c>
      <c r="E2968" s="36">
        <v>0.4</v>
      </c>
      <c r="F2968" s="33">
        <v>25.060999999999996</v>
      </c>
      <c r="G2968" s="33">
        <f>IF(ISNUMBER(F2968),E2968*F2968,"")</f>
        <v>10.0244</v>
      </c>
      <c r="H2968" s="38">
        <f>SUM(G2968:G2969)</f>
        <v>10.0244</v>
      </c>
      <c r="I2968" s="39"/>
      <c r="J2968" s="152">
        <v>0</v>
      </c>
    </row>
    <row r="2969" spans="1:10" ht="39" hidden="1" thickBot="1" x14ac:dyDescent="0.3">
      <c r="A2969" s="176"/>
      <c r="B2969" s="174"/>
      <c r="C2969" s="35" t="s">
        <v>733</v>
      </c>
      <c r="D2969" s="35" t="s">
        <v>16</v>
      </c>
      <c r="E2969" s="36">
        <v>1</v>
      </c>
      <c r="F2969" s="30" t="s">
        <v>416</v>
      </c>
      <c r="G2969" s="33" t="str">
        <f>IF(ISNUMBER(F2969),E2969*F2969,"")</f>
        <v/>
      </c>
      <c r="H2969" s="34"/>
      <c r="I2969" s="30"/>
      <c r="J2969" s="152">
        <v>0</v>
      </c>
    </row>
    <row r="2970" spans="1:10" ht="15.75" hidden="1" thickBot="1" x14ac:dyDescent="0.3">
      <c r="A2970" s="177"/>
      <c r="B2970" s="175"/>
      <c r="C2970" s="35"/>
      <c r="D2970" s="35"/>
      <c r="E2970" s="36"/>
      <c r="F2970" s="30" t="s">
        <v>416</v>
      </c>
      <c r="G2970" s="33" t="str">
        <f>IF(ISNUMBER(F2970),E2970*F2970,"")</f>
        <v/>
      </c>
      <c r="H2970" s="34"/>
      <c r="I2970" s="30"/>
      <c r="J2970" s="152">
        <v>0</v>
      </c>
    </row>
    <row r="2971" spans="1:10" ht="15.75" hidden="1" thickBot="1" x14ac:dyDescent="0.3">
      <c r="A2971" s="170" t="s">
        <v>734</v>
      </c>
      <c r="B2971" s="173" t="str">
        <f>INDEX(Orçamentária!A:B,MATCH(Composições!A2971,Orçamentária!A:A,0),2)</f>
        <v>Suporte de união, com miolo, para vidro temperado</v>
      </c>
      <c r="C2971" s="40"/>
      <c r="D2971" s="25" t="s">
        <v>16</v>
      </c>
      <c r="E2971" s="26"/>
      <c r="F2971" s="41" t="s">
        <v>416</v>
      </c>
      <c r="G2971" s="27" t="str">
        <f>IF(ISNUMBER(F2971),E2971*F2971,"")</f>
        <v/>
      </c>
      <c r="H2971" s="28"/>
      <c r="I2971" s="29"/>
      <c r="J2971" s="152">
        <v>0</v>
      </c>
    </row>
    <row r="2972" spans="1:10" ht="15.75" hidden="1" thickBot="1" x14ac:dyDescent="0.3">
      <c r="A2972" s="176"/>
      <c r="B2972" s="174"/>
      <c r="C2972" s="31"/>
      <c r="D2972" s="31"/>
      <c r="E2972" s="32"/>
      <c r="F2972" s="42" t="s">
        <v>416</v>
      </c>
      <c r="G2972" s="33" t="str">
        <f>IF(ISNUMBER(F2972),E2972*F2972,"")</f>
        <v/>
      </c>
      <c r="H2972" s="34"/>
      <c r="I2972" s="30"/>
      <c r="J2972" s="152">
        <v>0</v>
      </c>
    </row>
    <row r="2973" spans="1:10" ht="15.75" hidden="1" thickBot="1" x14ac:dyDescent="0.3">
      <c r="A2973" s="176"/>
      <c r="B2973" s="174"/>
      <c r="C2973" s="35" t="s">
        <v>2909</v>
      </c>
      <c r="D2973" s="35" t="s">
        <v>583</v>
      </c>
      <c r="E2973" s="36">
        <v>0.3</v>
      </c>
      <c r="F2973" s="33">
        <v>25.060999999999996</v>
      </c>
      <c r="G2973" s="33">
        <f>IF(ISNUMBER(F2973),E2973*F2973,"")</f>
        <v>7.5182999999999982</v>
      </c>
      <c r="H2973" s="38">
        <f>SUM(G2973:G2974)</f>
        <v>7.5182999999999982</v>
      </c>
      <c r="I2973" s="39"/>
      <c r="J2973" s="152">
        <v>0</v>
      </c>
    </row>
    <row r="2974" spans="1:10" ht="26.25" hidden="1" thickBot="1" x14ac:dyDescent="0.3">
      <c r="A2974" s="176"/>
      <c r="B2974" s="174"/>
      <c r="C2974" s="35" t="s">
        <v>735</v>
      </c>
      <c r="D2974" s="35" t="s">
        <v>16</v>
      </c>
      <c r="E2974" s="36">
        <v>1</v>
      </c>
      <c r="F2974" s="30">
        <v>0</v>
      </c>
      <c r="G2974" s="33">
        <f>IF(ISNUMBER(F2974),E2974*F2974,"")</f>
        <v>0</v>
      </c>
      <c r="H2974" s="34"/>
      <c r="I2974" s="30"/>
      <c r="J2974" s="152">
        <v>0</v>
      </c>
    </row>
    <row r="2975" spans="1:10" ht="15.75" hidden="1" thickBot="1" x14ac:dyDescent="0.3">
      <c r="A2975" s="177"/>
      <c r="B2975" s="175"/>
      <c r="C2975" s="35"/>
      <c r="D2975" s="35"/>
      <c r="E2975" s="36"/>
      <c r="F2975" s="30" t="s">
        <v>416</v>
      </c>
      <c r="G2975" s="33" t="str">
        <f>IF(ISNUMBER(F2975),E2975*F2975,"")</f>
        <v/>
      </c>
      <c r="H2975" s="34"/>
      <c r="I2975" s="30"/>
      <c r="J2975" s="152">
        <v>0</v>
      </c>
    </row>
    <row r="2976" spans="1:10" ht="15.75" hidden="1" thickBot="1" x14ac:dyDescent="0.3">
      <c r="A2976" s="170" t="s">
        <v>736</v>
      </c>
      <c r="B2976" s="173" t="str">
        <f>INDEX(Orçamentária!A:B,MATCH(Composições!A2976,Orçamentária!A:A,0),2)</f>
        <v>Suporte para basculante e pivotante de vidro temperado</v>
      </c>
      <c r="C2976" s="40"/>
      <c r="D2976" s="25" t="s">
        <v>16</v>
      </c>
      <c r="E2976" s="26"/>
      <c r="F2976" s="41" t="s">
        <v>416</v>
      </c>
      <c r="G2976" s="27" t="str">
        <f>IF(ISNUMBER(F2976),E2976*F2976,"")</f>
        <v/>
      </c>
      <c r="H2976" s="28"/>
      <c r="I2976" s="29"/>
      <c r="J2976" s="152">
        <v>0</v>
      </c>
    </row>
    <row r="2977" spans="1:10" ht="15.75" hidden="1" thickBot="1" x14ac:dyDescent="0.3">
      <c r="A2977" s="176"/>
      <c r="B2977" s="174"/>
      <c r="C2977" s="31"/>
      <c r="D2977" s="31"/>
      <c r="E2977" s="32"/>
      <c r="F2977" s="42" t="s">
        <v>416</v>
      </c>
      <c r="G2977" s="33" t="str">
        <f>IF(ISNUMBER(F2977),E2977*F2977,"")</f>
        <v/>
      </c>
      <c r="H2977" s="34"/>
      <c r="I2977" s="30"/>
      <c r="J2977" s="152">
        <v>0</v>
      </c>
    </row>
    <row r="2978" spans="1:10" ht="15.75" hidden="1" thickBot="1" x14ac:dyDescent="0.3">
      <c r="A2978" s="176"/>
      <c r="B2978" s="174"/>
      <c r="C2978" s="35" t="s">
        <v>2909</v>
      </c>
      <c r="D2978" s="35" t="s">
        <v>583</v>
      </c>
      <c r="E2978" s="36">
        <v>0.2</v>
      </c>
      <c r="F2978" s="33">
        <v>25.060999999999996</v>
      </c>
      <c r="G2978" s="33">
        <f>IF(ISNUMBER(F2978),E2978*F2978,"")</f>
        <v>5.0122</v>
      </c>
      <c r="H2978" s="38">
        <f>SUM(G2978:G2979)</f>
        <v>5.0122</v>
      </c>
      <c r="I2978" s="39"/>
      <c r="J2978" s="152">
        <v>0</v>
      </c>
    </row>
    <row r="2979" spans="1:10" ht="26.25" hidden="1" thickBot="1" x14ac:dyDescent="0.3">
      <c r="A2979" s="176"/>
      <c r="B2979" s="174"/>
      <c r="C2979" s="35" t="s">
        <v>737</v>
      </c>
      <c r="D2979" s="35" t="s">
        <v>16</v>
      </c>
      <c r="E2979" s="36">
        <v>1</v>
      </c>
      <c r="F2979" s="30">
        <v>0</v>
      </c>
      <c r="G2979" s="33">
        <f>IF(ISNUMBER(F2979),E2979*F2979,"")</f>
        <v>0</v>
      </c>
      <c r="H2979" s="34"/>
      <c r="I2979" s="30"/>
      <c r="J2979" s="152">
        <v>0</v>
      </c>
    </row>
    <row r="2980" spans="1:10" ht="15.75" hidden="1" thickBot="1" x14ac:dyDescent="0.3">
      <c r="A2980" s="177"/>
      <c r="B2980" s="175"/>
      <c r="C2980" s="35"/>
      <c r="D2980" s="35"/>
      <c r="E2980" s="36"/>
      <c r="F2980" s="30" t="s">
        <v>416</v>
      </c>
      <c r="G2980" s="33" t="str">
        <f>IF(ISNUMBER(F2980),E2980*F2980,"")</f>
        <v/>
      </c>
      <c r="H2980" s="34"/>
      <c r="I2980" s="30"/>
      <c r="J2980" s="152">
        <v>0</v>
      </c>
    </row>
    <row r="2981" spans="1:10" ht="15.75" hidden="1" thickBot="1" x14ac:dyDescent="0.3">
      <c r="A2981" s="170" t="s">
        <v>738</v>
      </c>
      <c r="B2981" s="173" t="str">
        <f>INDEX(Orçamentária!A:B,MATCH(Composições!A2981,Orçamentária!A:A,0),2)</f>
        <v>Trinco central para basculante em vidro temperado</v>
      </c>
      <c r="C2981" s="40"/>
      <c r="D2981" s="25" t="s">
        <v>16</v>
      </c>
      <c r="E2981" s="26"/>
      <c r="F2981" s="41" t="s">
        <v>416</v>
      </c>
      <c r="G2981" s="27" t="str">
        <f>IF(ISNUMBER(F2981),E2981*F2981,"")</f>
        <v/>
      </c>
      <c r="H2981" s="28"/>
      <c r="I2981" s="29"/>
      <c r="J2981" s="152">
        <v>0</v>
      </c>
    </row>
    <row r="2982" spans="1:10" ht="15.75" hidden="1" thickBot="1" x14ac:dyDescent="0.3">
      <c r="A2982" s="176"/>
      <c r="B2982" s="174"/>
      <c r="C2982" s="31"/>
      <c r="D2982" s="31"/>
      <c r="E2982" s="32"/>
      <c r="F2982" s="42" t="s">
        <v>416</v>
      </c>
      <c r="G2982" s="33" t="str">
        <f>IF(ISNUMBER(F2982),E2982*F2982,"")</f>
        <v/>
      </c>
      <c r="H2982" s="34"/>
      <c r="I2982" s="30"/>
      <c r="J2982" s="152">
        <v>0</v>
      </c>
    </row>
    <row r="2983" spans="1:10" ht="15.75" hidden="1" thickBot="1" x14ac:dyDescent="0.3">
      <c r="A2983" s="176"/>
      <c r="B2983" s="174"/>
      <c r="C2983" s="35" t="s">
        <v>2909</v>
      </c>
      <c r="D2983" s="35" t="s">
        <v>583</v>
      </c>
      <c r="E2983" s="36">
        <v>0.2</v>
      </c>
      <c r="F2983" s="33">
        <v>25.060999999999996</v>
      </c>
      <c r="G2983" s="33">
        <f>IF(ISNUMBER(F2983),E2983*F2983,"")</f>
        <v>5.0122</v>
      </c>
      <c r="H2983" s="38">
        <f>SUM(G2983:G2984)</f>
        <v>5.0122</v>
      </c>
      <c r="I2983" s="39"/>
      <c r="J2983" s="152">
        <v>0</v>
      </c>
    </row>
    <row r="2984" spans="1:10" ht="26.25" hidden="1" thickBot="1" x14ac:dyDescent="0.3">
      <c r="A2984" s="176"/>
      <c r="B2984" s="174"/>
      <c r="C2984" s="35" t="s">
        <v>739</v>
      </c>
      <c r="D2984" s="46" t="s">
        <v>16</v>
      </c>
      <c r="E2984" s="36">
        <v>1</v>
      </c>
      <c r="F2984" s="30">
        <v>0</v>
      </c>
      <c r="G2984" s="33">
        <f>IF(ISNUMBER(F2984),E2984*F2984,"")</f>
        <v>0</v>
      </c>
      <c r="H2984" s="34"/>
      <c r="I2984" s="30"/>
      <c r="J2984" s="152">
        <v>0</v>
      </c>
    </row>
    <row r="2985" spans="1:10" ht="15.75" hidden="1" thickBot="1" x14ac:dyDescent="0.3">
      <c r="A2985" s="177"/>
      <c r="B2985" s="175"/>
      <c r="C2985" s="35"/>
      <c r="D2985" s="35"/>
      <c r="E2985" s="36"/>
      <c r="F2985" s="30" t="s">
        <v>416</v>
      </c>
      <c r="G2985" s="33" t="str">
        <f>IF(ISNUMBER(F2985),E2985*F2985,"")</f>
        <v/>
      </c>
      <c r="H2985" s="34"/>
      <c r="I2985" s="30"/>
      <c r="J2985" s="152">
        <v>0</v>
      </c>
    </row>
    <row r="2986" spans="1:10" ht="15.75" hidden="1" thickBot="1" x14ac:dyDescent="0.3">
      <c r="A2986" s="170" t="s">
        <v>740</v>
      </c>
      <c r="B2986" s="173" t="str">
        <f>INDEX(Orçamentária!A:B,MATCH(Composições!A2986,Orçamentária!A:A,0),2)</f>
        <v>Vidro laminado incolor de 8mm de espessura</v>
      </c>
      <c r="C2986" s="40"/>
      <c r="D2986" s="25" t="s">
        <v>70</v>
      </c>
      <c r="E2986" s="26"/>
      <c r="F2986" s="41" t="s">
        <v>416</v>
      </c>
      <c r="G2986" s="27" t="str">
        <f>IF(ISNUMBER(F2986),E2986*F2986,"")</f>
        <v/>
      </c>
      <c r="H2986" s="28"/>
      <c r="I2986" s="29"/>
      <c r="J2986" s="152">
        <v>0</v>
      </c>
    </row>
    <row r="2987" spans="1:10" ht="15.75" hidden="1" thickBot="1" x14ac:dyDescent="0.3">
      <c r="A2987" s="176"/>
      <c r="B2987" s="174"/>
      <c r="C2987" s="31"/>
      <c r="D2987" s="31"/>
      <c r="E2987" s="32"/>
      <c r="F2987" s="42" t="s">
        <v>416</v>
      </c>
      <c r="G2987" s="33" t="str">
        <f>IF(ISNUMBER(F2987),E2987*F2987,"")</f>
        <v/>
      </c>
      <c r="H2987" s="34"/>
      <c r="I2987" s="30"/>
      <c r="J2987" s="152">
        <v>0</v>
      </c>
    </row>
    <row r="2988" spans="1:10" ht="39" hidden="1" thickBot="1" x14ac:dyDescent="0.3">
      <c r="A2988" s="176"/>
      <c r="B2988" s="174"/>
      <c r="C2988" s="35" t="s">
        <v>8010</v>
      </c>
      <c r="D2988" s="35" t="s">
        <v>213</v>
      </c>
      <c r="E2988" s="36">
        <v>2.1960000000000002</v>
      </c>
      <c r="F2988" s="33">
        <v>0.3705</v>
      </c>
      <c r="G2988" s="33">
        <f>IF(ISNUMBER(F2988),E2988*F2988,"")</f>
        <v>0.81361800000000006</v>
      </c>
      <c r="H2988" s="38">
        <f>SUM(G2988:G2994)</f>
        <v>509.24296849999996</v>
      </c>
      <c r="I2988" s="39"/>
      <c r="J2988" s="152">
        <v>0</v>
      </c>
    </row>
    <row r="2989" spans="1:10" ht="26.25" hidden="1" thickBot="1" x14ac:dyDescent="0.3">
      <c r="A2989" s="176"/>
      <c r="B2989" s="174"/>
      <c r="C2989" s="35" t="s">
        <v>1039</v>
      </c>
      <c r="D2989" s="35" t="s">
        <v>385</v>
      </c>
      <c r="E2989" s="36">
        <v>3.4159999999999999</v>
      </c>
      <c r="F2989" s="33">
        <v>16.149999999999999</v>
      </c>
      <c r="G2989" s="33">
        <f>IF(ISNUMBER(F2989),E2989*F2989,"")</f>
        <v>55.168399999999991</v>
      </c>
      <c r="H2989" s="34"/>
      <c r="I2989" s="30"/>
      <c r="J2989" s="152">
        <v>0</v>
      </c>
    </row>
    <row r="2990" spans="1:10" ht="15.75" hidden="1" thickBot="1" x14ac:dyDescent="0.3">
      <c r="A2990" s="176"/>
      <c r="B2990" s="174"/>
      <c r="C2990" s="35" t="s">
        <v>709</v>
      </c>
      <c r="D2990" s="35" t="s">
        <v>773</v>
      </c>
      <c r="E2990" s="36">
        <v>0.96399999999999997</v>
      </c>
      <c r="F2990" s="30">
        <v>39.063999999999993</v>
      </c>
      <c r="G2990" s="33">
        <f>IF(ISNUMBER(F2990),E2990*F2990,"")</f>
        <v>37.657695999999994</v>
      </c>
      <c r="H2990" s="34"/>
      <c r="I2990" s="30"/>
      <c r="J2990" s="152">
        <v>0</v>
      </c>
    </row>
    <row r="2991" spans="1:10" ht="26.25" hidden="1" thickBot="1" x14ac:dyDescent="0.3">
      <c r="A2991" s="176"/>
      <c r="B2991" s="174"/>
      <c r="C2991" s="35" t="s">
        <v>1040</v>
      </c>
      <c r="D2991" s="35" t="s">
        <v>861</v>
      </c>
      <c r="E2991" s="36">
        <v>1</v>
      </c>
      <c r="F2991" s="30">
        <v>333.83</v>
      </c>
      <c r="G2991" s="33">
        <f>IF(ISNUMBER(F2991),E2991*F2991,"")</f>
        <v>333.83</v>
      </c>
      <c r="H2991" s="34"/>
      <c r="I2991" s="30"/>
      <c r="J2991" s="152">
        <v>0</v>
      </c>
    </row>
    <row r="2992" spans="1:10" ht="26.25" hidden="1" thickBot="1" x14ac:dyDescent="0.3">
      <c r="A2992" s="176"/>
      <c r="B2992" s="174"/>
      <c r="C2992" s="35" t="s">
        <v>8168</v>
      </c>
      <c r="D2992" s="35" t="s">
        <v>385</v>
      </c>
      <c r="E2992" s="36">
        <v>2.992</v>
      </c>
      <c r="F2992" s="30">
        <v>2.4319999999999999</v>
      </c>
      <c r="G2992" s="33">
        <f>IF(ISNUMBER(F2992),E2992*F2992,"")</f>
        <v>7.2765439999999995</v>
      </c>
      <c r="H2992" s="34"/>
      <c r="I2992" s="30"/>
      <c r="J2992" s="152">
        <v>0</v>
      </c>
    </row>
    <row r="2993" spans="1:10" ht="15.75" hidden="1" thickBot="1" x14ac:dyDescent="0.3">
      <c r="A2993" s="176"/>
      <c r="B2993" s="174"/>
      <c r="C2993" s="35" t="s">
        <v>584</v>
      </c>
      <c r="D2993" s="35" t="s">
        <v>583</v>
      </c>
      <c r="E2993" s="36">
        <v>1.619</v>
      </c>
      <c r="F2993" s="30">
        <v>20.225499999999997</v>
      </c>
      <c r="G2993" s="33">
        <f>IF(ISNUMBER(F2993),E2993*F2993,"")</f>
        <v>32.745084499999997</v>
      </c>
      <c r="H2993" s="34"/>
      <c r="I2993" s="30"/>
      <c r="J2993" s="152">
        <v>0</v>
      </c>
    </row>
    <row r="2994" spans="1:10" ht="15.75" hidden="1" thickBot="1" x14ac:dyDescent="0.3">
      <c r="A2994" s="176"/>
      <c r="B2994" s="174"/>
      <c r="C2994" s="35" t="s">
        <v>2909</v>
      </c>
      <c r="D2994" s="35" t="s">
        <v>583</v>
      </c>
      <c r="E2994" s="36">
        <v>1.6659999999999999</v>
      </c>
      <c r="F2994" s="30">
        <v>25.060999999999996</v>
      </c>
      <c r="G2994" s="33">
        <f>IF(ISNUMBER(F2994),E2994*F2994,"")</f>
        <v>41.751625999999995</v>
      </c>
      <c r="H2994" s="34"/>
      <c r="I2994" s="30"/>
      <c r="J2994" s="152">
        <v>0</v>
      </c>
    </row>
    <row r="2995" spans="1:10" ht="15.75" hidden="1" thickBot="1" x14ac:dyDescent="0.3">
      <c r="A2995" s="177"/>
      <c r="B2995" s="175"/>
      <c r="C2995" s="35"/>
      <c r="D2995" s="35"/>
      <c r="E2995" s="36"/>
      <c r="F2995" s="30" t="s">
        <v>416</v>
      </c>
      <c r="G2995" s="33" t="str">
        <f>IF(ISNUMBER(F2995),E2995*F2995,"")</f>
        <v/>
      </c>
      <c r="H2995" s="34"/>
      <c r="I2995" s="30"/>
      <c r="J2995" s="152">
        <v>0</v>
      </c>
    </row>
    <row r="2996" spans="1:10" ht="15.75" hidden="1" thickBot="1" x14ac:dyDescent="0.3">
      <c r="A2996" s="170" t="s">
        <v>742</v>
      </c>
      <c r="B2996" s="173" t="str">
        <f>INDEX(Orçamentária!A:B,MATCH(Composições!A2996,Orçamentária!A:A,0),2)</f>
        <v>Dobradiça automática vidro/alvenaria para box de vidro temperado</v>
      </c>
      <c r="C2996" s="40"/>
      <c r="D2996" s="25" t="s">
        <v>16</v>
      </c>
      <c r="E2996" s="26"/>
      <c r="F2996" s="41" t="s">
        <v>416</v>
      </c>
      <c r="G2996" s="27" t="str">
        <f>IF(ISNUMBER(F2996),E2996*F2996,"")</f>
        <v/>
      </c>
      <c r="H2996" s="28"/>
      <c r="I2996" s="29"/>
      <c r="J2996" s="152">
        <v>0</v>
      </c>
    </row>
    <row r="2997" spans="1:10" ht="15.75" hidden="1" thickBot="1" x14ac:dyDescent="0.3">
      <c r="A2997" s="176"/>
      <c r="B2997" s="174"/>
      <c r="C2997" s="31"/>
      <c r="D2997" s="31"/>
      <c r="E2997" s="32"/>
      <c r="F2997" s="42" t="s">
        <v>416</v>
      </c>
      <c r="G2997" s="33" t="str">
        <f>IF(ISNUMBER(F2997),E2997*F2997,"")</f>
        <v/>
      </c>
      <c r="H2997" s="34"/>
      <c r="I2997" s="30"/>
      <c r="J2997" s="152">
        <v>0</v>
      </c>
    </row>
    <row r="2998" spans="1:10" ht="15.75" hidden="1" thickBot="1" x14ac:dyDescent="0.3">
      <c r="A2998" s="176"/>
      <c r="B2998" s="174"/>
      <c r="C2998" s="35" t="s">
        <v>2909</v>
      </c>
      <c r="D2998" s="35" t="s">
        <v>583</v>
      </c>
      <c r="E2998" s="36">
        <v>0.2</v>
      </c>
      <c r="F2998" s="33">
        <v>25.060999999999996</v>
      </c>
      <c r="G2998" s="33">
        <f>IF(ISNUMBER(F2998),E2998*F2998,"")</f>
        <v>5.0122</v>
      </c>
      <c r="H2998" s="38">
        <f>SUM(G2998:G2999)</f>
        <v>5.0122</v>
      </c>
      <c r="I2998" s="39"/>
      <c r="J2998" s="152">
        <v>0</v>
      </c>
    </row>
    <row r="2999" spans="1:10" ht="26.25" hidden="1" thickBot="1" x14ac:dyDescent="0.3">
      <c r="A2999" s="176"/>
      <c r="B2999" s="174"/>
      <c r="C2999" s="35" t="s">
        <v>743</v>
      </c>
      <c r="D2999" s="35" t="s">
        <v>16</v>
      </c>
      <c r="E2999" s="36">
        <v>1</v>
      </c>
      <c r="F2999" s="30" t="s">
        <v>416</v>
      </c>
      <c r="G2999" s="33" t="str">
        <f>IF(ISNUMBER(F2999),E2999*F2999,"")</f>
        <v/>
      </c>
      <c r="H2999" s="34"/>
      <c r="I2999" s="30"/>
      <c r="J2999" s="152">
        <v>0</v>
      </c>
    </row>
    <row r="3000" spans="1:10" ht="15.75" hidden="1" thickBot="1" x14ac:dyDescent="0.3">
      <c r="A3000" s="177"/>
      <c r="B3000" s="175"/>
      <c r="C3000" s="35"/>
      <c r="D3000" s="35"/>
      <c r="E3000" s="36"/>
      <c r="F3000" s="30" t="s">
        <v>416</v>
      </c>
      <c r="G3000" s="33" t="str">
        <f>IF(ISNUMBER(F3000),E3000*F3000,"")</f>
        <v/>
      </c>
      <c r="H3000" s="34"/>
      <c r="I3000" s="30"/>
      <c r="J3000" s="152">
        <v>0</v>
      </c>
    </row>
    <row r="3001" spans="1:10" ht="15.75" hidden="1" thickBot="1" x14ac:dyDescent="0.3">
      <c r="A3001" s="170" t="s">
        <v>744</v>
      </c>
      <c r="B3001" s="173" t="str">
        <f>INDEX(Orçamentária!A:B,MATCH(Composições!A3001,Orçamentária!A:A,0),2)</f>
        <v>Dobradiça horizontal para vidro basculante com trinco</v>
      </c>
      <c r="C3001" s="40"/>
      <c r="D3001" s="25" t="s">
        <v>16</v>
      </c>
      <c r="E3001" s="26"/>
      <c r="F3001" s="41" t="s">
        <v>416</v>
      </c>
      <c r="G3001" s="27" t="str">
        <f>IF(ISNUMBER(F3001),E3001*F3001,"")</f>
        <v/>
      </c>
      <c r="H3001" s="28"/>
      <c r="I3001" s="29"/>
      <c r="J3001" s="152">
        <v>0</v>
      </c>
    </row>
    <row r="3002" spans="1:10" ht="15.75" hidden="1" thickBot="1" x14ac:dyDescent="0.3">
      <c r="A3002" s="176"/>
      <c r="B3002" s="174"/>
      <c r="C3002" s="31"/>
      <c r="D3002" s="31"/>
      <c r="E3002" s="32"/>
      <c r="F3002" s="42" t="s">
        <v>416</v>
      </c>
      <c r="G3002" s="33" t="str">
        <f>IF(ISNUMBER(F3002),E3002*F3002,"")</f>
        <v/>
      </c>
      <c r="H3002" s="34"/>
      <c r="I3002" s="30"/>
      <c r="J3002" s="152">
        <v>0</v>
      </c>
    </row>
    <row r="3003" spans="1:10" ht="15.75" hidden="1" thickBot="1" x14ac:dyDescent="0.3">
      <c r="A3003" s="176"/>
      <c r="B3003" s="174"/>
      <c r="C3003" s="35" t="s">
        <v>2909</v>
      </c>
      <c r="D3003" s="35" t="s">
        <v>583</v>
      </c>
      <c r="E3003" s="36">
        <v>0.2</v>
      </c>
      <c r="F3003" s="33">
        <v>25.060999999999996</v>
      </c>
      <c r="G3003" s="33">
        <f>IF(ISNUMBER(F3003),E3003*F3003,"")</f>
        <v>5.0122</v>
      </c>
      <c r="H3003" s="38">
        <f>SUM(G3003:G3004)</f>
        <v>5.0122</v>
      </c>
      <c r="I3003" s="39"/>
      <c r="J3003" s="152">
        <v>0</v>
      </c>
    </row>
    <row r="3004" spans="1:10" ht="39" hidden="1" thickBot="1" x14ac:dyDescent="0.3">
      <c r="A3004" s="176"/>
      <c r="B3004" s="174"/>
      <c r="C3004" s="35" t="s">
        <v>745</v>
      </c>
      <c r="D3004" s="35" t="s">
        <v>16</v>
      </c>
      <c r="E3004" s="36">
        <v>1</v>
      </c>
      <c r="F3004" s="30" t="s">
        <v>416</v>
      </c>
      <c r="G3004" s="33" t="str">
        <f>IF(ISNUMBER(F3004),E3004*F3004,"")</f>
        <v/>
      </c>
      <c r="H3004" s="34"/>
      <c r="I3004" s="30"/>
      <c r="J3004" s="152">
        <v>0</v>
      </c>
    </row>
    <row r="3005" spans="1:10" ht="15.75" hidden="1" thickBot="1" x14ac:dyDescent="0.3">
      <c r="A3005" s="177"/>
      <c r="B3005" s="175"/>
      <c r="C3005" s="35"/>
      <c r="D3005" s="35"/>
      <c r="E3005" s="36"/>
      <c r="F3005" s="30" t="s">
        <v>416</v>
      </c>
      <c r="G3005" s="33" t="str">
        <f>IF(ISNUMBER(F3005),E3005*F3005,"")</f>
        <v/>
      </c>
      <c r="H3005" s="34"/>
      <c r="I3005" s="30"/>
      <c r="J3005" s="152">
        <v>0</v>
      </c>
    </row>
    <row r="3006" spans="1:10" ht="15.75" hidden="1" thickBot="1" x14ac:dyDescent="0.3">
      <c r="A3006" s="170" t="s">
        <v>746</v>
      </c>
      <c r="B3006" s="173" t="str">
        <f>INDEX(Orçamentária!A:B,MATCH(Composições!A3006,Orçamentária!A:A,0),2)</f>
        <v>Dobradiça horizontal para vidro basculante</v>
      </c>
      <c r="C3006" s="40"/>
      <c r="D3006" s="25" t="s">
        <v>16</v>
      </c>
      <c r="E3006" s="26"/>
      <c r="F3006" s="41" t="s">
        <v>416</v>
      </c>
      <c r="G3006" s="27" t="str">
        <f>IF(ISNUMBER(F3006),E3006*F3006,"")</f>
        <v/>
      </c>
      <c r="H3006" s="28"/>
      <c r="I3006" s="29"/>
      <c r="J3006" s="152">
        <v>0</v>
      </c>
    </row>
    <row r="3007" spans="1:10" ht="15.75" hidden="1" thickBot="1" x14ac:dyDescent="0.3">
      <c r="A3007" s="176"/>
      <c r="B3007" s="174"/>
      <c r="C3007" s="31"/>
      <c r="D3007" s="31"/>
      <c r="E3007" s="32"/>
      <c r="F3007" s="42" t="s">
        <v>416</v>
      </c>
      <c r="G3007" s="33" t="str">
        <f>IF(ISNUMBER(F3007),E3007*F3007,"")</f>
        <v/>
      </c>
      <c r="H3007" s="34"/>
      <c r="I3007" s="30"/>
      <c r="J3007" s="152">
        <v>0</v>
      </c>
    </row>
    <row r="3008" spans="1:10" ht="15.75" hidden="1" thickBot="1" x14ac:dyDescent="0.3">
      <c r="A3008" s="176"/>
      <c r="B3008" s="174"/>
      <c r="C3008" s="35" t="s">
        <v>2909</v>
      </c>
      <c r="D3008" s="35" t="s">
        <v>583</v>
      </c>
      <c r="E3008" s="36">
        <v>0.2</v>
      </c>
      <c r="F3008" s="33">
        <v>25.060999999999996</v>
      </c>
      <c r="G3008" s="33">
        <f>IF(ISNUMBER(F3008),E3008*F3008,"")</f>
        <v>5.0122</v>
      </c>
      <c r="H3008" s="38">
        <f>SUM(G3008:G3009)</f>
        <v>5.0122</v>
      </c>
      <c r="I3008" s="39"/>
      <c r="J3008" s="152">
        <v>0</v>
      </c>
    </row>
    <row r="3009" spans="1:10" ht="26.25" hidden="1" thickBot="1" x14ac:dyDescent="0.3">
      <c r="A3009" s="176"/>
      <c r="B3009" s="174"/>
      <c r="C3009" s="35" t="s">
        <v>747</v>
      </c>
      <c r="D3009" s="35" t="s">
        <v>16</v>
      </c>
      <c r="E3009" s="36">
        <v>1</v>
      </c>
      <c r="F3009" s="30" t="s">
        <v>416</v>
      </c>
      <c r="G3009" s="33" t="str">
        <f>IF(ISNUMBER(F3009),E3009*F3009,"")</f>
        <v/>
      </c>
      <c r="H3009" s="34"/>
      <c r="I3009" s="30"/>
      <c r="J3009" s="152">
        <v>0</v>
      </c>
    </row>
    <row r="3010" spans="1:10" ht="15.75" hidden="1" thickBot="1" x14ac:dyDescent="0.3">
      <c r="A3010" s="177"/>
      <c r="B3010" s="175"/>
      <c r="C3010" s="35"/>
      <c r="D3010" s="35"/>
      <c r="E3010" s="36"/>
      <c r="F3010" s="30" t="s">
        <v>416</v>
      </c>
      <c r="G3010" s="33" t="str">
        <f>IF(ISNUMBER(F3010),E3010*F3010,"")</f>
        <v/>
      </c>
      <c r="H3010" s="34"/>
      <c r="I3010" s="30"/>
      <c r="J3010" s="152">
        <v>0</v>
      </c>
    </row>
    <row r="3011" spans="1:10" ht="15.75" hidden="1" thickBot="1" x14ac:dyDescent="0.3">
      <c r="A3011" s="170" t="s">
        <v>748</v>
      </c>
      <c r="B3011" s="173" t="str">
        <f>INDEX(Orçamentária!A:B,MATCH(Composições!A3011,Orçamentária!A:A,0),2)</f>
        <v>Fechadura elétrica para porta de vidro temperado</v>
      </c>
      <c r="C3011" s="40"/>
      <c r="D3011" s="25" t="s">
        <v>16</v>
      </c>
      <c r="E3011" s="26"/>
      <c r="F3011" s="41" t="s">
        <v>416</v>
      </c>
      <c r="G3011" s="27" t="str">
        <f>IF(ISNUMBER(F3011),E3011*F3011,"")</f>
        <v/>
      </c>
      <c r="H3011" s="28"/>
      <c r="I3011" s="29"/>
      <c r="J3011" s="152">
        <v>0</v>
      </c>
    </row>
    <row r="3012" spans="1:10" ht="15.75" hidden="1" thickBot="1" x14ac:dyDescent="0.3">
      <c r="A3012" s="176"/>
      <c r="B3012" s="174"/>
      <c r="C3012" s="31"/>
      <c r="D3012" s="31"/>
      <c r="E3012" s="32"/>
      <c r="F3012" s="42" t="s">
        <v>416</v>
      </c>
      <c r="G3012" s="33" t="str">
        <f>IF(ISNUMBER(F3012),E3012*F3012,"")</f>
        <v/>
      </c>
      <c r="H3012" s="34"/>
      <c r="I3012" s="30"/>
      <c r="J3012" s="152">
        <v>0</v>
      </c>
    </row>
    <row r="3013" spans="1:10" ht="15.75" hidden="1" thickBot="1" x14ac:dyDescent="0.3">
      <c r="A3013" s="176"/>
      <c r="B3013" s="174"/>
      <c r="C3013" s="35" t="s">
        <v>2909</v>
      </c>
      <c r="D3013" s="35" t="s">
        <v>583</v>
      </c>
      <c r="E3013" s="36">
        <v>1.5</v>
      </c>
      <c r="F3013" s="33">
        <v>25.060999999999996</v>
      </c>
      <c r="G3013" s="33">
        <f>IF(ISNUMBER(F3013),E3013*F3013,"")</f>
        <v>37.591499999999996</v>
      </c>
      <c r="H3013" s="38">
        <f>SUM(G3013:G3014)</f>
        <v>37.591499999999996</v>
      </c>
      <c r="I3013" s="39"/>
      <c r="J3013" s="152">
        <v>0</v>
      </c>
    </row>
    <row r="3014" spans="1:10" ht="51.75" hidden="1" thickBot="1" x14ac:dyDescent="0.3">
      <c r="A3014" s="176"/>
      <c r="B3014" s="174"/>
      <c r="C3014" s="147" t="s">
        <v>749</v>
      </c>
      <c r="D3014" s="35" t="s">
        <v>16</v>
      </c>
      <c r="E3014" s="36">
        <v>1</v>
      </c>
      <c r="F3014" s="30" t="s">
        <v>416</v>
      </c>
      <c r="G3014" s="33" t="str">
        <f>IF(ISNUMBER(F3014),E3014*F3014,"")</f>
        <v/>
      </c>
      <c r="H3014" s="34"/>
      <c r="I3014" s="30"/>
      <c r="J3014" s="152">
        <v>0</v>
      </c>
    </row>
    <row r="3015" spans="1:10" ht="15.75" hidden="1" thickBot="1" x14ac:dyDescent="0.3">
      <c r="A3015" s="177"/>
      <c r="B3015" s="175"/>
      <c r="C3015" s="35"/>
      <c r="D3015" s="35"/>
      <c r="E3015" s="36"/>
      <c r="F3015" s="30" t="s">
        <v>416</v>
      </c>
      <c r="G3015" s="33" t="str">
        <f>IF(ISNUMBER(F3015),E3015*F3015,"")</f>
        <v/>
      </c>
      <c r="H3015" s="34"/>
      <c r="I3015" s="30"/>
      <c r="J3015" s="152">
        <v>0</v>
      </c>
    </row>
    <row r="3016" spans="1:10" ht="15.75" hidden="1" thickBot="1" x14ac:dyDescent="0.3">
      <c r="A3016" s="170" t="s">
        <v>750</v>
      </c>
      <c r="B3016" s="173" t="str">
        <f>INDEX(Orçamentária!A:B,MATCH(Composições!A3016,Orçamentária!A:A,0),2)</f>
        <v>Porteiro eletrônico</v>
      </c>
      <c r="C3016" s="40"/>
      <c r="D3016" s="25" t="s">
        <v>16</v>
      </c>
      <c r="E3016" s="26"/>
      <c r="F3016" s="41" t="s">
        <v>416</v>
      </c>
      <c r="G3016" s="27" t="str">
        <f>IF(ISNUMBER(F3016),E3016*F3016,"")</f>
        <v/>
      </c>
      <c r="H3016" s="28"/>
      <c r="I3016" s="29"/>
      <c r="J3016" s="152">
        <v>0</v>
      </c>
    </row>
    <row r="3017" spans="1:10" ht="15.75" hidden="1" thickBot="1" x14ac:dyDescent="0.3">
      <c r="A3017" s="176"/>
      <c r="B3017" s="174"/>
      <c r="C3017" s="31"/>
      <c r="D3017" s="31"/>
      <c r="E3017" s="32"/>
      <c r="F3017" s="42" t="s">
        <v>416</v>
      </c>
      <c r="G3017" s="33" t="str">
        <f>IF(ISNUMBER(F3017),E3017*F3017,"")</f>
        <v/>
      </c>
      <c r="H3017" s="34"/>
      <c r="I3017" s="30"/>
      <c r="J3017" s="152">
        <v>0</v>
      </c>
    </row>
    <row r="3018" spans="1:10" ht="15.75" hidden="1" thickBot="1" x14ac:dyDescent="0.3">
      <c r="A3018" s="176"/>
      <c r="B3018" s="174"/>
      <c r="C3018" s="35" t="s">
        <v>2909</v>
      </c>
      <c r="D3018" s="35" t="s">
        <v>583</v>
      </c>
      <c r="E3018" s="36">
        <v>1.5</v>
      </c>
      <c r="F3018" s="33">
        <v>25.060999999999996</v>
      </c>
      <c r="G3018" s="33">
        <f>IF(ISNUMBER(F3018),E3018*F3018,"")</f>
        <v>37.591499999999996</v>
      </c>
      <c r="H3018" s="38">
        <f>SUM(G3018:G3019)</f>
        <v>37.591499999999996</v>
      </c>
      <c r="I3018" s="39"/>
      <c r="J3018" s="152">
        <v>0</v>
      </c>
    </row>
    <row r="3019" spans="1:10" ht="15.75" hidden="1" thickBot="1" x14ac:dyDescent="0.3">
      <c r="A3019" s="176"/>
      <c r="B3019" s="174"/>
      <c r="C3019" s="35" t="s">
        <v>751</v>
      </c>
      <c r="D3019" s="35" t="s">
        <v>16</v>
      </c>
      <c r="E3019" s="36">
        <v>1</v>
      </c>
      <c r="F3019" s="30" t="s">
        <v>416</v>
      </c>
      <c r="G3019" s="33" t="str">
        <f>IF(ISNUMBER(F3019),E3019*F3019,"")</f>
        <v/>
      </c>
      <c r="H3019" s="34"/>
      <c r="I3019" s="30"/>
      <c r="J3019" s="152">
        <v>0</v>
      </c>
    </row>
    <row r="3020" spans="1:10" ht="15.75" hidden="1" thickBot="1" x14ac:dyDescent="0.3">
      <c r="A3020" s="177"/>
      <c r="B3020" s="175"/>
      <c r="C3020" s="35"/>
      <c r="D3020" s="35"/>
      <c r="E3020" s="36"/>
      <c r="F3020" s="30" t="s">
        <v>416</v>
      </c>
      <c r="G3020" s="33" t="str">
        <f>IF(ISNUMBER(F3020),E3020*F3020,"")</f>
        <v/>
      </c>
      <c r="H3020" s="34"/>
      <c r="I3020" s="30"/>
      <c r="J3020" s="152">
        <v>0</v>
      </c>
    </row>
    <row r="3021" spans="1:10" ht="15.75" hidden="1" thickBot="1" x14ac:dyDescent="0.3">
      <c r="A3021" s="170" t="s">
        <v>752</v>
      </c>
      <c r="B3021" s="173" t="str">
        <f>INDEX(Orçamentária!A:B,MATCH(Composições!A3021,Orçamentária!A:A,0),2)</f>
        <v>Acionador fixo</v>
      </c>
      <c r="C3021" s="40"/>
      <c r="D3021" s="25" t="s">
        <v>16</v>
      </c>
      <c r="E3021" s="26"/>
      <c r="F3021" s="41" t="s">
        <v>416</v>
      </c>
      <c r="G3021" s="27" t="str">
        <f>IF(ISNUMBER(F3021),E3021*F3021,"")</f>
        <v/>
      </c>
      <c r="H3021" s="28"/>
      <c r="I3021" s="29"/>
      <c r="J3021" s="152">
        <v>0</v>
      </c>
    </row>
    <row r="3022" spans="1:10" ht="15.75" hidden="1" thickBot="1" x14ac:dyDescent="0.3">
      <c r="A3022" s="176"/>
      <c r="B3022" s="174"/>
      <c r="C3022" s="31"/>
      <c r="D3022" s="31"/>
      <c r="E3022" s="32"/>
      <c r="F3022" s="42" t="s">
        <v>416</v>
      </c>
      <c r="G3022" s="33" t="str">
        <f>IF(ISNUMBER(F3022),E3022*F3022,"")</f>
        <v/>
      </c>
      <c r="H3022" s="34"/>
      <c r="I3022" s="30"/>
      <c r="J3022" s="152">
        <v>0</v>
      </c>
    </row>
    <row r="3023" spans="1:10" ht="15.75" hidden="1" thickBot="1" x14ac:dyDescent="0.3">
      <c r="A3023" s="176"/>
      <c r="B3023" s="174"/>
      <c r="C3023" s="35" t="s">
        <v>2909</v>
      </c>
      <c r="D3023" s="35" t="s">
        <v>583</v>
      </c>
      <c r="E3023" s="36">
        <v>1</v>
      </c>
      <c r="F3023" s="33">
        <v>25.060999999999996</v>
      </c>
      <c r="G3023" s="33">
        <f>IF(ISNUMBER(F3023),E3023*F3023,"")</f>
        <v>25.060999999999996</v>
      </c>
      <c r="H3023" s="38">
        <f>SUM(G3023:G3024)</f>
        <v>25.060999999999996</v>
      </c>
      <c r="I3023" s="39"/>
      <c r="J3023" s="152">
        <v>0</v>
      </c>
    </row>
    <row r="3024" spans="1:10" ht="26.25" hidden="1" thickBot="1" x14ac:dyDescent="0.3">
      <c r="A3024" s="176"/>
      <c r="B3024" s="174"/>
      <c r="C3024" s="35" t="s">
        <v>753</v>
      </c>
      <c r="D3024" s="35" t="s">
        <v>16</v>
      </c>
      <c r="E3024" s="36">
        <v>1</v>
      </c>
      <c r="F3024" s="30" t="s">
        <v>416</v>
      </c>
      <c r="G3024" s="33" t="str">
        <f>IF(ISNUMBER(F3024),E3024*F3024,"")</f>
        <v/>
      </c>
      <c r="H3024" s="34"/>
      <c r="I3024" s="30"/>
      <c r="J3024" s="152">
        <v>0</v>
      </c>
    </row>
    <row r="3025" spans="1:10" ht="15.75" hidden="1" thickBot="1" x14ac:dyDescent="0.3">
      <c r="A3025" s="177"/>
      <c r="B3025" s="175"/>
      <c r="C3025" s="35"/>
      <c r="D3025" s="35"/>
      <c r="E3025" s="36"/>
      <c r="F3025" s="30" t="s">
        <v>416</v>
      </c>
      <c r="G3025" s="33" t="str">
        <f>IF(ISNUMBER(F3025),E3025*F3025,"")</f>
        <v/>
      </c>
      <c r="H3025" s="34"/>
      <c r="I3025" s="30"/>
      <c r="J3025" s="152">
        <v>0</v>
      </c>
    </row>
    <row r="3026" spans="1:10" ht="15.75" hidden="1" thickBot="1" x14ac:dyDescent="0.3">
      <c r="A3026" s="170" t="s">
        <v>754</v>
      </c>
      <c r="B3026" s="173" t="str">
        <f>INDEX(Orçamentária!A:B,MATCH(Composições!A3026,Orçamentária!A:A,0),2)</f>
        <v>Mini chapinha para trinco basculante</v>
      </c>
      <c r="C3026" s="40"/>
      <c r="D3026" s="25" t="s">
        <v>16</v>
      </c>
      <c r="E3026" s="26"/>
      <c r="F3026" s="41" t="s">
        <v>416</v>
      </c>
      <c r="G3026" s="27" t="str">
        <f>IF(ISNUMBER(F3026),E3026*F3026,"")</f>
        <v/>
      </c>
      <c r="H3026" s="28"/>
      <c r="I3026" s="29"/>
      <c r="J3026" s="152">
        <v>0</v>
      </c>
    </row>
    <row r="3027" spans="1:10" ht="15.75" hidden="1" thickBot="1" x14ac:dyDescent="0.3">
      <c r="A3027" s="176"/>
      <c r="B3027" s="174"/>
      <c r="C3027" s="31"/>
      <c r="D3027" s="31"/>
      <c r="E3027" s="32"/>
      <c r="F3027" s="42" t="s">
        <v>416</v>
      </c>
      <c r="G3027" s="33" t="str">
        <f>IF(ISNUMBER(F3027),E3027*F3027,"")</f>
        <v/>
      </c>
      <c r="H3027" s="34"/>
      <c r="I3027" s="30"/>
      <c r="J3027" s="152">
        <v>0</v>
      </c>
    </row>
    <row r="3028" spans="1:10" ht="15.75" hidden="1" thickBot="1" x14ac:dyDescent="0.3">
      <c r="A3028" s="176"/>
      <c r="B3028" s="174"/>
      <c r="C3028" s="35" t="s">
        <v>2909</v>
      </c>
      <c r="D3028" s="35" t="s">
        <v>583</v>
      </c>
      <c r="E3028" s="36">
        <v>0.1</v>
      </c>
      <c r="F3028" s="33">
        <v>25.060999999999996</v>
      </c>
      <c r="G3028" s="33">
        <f>IF(ISNUMBER(F3028),E3028*F3028,"")</f>
        <v>2.5061</v>
      </c>
      <c r="H3028" s="38">
        <f>SUM(G3028:G3029)</f>
        <v>2.5061</v>
      </c>
      <c r="I3028" s="39"/>
      <c r="J3028" s="152">
        <v>0</v>
      </c>
    </row>
    <row r="3029" spans="1:10" ht="26.25" hidden="1" thickBot="1" x14ac:dyDescent="0.3">
      <c r="A3029" s="176"/>
      <c r="B3029" s="174"/>
      <c r="C3029" s="35" t="s">
        <v>755</v>
      </c>
      <c r="D3029" s="35" t="s">
        <v>16</v>
      </c>
      <c r="E3029" s="36">
        <v>1</v>
      </c>
      <c r="F3029" s="30" t="s">
        <v>416</v>
      </c>
      <c r="G3029" s="33" t="str">
        <f>IF(ISNUMBER(F3029),E3029*F3029,"")</f>
        <v/>
      </c>
      <c r="H3029" s="34"/>
      <c r="I3029" s="30"/>
      <c r="J3029" s="152">
        <v>0</v>
      </c>
    </row>
    <row r="3030" spans="1:10" ht="15.75" hidden="1" thickBot="1" x14ac:dyDescent="0.3">
      <c r="A3030" s="177"/>
      <c r="B3030" s="175"/>
      <c r="C3030" s="35"/>
      <c r="D3030" s="35"/>
      <c r="E3030" s="36"/>
      <c r="F3030" s="30" t="s">
        <v>416</v>
      </c>
      <c r="G3030" s="33" t="str">
        <f>IF(ISNUMBER(F3030),E3030*F3030,"")</f>
        <v/>
      </c>
      <c r="H3030" s="34"/>
      <c r="I3030" s="30"/>
      <c r="J3030" s="152">
        <v>0</v>
      </c>
    </row>
    <row r="3031" spans="1:10" ht="15.75" hidden="1" thickBot="1" x14ac:dyDescent="0.3">
      <c r="A3031" s="170" t="s">
        <v>756</v>
      </c>
      <c r="B3031" s="173" t="str">
        <f>INDEX(Orçamentária!A:B,MATCH(Composições!A3031,Orçamentária!A:A,0),2)</f>
        <v>Puxador metálico - diâmetro de 22 mm a 25 mm</v>
      </c>
      <c r="C3031" s="40"/>
      <c r="D3031" s="25" t="s">
        <v>16</v>
      </c>
      <c r="E3031" s="26"/>
      <c r="F3031" s="41" t="s">
        <v>416</v>
      </c>
      <c r="G3031" s="27" t="str">
        <f>IF(ISNUMBER(F3031),E3031*F3031,"")</f>
        <v/>
      </c>
      <c r="H3031" s="28"/>
      <c r="I3031" s="29"/>
      <c r="J3031" s="152">
        <v>0</v>
      </c>
    </row>
    <row r="3032" spans="1:10" ht="15.75" hidden="1" thickBot="1" x14ac:dyDescent="0.3">
      <c r="A3032" s="176"/>
      <c r="B3032" s="174"/>
      <c r="C3032" s="31"/>
      <c r="D3032" s="31"/>
      <c r="E3032" s="32"/>
      <c r="F3032" s="42" t="s">
        <v>416</v>
      </c>
      <c r="G3032" s="33" t="str">
        <f>IF(ISNUMBER(F3032),E3032*F3032,"")</f>
        <v/>
      </c>
      <c r="H3032" s="34"/>
      <c r="I3032" s="30"/>
      <c r="J3032" s="152">
        <v>0</v>
      </c>
    </row>
    <row r="3033" spans="1:10" ht="15.75" hidden="1" thickBot="1" x14ac:dyDescent="0.3">
      <c r="A3033" s="176"/>
      <c r="B3033" s="174"/>
      <c r="C3033" s="35" t="s">
        <v>2909</v>
      </c>
      <c r="D3033" s="35" t="s">
        <v>583</v>
      </c>
      <c r="E3033" s="36">
        <v>0.2</v>
      </c>
      <c r="F3033" s="33">
        <v>25.060999999999996</v>
      </c>
      <c r="G3033" s="33">
        <f>IF(ISNUMBER(F3033),E3033*F3033,"")</f>
        <v>5.0122</v>
      </c>
      <c r="H3033" s="38">
        <f>SUM(G3033:G3034)</f>
        <v>5.0122</v>
      </c>
      <c r="I3033" s="39"/>
      <c r="J3033" s="152">
        <v>0</v>
      </c>
    </row>
    <row r="3034" spans="1:10" ht="26.25" hidden="1" thickBot="1" x14ac:dyDescent="0.3">
      <c r="A3034" s="176"/>
      <c r="B3034" s="174"/>
      <c r="C3034" s="35" t="s">
        <v>757</v>
      </c>
      <c r="D3034" s="35" t="s">
        <v>16</v>
      </c>
      <c r="E3034" s="36">
        <v>1</v>
      </c>
      <c r="F3034" s="30" t="s">
        <v>416</v>
      </c>
      <c r="G3034" s="33" t="str">
        <f>IF(ISNUMBER(F3034),E3034*F3034,"")</f>
        <v/>
      </c>
      <c r="H3034" s="34"/>
      <c r="I3034" s="30"/>
      <c r="J3034" s="152">
        <v>0</v>
      </c>
    </row>
    <row r="3035" spans="1:10" ht="15.75" hidden="1" thickBot="1" x14ac:dyDescent="0.3">
      <c r="A3035" s="177"/>
      <c r="B3035" s="175"/>
      <c r="C3035" s="35"/>
      <c r="D3035" s="35"/>
      <c r="E3035" s="36"/>
      <c r="F3035" s="30" t="s">
        <v>416</v>
      </c>
      <c r="G3035" s="33" t="str">
        <f>IF(ISNUMBER(F3035),E3035*F3035,"")</f>
        <v/>
      </c>
      <c r="H3035" s="34"/>
      <c r="I3035" s="30"/>
      <c r="J3035" s="152">
        <v>0</v>
      </c>
    </row>
    <row r="3036" spans="1:10" ht="15.75" hidden="1" thickBot="1" x14ac:dyDescent="0.3">
      <c r="A3036" s="170" t="s">
        <v>758</v>
      </c>
      <c r="B3036" s="173" t="str">
        <f>INDEX(Orçamentária!A:B,MATCH(Composições!A3036,Orçamentária!A:A,0),2)</f>
        <v>Trinco sem miolo para vidro temperado</v>
      </c>
      <c r="C3036" s="40"/>
      <c r="D3036" s="25" t="s">
        <v>16</v>
      </c>
      <c r="E3036" s="26"/>
      <c r="F3036" s="41" t="s">
        <v>416</v>
      </c>
      <c r="G3036" s="27" t="str">
        <f>IF(ISNUMBER(F3036),E3036*F3036,"")</f>
        <v/>
      </c>
      <c r="H3036" s="28"/>
      <c r="I3036" s="29"/>
      <c r="J3036" s="152">
        <v>0</v>
      </c>
    </row>
    <row r="3037" spans="1:10" ht="15.75" hidden="1" thickBot="1" x14ac:dyDescent="0.3">
      <c r="A3037" s="176"/>
      <c r="B3037" s="174"/>
      <c r="C3037" s="31"/>
      <c r="D3037" s="31"/>
      <c r="E3037" s="32"/>
      <c r="F3037" s="42" t="s">
        <v>416</v>
      </c>
      <c r="G3037" s="33" t="str">
        <f>IF(ISNUMBER(F3037),E3037*F3037,"")</f>
        <v/>
      </c>
      <c r="H3037" s="34"/>
      <c r="I3037" s="30"/>
      <c r="J3037" s="152">
        <v>0</v>
      </c>
    </row>
    <row r="3038" spans="1:10" ht="15.75" hidden="1" thickBot="1" x14ac:dyDescent="0.3">
      <c r="A3038" s="176"/>
      <c r="B3038" s="174"/>
      <c r="C3038" s="35" t="s">
        <v>2909</v>
      </c>
      <c r="D3038" s="35" t="s">
        <v>583</v>
      </c>
      <c r="E3038" s="36">
        <v>0.2</v>
      </c>
      <c r="F3038" s="33">
        <v>25.060999999999996</v>
      </c>
      <c r="G3038" s="33">
        <f>IF(ISNUMBER(F3038),E3038*F3038,"")</f>
        <v>5.0122</v>
      </c>
      <c r="H3038" s="38">
        <f>SUM(G3038:G3039)</f>
        <v>5.0122</v>
      </c>
      <c r="I3038" s="39"/>
      <c r="J3038" s="152">
        <v>0</v>
      </c>
    </row>
    <row r="3039" spans="1:10" ht="39" hidden="1" thickBot="1" x14ac:dyDescent="0.3">
      <c r="A3039" s="176"/>
      <c r="B3039" s="174"/>
      <c r="C3039" s="35" t="s">
        <v>759</v>
      </c>
      <c r="D3039" s="35" t="s">
        <v>16</v>
      </c>
      <c r="E3039" s="36">
        <v>1</v>
      </c>
      <c r="F3039" s="30" t="s">
        <v>416</v>
      </c>
      <c r="G3039" s="33" t="str">
        <f>IF(ISNUMBER(F3039),E3039*F3039,"")</f>
        <v/>
      </c>
      <c r="H3039" s="34"/>
      <c r="I3039" s="30"/>
      <c r="J3039" s="152">
        <v>0</v>
      </c>
    </row>
    <row r="3040" spans="1:10" ht="15.75" hidden="1" thickBot="1" x14ac:dyDescent="0.3">
      <c r="A3040" s="177"/>
      <c r="B3040" s="175"/>
      <c r="C3040" s="35"/>
      <c r="D3040" s="35"/>
      <c r="E3040" s="36"/>
      <c r="F3040" s="30" t="s">
        <v>416</v>
      </c>
      <c r="G3040" s="33" t="str">
        <f>IF(ISNUMBER(F3040),E3040*F3040,"")</f>
        <v/>
      </c>
      <c r="H3040" s="34"/>
      <c r="I3040" s="30"/>
      <c r="J3040" s="152">
        <v>0</v>
      </c>
    </row>
    <row r="3041" spans="1:10" ht="15.75" hidden="1" thickBot="1" x14ac:dyDescent="0.3">
      <c r="A3041" s="170" t="s">
        <v>760</v>
      </c>
      <c r="B3041" s="173" t="str">
        <f>INDEX(Orçamentária!A:B,MATCH(Composições!A3041,Orçamentária!A:A,0),2)</f>
        <v>Tubo de alumínio quadrado 50 x 50 mm</v>
      </c>
      <c r="C3041" s="40"/>
      <c r="D3041" s="25" t="s">
        <v>69</v>
      </c>
      <c r="E3041" s="26"/>
      <c r="F3041" s="41" t="s">
        <v>416</v>
      </c>
      <c r="G3041" s="27" t="str">
        <f>IF(ISNUMBER(F3041),E3041*F3041,"")</f>
        <v/>
      </c>
      <c r="H3041" s="28"/>
      <c r="I3041" s="29"/>
      <c r="J3041" s="152">
        <v>0</v>
      </c>
    </row>
    <row r="3042" spans="1:10" ht="15.75" hidden="1" thickBot="1" x14ac:dyDescent="0.3">
      <c r="A3042" s="171"/>
      <c r="B3042" s="174"/>
      <c r="C3042" s="31"/>
      <c r="D3042" s="31"/>
      <c r="E3042" s="32"/>
      <c r="F3042" s="42" t="s">
        <v>416</v>
      </c>
      <c r="G3042" s="33" t="str">
        <f>IF(ISNUMBER(F3042),E3042*F3042,"")</f>
        <v/>
      </c>
      <c r="H3042" s="34"/>
      <c r="I3042" s="30"/>
      <c r="J3042" s="152">
        <v>0</v>
      </c>
    </row>
    <row r="3043" spans="1:10" ht="15.75" hidden="1" thickBot="1" x14ac:dyDescent="0.3">
      <c r="A3043" s="171"/>
      <c r="B3043" s="174"/>
      <c r="C3043" s="35" t="s">
        <v>2909</v>
      </c>
      <c r="D3043" s="35" t="s">
        <v>583</v>
      </c>
      <c r="E3043" s="36">
        <v>0.25</v>
      </c>
      <c r="F3043" s="33">
        <v>25.060999999999996</v>
      </c>
      <c r="G3043" s="33">
        <f>IF(ISNUMBER(F3043),E3043*F3043,"")</f>
        <v>6.2652499999999991</v>
      </c>
      <c r="H3043" s="38">
        <f>SUM(G3043:G3044)</f>
        <v>39.586841999999997</v>
      </c>
      <c r="I3043" s="39"/>
      <c r="J3043" s="152">
        <v>0</v>
      </c>
    </row>
    <row r="3044" spans="1:10" ht="15.75" hidden="1" thickBot="1" x14ac:dyDescent="0.3">
      <c r="A3044" s="171"/>
      <c r="B3044" s="174"/>
      <c r="C3044" s="35" t="s">
        <v>709</v>
      </c>
      <c r="D3044" s="35" t="s">
        <v>773</v>
      </c>
      <c r="E3044" s="36">
        <v>0.85299999999999998</v>
      </c>
      <c r="F3044" s="30">
        <v>39.063999999999993</v>
      </c>
      <c r="G3044" s="33">
        <f>IF(ISNUMBER(F3044),E3044*F3044,"")</f>
        <v>33.321591999999995</v>
      </c>
      <c r="H3044" s="34"/>
      <c r="I3044" s="30"/>
      <c r="J3044" s="152">
        <v>0</v>
      </c>
    </row>
    <row r="3045" spans="1:10" ht="15.75" hidden="1" thickBot="1" x14ac:dyDescent="0.3">
      <c r="A3045" s="171"/>
      <c r="B3045" s="174"/>
      <c r="C3045" s="35"/>
      <c r="D3045" s="46"/>
      <c r="E3045" s="36"/>
      <c r="F3045" s="30" t="s">
        <v>416</v>
      </c>
      <c r="G3045" s="33" t="str">
        <f>IF(ISNUMBER(F3045),E3045*F3045,"")</f>
        <v/>
      </c>
      <c r="H3045" s="34"/>
      <c r="I3045" s="30"/>
      <c r="J3045" s="152">
        <v>0</v>
      </c>
    </row>
    <row r="3046" spans="1:10" ht="26.25" hidden="1" thickBot="1" x14ac:dyDescent="0.3">
      <c r="A3046" s="171"/>
      <c r="B3046" s="174"/>
      <c r="C3046" s="47" t="s">
        <v>761</v>
      </c>
      <c r="D3046" s="46"/>
      <c r="E3046" s="36"/>
      <c r="F3046" s="30" t="s">
        <v>416</v>
      </c>
      <c r="G3046" s="33" t="str">
        <f>IF(ISNUMBER(F3046),E3046*F3046,"")</f>
        <v/>
      </c>
      <c r="H3046" s="34"/>
      <c r="I3046" s="30"/>
      <c r="J3046" s="152">
        <v>0</v>
      </c>
    </row>
    <row r="3047" spans="1:10" ht="26.25" hidden="1" thickBot="1" x14ac:dyDescent="0.3">
      <c r="A3047" s="171"/>
      <c r="B3047" s="174"/>
      <c r="C3047" s="51" t="s">
        <v>714</v>
      </c>
      <c r="D3047" s="46"/>
      <c r="E3047" s="36"/>
      <c r="F3047" s="30" t="s">
        <v>416</v>
      </c>
      <c r="G3047" s="33" t="str">
        <f>IF(ISNUMBER(F3047),E3047*F3047,"")</f>
        <v/>
      </c>
      <c r="H3047" s="34"/>
      <c r="I3047" s="30"/>
      <c r="J3047" s="152">
        <v>0</v>
      </c>
    </row>
    <row r="3048" spans="1:10" ht="15.75" hidden="1" thickBot="1" x14ac:dyDescent="0.3">
      <c r="A3048" s="172"/>
      <c r="B3048" s="175"/>
      <c r="C3048" s="35"/>
      <c r="D3048" s="35"/>
      <c r="E3048" s="36"/>
      <c r="F3048" s="30" t="s">
        <v>416</v>
      </c>
      <c r="G3048" s="33" t="str">
        <f>IF(ISNUMBER(F3048),E3048*F3048,"")</f>
        <v/>
      </c>
      <c r="H3048" s="34"/>
      <c r="I3048" s="30"/>
      <c r="J3048" s="152">
        <v>0</v>
      </c>
    </row>
    <row r="3049" spans="1:10" ht="15.75" hidden="1" thickBot="1" x14ac:dyDescent="0.3">
      <c r="A3049" s="170" t="s">
        <v>762</v>
      </c>
      <c r="B3049" s="173" t="str">
        <f>INDEX(Orçamentária!A:B,MATCH(Composições!A3049,Orçamentária!A:A,0),2)</f>
        <v>Veda fresta adesivo “E” branco</v>
      </c>
      <c r="C3049" s="40"/>
      <c r="D3049" s="25" t="s">
        <v>69</v>
      </c>
      <c r="E3049" s="26"/>
      <c r="F3049" s="41" t="s">
        <v>416</v>
      </c>
      <c r="G3049" s="27" t="str">
        <f>IF(ISNUMBER(F3049),E3049*F3049,"")</f>
        <v/>
      </c>
      <c r="H3049" s="28"/>
      <c r="I3049" s="29"/>
      <c r="J3049" s="152">
        <v>0</v>
      </c>
    </row>
    <row r="3050" spans="1:10" ht="15.75" hidden="1" thickBot="1" x14ac:dyDescent="0.3">
      <c r="A3050" s="176"/>
      <c r="B3050" s="174"/>
      <c r="C3050" s="31"/>
      <c r="D3050" s="31"/>
      <c r="E3050" s="32"/>
      <c r="F3050" s="42" t="s">
        <v>416</v>
      </c>
      <c r="G3050" s="33" t="str">
        <f>IF(ISNUMBER(F3050),E3050*F3050,"")</f>
        <v/>
      </c>
      <c r="H3050" s="34"/>
      <c r="I3050" s="30"/>
      <c r="J3050" s="152">
        <v>0</v>
      </c>
    </row>
    <row r="3051" spans="1:10" ht="15.75" hidden="1" thickBot="1" x14ac:dyDescent="0.3">
      <c r="A3051" s="176"/>
      <c r="B3051" s="174"/>
      <c r="C3051" s="35" t="s">
        <v>2909</v>
      </c>
      <c r="D3051" s="35" t="s">
        <v>583</v>
      </c>
      <c r="E3051" s="36">
        <v>0.2</v>
      </c>
      <c r="F3051" s="33">
        <v>25.060999999999996</v>
      </c>
      <c r="G3051" s="33">
        <f>IF(ISNUMBER(F3051),E3051*F3051,"")</f>
        <v>5.0122</v>
      </c>
      <c r="H3051" s="38">
        <f>SUM(G3051:G3052)</f>
        <v>5.0122</v>
      </c>
      <c r="I3051" s="39"/>
      <c r="J3051" s="152">
        <v>0</v>
      </c>
    </row>
    <row r="3052" spans="1:10" ht="26.25" hidden="1" thickBot="1" x14ac:dyDescent="0.3">
      <c r="A3052" s="176"/>
      <c r="B3052" s="174"/>
      <c r="C3052" s="35" t="s">
        <v>763</v>
      </c>
      <c r="D3052" s="35" t="s">
        <v>69</v>
      </c>
      <c r="E3052" s="36">
        <v>0.11899999999999999</v>
      </c>
      <c r="F3052" s="30" t="s">
        <v>416</v>
      </c>
      <c r="G3052" s="33" t="str">
        <f>IF(ISNUMBER(F3052),E3052*F3052,"")</f>
        <v/>
      </c>
      <c r="H3052" s="34"/>
      <c r="I3052" s="30"/>
      <c r="J3052" s="152">
        <v>0</v>
      </c>
    </row>
    <row r="3053" spans="1:10" ht="15.75" hidden="1" thickBot="1" x14ac:dyDescent="0.3">
      <c r="A3053" s="177"/>
      <c r="B3053" s="175"/>
      <c r="C3053" s="35"/>
      <c r="D3053" s="35"/>
      <c r="E3053" s="36"/>
      <c r="F3053" s="30" t="s">
        <v>416</v>
      </c>
      <c r="G3053" s="33" t="str">
        <f>IF(ISNUMBER(F3053),E3053*F3053,"")</f>
        <v/>
      </c>
      <c r="H3053" s="34"/>
      <c r="I3053" s="30"/>
      <c r="J3053" s="152">
        <v>0</v>
      </c>
    </row>
    <row r="3054" spans="1:10" ht="15.75" hidden="1" thickBot="1" x14ac:dyDescent="0.3">
      <c r="A3054" s="170" t="s">
        <v>764</v>
      </c>
      <c r="B3054" s="173" t="str">
        <f>INDEX(Orçamentária!A:B,MATCH(Composições!A3054,Orçamentária!A:A,0),2)</f>
        <v>Vedapress 10 mm</v>
      </c>
      <c r="C3054" s="40"/>
      <c r="D3054" s="25" t="s">
        <v>69</v>
      </c>
      <c r="E3054" s="26"/>
      <c r="F3054" s="41" t="s">
        <v>416</v>
      </c>
      <c r="G3054" s="27" t="str">
        <f>IF(ISNUMBER(F3054),E3054*F3054,"")</f>
        <v/>
      </c>
      <c r="H3054" s="28"/>
      <c r="I3054" s="29"/>
      <c r="J3054" s="152">
        <v>0</v>
      </c>
    </row>
    <row r="3055" spans="1:10" ht="15.75" hidden="1" thickBot="1" x14ac:dyDescent="0.3">
      <c r="A3055" s="171"/>
      <c r="B3055" s="174"/>
      <c r="C3055" s="31"/>
      <c r="D3055" s="31"/>
      <c r="E3055" s="32"/>
      <c r="F3055" s="42" t="s">
        <v>416</v>
      </c>
      <c r="G3055" s="33" t="str">
        <f>IF(ISNUMBER(F3055),E3055*F3055,"")</f>
        <v/>
      </c>
      <c r="H3055" s="34"/>
      <c r="I3055" s="30"/>
      <c r="J3055" s="152">
        <v>0</v>
      </c>
    </row>
    <row r="3056" spans="1:10" ht="15.75" hidden="1" thickBot="1" x14ac:dyDescent="0.3">
      <c r="A3056" s="171"/>
      <c r="B3056" s="174"/>
      <c r="C3056" s="35" t="s">
        <v>2909</v>
      </c>
      <c r="D3056" s="35" t="s">
        <v>583</v>
      </c>
      <c r="E3056" s="36">
        <v>0.3</v>
      </c>
      <c r="F3056" s="33">
        <v>25.060999999999996</v>
      </c>
      <c r="G3056" s="33">
        <f>IF(ISNUMBER(F3056),E3056*F3056,"")</f>
        <v>7.5182999999999982</v>
      </c>
      <c r="H3056" s="38">
        <f>SUM(G3056:G3057)</f>
        <v>12.166915999999997</v>
      </c>
      <c r="I3056" s="39"/>
      <c r="J3056" s="152">
        <v>0</v>
      </c>
    </row>
    <row r="3057" spans="1:10" ht="15.75" hidden="1" thickBot="1" x14ac:dyDescent="0.3">
      <c r="A3057" s="171"/>
      <c r="B3057" s="174"/>
      <c r="C3057" s="35" t="s">
        <v>709</v>
      </c>
      <c r="D3057" s="35" t="s">
        <v>773</v>
      </c>
      <c r="E3057" s="36">
        <v>0.11899999999999999</v>
      </c>
      <c r="F3057" s="30">
        <v>39.063999999999993</v>
      </c>
      <c r="G3057" s="33">
        <f>IF(ISNUMBER(F3057),E3057*F3057,"")</f>
        <v>4.6486159999999987</v>
      </c>
      <c r="H3057" s="34"/>
      <c r="I3057" s="30"/>
      <c r="J3057" s="152">
        <v>0</v>
      </c>
    </row>
    <row r="3058" spans="1:10" ht="15.75" hidden="1" thickBot="1" x14ac:dyDescent="0.3">
      <c r="A3058" s="171"/>
      <c r="B3058" s="174"/>
      <c r="C3058" s="35"/>
      <c r="D3058" s="35"/>
      <c r="E3058" s="36"/>
      <c r="F3058" s="30" t="s">
        <v>416</v>
      </c>
      <c r="G3058" s="33" t="str">
        <f>IF(ISNUMBER(F3058),E3058*F3058,"")</f>
        <v/>
      </c>
      <c r="H3058" s="34"/>
      <c r="I3058" s="30"/>
      <c r="J3058" s="152">
        <v>0</v>
      </c>
    </row>
    <row r="3059" spans="1:10" ht="39" hidden="1" thickBot="1" x14ac:dyDescent="0.3">
      <c r="A3059" s="171"/>
      <c r="B3059" s="174"/>
      <c r="C3059" s="47" t="s">
        <v>765</v>
      </c>
      <c r="D3059" s="35"/>
      <c r="E3059" s="36"/>
      <c r="F3059" s="30" t="s">
        <v>416</v>
      </c>
      <c r="G3059" s="33" t="str">
        <f>IF(ISNUMBER(F3059),E3059*F3059,"")</f>
        <v/>
      </c>
      <c r="H3059" s="34"/>
      <c r="I3059" s="30"/>
      <c r="J3059" s="152">
        <v>0</v>
      </c>
    </row>
    <row r="3060" spans="1:10" ht="15.75" hidden="1" thickBot="1" x14ac:dyDescent="0.3">
      <c r="A3060" s="171"/>
      <c r="B3060" s="174"/>
      <c r="C3060" s="51" t="s">
        <v>766</v>
      </c>
      <c r="D3060" s="35"/>
      <c r="E3060" s="36"/>
      <c r="F3060" s="30" t="s">
        <v>416</v>
      </c>
      <c r="G3060" s="33" t="str">
        <f>IF(ISNUMBER(F3060),E3060*F3060,"")</f>
        <v/>
      </c>
      <c r="H3060" s="34"/>
      <c r="I3060" s="30"/>
      <c r="J3060" s="152">
        <v>0</v>
      </c>
    </row>
    <row r="3061" spans="1:10" ht="15.75" hidden="1" thickBot="1" x14ac:dyDescent="0.3">
      <c r="A3061" s="172"/>
      <c r="B3061" s="175"/>
      <c r="C3061" s="35"/>
      <c r="D3061" s="35"/>
      <c r="E3061" s="36"/>
      <c r="F3061" s="30" t="s">
        <v>416</v>
      </c>
      <c r="G3061" s="33" t="str">
        <f>IF(ISNUMBER(F3061),E3061*F3061,"")</f>
        <v/>
      </c>
      <c r="H3061" s="34"/>
      <c r="I3061" s="30"/>
      <c r="J3061" s="152">
        <v>0</v>
      </c>
    </row>
    <row r="3062" spans="1:10" ht="15.75" hidden="1" thickBot="1" x14ac:dyDescent="0.3">
      <c r="A3062" s="170" t="s">
        <v>767</v>
      </c>
      <c r="B3062" s="173" t="str">
        <f>INDEX(Orçamentária!A:B,MATCH(Composições!A3062,Orçamentária!A:A,0),2)</f>
        <v>Regulagem de ferragens</v>
      </c>
      <c r="C3062" s="40"/>
      <c r="D3062" s="25" t="s">
        <v>16</v>
      </c>
      <c r="E3062" s="26"/>
      <c r="F3062" s="41" t="s">
        <v>416</v>
      </c>
      <c r="G3062" s="27" t="str">
        <f>IF(ISNUMBER(F3062),E3062*F3062,"")</f>
        <v/>
      </c>
      <c r="H3062" s="28"/>
      <c r="I3062" s="29"/>
      <c r="J3062" s="152">
        <v>0</v>
      </c>
    </row>
    <row r="3063" spans="1:10" ht="15.75" hidden="1" thickBot="1" x14ac:dyDescent="0.3">
      <c r="A3063" s="176"/>
      <c r="B3063" s="174"/>
      <c r="C3063" s="31"/>
      <c r="D3063" s="31"/>
      <c r="E3063" s="32"/>
      <c r="F3063" s="42" t="s">
        <v>416</v>
      </c>
      <c r="G3063" s="33" t="str">
        <f>IF(ISNUMBER(F3063),E3063*F3063,"")</f>
        <v/>
      </c>
      <c r="H3063" s="34"/>
      <c r="I3063" s="30"/>
      <c r="J3063" s="152">
        <v>0</v>
      </c>
    </row>
    <row r="3064" spans="1:10" ht="15.75" hidden="1" thickBot="1" x14ac:dyDescent="0.3">
      <c r="A3064" s="176"/>
      <c r="B3064" s="174"/>
      <c r="C3064" s="35" t="s">
        <v>2909</v>
      </c>
      <c r="D3064" s="35" t="s">
        <v>583</v>
      </c>
      <c r="E3064" s="36">
        <v>1.5</v>
      </c>
      <c r="F3064" s="33">
        <v>25.060999999999996</v>
      </c>
      <c r="G3064" s="33">
        <f>IF(ISNUMBER(F3064),E3064*F3064,"")</f>
        <v>37.591499999999996</v>
      </c>
      <c r="H3064" s="38">
        <f>SUM(G3064:G3064)</f>
        <v>37.591499999999996</v>
      </c>
      <c r="I3064" s="39"/>
      <c r="J3064" s="152">
        <v>0</v>
      </c>
    </row>
    <row r="3065" spans="1:10" ht="15.75" hidden="1" thickBot="1" x14ac:dyDescent="0.3">
      <c r="A3065" s="177"/>
      <c r="B3065" s="175"/>
      <c r="C3065" s="35"/>
      <c r="D3065" s="35"/>
      <c r="E3065" s="36"/>
      <c r="F3065" s="30" t="s">
        <v>416</v>
      </c>
      <c r="G3065" s="33" t="str">
        <f>IF(ISNUMBER(F3065),E3065*F3065,"")</f>
        <v/>
      </c>
      <c r="H3065" s="34"/>
      <c r="I3065" s="30"/>
      <c r="J3065" s="152">
        <v>0</v>
      </c>
    </row>
    <row r="3066" spans="1:10" ht="15.75" hidden="1" thickBot="1" x14ac:dyDescent="0.3">
      <c r="A3066" s="170" t="s">
        <v>768</v>
      </c>
      <c r="B3066" s="173" t="str">
        <f>INDEX(Orçamentária!A:B,MATCH(Composições!A3066,Orçamentária!A:A,0),2)</f>
        <v>Vidro fumê / bronze temperado 10 mm</v>
      </c>
      <c r="C3066" s="40"/>
      <c r="D3066" s="25" t="s">
        <v>70</v>
      </c>
      <c r="E3066" s="26"/>
      <c r="F3066" s="41" t="s">
        <v>416</v>
      </c>
      <c r="G3066" s="27" t="str">
        <f>IF(ISNUMBER(F3066),E3066*F3066,"")</f>
        <v/>
      </c>
      <c r="H3066" s="28"/>
      <c r="I3066" s="29"/>
      <c r="J3066" s="152">
        <v>0</v>
      </c>
    </row>
    <row r="3067" spans="1:10" ht="15.75" hidden="1" thickBot="1" x14ac:dyDescent="0.3">
      <c r="A3067" s="176"/>
      <c r="B3067" s="174"/>
      <c r="C3067" s="31"/>
      <c r="D3067" s="31"/>
      <c r="E3067" s="32"/>
      <c r="F3067" s="42" t="s">
        <v>416</v>
      </c>
      <c r="G3067" s="33" t="str">
        <f>IF(ISNUMBER(F3067),E3067*F3067,"")</f>
        <v/>
      </c>
      <c r="H3067" s="34"/>
      <c r="I3067" s="30"/>
      <c r="J3067" s="152">
        <v>0</v>
      </c>
    </row>
    <row r="3068" spans="1:10" ht="15.75" hidden="1" thickBot="1" x14ac:dyDescent="0.3">
      <c r="A3068" s="176"/>
      <c r="B3068" s="174"/>
      <c r="C3068" s="35" t="s">
        <v>2909</v>
      </c>
      <c r="D3068" s="35" t="s">
        <v>583</v>
      </c>
      <c r="E3068" s="36">
        <v>0.47899999999999998</v>
      </c>
      <c r="F3068" s="33">
        <v>25.060999999999996</v>
      </c>
      <c r="G3068" s="33">
        <f>IF(ISNUMBER(F3068),E3068*F3068,"")</f>
        <v>12.004218999999997</v>
      </c>
      <c r="H3068" s="38">
        <f>SUM(G3068:G3072)</f>
        <v>105.68020399999999</v>
      </c>
      <c r="I3068" s="39"/>
      <c r="J3068" s="152">
        <v>0</v>
      </c>
    </row>
    <row r="3069" spans="1:10" ht="15.75" hidden="1" thickBot="1" x14ac:dyDescent="0.3">
      <c r="A3069" s="176"/>
      <c r="B3069" s="174"/>
      <c r="C3069" s="35" t="s">
        <v>584</v>
      </c>
      <c r="D3069" s="35" t="s">
        <v>583</v>
      </c>
      <c r="E3069" s="36">
        <v>0.46600000000000003</v>
      </c>
      <c r="F3069" s="33">
        <v>20.225499999999997</v>
      </c>
      <c r="G3069" s="33">
        <f>IF(ISNUMBER(F3069),E3069*F3069,"")</f>
        <v>9.425082999999999</v>
      </c>
      <c r="H3069" s="34"/>
      <c r="I3069" s="30"/>
      <c r="J3069" s="152">
        <v>0</v>
      </c>
    </row>
    <row r="3070" spans="1:10" ht="26.25" hidden="1" thickBot="1" x14ac:dyDescent="0.3">
      <c r="A3070" s="176"/>
      <c r="B3070" s="174"/>
      <c r="C3070" s="35" t="s">
        <v>1039</v>
      </c>
      <c r="D3070" s="35" t="s">
        <v>385</v>
      </c>
      <c r="E3070" s="36">
        <v>4.609</v>
      </c>
      <c r="F3070" s="30">
        <v>16.149999999999999</v>
      </c>
      <c r="G3070" s="33">
        <f>IF(ISNUMBER(F3070),E3070*F3070,"")</f>
        <v>74.43535</v>
      </c>
      <c r="H3070" s="34"/>
      <c r="I3070" s="30"/>
      <c r="J3070" s="152">
        <v>0</v>
      </c>
    </row>
    <row r="3071" spans="1:10" ht="26.25" hidden="1" thickBot="1" x14ac:dyDescent="0.3">
      <c r="A3071" s="176"/>
      <c r="B3071" s="174"/>
      <c r="C3071" s="35" t="s">
        <v>8168</v>
      </c>
      <c r="D3071" s="35" t="s">
        <v>385</v>
      </c>
      <c r="E3071" s="36">
        <v>4.0359999999999996</v>
      </c>
      <c r="F3071" s="30">
        <v>2.4319999999999999</v>
      </c>
      <c r="G3071" s="33">
        <f>IF(ISNUMBER(F3071),E3071*F3071,"")</f>
        <v>9.8155519999999985</v>
      </c>
      <c r="H3071" s="34"/>
      <c r="I3071" s="30"/>
      <c r="J3071" s="152">
        <v>0</v>
      </c>
    </row>
    <row r="3072" spans="1:10" ht="15.75" hidden="1" thickBot="1" x14ac:dyDescent="0.3">
      <c r="A3072" s="176"/>
      <c r="B3072" s="174"/>
      <c r="C3072" s="35" t="s">
        <v>769</v>
      </c>
      <c r="D3072" s="35" t="s">
        <v>70</v>
      </c>
      <c r="E3072" s="36">
        <v>1</v>
      </c>
      <c r="F3072" s="30" t="s">
        <v>416</v>
      </c>
      <c r="G3072" s="33" t="str">
        <f>IF(ISNUMBER(F3072),E3072*F3072,"")</f>
        <v/>
      </c>
      <c r="H3072" s="34"/>
      <c r="I3072" s="30"/>
      <c r="J3072" s="152">
        <v>0</v>
      </c>
    </row>
    <row r="3073" spans="1:10" ht="15.75" hidden="1" thickBot="1" x14ac:dyDescent="0.3">
      <c r="A3073" s="177"/>
      <c r="B3073" s="175"/>
      <c r="C3073" s="35"/>
      <c r="D3073" s="35"/>
      <c r="E3073" s="36"/>
      <c r="F3073" s="30" t="s">
        <v>416</v>
      </c>
      <c r="G3073" s="33" t="str">
        <f>IF(ISNUMBER(F3073),E3073*F3073,"")</f>
        <v/>
      </c>
      <c r="H3073" s="34"/>
      <c r="I3073" s="30"/>
      <c r="J3073" s="152">
        <v>0</v>
      </c>
    </row>
    <row r="3074" spans="1:10" ht="15.75" hidden="1" thickBot="1" x14ac:dyDescent="0.3">
      <c r="A3074" s="170" t="s">
        <v>770</v>
      </c>
      <c r="B3074" s="173" t="str">
        <f>INDEX(Orçamentária!A:B,MATCH(Composições!A3074,Orçamentária!A:A,0),2)</f>
        <v>Puxador em aço inox sob medida – Tipo B</v>
      </c>
      <c r="C3074" s="40"/>
      <c r="D3074" s="25" t="s">
        <v>16</v>
      </c>
      <c r="E3074" s="26"/>
      <c r="F3074" s="41" t="s">
        <v>416</v>
      </c>
      <c r="G3074" s="27" t="str">
        <f>IF(ISNUMBER(F3074),E3074*F3074,"")</f>
        <v/>
      </c>
      <c r="H3074" s="28"/>
      <c r="I3074" s="29"/>
      <c r="J3074" s="152">
        <v>0</v>
      </c>
    </row>
    <row r="3075" spans="1:10" ht="15.75" hidden="1" thickBot="1" x14ac:dyDescent="0.3">
      <c r="A3075" s="176"/>
      <c r="B3075" s="174"/>
      <c r="C3075" s="31"/>
      <c r="D3075" s="31"/>
      <c r="E3075" s="32"/>
      <c r="F3075" s="42" t="s">
        <v>416</v>
      </c>
      <c r="G3075" s="33" t="str">
        <f>IF(ISNUMBER(F3075),E3075*F3075,"")</f>
        <v/>
      </c>
      <c r="H3075" s="34"/>
      <c r="I3075" s="30"/>
      <c r="J3075" s="152">
        <v>0</v>
      </c>
    </row>
    <row r="3076" spans="1:10" ht="15.75" hidden="1" thickBot="1" x14ac:dyDescent="0.3">
      <c r="A3076" s="176"/>
      <c r="B3076" s="174"/>
      <c r="C3076" s="35" t="s">
        <v>2909</v>
      </c>
      <c r="D3076" s="35" t="s">
        <v>583</v>
      </c>
      <c r="E3076" s="36">
        <v>0.4</v>
      </c>
      <c r="F3076" s="33">
        <v>25.060999999999996</v>
      </c>
      <c r="G3076" s="33">
        <f>IF(ISNUMBER(F3076),E3076*F3076,"")</f>
        <v>10.0244</v>
      </c>
      <c r="H3076" s="38">
        <f>SUM(G3076:G3077)</f>
        <v>10.0244</v>
      </c>
      <c r="I3076" s="39"/>
      <c r="J3076" s="152">
        <v>0</v>
      </c>
    </row>
    <row r="3077" spans="1:10" ht="15.75" hidden="1" thickBot="1" x14ac:dyDescent="0.3">
      <c r="A3077" s="176"/>
      <c r="B3077" s="174"/>
      <c r="C3077" s="35" t="s">
        <v>771</v>
      </c>
      <c r="D3077" s="46" t="s">
        <v>16</v>
      </c>
      <c r="E3077" s="36">
        <v>1</v>
      </c>
      <c r="F3077" s="30" t="s">
        <v>416</v>
      </c>
      <c r="G3077" s="33" t="str">
        <f>IF(ISNUMBER(F3077),E3077*F3077,"")</f>
        <v/>
      </c>
      <c r="H3077" s="34"/>
      <c r="I3077" s="30"/>
      <c r="J3077" s="152">
        <v>0</v>
      </c>
    </row>
    <row r="3078" spans="1:10" ht="15.75" hidden="1" thickBot="1" x14ac:dyDescent="0.3">
      <c r="A3078" s="177"/>
      <c r="B3078" s="175"/>
      <c r="C3078" s="35"/>
      <c r="D3078" s="35"/>
      <c r="E3078" s="36"/>
      <c r="F3078" s="30" t="s">
        <v>416</v>
      </c>
      <c r="G3078" s="33" t="str">
        <f>IF(ISNUMBER(F3078),E3078*F3078,"")</f>
        <v/>
      </c>
      <c r="H3078" s="34"/>
      <c r="I3078" s="30"/>
      <c r="J3078" s="152">
        <v>0</v>
      </c>
    </row>
    <row r="3079" spans="1:10" ht="15.75" hidden="1" thickBot="1" x14ac:dyDescent="0.3">
      <c r="A3079" s="170" t="s">
        <v>772</v>
      </c>
      <c r="B3079" s="173" t="str">
        <f>INDEX(Orçamentária!A:B,MATCH(Composições!A3079,Orçamentária!A:A,0),2)</f>
        <v>Armação de aço CA-50 bitolas de 5,0 mm a 8,00 mm</v>
      </c>
      <c r="C3079" s="40"/>
      <c r="D3079" s="25" t="s">
        <v>28</v>
      </c>
      <c r="E3079" s="26"/>
      <c r="F3079" s="41" t="s">
        <v>416</v>
      </c>
      <c r="G3079" s="27" t="str">
        <f>IF(ISNUMBER(F3079),E3079*F3079,"")</f>
        <v/>
      </c>
      <c r="H3079" s="28"/>
      <c r="I3079" s="29"/>
      <c r="J3079" s="152">
        <v>0</v>
      </c>
    </row>
    <row r="3080" spans="1:10" ht="15.75" hidden="1" thickBot="1" x14ac:dyDescent="0.3">
      <c r="A3080" s="176"/>
      <c r="B3080" s="174"/>
      <c r="C3080" s="31"/>
      <c r="D3080" s="31"/>
      <c r="E3080" s="32"/>
      <c r="F3080" s="42" t="s">
        <v>416</v>
      </c>
      <c r="G3080" s="33" t="str">
        <f>IF(ISNUMBER(F3080),E3080*F3080,"")</f>
        <v/>
      </c>
      <c r="H3080" s="34"/>
      <c r="I3080" s="30"/>
      <c r="J3080" s="152">
        <v>0</v>
      </c>
    </row>
    <row r="3081" spans="1:10" ht="39" hidden="1" thickBot="1" x14ac:dyDescent="0.3">
      <c r="A3081" s="176"/>
      <c r="B3081" s="174"/>
      <c r="C3081" s="35" t="s">
        <v>774</v>
      </c>
      <c r="D3081" s="35" t="s">
        <v>213</v>
      </c>
      <c r="E3081" s="36">
        <v>0.74299999999999999</v>
      </c>
      <c r="F3081" s="30">
        <v>0.20899999999999999</v>
      </c>
      <c r="G3081" s="33">
        <f>IF(ISNUMBER(F3081),E3081*F3081,"")</f>
        <v>0.15528699999999998</v>
      </c>
      <c r="H3081" s="38">
        <f>SUM(G3081:G3085)</f>
        <v>13.973526249999999</v>
      </c>
      <c r="I3081" s="39"/>
      <c r="J3081" s="152">
        <v>0</v>
      </c>
    </row>
    <row r="3082" spans="1:10" ht="26.25" hidden="1" thickBot="1" x14ac:dyDescent="0.3">
      <c r="A3082" s="176"/>
      <c r="B3082" s="174"/>
      <c r="C3082" s="35" t="s">
        <v>3060</v>
      </c>
      <c r="D3082" s="35" t="s">
        <v>773</v>
      </c>
      <c r="E3082" s="36">
        <v>2.5000000000000001E-2</v>
      </c>
      <c r="F3082" s="30">
        <v>21.042499999999997</v>
      </c>
      <c r="G3082" s="33">
        <f>IF(ISNUMBER(F3082),E3082*F3082,"")</f>
        <v>0.52606249999999999</v>
      </c>
      <c r="H3082" s="34"/>
      <c r="I3082" s="30"/>
      <c r="J3082" s="152">
        <v>0</v>
      </c>
    </row>
    <row r="3083" spans="1:10" ht="15.75" hidden="1" thickBot="1" x14ac:dyDescent="0.3">
      <c r="A3083" s="176"/>
      <c r="B3083" s="174"/>
      <c r="C3083" s="35" t="s">
        <v>775</v>
      </c>
      <c r="D3083" s="35" t="s">
        <v>583</v>
      </c>
      <c r="E3083" s="36">
        <v>9.1999999999999998E-3</v>
      </c>
      <c r="F3083" s="30">
        <v>20.196999999999999</v>
      </c>
      <c r="G3083" s="33">
        <f>IF(ISNUMBER(F3083),E3083*F3083,"")</f>
        <v>0.18581239999999999</v>
      </c>
      <c r="H3083" s="34"/>
      <c r="I3083" s="30"/>
      <c r="J3083" s="152">
        <v>0</v>
      </c>
    </row>
    <row r="3084" spans="1:10" ht="15.75" hidden="1" thickBot="1" x14ac:dyDescent="0.3">
      <c r="A3084" s="176"/>
      <c r="B3084" s="174"/>
      <c r="C3084" s="35" t="s">
        <v>776</v>
      </c>
      <c r="D3084" s="35" t="s">
        <v>583</v>
      </c>
      <c r="E3084" s="36">
        <v>5.6099999999999997E-2</v>
      </c>
      <c r="F3084" s="30">
        <v>26.970499999999998</v>
      </c>
      <c r="G3084" s="33">
        <f>IF(ISNUMBER(F3084),E3084*F3084,"")</f>
        <v>1.5130450499999999</v>
      </c>
      <c r="H3084" s="34"/>
      <c r="I3084" s="30"/>
      <c r="J3084" s="152">
        <v>0</v>
      </c>
    </row>
    <row r="3085" spans="1:10" ht="15.75" hidden="1" thickBot="1" x14ac:dyDescent="0.3">
      <c r="A3085" s="176"/>
      <c r="B3085" s="174"/>
      <c r="C3085" s="35" t="s">
        <v>6817</v>
      </c>
      <c r="D3085" s="35" t="s">
        <v>773</v>
      </c>
      <c r="E3085" s="36">
        <v>1</v>
      </c>
      <c r="F3085" s="30">
        <v>11.593319299999999</v>
      </c>
      <c r="G3085" s="33">
        <f>IF(ISNUMBER(F3085),E3085*F3085,"")</f>
        <v>11.593319299999999</v>
      </c>
      <c r="H3085" s="34"/>
      <c r="I3085" s="30"/>
      <c r="J3085" s="152">
        <v>0</v>
      </c>
    </row>
    <row r="3086" spans="1:10" ht="15.75" hidden="1" thickBot="1" x14ac:dyDescent="0.3">
      <c r="A3086" s="177"/>
      <c r="B3086" s="175"/>
      <c r="C3086" s="35"/>
      <c r="D3086" s="35"/>
      <c r="E3086" s="36"/>
      <c r="F3086" s="30" t="s">
        <v>416</v>
      </c>
      <c r="G3086" s="33" t="str">
        <f>IF(ISNUMBER(F3086),E3086*F3086,"")</f>
        <v/>
      </c>
      <c r="H3086" s="34"/>
      <c r="I3086" s="30"/>
      <c r="J3086" s="152">
        <v>0</v>
      </c>
    </row>
    <row r="3087" spans="1:10" ht="15.75" hidden="1" thickBot="1" x14ac:dyDescent="0.3">
      <c r="A3087" s="170" t="s">
        <v>777</v>
      </c>
      <c r="B3087" s="173" t="str">
        <f>INDEX(Orçamentária!A:B,MATCH(Composições!A3087,Orçamentária!A:A,0),2)</f>
        <v>Pivô para dobradiça inferior (Montagem com a 1103-TQ)</v>
      </c>
      <c r="C3087" s="40"/>
      <c r="D3087" s="25" t="s">
        <v>16</v>
      </c>
      <c r="E3087" s="26"/>
      <c r="F3087" s="41" t="s">
        <v>416</v>
      </c>
      <c r="G3087" s="27" t="str">
        <f>IF(ISNUMBER(F3087),E3087*F3087,"")</f>
        <v/>
      </c>
      <c r="H3087" s="28"/>
      <c r="I3087" s="29"/>
      <c r="J3087" s="152">
        <v>0</v>
      </c>
    </row>
    <row r="3088" spans="1:10" ht="15.75" hidden="1" thickBot="1" x14ac:dyDescent="0.3">
      <c r="A3088" s="176"/>
      <c r="B3088" s="174"/>
      <c r="C3088" s="31"/>
      <c r="D3088" s="31"/>
      <c r="E3088" s="32"/>
      <c r="F3088" s="42" t="s">
        <v>416</v>
      </c>
      <c r="G3088" s="33" t="str">
        <f>IF(ISNUMBER(F3088),E3088*F3088,"")</f>
        <v/>
      </c>
      <c r="H3088" s="34"/>
      <c r="I3088" s="30"/>
      <c r="J3088" s="152">
        <v>0</v>
      </c>
    </row>
    <row r="3089" spans="1:10" ht="15.75" hidden="1" thickBot="1" x14ac:dyDescent="0.3">
      <c r="A3089" s="176"/>
      <c r="B3089" s="174"/>
      <c r="C3089" s="35" t="s">
        <v>2909</v>
      </c>
      <c r="D3089" s="35" t="s">
        <v>583</v>
      </c>
      <c r="E3089" s="36">
        <v>0.2</v>
      </c>
      <c r="F3089" s="33">
        <v>25.060999999999996</v>
      </c>
      <c r="G3089" s="33">
        <f>IF(ISNUMBER(F3089),E3089*F3089,"")</f>
        <v>5.0122</v>
      </c>
      <c r="H3089" s="38">
        <f>SUM(G3089:G3090)</f>
        <v>5.0122</v>
      </c>
      <c r="I3089" s="39"/>
      <c r="J3089" s="152">
        <v>0</v>
      </c>
    </row>
    <row r="3090" spans="1:10" ht="26.25" hidden="1" thickBot="1" x14ac:dyDescent="0.3">
      <c r="A3090" s="176"/>
      <c r="B3090" s="174"/>
      <c r="C3090" s="35" t="s">
        <v>778</v>
      </c>
      <c r="D3090" s="35" t="s">
        <v>16</v>
      </c>
      <c r="E3090" s="36">
        <v>1</v>
      </c>
      <c r="F3090" s="30" t="s">
        <v>416</v>
      </c>
      <c r="G3090" s="33" t="str">
        <f>IF(ISNUMBER(F3090),E3090*F3090,"")</f>
        <v/>
      </c>
      <c r="H3090" s="34"/>
      <c r="I3090" s="30"/>
      <c r="J3090" s="152">
        <v>0</v>
      </c>
    </row>
    <row r="3091" spans="1:10" ht="15.75" hidden="1" thickBot="1" x14ac:dyDescent="0.3">
      <c r="A3091" s="177"/>
      <c r="B3091" s="175"/>
      <c r="C3091" s="35"/>
      <c r="D3091" s="35"/>
      <c r="E3091" s="36"/>
      <c r="F3091" s="30" t="s">
        <v>416</v>
      </c>
      <c r="G3091" s="33" t="str">
        <f>IF(ISNUMBER(F3091),E3091*F3091,"")</f>
        <v/>
      </c>
      <c r="H3091" s="34"/>
      <c r="I3091" s="30"/>
      <c r="J3091" s="152">
        <v>0</v>
      </c>
    </row>
    <row r="3092" spans="1:10" ht="15.75" hidden="1" thickBot="1" x14ac:dyDescent="0.3">
      <c r="A3092" s="170" t="s">
        <v>779</v>
      </c>
      <c r="B3092" s="173" t="str">
        <f>INDEX(Orçamentária!A:B,MATCH(Composições!A3092,Orçamentária!A:A,0),2)</f>
        <v>Dobradiça direita inferior excêntrica</v>
      </c>
      <c r="C3092" s="40"/>
      <c r="D3092" s="25" t="s">
        <v>16</v>
      </c>
      <c r="E3092" s="26"/>
      <c r="F3092" s="41" t="s">
        <v>416</v>
      </c>
      <c r="G3092" s="27" t="str">
        <f>IF(ISNUMBER(F3092),E3092*F3092,"")</f>
        <v/>
      </c>
      <c r="H3092" s="28"/>
      <c r="I3092" s="29"/>
      <c r="J3092" s="152">
        <v>0</v>
      </c>
    </row>
    <row r="3093" spans="1:10" ht="15.75" hidden="1" thickBot="1" x14ac:dyDescent="0.3">
      <c r="A3093" s="176"/>
      <c r="B3093" s="174"/>
      <c r="C3093" s="31"/>
      <c r="D3093" s="31"/>
      <c r="E3093" s="32"/>
      <c r="F3093" s="42" t="s">
        <v>416</v>
      </c>
      <c r="G3093" s="33" t="str">
        <f>IF(ISNUMBER(F3093),E3093*F3093,"")</f>
        <v/>
      </c>
      <c r="H3093" s="34"/>
      <c r="I3093" s="30"/>
      <c r="J3093" s="152">
        <v>0</v>
      </c>
    </row>
    <row r="3094" spans="1:10" ht="15.75" hidden="1" thickBot="1" x14ac:dyDescent="0.3">
      <c r="A3094" s="176"/>
      <c r="B3094" s="174"/>
      <c r="C3094" s="35" t="s">
        <v>2909</v>
      </c>
      <c r="D3094" s="35" t="s">
        <v>583</v>
      </c>
      <c r="E3094" s="36">
        <v>0.3</v>
      </c>
      <c r="F3094" s="33">
        <v>25.060999999999996</v>
      </c>
      <c r="G3094" s="33">
        <f>IF(ISNUMBER(F3094),E3094*F3094,"")</f>
        <v>7.5182999999999982</v>
      </c>
      <c r="H3094" s="38">
        <f>SUM(G3094:G3095)</f>
        <v>7.5182999999999982</v>
      </c>
      <c r="I3094" s="39"/>
      <c r="J3094" s="152">
        <v>0</v>
      </c>
    </row>
    <row r="3095" spans="1:10" ht="39" hidden="1" thickBot="1" x14ac:dyDescent="0.3">
      <c r="A3095" s="176"/>
      <c r="B3095" s="174"/>
      <c r="C3095" s="35" t="s">
        <v>780</v>
      </c>
      <c r="D3095" s="35" t="s">
        <v>16</v>
      </c>
      <c r="E3095" s="36">
        <v>1</v>
      </c>
      <c r="F3095" s="30" t="s">
        <v>416</v>
      </c>
      <c r="G3095" s="33" t="str">
        <f>IF(ISNUMBER(F3095),E3095*F3095,"")</f>
        <v/>
      </c>
      <c r="H3095" s="34"/>
      <c r="I3095" s="30"/>
      <c r="J3095" s="152">
        <v>0</v>
      </c>
    </row>
    <row r="3096" spans="1:10" ht="15.75" hidden="1" thickBot="1" x14ac:dyDescent="0.3">
      <c r="A3096" s="177"/>
      <c r="B3096" s="175"/>
      <c r="C3096" s="35"/>
      <c r="D3096" s="35"/>
      <c r="E3096" s="36"/>
      <c r="F3096" s="30" t="s">
        <v>416</v>
      </c>
      <c r="G3096" s="33" t="str">
        <f>IF(ISNUMBER(F3096),E3096*F3096,"")</f>
        <v/>
      </c>
      <c r="H3096" s="34"/>
      <c r="I3096" s="30"/>
      <c r="J3096" s="152">
        <v>0</v>
      </c>
    </row>
    <row r="3097" spans="1:10" ht="15.75" hidden="1" thickBot="1" x14ac:dyDescent="0.3">
      <c r="A3097" s="170" t="s">
        <v>781</v>
      </c>
      <c r="B3097" s="173" t="str">
        <f>INDEX(Orçamentária!A:B,MATCH(Composições!A3097,Orçamentária!A:A,0),2)</f>
        <v>Dobradiça esquerda inferior excêntrica</v>
      </c>
      <c r="C3097" s="40"/>
      <c r="D3097" s="25" t="s">
        <v>16</v>
      </c>
      <c r="E3097" s="26"/>
      <c r="F3097" s="41" t="s">
        <v>416</v>
      </c>
      <c r="G3097" s="27" t="str">
        <f>IF(ISNUMBER(F3097),E3097*F3097,"")</f>
        <v/>
      </c>
      <c r="H3097" s="28"/>
      <c r="I3097" s="29"/>
      <c r="J3097" s="152">
        <v>0</v>
      </c>
    </row>
    <row r="3098" spans="1:10" ht="15.75" hidden="1" thickBot="1" x14ac:dyDescent="0.3">
      <c r="A3098" s="176"/>
      <c r="B3098" s="174"/>
      <c r="C3098" s="31"/>
      <c r="D3098" s="31"/>
      <c r="E3098" s="32"/>
      <c r="F3098" s="42" t="s">
        <v>416</v>
      </c>
      <c r="G3098" s="33" t="str">
        <f>IF(ISNUMBER(F3098),E3098*F3098,"")</f>
        <v/>
      </c>
      <c r="H3098" s="34"/>
      <c r="I3098" s="30"/>
      <c r="J3098" s="152">
        <v>0</v>
      </c>
    </row>
    <row r="3099" spans="1:10" ht="15.75" hidden="1" thickBot="1" x14ac:dyDescent="0.3">
      <c r="A3099" s="176"/>
      <c r="B3099" s="174"/>
      <c r="C3099" s="35" t="s">
        <v>2909</v>
      </c>
      <c r="D3099" s="35" t="s">
        <v>583</v>
      </c>
      <c r="E3099" s="36">
        <v>0.3</v>
      </c>
      <c r="F3099" s="33">
        <v>25.060999999999996</v>
      </c>
      <c r="G3099" s="33">
        <f>IF(ISNUMBER(F3099),E3099*F3099,"")</f>
        <v>7.5182999999999982</v>
      </c>
      <c r="H3099" s="38">
        <f>SUM(G3099:G3100)</f>
        <v>7.5182999999999982</v>
      </c>
      <c r="I3099" s="39"/>
      <c r="J3099" s="152">
        <v>0</v>
      </c>
    </row>
    <row r="3100" spans="1:10" ht="39" hidden="1" thickBot="1" x14ac:dyDescent="0.3">
      <c r="A3100" s="176"/>
      <c r="B3100" s="174"/>
      <c r="C3100" s="35" t="s">
        <v>782</v>
      </c>
      <c r="D3100" s="35" t="s">
        <v>16</v>
      </c>
      <c r="E3100" s="36">
        <v>1</v>
      </c>
      <c r="F3100" s="30" t="s">
        <v>416</v>
      </c>
      <c r="G3100" s="33" t="str">
        <f>IF(ISNUMBER(F3100),E3100*F3100,"")</f>
        <v/>
      </c>
      <c r="H3100" s="34"/>
      <c r="I3100" s="30"/>
      <c r="J3100" s="152">
        <v>0</v>
      </c>
    </row>
    <row r="3101" spans="1:10" ht="15.75" hidden="1" thickBot="1" x14ac:dyDescent="0.3">
      <c r="A3101" s="177"/>
      <c r="B3101" s="175"/>
      <c r="C3101" s="35"/>
      <c r="D3101" s="35"/>
      <c r="E3101" s="36"/>
      <c r="F3101" s="30" t="s">
        <v>416</v>
      </c>
      <c r="G3101" s="33" t="str">
        <f>IF(ISNUMBER(F3101),E3101*F3101,"")</f>
        <v/>
      </c>
      <c r="H3101" s="34"/>
      <c r="I3101" s="30"/>
      <c r="J3101" s="152">
        <v>0</v>
      </c>
    </row>
    <row r="3102" spans="1:10" ht="15.75" hidden="1" thickBot="1" x14ac:dyDescent="0.3">
      <c r="A3102" s="170" t="s">
        <v>783</v>
      </c>
      <c r="B3102" s="173" t="str">
        <f>INDEX(Orçamentária!A:B,MATCH(Composições!A3102,Orçamentária!A:A,0),2)</f>
        <v>Dobradiça pivotante inferior com trinco</v>
      </c>
      <c r="C3102" s="40"/>
      <c r="D3102" s="25" t="s">
        <v>16</v>
      </c>
      <c r="E3102" s="26"/>
      <c r="F3102" s="41" t="s">
        <v>416</v>
      </c>
      <c r="G3102" s="27" t="str">
        <f>IF(ISNUMBER(F3102),E3102*F3102,"")</f>
        <v/>
      </c>
      <c r="H3102" s="28"/>
      <c r="I3102" s="29"/>
      <c r="J3102" s="152">
        <v>0</v>
      </c>
    </row>
    <row r="3103" spans="1:10" ht="15.75" hidden="1" thickBot="1" x14ac:dyDescent="0.3">
      <c r="A3103" s="176"/>
      <c r="B3103" s="174"/>
      <c r="C3103" s="31"/>
      <c r="D3103" s="31"/>
      <c r="E3103" s="32"/>
      <c r="F3103" s="42" t="s">
        <v>416</v>
      </c>
      <c r="G3103" s="33" t="str">
        <f>IF(ISNUMBER(F3103),E3103*F3103,"")</f>
        <v/>
      </c>
      <c r="H3103" s="34"/>
      <c r="I3103" s="30"/>
      <c r="J3103" s="152">
        <v>0</v>
      </c>
    </row>
    <row r="3104" spans="1:10" ht="15.75" hidden="1" thickBot="1" x14ac:dyDescent="0.3">
      <c r="A3104" s="176"/>
      <c r="B3104" s="174"/>
      <c r="C3104" s="35" t="s">
        <v>2909</v>
      </c>
      <c r="D3104" s="35" t="s">
        <v>583</v>
      </c>
      <c r="E3104" s="36">
        <v>0.3</v>
      </c>
      <c r="F3104" s="33">
        <v>25.060999999999996</v>
      </c>
      <c r="G3104" s="33">
        <f>IF(ISNUMBER(F3104),E3104*F3104,"")</f>
        <v>7.5182999999999982</v>
      </c>
      <c r="H3104" s="38">
        <f>SUM(G3104:G3105)</f>
        <v>7.5182999999999982</v>
      </c>
      <c r="I3104" s="39"/>
      <c r="J3104" s="152">
        <v>0</v>
      </c>
    </row>
    <row r="3105" spans="1:10" ht="26.25" hidden="1" thickBot="1" x14ac:dyDescent="0.3">
      <c r="A3105" s="176"/>
      <c r="B3105" s="174"/>
      <c r="C3105" s="35" t="s">
        <v>784</v>
      </c>
      <c r="D3105" s="35" t="s">
        <v>16</v>
      </c>
      <c r="E3105" s="36">
        <v>1</v>
      </c>
      <c r="F3105" s="30" t="s">
        <v>416</v>
      </c>
      <c r="G3105" s="33" t="str">
        <f>IF(ISNUMBER(F3105),E3105*F3105,"")</f>
        <v/>
      </c>
      <c r="H3105" s="34"/>
      <c r="I3105" s="30"/>
      <c r="J3105" s="152">
        <v>0</v>
      </c>
    </row>
    <row r="3106" spans="1:10" ht="15.75" hidden="1" thickBot="1" x14ac:dyDescent="0.3">
      <c r="A3106" s="177"/>
      <c r="B3106" s="175"/>
      <c r="C3106" s="35"/>
      <c r="D3106" s="35"/>
      <c r="E3106" s="36"/>
      <c r="F3106" s="30" t="s">
        <v>416</v>
      </c>
      <c r="G3106" s="33" t="str">
        <f>IF(ISNUMBER(F3106),E3106*F3106,"")</f>
        <v/>
      </c>
      <c r="H3106" s="34"/>
      <c r="I3106" s="30"/>
      <c r="J3106" s="152">
        <v>0</v>
      </c>
    </row>
    <row r="3107" spans="1:10" ht="15.75" hidden="1" thickBot="1" x14ac:dyDescent="0.3">
      <c r="A3107" s="170" t="s">
        <v>785</v>
      </c>
      <c r="B3107" s="173" t="str">
        <f>INDEX(Orçamentária!A:B,MATCH(Composições!A3107,Orçamentária!A:A,0),2)</f>
        <v>Carrinho para porta de correr 1 roldana e 2 furos</v>
      </c>
      <c r="C3107" s="40"/>
      <c r="D3107" s="25" t="s">
        <v>16</v>
      </c>
      <c r="E3107" s="26"/>
      <c r="F3107" s="41" t="s">
        <v>416</v>
      </c>
      <c r="G3107" s="27" t="str">
        <f>IF(ISNUMBER(F3107),E3107*F3107,"")</f>
        <v/>
      </c>
      <c r="H3107" s="28"/>
      <c r="I3107" s="29"/>
      <c r="J3107" s="152">
        <v>0</v>
      </c>
    </row>
    <row r="3108" spans="1:10" ht="15.75" hidden="1" thickBot="1" x14ac:dyDescent="0.3">
      <c r="A3108" s="176"/>
      <c r="B3108" s="174"/>
      <c r="C3108" s="31"/>
      <c r="D3108" s="31"/>
      <c r="E3108" s="32"/>
      <c r="F3108" s="42" t="s">
        <v>416</v>
      </c>
      <c r="G3108" s="33" t="str">
        <f>IF(ISNUMBER(F3108),E3108*F3108,"")</f>
        <v/>
      </c>
      <c r="H3108" s="34"/>
      <c r="I3108" s="30"/>
      <c r="J3108" s="152">
        <v>0</v>
      </c>
    </row>
    <row r="3109" spans="1:10" ht="15.75" hidden="1" thickBot="1" x14ac:dyDescent="0.3">
      <c r="A3109" s="176"/>
      <c r="B3109" s="174"/>
      <c r="C3109" s="35" t="s">
        <v>2909</v>
      </c>
      <c r="D3109" s="35" t="s">
        <v>583</v>
      </c>
      <c r="E3109" s="36">
        <v>0.15</v>
      </c>
      <c r="F3109" s="33">
        <v>25.060999999999996</v>
      </c>
      <c r="G3109" s="33">
        <f>IF(ISNUMBER(F3109),E3109*F3109,"")</f>
        <v>3.7591499999999991</v>
      </c>
      <c r="H3109" s="38">
        <f>SUM(G3109:G3110)</f>
        <v>3.7591499999999991</v>
      </c>
      <c r="I3109" s="39"/>
      <c r="J3109" s="152">
        <v>0</v>
      </c>
    </row>
    <row r="3110" spans="1:10" ht="26.25" hidden="1" thickBot="1" x14ac:dyDescent="0.3">
      <c r="A3110" s="176"/>
      <c r="B3110" s="174"/>
      <c r="C3110" s="35" t="s">
        <v>786</v>
      </c>
      <c r="D3110" s="35" t="s">
        <v>16</v>
      </c>
      <c r="E3110" s="36">
        <v>1</v>
      </c>
      <c r="F3110" s="30" t="s">
        <v>416</v>
      </c>
      <c r="G3110" s="33" t="str">
        <f>IF(ISNUMBER(F3110),E3110*F3110,"")</f>
        <v/>
      </c>
      <c r="H3110" s="34"/>
      <c r="I3110" s="30"/>
      <c r="J3110" s="152">
        <v>0</v>
      </c>
    </row>
    <row r="3111" spans="1:10" ht="15.75" hidden="1" thickBot="1" x14ac:dyDescent="0.3">
      <c r="A3111" s="177"/>
      <c r="B3111" s="175"/>
      <c r="C3111" s="35"/>
      <c r="D3111" s="35"/>
      <c r="E3111" s="36"/>
      <c r="F3111" s="30" t="s">
        <v>416</v>
      </c>
      <c r="G3111" s="33" t="str">
        <f>IF(ISNUMBER(F3111),E3111*F3111,"")</f>
        <v/>
      </c>
      <c r="H3111" s="34"/>
      <c r="I3111" s="30"/>
      <c r="J3111" s="152">
        <v>0</v>
      </c>
    </row>
    <row r="3112" spans="1:10" ht="15.75" hidden="1" thickBot="1" x14ac:dyDescent="0.3">
      <c r="A3112" s="170" t="s">
        <v>787</v>
      </c>
      <c r="B3112" s="173" t="str">
        <f>INDEX(Orçamentária!A:B,MATCH(Composições!A3112,Orçamentária!A:A,0),2)</f>
        <v>Carrinho para porta de correr 2 roldanas e 2 furos</v>
      </c>
      <c r="C3112" s="40"/>
      <c r="D3112" s="25" t="s">
        <v>16</v>
      </c>
      <c r="E3112" s="26"/>
      <c r="F3112" s="41" t="s">
        <v>416</v>
      </c>
      <c r="G3112" s="27" t="str">
        <f>IF(ISNUMBER(F3112),E3112*F3112,"")</f>
        <v/>
      </c>
      <c r="H3112" s="28"/>
      <c r="I3112" s="29"/>
      <c r="J3112" s="152">
        <v>0</v>
      </c>
    </row>
    <row r="3113" spans="1:10" ht="15.75" hidden="1" thickBot="1" x14ac:dyDescent="0.3">
      <c r="A3113" s="176"/>
      <c r="B3113" s="174"/>
      <c r="C3113" s="31"/>
      <c r="D3113" s="31"/>
      <c r="E3113" s="32"/>
      <c r="F3113" s="42" t="s">
        <v>416</v>
      </c>
      <c r="G3113" s="33" t="str">
        <f>IF(ISNUMBER(F3113),E3113*F3113,"")</f>
        <v/>
      </c>
      <c r="H3113" s="34"/>
      <c r="I3113" s="30"/>
      <c r="J3113" s="152">
        <v>0</v>
      </c>
    </row>
    <row r="3114" spans="1:10" ht="15.75" hidden="1" thickBot="1" x14ac:dyDescent="0.3">
      <c r="A3114" s="176"/>
      <c r="B3114" s="174"/>
      <c r="C3114" s="35" t="s">
        <v>2909</v>
      </c>
      <c r="D3114" s="35" t="s">
        <v>583</v>
      </c>
      <c r="E3114" s="36">
        <v>0.15</v>
      </c>
      <c r="F3114" s="33">
        <v>25.060999999999996</v>
      </c>
      <c r="G3114" s="33">
        <f>IF(ISNUMBER(F3114),E3114*F3114,"")</f>
        <v>3.7591499999999991</v>
      </c>
      <c r="H3114" s="38">
        <f>SUM(G3114:G3115)</f>
        <v>3.7591499999999991</v>
      </c>
      <c r="I3114" s="39"/>
      <c r="J3114" s="152">
        <v>0</v>
      </c>
    </row>
    <row r="3115" spans="1:10" ht="26.25" hidden="1" thickBot="1" x14ac:dyDescent="0.3">
      <c r="A3115" s="176"/>
      <c r="B3115" s="174"/>
      <c r="C3115" s="35" t="s">
        <v>788</v>
      </c>
      <c r="D3115" s="35" t="s">
        <v>16</v>
      </c>
      <c r="E3115" s="36">
        <v>1</v>
      </c>
      <c r="F3115" s="30" t="s">
        <v>416</v>
      </c>
      <c r="G3115" s="33" t="str">
        <f>IF(ISNUMBER(F3115),E3115*F3115,"")</f>
        <v/>
      </c>
      <c r="H3115" s="34"/>
      <c r="I3115" s="30"/>
      <c r="J3115" s="152">
        <v>0</v>
      </c>
    </row>
    <row r="3116" spans="1:10" ht="15.75" hidden="1" thickBot="1" x14ac:dyDescent="0.3">
      <c r="A3116" s="177"/>
      <c r="B3116" s="175"/>
      <c r="C3116" s="35"/>
      <c r="D3116" s="35"/>
      <c r="E3116" s="36"/>
      <c r="F3116" s="30" t="s">
        <v>416</v>
      </c>
      <c r="G3116" s="33" t="str">
        <f>IF(ISNUMBER(F3116),E3116*F3116,"")</f>
        <v/>
      </c>
      <c r="H3116" s="34"/>
      <c r="I3116" s="30"/>
      <c r="J3116" s="152">
        <v>0</v>
      </c>
    </row>
    <row r="3117" spans="1:10" ht="15.75" hidden="1" thickBot="1" x14ac:dyDescent="0.3">
      <c r="A3117" s="170" t="s">
        <v>789</v>
      </c>
      <c r="B3117" s="173" t="str">
        <f>INDEX(Orçamentária!A:B,MATCH(Composições!A3117,Orçamentária!A:A,0),2)</f>
        <v>Carrinho para porta de correr com roldana côncava</v>
      </c>
      <c r="C3117" s="40"/>
      <c r="D3117" s="25" t="s">
        <v>16</v>
      </c>
      <c r="E3117" s="26"/>
      <c r="F3117" s="41" t="s">
        <v>416</v>
      </c>
      <c r="G3117" s="27" t="str">
        <f>IF(ISNUMBER(F3117),E3117*F3117,"")</f>
        <v/>
      </c>
      <c r="H3117" s="28"/>
      <c r="I3117" s="29"/>
      <c r="J3117" s="152">
        <v>0</v>
      </c>
    </row>
    <row r="3118" spans="1:10" ht="15.75" hidden="1" thickBot="1" x14ac:dyDescent="0.3">
      <c r="A3118" s="176"/>
      <c r="B3118" s="174"/>
      <c r="C3118" s="31"/>
      <c r="D3118" s="31"/>
      <c r="E3118" s="32"/>
      <c r="F3118" s="42" t="s">
        <v>416</v>
      </c>
      <c r="G3118" s="33" t="str">
        <f>IF(ISNUMBER(F3118),E3118*F3118,"")</f>
        <v/>
      </c>
      <c r="H3118" s="34"/>
      <c r="I3118" s="30"/>
      <c r="J3118" s="152">
        <v>0</v>
      </c>
    </row>
    <row r="3119" spans="1:10" ht="15.75" hidden="1" thickBot="1" x14ac:dyDescent="0.3">
      <c r="A3119" s="176"/>
      <c r="B3119" s="174"/>
      <c r="C3119" s="35" t="s">
        <v>2909</v>
      </c>
      <c r="D3119" s="35" t="s">
        <v>583</v>
      </c>
      <c r="E3119" s="36">
        <v>0.15</v>
      </c>
      <c r="F3119" s="33">
        <v>25.060999999999996</v>
      </c>
      <c r="G3119" s="33">
        <f>IF(ISNUMBER(F3119),E3119*F3119,"")</f>
        <v>3.7591499999999991</v>
      </c>
      <c r="H3119" s="38">
        <f>SUM(G3119:G3120)</f>
        <v>3.7591499999999991</v>
      </c>
      <c r="I3119" s="39"/>
      <c r="J3119" s="152">
        <v>0</v>
      </c>
    </row>
    <row r="3120" spans="1:10" ht="26.25" hidden="1" thickBot="1" x14ac:dyDescent="0.3">
      <c r="A3120" s="176"/>
      <c r="B3120" s="174"/>
      <c r="C3120" s="35" t="s">
        <v>790</v>
      </c>
      <c r="D3120" s="35" t="s">
        <v>16</v>
      </c>
      <c r="E3120" s="36">
        <v>1</v>
      </c>
      <c r="F3120" s="30" t="s">
        <v>416</v>
      </c>
      <c r="G3120" s="33" t="str">
        <f>IF(ISNUMBER(F3120),E3120*F3120,"")</f>
        <v/>
      </c>
      <c r="H3120" s="34"/>
      <c r="I3120" s="30"/>
      <c r="J3120" s="152">
        <v>0</v>
      </c>
    </row>
    <row r="3121" spans="1:10" ht="15.75" hidden="1" thickBot="1" x14ac:dyDescent="0.3">
      <c r="A3121" s="177"/>
      <c r="B3121" s="175"/>
      <c r="C3121" s="35"/>
      <c r="D3121" s="35"/>
      <c r="E3121" s="36"/>
      <c r="F3121" s="30" t="s">
        <v>416</v>
      </c>
      <c r="G3121" s="33" t="str">
        <f>IF(ISNUMBER(F3121),E3121*F3121,"")</f>
        <v/>
      </c>
      <c r="H3121" s="34"/>
      <c r="I3121" s="30"/>
      <c r="J3121" s="152">
        <v>0</v>
      </c>
    </row>
    <row r="3122" spans="1:10" ht="15.75" hidden="1" thickBot="1" x14ac:dyDescent="0.3">
      <c r="A3122" s="170" t="s">
        <v>791</v>
      </c>
      <c r="B3122" s="173" t="str">
        <f>INDEX(Orçamentária!A:B,MATCH(Composições!A3122,Orçamentária!A:A,0),2)</f>
        <v>Guia de nylon para porta de correr</v>
      </c>
      <c r="C3122" s="40"/>
      <c r="D3122" s="25" t="s">
        <v>16</v>
      </c>
      <c r="E3122" s="26"/>
      <c r="F3122" s="41" t="s">
        <v>416</v>
      </c>
      <c r="G3122" s="27" t="str">
        <f>IF(ISNUMBER(F3122),E3122*F3122,"")</f>
        <v/>
      </c>
      <c r="H3122" s="28"/>
      <c r="I3122" s="29"/>
      <c r="J3122" s="152">
        <v>0</v>
      </c>
    </row>
    <row r="3123" spans="1:10" ht="15.75" hidden="1" thickBot="1" x14ac:dyDescent="0.3">
      <c r="A3123" s="176"/>
      <c r="B3123" s="174"/>
      <c r="C3123" s="31"/>
      <c r="D3123" s="31"/>
      <c r="E3123" s="32"/>
      <c r="F3123" s="42" t="s">
        <v>416</v>
      </c>
      <c r="G3123" s="33" t="str">
        <f>IF(ISNUMBER(F3123),E3123*F3123,"")</f>
        <v/>
      </c>
      <c r="H3123" s="34"/>
      <c r="I3123" s="30"/>
      <c r="J3123" s="152">
        <v>0</v>
      </c>
    </row>
    <row r="3124" spans="1:10" ht="15.75" hidden="1" thickBot="1" x14ac:dyDescent="0.3">
      <c r="A3124" s="176"/>
      <c r="B3124" s="174"/>
      <c r="C3124" s="35" t="s">
        <v>2909</v>
      </c>
      <c r="D3124" s="35" t="s">
        <v>583</v>
      </c>
      <c r="E3124" s="36">
        <v>0.15</v>
      </c>
      <c r="F3124" s="33">
        <v>25.060999999999996</v>
      </c>
      <c r="G3124" s="33">
        <f>IF(ISNUMBER(F3124),E3124*F3124,"")</f>
        <v>3.7591499999999991</v>
      </c>
      <c r="H3124" s="38">
        <f>SUM(G3124:G3125)</f>
        <v>3.7591499999999991</v>
      </c>
      <c r="I3124" s="39"/>
      <c r="J3124" s="152">
        <v>0</v>
      </c>
    </row>
    <row r="3125" spans="1:10" ht="15.75" hidden="1" thickBot="1" x14ac:dyDescent="0.3">
      <c r="A3125" s="176"/>
      <c r="B3125" s="174"/>
      <c r="C3125" s="35" t="s">
        <v>792</v>
      </c>
      <c r="D3125" s="35" t="s">
        <v>16</v>
      </c>
      <c r="E3125" s="36">
        <v>1</v>
      </c>
      <c r="F3125" s="30" t="s">
        <v>416</v>
      </c>
      <c r="G3125" s="33" t="str">
        <f>IF(ISNUMBER(F3125),E3125*F3125,"")</f>
        <v/>
      </c>
      <c r="H3125" s="34"/>
      <c r="I3125" s="30"/>
      <c r="J3125" s="152">
        <v>0</v>
      </c>
    </row>
    <row r="3126" spans="1:10" ht="15.75" hidden="1" thickBot="1" x14ac:dyDescent="0.3">
      <c r="A3126" s="177"/>
      <c r="B3126" s="175"/>
      <c r="C3126" s="35"/>
      <c r="D3126" s="35"/>
      <c r="E3126" s="36"/>
      <c r="F3126" s="30" t="s">
        <v>416</v>
      </c>
      <c r="G3126" s="33" t="str">
        <f>IF(ISNUMBER(F3126),E3126*F3126,"")</f>
        <v/>
      </c>
      <c r="H3126" s="34"/>
      <c r="I3126" s="30"/>
      <c r="J3126" s="152">
        <v>0</v>
      </c>
    </row>
    <row r="3127" spans="1:10" ht="15.75" hidden="1" thickBot="1" x14ac:dyDescent="0.3">
      <c r="A3127" s="170" t="s">
        <v>793</v>
      </c>
      <c r="B3127" s="173" t="str">
        <f>INDEX(Orçamentária!A:B,MATCH(Composições!A3127,Orçamentária!A:A,0),2)</f>
        <v>Puxador H tubular em aço inox, comprimento 45cm, para portas de vidro temperado</v>
      </c>
      <c r="C3127" s="40"/>
      <c r="D3127" s="25" t="s">
        <v>16</v>
      </c>
      <c r="E3127" s="26"/>
      <c r="F3127" s="41" t="s">
        <v>416</v>
      </c>
      <c r="G3127" s="27" t="str">
        <f>IF(ISNUMBER(F3127),E3127*F3127,"")</f>
        <v/>
      </c>
      <c r="H3127" s="28"/>
      <c r="I3127" s="29"/>
      <c r="J3127" s="152">
        <v>0</v>
      </c>
    </row>
    <row r="3128" spans="1:10" ht="15.75" hidden="1" thickBot="1" x14ac:dyDescent="0.3">
      <c r="A3128" s="176"/>
      <c r="B3128" s="174"/>
      <c r="C3128" s="31"/>
      <c r="D3128" s="31"/>
      <c r="E3128" s="32"/>
      <c r="F3128" s="42" t="s">
        <v>416</v>
      </c>
      <c r="G3128" s="33" t="str">
        <f>IF(ISNUMBER(F3128),E3128*F3128,"")</f>
        <v/>
      </c>
      <c r="H3128" s="34"/>
      <c r="I3128" s="30"/>
      <c r="J3128" s="152">
        <v>0</v>
      </c>
    </row>
    <row r="3129" spans="1:10" ht="15.75" hidden="1" thickBot="1" x14ac:dyDescent="0.3">
      <c r="A3129" s="176"/>
      <c r="B3129" s="174"/>
      <c r="C3129" s="35" t="s">
        <v>2909</v>
      </c>
      <c r="D3129" s="35" t="s">
        <v>583</v>
      </c>
      <c r="E3129" s="36">
        <v>0.4</v>
      </c>
      <c r="F3129" s="33">
        <v>25.060999999999996</v>
      </c>
      <c r="G3129" s="33">
        <f>IF(ISNUMBER(F3129),E3129*F3129,"")</f>
        <v>10.0244</v>
      </c>
      <c r="H3129" s="38">
        <f>SUM(G3129:G3130)</f>
        <v>10.0244</v>
      </c>
      <c r="I3129" s="39"/>
      <c r="J3129" s="152">
        <v>0</v>
      </c>
    </row>
    <row r="3130" spans="1:10" ht="39" hidden="1" thickBot="1" x14ac:dyDescent="0.3">
      <c r="A3130" s="176"/>
      <c r="B3130" s="174"/>
      <c r="C3130" s="35" t="s">
        <v>794</v>
      </c>
      <c r="D3130" s="35" t="s">
        <v>16</v>
      </c>
      <c r="E3130" s="36">
        <v>1</v>
      </c>
      <c r="F3130" s="30" t="s">
        <v>416</v>
      </c>
      <c r="G3130" s="33" t="str">
        <f>IF(ISNUMBER(F3130),E3130*F3130,"")</f>
        <v/>
      </c>
      <c r="H3130" s="34"/>
      <c r="I3130" s="30"/>
      <c r="J3130" s="152">
        <v>0</v>
      </c>
    </row>
    <row r="3131" spans="1:10" ht="15.75" hidden="1" thickBot="1" x14ac:dyDescent="0.3">
      <c r="A3131" s="177"/>
      <c r="B3131" s="175"/>
      <c r="C3131" s="35"/>
      <c r="D3131" s="35"/>
      <c r="E3131" s="36"/>
      <c r="F3131" s="30" t="s">
        <v>416</v>
      </c>
      <c r="G3131" s="33" t="str">
        <f>IF(ISNUMBER(F3131),E3131*F3131,"")</f>
        <v/>
      </c>
      <c r="H3131" s="34"/>
      <c r="I3131" s="30"/>
      <c r="J3131" s="152">
        <v>0</v>
      </c>
    </row>
    <row r="3132" spans="1:10" ht="15.75" hidden="1" thickBot="1" x14ac:dyDescent="0.3">
      <c r="A3132" s="170" t="s">
        <v>795</v>
      </c>
      <c r="B3132" s="173" t="str">
        <f>INDEX(Orçamentária!A:B,MATCH(Composições!A3132,Orçamentária!A:A,0),2)</f>
        <v>Transporte de vidros</v>
      </c>
      <c r="C3132" s="40"/>
      <c r="D3132" s="25" t="s">
        <v>2468</v>
      </c>
      <c r="E3132" s="26"/>
      <c r="F3132" s="41" t="s">
        <v>416</v>
      </c>
      <c r="G3132" s="27" t="str">
        <f>IF(ISNUMBER(F3132),E3132*F3132,"")</f>
        <v/>
      </c>
      <c r="H3132" s="28"/>
      <c r="I3132" s="29"/>
      <c r="J3132" s="152">
        <v>0</v>
      </c>
    </row>
    <row r="3133" spans="1:10" ht="15.75" hidden="1" thickBot="1" x14ac:dyDescent="0.3">
      <c r="A3133" s="171"/>
      <c r="B3133" s="174"/>
      <c r="C3133" s="31"/>
      <c r="D3133" s="31"/>
      <c r="E3133" s="32"/>
      <c r="F3133" s="42" t="s">
        <v>416</v>
      </c>
      <c r="G3133" s="33" t="str">
        <f>IF(ISNUMBER(F3133),E3133*F3133,"")</f>
        <v/>
      </c>
      <c r="H3133" s="34"/>
      <c r="I3133" s="30"/>
      <c r="J3133" s="152">
        <v>0</v>
      </c>
    </row>
    <row r="3134" spans="1:10" ht="15.75" hidden="1" thickBot="1" x14ac:dyDescent="0.3">
      <c r="A3134" s="171"/>
      <c r="B3134" s="174"/>
      <c r="C3134" s="35" t="s">
        <v>584</v>
      </c>
      <c r="D3134" s="35" t="s">
        <v>583</v>
      </c>
      <c r="E3134" s="36">
        <v>2.9209999999999998</v>
      </c>
      <c r="F3134" s="33">
        <v>20.225499999999997</v>
      </c>
      <c r="G3134" s="33">
        <f>IF(ISNUMBER(F3134),E3134*F3134,"")</f>
        <v>59.078685499999985</v>
      </c>
      <c r="H3134" s="38">
        <f>SUM(G3134:G3134)</f>
        <v>59.078685499999985</v>
      </c>
      <c r="I3134" s="39"/>
      <c r="J3134" s="152">
        <v>0</v>
      </c>
    </row>
    <row r="3135" spans="1:10" ht="15.75" hidden="1" thickBot="1" x14ac:dyDescent="0.3">
      <c r="A3135" s="171"/>
      <c r="B3135" s="174"/>
      <c r="C3135" s="35"/>
      <c r="D3135" s="35"/>
      <c r="E3135" s="36"/>
      <c r="F3135" s="30" t="s">
        <v>416</v>
      </c>
      <c r="G3135" s="33" t="str">
        <f>IF(ISNUMBER(F3135),E3135*F3135,"")</f>
        <v/>
      </c>
      <c r="H3135" s="34"/>
      <c r="I3135" s="30"/>
      <c r="J3135" s="152">
        <v>0</v>
      </c>
    </row>
    <row r="3136" spans="1:10" ht="15.75" hidden="1" thickBot="1" x14ac:dyDescent="0.3">
      <c r="A3136" s="171"/>
      <c r="B3136" s="174"/>
      <c r="C3136" s="51" t="s">
        <v>766</v>
      </c>
      <c r="D3136" s="35"/>
      <c r="E3136" s="36"/>
      <c r="F3136" s="30" t="s">
        <v>416</v>
      </c>
      <c r="G3136" s="33" t="str">
        <f>IF(ISNUMBER(F3136),E3136*F3136,"")</f>
        <v/>
      </c>
      <c r="H3136" s="34"/>
      <c r="I3136" s="30"/>
      <c r="J3136" s="152">
        <v>0</v>
      </c>
    </row>
    <row r="3137" spans="1:10" ht="15.75" hidden="1" thickBot="1" x14ac:dyDescent="0.3">
      <c r="A3137" s="172"/>
      <c r="B3137" s="175"/>
      <c r="C3137" s="35"/>
      <c r="D3137" s="35"/>
      <c r="E3137" s="36"/>
      <c r="F3137" s="30" t="s">
        <v>416</v>
      </c>
      <c r="G3137" s="33" t="str">
        <f>IF(ISNUMBER(F3137),E3137*F3137,"")</f>
        <v/>
      </c>
      <c r="H3137" s="34"/>
      <c r="I3137" s="30"/>
      <c r="J3137" s="152">
        <v>0</v>
      </c>
    </row>
    <row r="3138" spans="1:10" ht="15.75" hidden="1" thickBot="1" x14ac:dyDescent="0.3">
      <c r="A3138" s="170" t="s">
        <v>796</v>
      </c>
      <c r="B3138" s="173" t="str">
        <f>INDEX(Orçamentária!A:B,MATCH(Composições!A3138,Orçamentária!A:A,0),2)</f>
        <v>Vidro fantasia 4 mm (canelado, martelado, pontilhado e mini-boreal)</v>
      </c>
      <c r="C3138" s="40"/>
      <c r="D3138" s="25" t="s">
        <v>70</v>
      </c>
      <c r="E3138" s="26"/>
      <c r="F3138" s="41" t="s">
        <v>416</v>
      </c>
      <c r="G3138" s="27" t="str">
        <f>IF(ISNUMBER(F3138),E3138*F3138,"")</f>
        <v/>
      </c>
      <c r="H3138" s="28"/>
      <c r="I3138" s="29"/>
      <c r="J3138" s="152">
        <v>0</v>
      </c>
    </row>
    <row r="3139" spans="1:10" ht="15.75" hidden="1" thickBot="1" x14ac:dyDescent="0.3">
      <c r="A3139" s="176"/>
      <c r="B3139" s="174"/>
      <c r="C3139" s="31"/>
      <c r="D3139" s="31"/>
      <c r="E3139" s="32"/>
      <c r="F3139" s="42" t="s">
        <v>416</v>
      </c>
      <c r="G3139" s="33" t="str">
        <f>IF(ISNUMBER(F3139),E3139*F3139,"")</f>
        <v/>
      </c>
      <c r="H3139" s="34"/>
      <c r="I3139" s="30"/>
      <c r="J3139" s="152">
        <v>0</v>
      </c>
    </row>
    <row r="3140" spans="1:10" ht="15.75" hidden="1" thickBot="1" x14ac:dyDescent="0.3">
      <c r="A3140" s="176"/>
      <c r="B3140" s="174"/>
      <c r="C3140" s="35" t="s">
        <v>2909</v>
      </c>
      <c r="D3140" s="35" t="s">
        <v>583</v>
      </c>
      <c r="E3140" s="36">
        <v>1.5</v>
      </c>
      <c r="F3140" s="33">
        <v>25.060999999999996</v>
      </c>
      <c r="G3140" s="33">
        <f>IF(ISNUMBER(F3140),E3140*F3140,"")</f>
        <v>37.591499999999996</v>
      </c>
      <c r="H3140" s="38">
        <f>SUM(G3140:G3142)</f>
        <v>115.91899999999998</v>
      </c>
      <c r="I3140" s="39"/>
      <c r="J3140" s="152">
        <v>0</v>
      </c>
    </row>
    <row r="3141" spans="1:10" ht="15.75" hidden="1" thickBot="1" x14ac:dyDescent="0.3">
      <c r="A3141" s="176"/>
      <c r="B3141" s="174"/>
      <c r="C3141" s="35" t="s">
        <v>584</v>
      </c>
      <c r="D3141" s="35" t="s">
        <v>583</v>
      </c>
      <c r="E3141" s="36">
        <v>1</v>
      </c>
      <c r="F3141" s="33">
        <v>20.225499999999997</v>
      </c>
      <c r="G3141" s="33">
        <f>IF(ISNUMBER(F3141),E3141*F3141,"")</f>
        <v>20.225499999999997</v>
      </c>
      <c r="H3141" s="34"/>
      <c r="I3141" s="30"/>
      <c r="J3141" s="152">
        <v>0</v>
      </c>
    </row>
    <row r="3142" spans="1:10" ht="15.75" hidden="1" thickBot="1" x14ac:dyDescent="0.3">
      <c r="A3142" s="176"/>
      <c r="B3142" s="174"/>
      <c r="C3142" s="35" t="s">
        <v>797</v>
      </c>
      <c r="D3142" s="35" t="s">
        <v>861</v>
      </c>
      <c r="E3142" s="36">
        <v>1</v>
      </c>
      <c r="F3142" s="30">
        <v>58.101999999999997</v>
      </c>
      <c r="G3142" s="33">
        <f>IF(ISNUMBER(F3142),E3142*F3142,"")</f>
        <v>58.101999999999997</v>
      </c>
      <c r="H3142" s="34"/>
      <c r="I3142" s="30"/>
      <c r="J3142" s="152">
        <v>0</v>
      </c>
    </row>
    <row r="3143" spans="1:10" ht="15.75" hidden="1" thickBot="1" x14ac:dyDescent="0.3">
      <c r="A3143" s="177"/>
      <c r="B3143" s="175"/>
      <c r="C3143" s="35"/>
      <c r="D3143" s="35"/>
      <c r="E3143" s="36"/>
      <c r="F3143" s="30" t="s">
        <v>416</v>
      </c>
      <c r="G3143" s="33" t="str">
        <f>IF(ISNUMBER(F3143),E3143*F3143,"")</f>
        <v/>
      </c>
      <c r="H3143" s="34"/>
      <c r="I3143" s="30"/>
      <c r="J3143" s="152">
        <v>0</v>
      </c>
    </row>
    <row r="3144" spans="1:10" ht="15.75" hidden="1" thickBot="1" x14ac:dyDescent="0.3">
      <c r="A3144" s="170" t="s">
        <v>798</v>
      </c>
      <c r="B3144" s="173" t="str">
        <f>INDEX(Orçamentária!A:B,MATCH(Composições!A3144,Orçamentária!A:A,0),2)</f>
        <v>Vidro fumê/bronze 5 mm</v>
      </c>
      <c r="C3144" s="40"/>
      <c r="D3144" s="25" t="s">
        <v>70</v>
      </c>
      <c r="E3144" s="26"/>
      <c r="F3144" s="41" t="s">
        <v>416</v>
      </c>
      <c r="G3144" s="27" t="str">
        <f>IF(ISNUMBER(F3144),E3144*F3144,"")</f>
        <v/>
      </c>
      <c r="H3144" s="28"/>
      <c r="I3144" s="29"/>
      <c r="J3144" s="152">
        <v>0</v>
      </c>
    </row>
    <row r="3145" spans="1:10" ht="15.75" hidden="1" thickBot="1" x14ac:dyDescent="0.3">
      <c r="A3145" s="176"/>
      <c r="B3145" s="174"/>
      <c r="C3145" s="31"/>
      <c r="D3145" s="31"/>
      <c r="E3145" s="32"/>
      <c r="F3145" s="42" t="s">
        <v>416</v>
      </c>
      <c r="G3145" s="33" t="str">
        <f>IF(ISNUMBER(F3145),E3145*F3145,"")</f>
        <v/>
      </c>
      <c r="H3145" s="34"/>
      <c r="I3145" s="30"/>
      <c r="J3145" s="152">
        <v>0</v>
      </c>
    </row>
    <row r="3146" spans="1:10" ht="15.75" hidden="1" thickBot="1" x14ac:dyDescent="0.3">
      <c r="A3146" s="176"/>
      <c r="B3146" s="174"/>
      <c r="C3146" s="35" t="s">
        <v>2909</v>
      </c>
      <c r="D3146" s="35" t="s">
        <v>583</v>
      </c>
      <c r="E3146" s="36">
        <v>1.5</v>
      </c>
      <c r="F3146" s="33">
        <v>25.060999999999996</v>
      </c>
      <c r="G3146" s="33">
        <f>IF(ISNUMBER(F3146),E3146*F3146,"")</f>
        <v>37.591499999999996</v>
      </c>
      <c r="H3146" s="38">
        <f>SUM(G3146:G3148)</f>
        <v>158.17499999999998</v>
      </c>
      <c r="I3146" s="39"/>
      <c r="J3146" s="152">
        <v>0</v>
      </c>
    </row>
    <row r="3147" spans="1:10" ht="15.75" hidden="1" thickBot="1" x14ac:dyDescent="0.3">
      <c r="A3147" s="176"/>
      <c r="B3147" s="174"/>
      <c r="C3147" s="35" t="s">
        <v>584</v>
      </c>
      <c r="D3147" s="35" t="s">
        <v>583</v>
      </c>
      <c r="E3147" s="36">
        <v>1</v>
      </c>
      <c r="F3147" s="33">
        <v>20.225499999999997</v>
      </c>
      <c r="G3147" s="33">
        <f>IF(ISNUMBER(F3147),E3147*F3147,"")</f>
        <v>20.225499999999997</v>
      </c>
      <c r="H3147" s="34"/>
      <c r="I3147" s="30"/>
      <c r="J3147" s="152">
        <v>0</v>
      </c>
    </row>
    <row r="3148" spans="1:10" ht="15.75" hidden="1" thickBot="1" x14ac:dyDescent="0.3">
      <c r="A3148" s="176"/>
      <c r="B3148" s="174"/>
      <c r="C3148" s="35" t="s">
        <v>799</v>
      </c>
      <c r="D3148" s="35" t="s">
        <v>861</v>
      </c>
      <c r="E3148" s="36">
        <v>1</v>
      </c>
      <c r="F3148" s="30">
        <v>100.35799999999999</v>
      </c>
      <c r="G3148" s="33">
        <f>IF(ISNUMBER(F3148),E3148*F3148,"")</f>
        <v>100.35799999999999</v>
      </c>
      <c r="H3148" s="34"/>
      <c r="I3148" s="30"/>
      <c r="J3148" s="152">
        <v>0</v>
      </c>
    </row>
    <row r="3149" spans="1:10" ht="15.75" hidden="1" thickBot="1" x14ac:dyDescent="0.3">
      <c r="A3149" s="177"/>
      <c r="B3149" s="175"/>
      <c r="C3149" s="35"/>
      <c r="D3149" s="35"/>
      <c r="E3149" s="36"/>
      <c r="F3149" s="30" t="s">
        <v>416</v>
      </c>
      <c r="G3149" s="33" t="str">
        <f>IF(ISNUMBER(F3149),E3149*F3149,"")</f>
        <v/>
      </c>
      <c r="H3149" s="34"/>
      <c r="I3149" s="30"/>
      <c r="J3149" s="152">
        <v>0</v>
      </c>
    </row>
    <row r="3150" spans="1:10" ht="15.75" hidden="1" thickBot="1" x14ac:dyDescent="0.3">
      <c r="A3150" s="170" t="s">
        <v>800</v>
      </c>
      <c r="B3150" s="173" t="str">
        <f>INDEX(Orçamentária!A:B,MATCH(Composições!A3150,Orçamentária!A:A,0),2)</f>
        <v>Recuperação de massa em esquadria metálica</v>
      </c>
      <c r="C3150" s="40"/>
      <c r="D3150" s="25" t="s">
        <v>69</v>
      </c>
      <c r="E3150" s="26"/>
      <c r="F3150" s="41" t="s">
        <v>416</v>
      </c>
      <c r="G3150" s="27" t="str">
        <f>IF(ISNUMBER(F3150),E3150*F3150,"")</f>
        <v/>
      </c>
      <c r="H3150" s="28"/>
      <c r="I3150" s="29"/>
      <c r="J3150" s="152">
        <v>0</v>
      </c>
    </row>
    <row r="3151" spans="1:10" ht="15.75" hidden="1" thickBot="1" x14ac:dyDescent="0.3">
      <c r="A3151" s="176"/>
      <c r="B3151" s="174"/>
      <c r="C3151" s="31"/>
      <c r="D3151" s="31"/>
      <c r="E3151" s="32"/>
      <c r="F3151" s="42" t="s">
        <v>416</v>
      </c>
      <c r="G3151" s="33" t="str">
        <f>IF(ISNUMBER(F3151),E3151*F3151,"")</f>
        <v/>
      </c>
      <c r="H3151" s="34"/>
      <c r="I3151" s="30"/>
      <c r="J3151" s="152">
        <v>0</v>
      </c>
    </row>
    <row r="3152" spans="1:10" ht="15.75" hidden="1" thickBot="1" x14ac:dyDescent="0.3">
      <c r="A3152" s="176"/>
      <c r="B3152" s="174"/>
      <c r="C3152" s="35" t="s">
        <v>2909</v>
      </c>
      <c r="D3152" s="35" t="s">
        <v>583</v>
      </c>
      <c r="E3152" s="36">
        <v>0.5</v>
      </c>
      <c r="F3152" s="33">
        <v>25.060999999999996</v>
      </c>
      <c r="G3152" s="33">
        <f>IF(ISNUMBER(F3152),E3152*F3152,"")</f>
        <v>12.530499999999998</v>
      </c>
      <c r="H3152" s="38">
        <f>SUM(G3152:G3154)</f>
        <v>26.459874999999997</v>
      </c>
      <c r="I3152" s="39"/>
      <c r="J3152" s="152">
        <v>0</v>
      </c>
    </row>
    <row r="3153" spans="1:10" ht="15.75" hidden="1" thickBot="1" x14ac:dyDescent="0.3">
      <c r="A3153" s="176"/>
      <c r="B3153" s="174"/>
      <c r="C3153" s="35" t="s">
        <v>584</v>
      </c>
      <c r="D3153" s="35" t="s">
        <v>583</v>
      </c>
      <c r="E3153" s="36">
        <v>0.25</v>
      </c>
      <c r="F3153" s="33">
        <v>20.225499999999997</v>
      </c>
      <c r="G3153" s="33">
        <f>IF(ISNUMBER(F3153),E3153*F3153,"")</f>
        <v>5.0563749999999992</v>
      </c>
      <c r="H3153" s="34"/>
      <c r="I3153" s="30"/>
      <c r="J3153" s="152">
        <v>0</v>
      </c>
    </row>
    <row r="3154" spans="1:10" ht="15.75" hidden="1" thickBot="1" x14ac:dyDescent="0.3">
      <c r="A3154" s="176"/>
      <c r="B3154" s="174"/>
      <c r="C3154" s="35" t="s">
        <v>8290</v>
      </c>
      <c r="D3154" s="35" t="s">
        <v>773</v>
      </c>
      <c r="E3154" s="36">
        <v>2</v>
      </c>
      <c r="F3154" s="30">
        <v>4.4364999999999997</v>
      </c>
      <c r="G3154" s="33">
        <f>IF(ISNUMBER(F3154),E3154*F3154,"")</f>
        <v>8.8729999999999993</v>
      </c>
      <c r="H3154" s="34"/>
      <c r="I3154" s="30"/>
      <c r="J3154" s="152">
        <v>0</v>
      </c>
    </row>
    <row r="3155" spans="1:10" ht="15.75" hidden="1" thickBot="1" x14ac:dyDescent="0.3">
      <c r="A3155" s="177"/>
      <c r="B3155" s="175"/>
      <c r="C3155" s="35"/>
      <c r="D3155" s="35"/>
      <c r="E3155" s="36"/>
      <c r="F3155" s="30" t="s">
        <v>416</v>
      </c>
      <c r="G3155" s="33" t="str">
        <f>IF(ISNUMBER(F3155),E3155*F3155,"")</f>
        <v/>
      </c>
      <c r="H3155" s="34"/>
      <c r="I3155" s="30"/>
      <c r="J3155" s="152">
        <v>0</v>
      </c>
    </row>
    <row r="3156" spans="1:10" ht="15.75" hidden="1" thickBot="1" x14ac:dyDescent="0.3">
      <c r="A3156" s="170" t="s">
        <v>801</v>
      </c>
      <c r="B3156" s="173" t="str">
        <f>INDEX(Orçamentária!A:B,MATCH(Composições!A3156,Orçamentária!A:A,0),2)</f>
        <v>Instalação de espelho reaproveitado</v>
      </c>
      <c r="C3156" s="40"/>
      <c r="D3156" s="25" t="s">
        <v>70</v>
      </c>
      <c r="E3156" s="26"/>
      <c r="F3156" s="41" t="s">
        <v>416</v>
      </c>
      <c r="G3156" s="27" t="str">
        <f>IF(ISNUMBER(F3156),E3156*F3156,"")</f>
        <v/>
      </c>
      <c r="H3156" s="28"/>
      <c r="I3156" s="29"/>
      <c r="J3156" s="152">
        <v>0</v>
      </c>
    </row>
    <row r="3157" spans="1:10" ht="15.75" hidden="1" thickBot="1" x14ac:dyDescent="0.3">
      <c r="A3157" s="176"/>
      <c r="B3157" s="174"/>
      <c r="C3157" s="31"/>
      <c r="D3157" s="31"/>
      <c r="E3157" s="32"/>
      <c r="F3157" s="42" t="s">
        <v>416</v>
      </c>
      <c r="G3157" s="33" t="str">
        <f>IF(ISNUMBER(F3157),E3157*F3157,"")</f>
        <v/>
      </c>
      <c r="H3157" s="34"/>
      <c r="I3157" s="30"/>
      <c r="J3157" s="152">
        <v>0</v>
      </c>
    </row>
    <row r="3158" spans="1:10" ht="15.75" hidden="1" thickBot="1" x14ac:dyDescent="0.3">
      <c r="A3158" s="176"/>
      <c r="B3158" s="174"/>
      <c r="C3158" s="35" t="s">
        <v>584</v>
      </c>
      <c r="D3158" s="35" t="s">
        <v>583</v>
      </c>
      <c r="E3158" s="36">
        <v>1</v>
      </c>
      <c r="F3158" s="33">
        <v>20.225499999999997</v>
      </c>
      <c r="G3158" s="33">
        <f>IF(ISNUMBER(F3158),E3158*F3158,"")</f>
        <v>20.225499999999997</v>
      </c>
      <c r="H3158" s="38">
        <f>SUM(G3158:G3159)</f>
        <v>57.816999999999993</v>
      </c>
      <c r="I3158" s="39"/>
      <c r="J3158" s="152">
        <v>0</v>
      </c>
    </row>
    <row r="3159" spans="1:10" ht="15.75" hidden="1" thickBot="1" x14ac:dyDescent="0.3">
      <c r="A3159" s="176"/>
      <c r="B3159" s="174"/>
      <c r="C3159" s="35" t="s">
        <v>2909</v>
      </c>
      <c r="D3159" s="35" t="s">
        <v>583</v>
      </c>
      <c r="E3159" s="36">
        <v>1.5</v>
      </c>
      <c r="F3159" s="33">
        <v>25.060999999999996</v>
      </c>
      <c r="G3159" s="33">
        <f>IF(ISNUMBER(F3159),E3159*F3159,"")</f>
        <v>37.591499999999996</v>
      </c>
      <c r="H3159" s="34"/>
      <c r="I3159" s="30"/>
      <c r="J3159" s="152">
        <v>0</v>
      </c>
    </row>
    <row r="3160" spans="1:10" ht="15.75" hidden="1" thickBot="1" x14ac:dyDescent="0.3">
      <c r="A3160" s="177"/>
      <c r="B3160" s="175"/>
      <c r="C3160" s="35"/>
      <c r="D3160" s="35"/>
      <c r="E3160" s="36"/>
      <c r="F3160" s="30" t="s">
        <v>416</v>
      </c>
      <c r="G3160" s="33" t="str">
        <f>IF(ISNUMBER(F3160),E3160*F3160,"")</f>
        <v/>
      </c>
      <c r="H3160" s="34"/>
      <c r="I3160" s="30"/>
      <c r="J3160" s="152">
        <v>0</v>
      </c>
    </row>
    <row r="3161" spans="1:10" ht="15.75" hidden="1" thickBot="1" x14ac:dyDescent="0.3">
      <c r="A3161" s="170" t="s">
        <v>802</v>
      </c>
      <c r="B3161" s="173" t="str">
        <f>INDEX(Orçamentária!A:B,MATCH(Composições!A3161,Orçamentária!A:A,0),2)</f>
        <v>Espelho fumê/bronze 4mm lapidado</v>
      </c>
      <c r="C3161" s="40"/>
      <c r="D3161" s="25" t="s">
        <v>70</v>
      </c>
      <c r="E3161" s="26"/>
      <c r="F3161" s="41" t="s">
        <v>416</v>
      </c>
      <c r="G3161" s="27" t="str">
        <f>IF(ISNUMBER(F3161),E3161*F3161,"")</f>
        <v/>
      </c>
      <c r="H3161" s="28"/>
      <c r="I3161" s="29"/>
      <c r="J3161" s="152">
        <v>0</v>
      </c>
    </row>
    <row r="3162" spans="1:10" ht="15.75" hidden="1" thickBot="1" x14ac:dyDescent="0.3">
      <c r="A3162" s="176"/>
      <c r="B3162" s="174"/>
      <c r="C3162" s="31"/>
      <c r="D3162" s="31"/>
      <c r="E3162" s="32"/>
      <c r="F3162" s="42" t="s">
        <v>416</v>
      </c>
      <c r="G3162" s="33" t="str">
        <f>IF(ISNUMBER(F3162),E3162*F3162,"")</f>
        <v/>
      </c>
      <c r="H3162" s="34"/>
      <c r="I3162" s="30"/>
      <c r="J3162" s="152">
        <v>0</v>
      </c>
    </row>
    <row r="3163" spans="1:10" ht="15.75" hidden="1" thickBot="1" x14ac:dyDescent="0.3">
      <c r="A3163" s="176"/>
      <c r="B3163" s="174"/>
      <c r="C3163" s="35" t="s">
        <v>803</v>
      </c>
      <c r="D3163" s="46" t="s">
        <v>70</v>
      </c>
      <c r="E3163" s="36">
        <v>1</v>
      </c>
      <c r="F3163" s="33" t="s">
        <v>416</v>
      </c>
      <c r="G3163" s="33" t="str">
        <f>IF(ISNUMBER(F3163),E3163*F3163,"")</f>
        <v/>
      </c>
      <c r="H3163" s="38">
        <f>SUM(G3163:G3165)</f>
        <v>57.816999999999993</v>
      </c>
      <c r="I3163" s="39"/>
      <c r="J3163" s="152">
        <v>0</v>
      </c>
    </row>
    <row r="3164" spans="1:10" ht="15.75" hidden="1" thickBot="1" x14ac:dyDescent="0.3">
      <c r="A3164" s="176"/>
      <c r="B3164" s="174"/>
      <c r="C3164" s="35" t="s">
        <v>584</v>
      </c>
      <c r="D3164" s="35" t="s">
        <v>583</v>
      </c>
      <c r="E3164" s="36">
        <v>1</v>
      </c>
      <c r="F3164" s="30">
        <v>20.225499999999997</v>
      </c>
      <c r="G3164" s="33">
        <f>IF(ISNUMBER(F3164),E3164*F3164,"")</f>
        <v>20.225499999999997</v>
      </c>
      <c r="H3164" s="34"/>
      <c r="I3164" s="30"/>
      <c r="J3164" s="152">
        <v>0</v>
      </c>
    </row>
    <row r="3165" spans="1:10" ht="15.75" hidden="1" thickBot="1" x14ac:dyDescent="0.3">
      <c r="A3165" s="176"/>
      <c r="B3165" s="174"/>
      <c r="C3165" s="35" t="s">
        <v>2909</v>
      </c>
      <c r="D3165" s="35" t="s">
        <v>583</v>
      </c>
      <c r="E3165" s="36">
        <v>1.5</v>
      </c>
      <c r="F3165" s="30">
        <v>25.060999999999996</v>
      </c>
      <c r="G3165" s="33">
        <f>IF(ISNUMBER(F3165),E3165*F3165,"")</f>
        <v>37.591499999999996</v>
      </c>
      <c r="H3165" s="34"/>
      <c r="I3165" s="30"/>
      <c r="J3165" s="152">
        <v>0</v>
      </c>
    </row>
    <row r="3166" spans="1:10" ht="15.75" hidden="1" thickBot="1" x14ac:dyDescent="0.3">
      <c r="A3166" s="177"/>
      <c r="B3166" s="175"/>
      <c r="C3166" s="35"/>
      <c r="D3166" s="35"/>
      <c r="E3166" s="36"/>
      <c r="F3166" s="30" t="s">
        <v>416</v>
      </c>
      <c r="G3166" s="33" t="str">
        <f>IF(ISNUMBER(F3166),E3166*F3166,"")</f>
        <v/>
      </c>
      <c r="H3166" s="34"/>
      <c r="I3166" s="30"/>
      <c r="J3166" s="152">
        <v>0</v>
      </c>
    </row>
    <row r="3167" spans="1:10" ht="15.75" hidden="1" thickBot="1" x14ac:dyDescent="0.3">
      <c r="A3167" s="170" t="s">
        <v>804</v>
      </c>
      <c r="B3167" s="173" t="str">
        <f>INDEX(Orçamentária!A:B,MATCH(Composições!A3167,Orçamentária!A:A,0),2)</f>
        <v>Finesson (parafuso de fixação francês)</v>
      </c>
      <c r="C3167" s="40"/>
      <c r="D3167" s="25" t="s">
        <v>16</v>
      </c>
      <c r="E3167" s="26"/>
      <c r="F3167" s="41" t="s">
        <v>416</v>
      </c>
      <c r="G3167" s="27" t="str">
        <f>IF(ISNUMBER(F3167),E3167*F3167,"")</f>
        <v/>
      </c>
      <c r="H3167" s="28"/>
      <c r="I3167" s="29"/>
      <c r="J3167" s="152">
        <v>0</v>
      </c>
    </row>
    <row r="3168" spans="1:10" ht="15.75" hidden="1" thickBot="1" x14ac:dyDescent="0.3">
      <c r="A3168" s="176"/>
      <c r="B3168" s="174"/>
      <c r="C3168" s="31"/>
      <c r="D3168" s="31"/>
      <c r="E3168" s="32"/>
      <c r="F3168" s="42" t="s">
        <v>416</v>
      </c>
      <c r="G3168" s="33" t="str">
        <f>IF(ISNUMBER(F3168),E3168*F3168,"")</f>
        <v/>
      </c>
      <c r="H3168" s="34"/>
      <c r="I3168" s="30"/>
      <c r="J3168" s="152">
        <v>0</v>
      </c>
    </row>
    <row r="3169" spans="1:10" ht="15.75" hidden="1" thickBot="1" x14ac:dyDescent="0.3">
      <c r="A3169" s="176"/>
      <c r="B3169" s="174"/>
      <c r="C3169" s="35" t="s">
        <v>2909</v>
      </c>
      <c r="D3169" s="35" t="s">
        <v>583</v>
      </c>
      <c r="E3169" s="36">
        <v>0.1</v>
      </c>
      <c r="F3169" s="33">
        <v>25.060999999999996</v>
      </c>
      <c r="G3169" s="33">
        <f>IF(ISNUMBER(F3169),E3169*F3169,"")</f>
        <v>2.5061</v>
      </c>
      <c r="H3169" s="38">
        <f>SUM(G3169:G3170)</f>
        <v>9.9445999999999994</v>
      </c>
      <c r="I3169" s="39"/>
      <c r="J3169" s="152">
        <v>0</v>
      </c>
    </row>
    <row r="3170" spans="1:10" ht="26.25" hidden="1" thickBot="1" x14ac:dyDescent="0.3">
      <c r="A3170" s="176"/>
      <c r="B3170" s="174"/>
      <c r="C3170" s="35" t="s">
        <v>8307</v>
      </c>
      <c r="D3170" s="35" t="s">
        <v>213</v>
      </c>
      <c r="E3170" s="36">
        <v>1</v>
      </c>
      <c r="F3170" s="30">
        <v>7.4384999999999994</v>
      </c>
      <c r="G3170" s="33">
        <f>IF(ISNUMBER(F3170),E3170*F3170,"")</f>
        <v>7.4384999999999994</v>
      </c>
      <c r="H3170" s="34"/>
      <c r="I3170" s="30"/>
      <c r="J3170" s="152">
        <v>0</v>
      </c>
    </row>
    <row r="3171" spans="1:10" ht="15.75" hidden="1" thickBot="1" x14ac:dyDescent="0.3">
      <c r="A3171" s="177"/>
      <c r="B3171" s="175"/>
      <c r="C3171" s="35"/>
      <c r="D3171" s="35"/>
      <c r="E3171" s="36"/>
      <c r="F3171" s="30" t="s">
        <v>416</v>
      </c>
      <c r="G3171" s="33" t="str">
        <f>IF(ISNUMBER(F3171),E3171*F3171,"")</f>
        <v/>
      </c>
      <c r="H3171" s="34"/>
      <c r="I3171" s="30"/>
      <c r="J3171" s="152">
        <v>0</v>
      </c>
    </row>
    <row r="3172" spans="1:10" ht="15.75" hidden="1" thickBot="1" x14ac:dyDescent="0.3">
      <c r="A3172" s="170" t="s">
        <v>805</v>
      </c>
      <c r="B3172" s="173" t="str">
        <f>INDEX(Orçamentária!A:B,MATCH(Composições!A3172,Orçamentária!A:A,0),2)</f>
        <v>Graute industrializado, 50 MPa ≤ fck ≤ 60 MPa</v>
      </c>
      <c r="C3172" s="40"/>
      <c r="D3172" s="25" t="s">
        <v>80</v>
      </c>
      <c r="E3172" s="26"/>
      <c r="F3172" s="41" t="s">
        <v>416</v>
      </c>
      <c r="G3172" s="27" t="str">
        <f>IF(ISNUMBER(F3172),E3172*F3172,"")</f>
        <v/>
      </c>
      <c r="H3172" s="28"/>
      <c r="I3172" s="29"/>
      <c r="J3172" s="152">
        <v>0</v>
      </c>
    </row>
    <row r="3173" spans="1:10" ht="15.75" hidden="1" thickBot="1" x14ac:dyDescent="0.3">
      <c r="A3173" s="176"/>
      <c r="B3173" s="174"/>
      <c r="C3173" s="31"/>
      <c r="D3173" s="31"/>
      <c r="E3173" s="32"/>
      <c r="F3173" s="42" t="s">
        <v>416</v>
      </c>
      <c r="G3173" s="33" t="str">
        <f>IF(ISNUMBER(F3173),E3173*F3173,"")</f>
        <v/>
      </c>
      <c r="H3173" s="34"/>
      <c r="I3173" s="30"/>
      <c r="J3173" s="152">
        <v>0</v>
      </c>
    </row>
    <row r="3174" spans="1:10" ht="15.75" hidden="1" thickBot="1" x14ac:dyDescent="0.3">
      <c r="A3174" s="176"/>
      <c r="B3174" s="174"/>
      <c r="C3174" s="35" t="s">
        <v>591</v>
      </c>
      <c r="D3174" s="35" t="s">
        <v>583</v>
      </c>
      <c r="E3174" s="36">
        <v>4.8468999999999998</v>
      </c>
      <c r="F3174" s="30">
        <v>27.160499999999999</v>
      </c>
      <c r="G3174" s="33">
        <f>IF(ISNUMBER(F3174),E3174*F3174,"")</f>
        <v>131.64422744999999</v>
      </c>
      <c r="H3174" s="38">
        <f>SUM(G3174:G3176)</f>
        <v>4460.5988855999994</v>
      </c>
      <c r="I3174" s="39"/>
      <c r="J3174" s="152">
        <v>0</v>
      </c>
    </row>
    <row r="3175" spans="1:10" ht="15.75" hidden="1" thickBot="1" x14ac:dyDescent="0.3">
      <c r="A3175" s="176"/>
      <c r="B3175" s="174"/>
      <c r="C3175" s="35" t="s">
        <v>584</v>
      </c>
      <c r="D3175" s="35" t="s">
        <v>583</v>
      </c>
      <c r="E3175" s="36">
        <v>3.2313000000000001</v>
      </c>
      <c r="F3175" s="30">
        <v>20.225499999999997</v>
      </c>
      <c r="G3175" s="33">
        <f>IF(ISNUMBER(F3175),E3175*F3175,"")</f>
        <v>65.354658149999992</v>
      </c>
      <c r="H3175" s="34"/>
      <c r="I3175" s="30"/>
      <c r="J3175" s="152">
        <v>0</v>
      </c>
    </row>
    <row r="3176" spans="1:10" ht="15.75" hidden="1" thickBot="1" x14ac:dyDescent="0.3">
      <c r="A3176" s="176"/>
      <c r="B3176" s="174"/>
      <c r="C3176" s="35" t="s">
        <v>806</v>
      </c>
      <c r="D3176" s="35" t="s">
        <v>773</v>
      </c>
      <c r="E3176" s="36">
        <v>2200</v>
      </c>
      <c r="F3176" s="30">
        <v>1.9379999999999999</v>
      </c>
      <c r="G3176" s="33">
        <f>IF(ISNUMBER(F3176),E3176*F3176,"")</f>
        <v>4263.5999999999995</v>
      </c>
      <c r="H3176" s="34"/>
      <c r="I3176" s="30"/>
      <c r="J3176" s="152">
        <v>0</v>
      </c>
    </row>
    <row r="3177" spans="1:10" ht="15.75" hidden="1" thickBot="1" x14ac:dyDescent="0.3">
      <c r="A3177" s="176"/>
      <c r="B3177" s="174"/>
      <c r="C3177" s="35"/>
      <c r="D3177" s="46"/>
      <c r="E3177" s="36"/>
      <c r="F3177" s="30" t="s">
        <v>416</v>
      </c>
      <c r="G3177" s="33"/>
      <c r="H3177" s="34"/>
      <c r="I3177" s="30"/>
      <c r="J3177" s="152">
        <v>0</v>
      </c>
    </row>
    <row r="3178" spans="1:10" ht="26.25" hidden="1" thickBot="1" x14ac:dyDescent="0.3">
      <c r="A3178" s="176"/>
      <c r="B3178" s="174"/>
      <c r="C3178" s="47" t="s">
        <v>5781</v>
      </c>
      <c r="D3178" s="46"/>
      <c r="E3178" s="36"/>
      <c r="F3178" s="30" t="s">
        <v>416</v>
      </c>
      <c r="G3178" s="33"/>
      <c r="H3178" s="34"/>
      <c r="I3178" s="30"/>
      <c r="J3178" s="152">
        <v>0</v>
      </c>
    </row>
    <row r="3179" spans="1:10" ht="30.75" hidden="1" thickBot="1" x14ac:dyDescent="0.3">
      <c r="A3179" s="176"/>
      <c r="B3179" s="174"/>
      <c r="C3179" s="159" t="s">
        <v>5782</v>
      </c>
      <c r="D3179" s="46"/>
      <c r="E3179" s="36"/>
      <c r="F3179" s="30" t="s">
        <v>416</v>
      </c>
      <c r="G3179" s="33"/>
      <c r="H3179" s="34"/>
      <c r="I3179" s="30"/>
      <c r="J3179" s="152">
        <v>0</v>
      </c>
    </row>
    <row r="3180" spans="1:10" ht="15.75" hidden="1" thickBot="1" x14ac:dyDescent="0.3">
      <c r="A3180" s="177"/>
      <c r="B3180" s="175"/>
      <c r="C3180" s="35"/>
      <c r="D3180" s="35"/>
      <c r="E3180" s="36"/>
      <c r="F3180" s="30" t="s">
        <v>416</v>
      </c>
      <c r="G3180" s="33" t="str">
        <f>IF(ISNUMBER(F3180),E3180*F3180,"")</f>
        <v/>
      </c>
      <c r="H3180" s="34"/>
      <c r="I3180" s="30"/>
      <c r="J3180" s="152">
        <v>0</v>
      </c>
    </row>
    <row r="3181" spans="1:10" ht="15.75" hidden="1" thickBot="1" x14ac:dyDescent="0.3">
      <c r="A3181" s="170" t="s">
        <v>807</v>
      </c>
      <c r="B3181" s="173" t="str">
        <f>INDEX(Orçamentária!A:B,MATCH(Composições!A3181,Orçamentária!A:A,0),2)</f>
        <v>Armação de aço CA-50 bitolas de 10,0 mm a 12,5 mm</v>
      </c>
      <c r="C3181" s="40"/>
      <c r="D3181" s="25" t="s">
        <v>28</v>
      </c>
      <c r="E3181" s="26"/>
      <c r="F3181" s="41" t="s">
        <v>416</v>
      </c>
      <c r="G3181" s="27" t="str">
        <f>IF(ISNUMBER(F3181),E3181*F3181,"")</f>
        <v/>
      </c>
      <c r="H3181" s="28"/>
      <c r="I3181" s="29"/>
      <c r="J3181" s="152">
        <v>0</v>
      </c>
    </row>
    <row r="3182" spans="1:10" ht="15.75" hidden="1" thickBot="1" x14ac:dyDescent="0.3">
      <c r="A3182" s="176"/>
      <c r="B3182" s="174"/>
      <c r="C3182" s="31"/>
      <c r="D3182" s="31"/>
      <c r="E3182" s="32"/>
      <c r="F3182" s="42" t="s">
        <v>416</v>
      </c>
      <c r="G3182" s="33" t="str">
        <f>IF(ISNUMBER(F3182),E3182*F3182,"")</f>
        <v/>
      </c>
      <c r="H3182" s="34"/>
      <c r="I3182" s="30"/>
      <c r="J3182" s="152">
        <v>0</v>
      </c>
    </row>
    <row r="3183" spans="1:10" ht="39" hidden="1" thickBot="1" x14ac:dyDescent="0.3">
      <c r="A3183" s="176"/>
      <c r="B3183" s="174"/>
      <c r="C3183" s="35" t="s">
        <v>774</v>
      </c>
      <c r="D3183" s="35" t="s">
        <v>213</v>
      </c>
      <c r="E3183" s="36">
        <v>0.36699999999999999</v>
      </c>
      <c r="F3183" s="30">
        <v>0.20899999999999999</v>
      </c>
      <c r="G3183" s="33">
        <f>IF(ISNUMBER(F3183),E3183*F3183,"")</f>
        <v>7.6702999999999993E-2</v>
      </c>
      <c r="H3183" s="38">
        <f>SUM(G3183:G3187)</f>
        <v>10.595050750000002</v>
      </c>
      <c r="I3183" s="39"/>
      <c r="J3183" s="152">
        <v>0</v>
      </c>
    </row>
    <row r="3184" spans="1:10" ht="26.25" hidden="1" thickBot="1" x14ac:dyDescent="0.3">
      <c r="A3184" s="176"/>
      <c r="B3184" s="174"/>
      <c r="C3184" s="35" t="s">
        <v>3060</v>
      </c>
      <c r="D3184" s="35" t="s">
        <v>773</v>
      </c>
      <c r="E3184" s="36">
        <v>2.5000000000000001E-2</v>
      </c>
      <c r="F3184" s="30">
        <v>21.042499999999997</v>
      </c>
      <c r="G3184" s="33">
        <f>IF(ISNUMBER(F3184),E3184*F3184,"")</f>
        <v>0.52606249999999999</v>
      </c>
      <c r="H3184" s="34"/>
      <c r="I3184" s="30"/>
      <c r="J3184" s="152">
        <v>0</v>
      </c>
    </row>
    <row r="3185" spans="1:10" ht="15.75" hidden="1" thickBot="1" x14ac:dyDescent="0.3">
      <c r="A3185" s="176"/>
      <c r="B3185" s="174"/>
      <c r="C3185" s="35" t="s">
        <v>775</v>
      </c>
      <c r="D3185" s="35" t="s">
        <v>583</v>
      </c>
      <c r="E3185" s="36">
        <v>4.1999999999999997E-3</v>
      </c>
      <c r="F3185" s="30">
        <v>20.196999999999999</v>
      </c>
      <c r="G3185" s="33">
        <f>IF(ISNUMBER(F3185),E3185*F3185,"")</f>
        <v>8.4827399999999997E-2</v>
      </c>
      <c r="H3185" s="34"/>
      <c r="I3185" s="30"/>
      <c r="J3185" s="152">
        <v>0</v>
      </c>
    </row>
    <row r="3186" spans="1:10" ht="15.75" hidden="1" thickBot="1" x14ac:dyDescent="0.3">
      <c r="A3186" s="176"/>
      <c r="B3186" s="174"/>
      <c r="C3186" s="35" t="s">
        <v>776</v>
      </c>
      <c r="D3186" s="35" t="s">
        <v>583</v>
      </c>
      <c r="E3186" s="36">
        <v>2.5700000000000001E-2</v>
      </c>
      <c r="F3186" s="30">
        <v>26.970499999999998</v>
      </c>
      <c r="G3186" s="33">
        <f>IF(ISNUMBER(F3186),E3186*F3186,"")</f>
        <v>0.69314184999999995</v>
      </c>
      <c r="H3186" s="34"/>
      <c r="I3186" s="30"/>
      <c r="J3186" s="152">
        <v>0</v>
      </c>
    </row>
    <row r="3187" spans="1:10" ht="15.75" hidden="1" thickBot="1" x14ac:dyDescent="0.3">
      <c r="A3187" s="176"/>
      <c r="B3187" s="174"/>
      <c r="C3187" s="35" t="s">
        <v>6818</v>
      </c>
      <c r="D3187" s="46" t="s">
        <v>773</v>
      </c>
      <c r="E3187" s="36">
        <v>1</v>
      </c>
      <c r="F3187" s="30">
        <v>9.2143160000000019</v>
      </c>
      <c r="G3187" s="33">
        <f>IF(ISNUMBER(F3187),E3187*F3187,"")</f>
        <v>9.2143160000000019</v>
      </c>
      <c r="H3187" s="34"/>
      <c r="I3187" s="30"/>
      <c r="J3187" s="152">
        <v>0</v>
      </c>
    </row>
    <row r="3188" spans="1:10" ht="15.75" hidden="1" thickBot="1" x14ac:dyDescent="0.3">
      <c r="A3188" s="177"/>
      <c r="B3188" s="175"/>
      <c r="C3188" s="35"/>
      <c r="D3188" s="35"/>
      <c r="E3188" s="36"/>
      <c r="F3188" s="30" t="s">
        <v>416</v>
      </c>
      <c r="G3188" s="33" t="str">
        <f>IF(ISNUMBER(F3188),E3188*F3188,"")</f>
        <v/>
      </c>
      <c r="H3188" s="34"/>
      <c r="I3188" s="30"/>
      <c r="J3188" s="152">
        <v>0</v>
      </c>
    </row>
    <row r="3189" spans="1:10" ht="15.75" hidden="1" thickBot="1" x14ac:dyDescent="0.3">
      <c r="A3189" s="170" t="s">
        <v>808</v>
      </c>
      <c r="B3189" s="173" t="str">
        <f>INDEX(Orçamentária!A:B,MATCH(Composições!A3189,Orçamentária!A:A,0),2)</f>
        <v>Armação de aço CA-50 bitolas de 16,0 mm a 25,0 mm</v>
      </c>
      <c r="C3189" s="40"/>
      <c r="D3189" s="25" t="s">
        <v>28</v>
      </c>
      <c r="E3189" s="26"/>
      <c r="F3189" s="41" t="s">
        <v>416</v>
      </c>
      <c r="G3189" s="27" t="str">
        <f>IF(ISNUMBER(F3189),E3189*F3189,"")</f>
        <v/>
      </c>
      <c r="H3189" s="28"/>
      <c r="I3189" s="29"/>
      <c r="J3189" s="152">
        <v>0</v>
      </c>
    </row>
    <row r="3190" spans="1:10" ht="15.75" hidden="1" thickBot="1" x14ac:dyDescent="0.3">
      <c r="A3190" s="176"/>
      <c r="B3190" s="174"/>
      <c r="C3190" s="31"/>
      <c r="D3190" s="31"/>
      <c r="E3190" s="32"/>
      <c r="F3190" s="42" t="s">
        <v>416</v>
      </c>
      <c r="G3190" s="33" t="str">
        <f>IF(ISNUMBER(F3190),E3190*F3190,"")</f>
        <v/>
      </c>
      <c r="H3190" s="34"/>
      <c r="I3190" s="30"/>
      <c r="J3190" s="152">
        <v>0</v>
      </c>
    </row>
    <row r="3191" spans="1:10" ht="39" hidden="1" thickBot="1" x14ac:dyDescent="0.3">
      <c r="A3191" s="176"/>
      <c r="B3191" s="174"/>
      <c r="C3191" s="35" t="s">
        <v>774</v>
      </c>
      <c r="D3191" s="35" t="s">
        <v>213</v>
      </c>
      <c r="E3191" s="36">
        <v>0.21199999999999999</v>
      </c>
      <c r="F3191" s="30">
        <v>0.20899999999999999</v>
      </c>
      <c r="G3191" s="33">
        <f>IF(ISNUMBER(F3191),E3191*F3191,"")</f>
        <v>4.4308E-2</v>
      </c>
      <c r="H3191" s="38">
        <f>SUM(G3191:G3195)</f>
        <v>10.294354850000001</v>
      </c>
      <c r="I3191" s="39"/>
      <c r="J3191" s="152">
        <v>0</v>
      </c>
    </row>
    <row r="3192" spans="1:10" ht="26.25" hidden="1" thickBot="1" x14ac:dyDescent="0.3">
      <c r="A3192" s="176"/>
      <c r="B3192" s="174"/>
      <c r="C3192" s="35" t="s">
        <v>3060</v>
      </c>
      <c r="D3192" s="35" t="s">
        <v>773</v>
      </c>
      <c r="E3192" s="36">
        <v>2.5000000000000001E-2</v>
      </c>
      <c r="F3192" s="30">
        <v>21.042499999999997</v>
      </c>
      <c r="G3192" s="33">
        <f>IF(ISNUMBER(F3192),E3192*F3192,"")</f>
        <v>0.52606249999999999</v>
      </c>
      <c r="H3192" s="34"/>
      <c r="I3192" s="30"/>
      <c r="J3192" s="152">
        <v>0</v>
      </c>
    </row>
    <row r="3193" spans="1:10" ht="15.75" hidden="1" thickBot="1" x14ac:dyDescent="0.3">
      <c r="A3193" s="176"/>
      <c r="B3193" s="174"/>
      <c r="C3193" s="35" t="s">
        <v>775</v>
      </c>
      <c r="D3193" s="35" t="s">
        <v>583</v>
      </c>
      <c r="E3193" s="36">
        <v>3.2000000000000002E-3</v>
      </c>
      <c r="F3193" s="30">
        <v>20.196999999999999</v>
      </c>
      <c r="G3193" s="33">
        <f>IF(ISNUMBER(F3193),E3193*F3193,"")</f>
        <v>6.4630400000000005E-2</v>
      </c>
      <c r="H3193" s="34"/>
      <c r="I3193" s="30"/>
      <c r="J3193" s="152">
        <v>0</v>
      </c>
    </row>
    <row r="3194" spans="1:10" ht="15.75" hidden="1" thickBot="1" x14ac:dyDescent="0.3">
      <c r="A3194" s="176"/>
      <c r="B3194" s="174"/>
      <c r="C3194" s="35" t="s">
        <v>776</v>
      </c>
      <c r="D3194" s="35" t="s">
        <v>583</v>
      </c>
      <c r="E3194" s="36">
        <v>1.9400000000000001E-2</v>
      </c>
      <c r="F3194" s="30">
        <v>26.970499999999998</v>
      </c>
      <c r="G3194" s="33">
        <f>IF(ISNUMBER(F3194),E3194*F3194,"")</f>
        <v>0.52322769999999996</v>
      </c>
      <c r="H3194" s="34"/>
      <c r="I3194" s="30"/>
      <c r="J3194" s="152">
        <v>0</v>
      </c>
    </row>
    <row r="3195" spans="1:10" ht="15.75" hidden="1" thickBot="1" x14ac:dyDescent="0.3">
      <c r="A3195" s="176"/>
      <c r="B3195" s="174"/>
      <c r="C3195" s="35" t="s">
        <v>6819</v>
      </c>
      <c r="D3195" s="46" t="s">
        <v>773</v>
      </c>
      <c r="E3195" s="36">
        <v>1</v>
      </c>
      <c r="F3195" s="30">
        <v>9.136126250000002</v>
      </c>
      <c r="G3195" s="33">
        <f>IF(ISNUMBER(F3195),E3195*F3195,"")</f>
        <v>9.136126250000002</v>
      </c>
      <c r="H3195" s="34"/>
      <c r="I3195" s="30"/>
      <c r="J3195" s="152">
        <v>0</v>
      </c>
    </row>
    <row r="3196" spans="1:10" ht="15.75" hidden="1" thickBot="1" x14ac:dyDescent="0.3">
      <c r="A3196" s="177"/>
      <c r="B3196" s="175"/>
      <c r="C3196" s="35"/>
      <c r="D3196" s="35"/>
      <c r="E3196" s="36"/>
      <c r="F3196" s="30" t="s">
        <v>416</v>
      </c>
      <c r="G3196" s="33" t="str">
        <f>IF(ISNUMBER(F3196),E3196*F3196,"")</f>
        <v/>
      </c>
      <c r="H3196" s="34"/>
      <c r="I3196" s="30"/>
      <c r="J3196" s="152">
        <v>0</v>
      </c>
    </row>
    <row r="3197" spans="1:10" ht="15.75" hidden="1" thickBot="1" x14ac:dyDescent="0.3">
      <c r="A3197" s="170" t="s">
        <v>809</v>
      </c>
      <c r="B3197" s="173" t="str">
        <f>INDEX(Orçamentária!A:B,MATCH(Composições!A3197,Orçamentária!A:A,0),2)</f>
        <v>Remoção de mola hidráulica de piso</v>
      </c>
      <c r="C3197" s="40"/>
      <c r="D3197" s="25" t="s">
        <v>16</v>
      </c>
      <c r="E3197" s="26"/>
      <c r="F3197" s="41" t="s">
        <v>416</v>
      </c>
      <c r="G3197" s="27" t="str">
        <f>IF(ISNUMBER(F3197),E3197*F3197,"")</f>
        <v/>
      </c>
      <c r="H3197" s="28"/>
      <c r="I3197" s="29"/>
      <c r="J3197" s="152">
        <v>0</v>
      </c>
    </row>
    <row r="3198" spans="1:10" ht="15.75" hidden="1" thickBot="1" x14ac:dyDescent="0.3">
      <c r="A3198" s="176"/>
      <c r="B3198" s="174"/>
      <c r="C3198" s="148"/>
      <c r="D3198" s="31"/>
      <c r="E3198" s="32"/>
      <c r="F3198" s="42" t="s">
        <v>416</v>
      </c>
      <c r="G3198" s="33" t="str">
        <f>IF(ISNUMBER(F3198),E3198*F3198,"")</f>
        <v/>
      </c>
      <c r="H3198" s="34"/>
      <c r="I3198" s="30"/>
      <c r="J3198" s="152">
        <v>0</v>
      </c>
    </row>
    <row r="3199" spans="1:10" ht="15.75" hidden="1" thickBot="1" x14ac:dyDescent="0.3">
      <c r="A3199" s="176"/>
      <c r="B3199" s="174"/>
      <c r="C3199" s="35" t="s">
        <v>584</v>
      </c>
      <c r="D3199" s="35" t="s">
        <v>583</v>
      </c>
      <c r="E3199" s="36">
        <v>0.55000000000000004</v>
      </c>
      <c r="F3199" s="30">
        <v>20.225499999999997</v>
      </c>
      <c r="G3199" s="33">
        <f>IF(ISNUMBER(F3199),E3199*F3199,"")</f>
        <v>11.124025</v>
      </c>
      <c r="H3199" s="38">
        <f>SUM(G3199:G3200)</f>
        <v>24.907575000000001</v>
      </c>
      <c r="I3199" s="39"/>
      <c r="J3199" s="152">
        <v>0</v>
      </c>
    </row>
    <row r="3200" spans="1:10" ht="15.75" hidden="1" thickBot="1" x14ac:dyDescent="0.3">
      <c r="A3200" s="176"/>
      <c r="B3200" s="174"/>
      <c r="C3200" s="35" t="s">
        <v>2909</v>
      </c>
      <c r="D3200" s="35" t="s">
        <v>583</v>
      </c>
      <c r="E3200" s="36">
        <v>0.55000000000000004</v>
      </c>
      <c r="F3200" s="30">
        <v>25.060999999999996</v>
      </c>
      <c r="G3200" s="33">
        <f>IF(ISNUMBER(F3200),E3200*F3200,"")</f>
        <v>13.78355</v>
      </c>
      <c r="H3200" s="34"/>
      <c r="I3200" s="30"/>
      <c r="J3200" s="152">
        <v>0</v>
      </c>
    </row>
    <row r="3201" spans="1:10" ht="15.75" hidden="1" thickBot="1" x14ac:dyDescent="0.3">
      <c r="A3201" s="177"/>
      <c r="B3201" s="175"/>
      <c r="C3201" s="35"/>
      <c r="D3201" s="35"/>
      <c r="E3201" s="36"/>
      <c r="F3201" s="30" t="s">
        <v>416</v>
      </c>
      <c r="G3201" s="33" t="str">
        <f>IF(ISNUMBER(F3201),E3201*F3201,"")</f>
        <v/>
      </c>
      <c r="H3201" s="34"/>
      <c r="I3201" s="30"/>
      <c r="J3201" s="152">
        <v>0</v>
      </c>
    </row>
    <row r="3202" spans="1:10" ht="15.75" thickBot="1" x14ac:dyDescent="0.3">
      <c r="A3202" s="170" t="s">
        <v>810</v>
      </c>
      <c r="B3202" s="173" t="str">
        <f>INDEX(Orçamentária!A:B,MATCH(Composições!A3202,Orçamentária!A:A,0),2)</f>
        <v>Escavação manual de valas</v>
      </c>
      <c r="C3202" s="40"/>
      <c r="D3202" s="25" t="s">
        <v>80</v>
      </c>
      <c r="E3202" s="26"/>
      <c r="F3202" s="41" t="s">
        <v>416</v>
      </c>
      <c r="G3202" s="27" t="str">
        <f>IF(ISNUMBER(F3202),E3202*F3202,"")</f>
        <v/>
      </c>
      <c r="H3202" s="28"/>
      <c r="I3202" s="29"/>
      <c r="J3202" s="152">
        <v>24</v>
      </c>
    </row>
    <row r="3203" spans="1:10" x14ac:dyDescent="0.25">
      <c r="A3203" s="176"/>
      <c r="B3203" s="174"/>
      <c r="C3203" s="31"/>
      <c r="D3203" s="31"/>
      <c r="E3203" s="32"/>
      <c r="F3203" s="42" t="s">
        <v>416</v>
      </c>
      <c r="G3203" s="33" t="str">
        <f>IF(ISNUMBER(F3203),E3203*F3203,"")</f>
        <v/>
      </c>
      <c r="H3203" s="34"/>
      <c r="I3203" s="30"/>
      <c r="J3203" s="152">
        <v>24</v>
      </c>
    </row>
    <row r="3204" spans="1:10" x14ac:dyDescent="0.25">
      <c r="A3204" s="176"/>
      <c r="B3204" s="174"/>
      <c r="C3204" s="35" t="s">
        <v>584</v>
      </c>
      <c r="D3204" s="35" t="s">
        <v>583</v>
      </c>
      <c r="E3204" s="36">
        <v>3.956</v>
      </c>
      <c r="F3204" s="30">
        <v>20.225499999999997</v>
      </c>
      <c r="G3204" s="33">
        <f>IF(ISNUMBER(F3204),E3204*F3204,"")</f>
        <v>80.012077999999988</v>
      </c>
      <c r="H3204" s="38">
        <f>SUM(G3204:G3204)</f>
        <v>80.012077999999988</v>
      </c>
      <c r="I3204" s="39"/>
      <c r="J3204" s="152">
        <v>24</v>
      </c>
    </row>
    <row r="3205" spans="1:10" ht="15.75" thickBot="1" x14ac:dyDescent="0.3">
      <c r="A3205" s="177"/>
      <c r="B3205" s="175"/>
      <c r="C3205" s="35"/>
      <c r="D3205" s="35"/>
      <c r="E3205" s="36"/>
      <c r="F3205" s="30" t="s">
        <v>416</v>
      </c>
      <c r="G3205" s="33" t="str">
        <f>IF(ISNUMBER(F3205),E3205*F3205,"")</f>
        <v/>
      </c>
      <c r="H3205" s="34"/>
      <c r="I3205" s="30"/>
      <c r="J3205" s="152">
        <v>24</v>
      </c>
    </row>
    <row r="3206" spans="1:10" ht="15.75" thickBot="1" x14ac:dyDescent="0.3">
      <c r="A3206" s="170" t="s">
        <v>811</v>
      </c>
      <c r="B3206" s="173" t="str">
        <f>INDEX(Orçamentária!A:B,MATCH(Composições!A3206,Orçamentária!A:A,0),2)</f>
        <v>Reaterro de vala com compactação mecanizada</v>
      </c>
      <c r="C3206" s="40"/>
      <c r="D3206" s="25" t="s">
        <v>80</v>
      </c>
      <c r="E3206" s="26"/>
      <c r="F3206" s="41" t="s">
        <v>416</v>
      </c>
      <c r="G3206" s="27" t="str">
        <f>IF(ISNUMBER(F3206),E3206*F3206,"")</f>
        <v/>
      </c>
      <c r="H3206" s="28"/>
      <c r="I3206" s="29"/>
      <c r="J3206" s="152">
        <v>12</v>
      </c>
    </row>
    <row r="3207" spans="1:10" x14ac:dyDescent="0.25">
      <c r="A3207" s="176"/>
      <c r="B3207" s="174"/>
      <c r="C3207" s="31"/>
      <c r="D3207" s="31"/>
      <c r="E3207" s="32"/>
      <c r="F3207" s="42" t="s">
        <v>416</v>
      </c>
      <c r="G3207" s="33" t="str">
        <f>IF(ISNUMBER(F3207),E3207*F3207,"")</f>
        <v/>
      </c>
      <c r="H3207" s="34"/>
      <c r="I3207" s="30"/>
      <c r="J3207" s="152">
        <v>12</v>
      </c>
    </row>
    <row r="3208" spans="1:10" x14ac:dyDescent="0.25">
      <c r="A3208" s="176"/>
      <c r="B3208" s="174"/>
      <c r="C3208" s="35" t="s">
        <v>584</v>
      </c>
      <c r="D3208" s="35" t="s">
        <v>583</v>
      </c>
      <c r="E3208" s="36">
        <v>0.65</v>
      </c>
      <c r="F3208" s="30">
        <v>20.225499999999997</v>
      </c>
      <c r="G3208" s="33">
        <f>IF(ISNUMBER(F3208),E3208*F3208,"")</f>
        <v>13.146574999999999</v>
      </c>
      <c r="H3208" s="38">
        <f>SUM(G3208:G3211)</f>
        <v>28.403945499999999</v>
      </c>
      <c r="I3208" s="39"/>
      <c r="J3208" s="152">
        <v>12</v>
      </c>
    </row>
    <row r="3209" spans="1:10" ht="38.25" x14ac:dyDescent="0.25">
      <c r="A3209" s="176"/>
      <c r="B3209" s="174"/>
      <c r="C3209" s="35" t="s">
        <v>812</v>
      </c>
      <c r="D3209" s="35" t="s">
        <v>813</v>
      </c>
      <c r="E3209" s="36">
        <v>0.27400000000000002</v>
      </c>
      <c r="F3209" s="30">
        <v>27.512</v>
      </c>
      <c r="G3209" s="33">
        <f>IF(ISNUMBER(F3209),E3209*F3209,"")</f>
        <v>7.5382880000000005</v>
      </c>
      <c r="H3209" s="34"/>
      <c r="I3209" s="30"/>
      <c r="J3209" s="152">
        <v>12</v>
      </c>
    </row>
    <row r="3210" spans="1:10" ht="38.25" x14ac:dyDescent="0.25">
      <c r="A3210" s="176"/>
      <c r="B3210" s="174"/>
      <c r="C3210" s="35" t="s">
        <v>814</v>
      </c>
      <c r="D3210" s="35" t="s">
        <v>815</v>
      </c>
      <c r="E3210" s="36">
        <v>0.254</v>
      </c>
      <c r="F3210" s="30">
        <v>22.001999999999999</v>
      </c>
      <c r="G3210" s="33">
        <f>IF(ISNUMBER(F3210),E3210*F3210,"")</f>
        <v>5.588508</v>
      </c>
      <c r="H3210" s="34"/>
      <c r="I3210" s="30"/>
      <c r="J3210" s="152">
        <v>12</v>
      </c>
    </row>
    <row r="3211" spans="1:10" ht="25.5" x14ac:dyDescent="0.25">
      <c r="A3211" s="176"/>
      <c r="B3211" s="174"/>
      <c r="C3211" s="35" t="s">
        <v>816</v>
      </c>
      <c r="D3211" s="35" t="s">
        <v>87</v>
      </c>
      <c r="E3211" s="36">
        <v>1</v>
      </c>
      <c r="F3211" s="30">
        <v>2.1305744999999998</v>
      </c>
      <c r="G3211" s="33">
        <f>IF(ISNUMBER(F3211),E3211*F3211,"")</f>
        <v>2.1305744999999998</v>
      </c>
      <c r="H3211" s="34"/>
      <c r="I3211" s="30"/>
      <c r="J3211" s="152">
        <v>12</v>
      </c>
    </row>
    <row r="3212" spans="1:10" ht="15.75" thickBot="1" x14ac:dyDescent="0.3">
      <c r="A3212" s="177"/>
      <c r="B3212" s="175"/>
      <c r="C3212" s="35"/>
      <c r="D3212" s="35"/>
      <c r="E3212" s="36"/>
      <c r="F3212" s="30" t="s">
        <v>416</v>
      </c>
      <c r="G3212" s="33" t="str">
        <f>IF(ISNUMBER(F3212),E3212*F3212,"")</f>
        <v/>
      </c>
      <c r="H3212" s="34"/>
      <c r="I3212" s="30"/>
      <c r="J3212" s="152">
        <v>12</v>
      </c>
    </row>
    <row r="3213" spans="1:10" ht="15.75" hidden="1" thickBot="1" x14ac:dyDescent="0.3">
      <c r="A3213" s="170" t="s">
        <v>817</v>
      </c>
      <c r="B3213" s="173" t="str">
        <f>INDEX(Orçamentária!A:B,MATCH(Composições!A3213,Orçamentária!A:A,0),2)</f>
        <v>Aterro de vala com compactação mecanizada</v>
      </c>
      <c r="C3213" s="40"/>
      <c r="D3213" s="25" t="s">
        <v>80</v>
      </c>
      <c r="E3213" s="26"/>
      <c r="F3213" s="41" t="s">
        <v>416</v>
      </c>
      <c r="G3213" s="27" t="str">
        <f>IF(ISNUMBER(F3213),E3213*F3213,"")</f>
        <v/>
      </c>
      <c r="H3213" s="28"/>
      <c r="I3213" s="29"/>
      <c r="J3213" s="152">
        <v>0</v>
      </c>
    </row>
    <row r="3214" spans="1:10" ht="15.75" hidden="1" thickBot="1" x14ac:dyDescent="0.3">
      <c r="A3214" s="176"/>
      <c r="B3214" s="174"/>
      <c r="C3214" s="31"/>
      <c r="D3214" s="31"/>
      <c r="E3214" s="32"/>
      <c r="F3214" s="42" t="s">
        <v>416</v>
      </c>
      <c r="G3214" s="33" t="str">
        <f>IF(ISNUMBER(F3214),E3214*F3214,"")</f>
        <v/>
      </c>
      <c r="H3214" s="34"/>
      <c r="I3214" s="30"/>
      <c r="J3214" s="152">
        <v>0</v>
      </c>
    </row>
    <row r="3215" spans="1:10" ht="51.75" hidden="1" thickBot="1" x14ac:dyDescent="0.3">
      <c r="A3215" s="176"/>
      <c r="B3215" s="174"/>
      <c r="C3215" s="35" t="s">
        <v>818</v>
      </c>
      <c r="D3215" s="35" t="s">
        <v>813</v>
      </c>
      <c r="E3215" s="36">
        <v>6.0000000000000001E-3</v>
      </c>
      <c r="F3215" s="30">
        <v>294.57599999999996</v>
      </c>
      <c r="G3215" s="33">
        <f>IF(ISNUMBER(F3215),E3215*F3215,"")</f>
        <v>1.7674559999999999</v>
      </c>
      <c r="H3215" s="38">
        <f>SUM(G3215:G3222)</f>
        <v>218.15851774999999</v>
      </c>
      <c r="I3215" s="39"/>
      <c r="J3215" s="152">
        <v>0</v>
      </c>
    </row>
    <row r="3216" spans="1:10" ht="51.75" hidden="1" thickBot="1" x14ac:dyDescent="0.3">
      <c r="A3216" s="176"/>
      <c r="B3216" s="174"/>
      <c r="C3216" s="35" t="s">
        <v>819</v>
      </c>
      <c r="D3216" s="35" t="s">
        <v>815</v>
      </c>
      <c r="E3216" s="36">
        <v>3.0000000000000001E-3</v>
      </c>
      <c r="F3216" s="30">
        <v>60.363</v>
      </c>
      <c r="G3216" s="33">
        <f>IF(ISNUMBER(F3216),E3216*F3216,"")</f>
        <v>0.181089</v>
      </c>
      <c r="H3216" s="34"/>
      <c r="I3216" s="30"/>
      <c r="J3216" s="152">
        <v>0</v>
      </c>
    </row>
    <row r="3217" spans="1:10" ht="26.25" hidden="1" thickBot="1" x14ac:dyDescent="0.3">
      <c r="A3217" s="176"/>
      <c r="B3217" s="174"/>
      <c r="C3217" s="35" t="s">
        <v>820</v>
      </c>
      <c r="D3217" s="35" t="s">
        <v>87</v>
      </c>
      <c r="E3217" s="36">
        <v>1.25</v>
      </c>
      <c r="F3217" s="30">
        <v>90.724999999999994</v>
      </c>
      <c r="G3217" s="33">
        <f>IF(ISNUMBER(F3217),E3217*F3217,"")</f>
        <v>113.40625</v>
      </c>
      <c r="H3217" s="34"/>
      <c r="I3217" s="30"/>
      <c r="J3217" s="152">
        <v>0</v>
      </c>
    </row>
    <row r="3218" spans="1:10" ht="15.75" hidden="1" thickBot="1" x14ac:dyDescent="0.3">
      <c r="A3218" s="176"/>
      <c r="B3218" s="174"/>
      <c r="C3218" s="35" t="s">
        <v>584</v>
      </c>
      <c r="D3218" s="35" t="s">
        <v>583</v>
      </c>
      <c r="E3218" s="36">
        <v>0.65900000000000003</v>
      </c>
      <c r="F3218" s="30">
        <v>20.225499999999997</v>
      </c>
      <c r="G3218" s="33">
        <f>IF(ISNUMBER(F3218),E3218*F3218,"")</f>
        <v>13.328604499999999</v>
      </c>
      <c r="H3218" s="34"/>
      <c r="I3218" s="30"/>
      <c r="J3218" s="152">
        <v>0</v>
      </c>
    </row>
    <row r="3219" spans="1:10" ht="39" hidden="1" thickBot="1" x14ac:dyDescent="0.3">
      <c r="A3219" s="176"/>
      <c r="B3219" s="174"/>
      <c r="C3219" s="35" t="s">
        <v>812</v>
      </c>
      <c r="D3219" s="35" t="s">
        <v>813</v>
      </c>
      <c r="E3219" s="36">
        <v>0.27400000000000002</v>
      </c>
      <c r="F3219" s="30">
        <v>27.512</v>
      </c>
      <c r="G3219" s="33">
        <f>IF(ISNUMBER(F3219),E3219*F3219,"")</f>
        <v>7.5382880000000005</v>
      </c>
      <c r="H3219" s="34"/>
      <c r="I3219" s="30"/>
      <c r="J3219" s="152">
        <v>0</v>
      </c>
    </row>
    <row r="3220" spans="1:10" ht="39" hidden="1" thickBot="1" x14ac:dyDescent="0.3">
      <c r="A3220" s="176"/>
      <c r="B3220" s="174"/>
      <c r="C3220" s="35" t="s">
        <v>814</v>
      </c>
      <c r="D3220" s="35" t="s">
        <v>815</v>
      </c>
      <c r="E3220" s="36">
        <v>0.254</v>
      </c>
      <c r="F3220" s="30">
        <v>22.001999999999999</v>
      </c>
      <c r="G3220" s="33">
        <f>IF(ISNUMBER(F3220),E3220*F3220,"")</f>
        <v>5.588508</v>
      </c>
      <c r="H3220" s="34"/>
      <c r="I3220" s="30"/>
      <c r="J3220" s="152">
        <v>0</v>
      </c>
    </row>
    <row r="3221" spans="1:10" ht="51.75" hidden="1" thickBot="1" x14ac:dyDescent="0.3">
      <c r="A3221" s="176"/>
      <c r="B3221" s="174"/>
      <c r="C3221" s="35" t="s">
        <v>3071</v>
      </c>
      <c r="D3221" s="35" t="s">
        <v>80</v>
      </c>
      <c r="E3221" s="36">
        <f>E3217*1</f>
        <v>1.25</v>
      </c>
      <c r="F3221" s="33">
        <v>7.9257587999999988</v>
      </c>
      <c r="G3221" s="33">
        <f>IF(ISNUMBER(F3221),E3221*F3221,"")</f>
        <v>9.907198499999998</v>
      </c>
      <c r="H3221" s="34"/>
      <c r="I3221" s="30"/>
      <c r="J3221" s="152">
        <v>0</v>
      </c>
    </row>
    <row r="3222" spans="1:10" ht="39" hidden="1" thickBot="1" x14ac:dyDescent="0.3">
      <c r="A3222" s="176"/>
      <c r="B3222" s="174"/>
      <c r="C3222" s="35" t="s">
        <v>88</v>
      </c>
      <c r="D3222" s="46" t="s">
        <v>89</v>
      </c>
      <c r="E3222" s="36">
        <f>E3217*20</f>
        <v>25</v>
      </c>
      <c r="F3222" s="33">
        <v>2.6576449499999995</v>
      </c>
      <c r="G3222" s="33">
        <f>IF(ISNUMBER(F3222),E3222*F3222,"")</f>
        <v>66.441123749999988</v>
      </c>
      <c r="H3222" s="34"/>
      <c r="I3222" s="30"/>
      <c r="J3222" s="152">
        <v>0</v>
      </c>
    </row>
    <row r="3223" spans="1:10" ht="15.75" hidden="1" thickBot="1" x14ac:dyDescent="0.3">
      <c r="A3223" s="176"/>
      <c r="B3223" s="174"/>
      <c r="C3223" s="50"/>
      <c r="D3223" s="46"/>
      <c r="E3223" s="36"/>
      <c r="F3223" s="33" t="s">
        <v>416</v>
      </c>
      <c r="G3223" s="33" t="str">
        <f>IF(ISNUMBER(F3223),E3223*F3223,"")</f>
        <v/>
      </c>
      <c r="H3223" s="34"/>
      <c r="I3223" s="30"/>
      <c r="J3223" s="152">
        <v>0</v>
      </c>
    </row>
    <row r="3224" spans="1:10" ht="26.25" hidden="1" thickBot="1" x14ac:dyDescent="0.3">
      <c r="A3224" s="176"/>
      <c r="B3224" s="174"/>
      <c r="C3224" s="47" t="s">
        <v>821</v>
      </c>
      <c r="D3224" s="46"/>
      <c r="E3224" s="36"/>
      <c r="F3224" s="33" t="s">
        <v>416</v>
      </c>
      <c r="G3224" s="33" t="str">
        <f>IF(ISNUMBER(F3224),E3224*F3224,"")</f>
        <v/>
      </c>
      <c r="H3224" s="34"/>
      <c r="I3224" s="30"/>
      <c r="J3224" s="152">
        <v>0</v>
      </c>
    </row>
    <row r="3225" spans="1:10" ht="15.75" hidden="1" thickBot="1" x14ac:dyDescent="0.3">
      <c r="A3225" s="177"/>
      <c r="B3225" s="175"/>
      <c r="C3225" s="35"/>
      <c r="D3225" s="35"/>
      <c r="E3225" s="36"/>
      <c r="F3225" s="30" t="s">
        <v>416</v>
      </c>
      <c r="G3225" s="30" t="str">
        <f>IF(ISNUMBER(F3225),E3225*F3225,"")</f>
        <v/>
      </c>
      <c r="H3225" s="34"/>
      <c r="I3225" s="30"/>
      <c r="J3225" s="152">
        <v>0</v>
      </c>
    </row>
    <row r="3226" spans="1:10" ht="15.75" hidden="1" thickBot="1" x14ac:dyDescent="0.3">
      <c r="A3226" s="170" t="s">
        <v>822</v>
      </c>
      <c r="B3226" s="173" t="str">
        <f>INDEX(Orçamentária!A:B,MATCH(Composições!A3226,Orçamentária!A:A,0),2)</f>
        <v>Tubo de cobre classe "E" 22 mm</v>
      </c>
      <c r="C3226" s="40"/>
      <c r="D3226" s="25" t="s">
        <v>69</v>
      </c>
      <c r="E3226" s="26"/>
      <c r="F3226" s="41" t="s">
        <v>416</v>
      </c>
      <c r="G3226" s="27" t="str">
        <f>IF(ISNUMBER(F3226),E3226*F3226,"")</f>
        <v/>
      </c>
      <c r="H3226" s="28"/>
      <c r="I3226" s="29"/>
      <c r="J3226" s="152">
        <v>0</v>
      </c>
    </row>
    <row r="3227" spans="1:10" ht="15.75" hidden="1" thickBot="1" x14ac:dyDescent="0.3">
      <c r="A3227" s="176"/>
      <c r="B3227" s="174"/>
      <c r="C3227" s="31"/>
      <c r="D3227" s="31"/>
      <c r="E3227" s="32"/>
      <c r="F3227" s="42" t="s">
        <v>416</v>
      </c>
      <c r="G3227" s="33" t="str">
        <f>IF(ISNUMBER(F3227),E3227*F3227,"")</f>
        <v/>
      </c>
      <c r="H3227" s="34"/>
      <c r="I3227" s="30"/>
      <c r="J3227" s="152">
        <v>0</v>
      </c>
    </row>
    <row r="3228" spans="1:10" ht="26.25" hidden="1" thickBot="1" x14ac:dyDescent="0.3">
      <c r="A3228" s="176"/>
      <c r="B3228" s="174"/>
      <c r="C3228" s="35" t="s">
        <v>823</v>
      </c>
      <c r="D3228" s="35" t="s">
        <v>385</v>
      </c>
      <c r="E3228" s="36">
        <v>1.0210999999999999</v>
      </c>
      <c r="F3228" s="30">
        <v>56.097499999999997</v>
      </c>
      <c r="G3228" s="33">
        <f>IF(ISNUMBER(F3228),E3228*F3228,"")</f>
        <v>57.281157249999993</v>
      </c>
      <c r="H3228" s="38">
        <f>SUM(G3228:G3230)</f>
        <v>64.188189249999994</v>
      </c>
      <c r="I3228" s="39"/>
      <c r="J3228" s="152">
        <v>0</v>
      </c>
    </row>
    <row r="3229" spans="1:10" ht="26.25" hidden="1" thickBot="1" x14ac:dyDescent="0.3">
      <c r="A3229" s="176"/>
      <c r="B3229" s="174"/>
      <c r="C3229" s="35" t="s">
        <v>824</v>
      </c>
      <c r="D3229" s="35" t="s">
        <v>583</v>
      </c>
      <c r="E3229" s="36">
        <v>0.14399999999999999</v>
      </c>
      <c r="F3229" s="30">
        <v>21.166</v>
      </c>
      <c r="G3229" s="33">
        <f>IF(ISNUMBER(F3229),E3229*F3229,"")</f>
        <v>3.0479039999999999</v>
      </c>
      <c r="H3229" s="34"/>
      <c r="I3229" s="30"/>
      <c r="J3229" s="152">
        <v>0</v>
      </c>
    </row>
    <row r="3230" spans="1:10" ht="26.25" hidden="1" thickBot="1" x14ac:dyDescent="0.3">
      <c r="A3230" s="176"/>
      <c r="B3230" s="174"/>
      <c r="C3230" s="35" t="s">
        <v>825</v>
      </c>
      <c r="D3230" s="35" t="s">
        <v>583</v>
      </c>
      <c r="E3230" s="36">
        <v>0.14399999999999999</v>
      </c>
      <c r="F3230" s="30">
        <v>26.799499999999998</v>
      </c>
      <c r="G3230" s="33">
        <f>IF(ISNUMBER(F3230),E3230*F3230,"")</f>
        <v>3.8591279999999997</v>
      </c>
      <c r="H3230" s="34"/>
      <c r="I3230" s="30"/>
      <c r="J3230" s="152">
        <v>0</v>
      </c>
    </row>
    <row r="3231" spans="1:10" ht="15.75" hidden="1" thickBot="1" x14ac:dyDescent="0.3">
      <c r="A3231" s="177"/>
      <c r="B3231" s="175"/>
      <c r="C3231" s="35"/>
      <c r="D3231" s="35"/>
      <c r="E3231" s="36"/>
      <c r="F3231" s="30" t="s">
        <v>416</v>
      </c>
      <c r="G3231" s="33" t="str">
        <f>IF(ISNUMBER(F3231),E3231*F3231,"")</f>
        <v/>
      </c>
      <c r="H3231" s="34"/>
      <c r="I3231" s="30"/>
      <c r="J3231" s="152">
        <v>0</v>
      </c>
    </row>
    <row r="3232" spans="1:10" ht="15.75" hidden="1" thickBot="1" x14ac:dyDescent="0.3">
      <c r="A3232" s="170" t="s">
        <v>826</v>
      </c>
      <c r="B3232" s="173" t="str">
        <f>INDEX(Orçamentária!A:B,MATCH(Composições!A3232,Orçamentária!A:A,0),2)</f>
        <v>Tubo de cobre classe "E" 28 mm</v>
      </c>
      <c r="C3232" s="40"/>
      <c r="D3232" s="25" t="s">
        <v>69</v>
      </c>
      <c r="E3232" s="26"/>
      <c r="F3232" s="41" t="s">
        <v>416</v>
      </c>
      <c r="G3232" s="27" t="str">
        <f>IF(ISNUMBER(F3232),E3232*F3232,"")</f>
        <v/>
      </c>
      <c r="H3232" s="28"/>
      <c r="I3232" s="29"/>
      <c r="J3232" s="152">
        <v>0</v>
      </c>
    </row>
    <row r="3233" spans="1:10" ht="15.75" hidden="1" thickBot="1" x14ac:dyDescent="0.3">
      <c r="A3233" s="176"/>
      <c r="B3233" s="174"/>
      <c r="C3233" s="31"/>
      <c r="D3233" s="31"/>
      <c r="E3233" s="32"/>
      <c r="F3233" s="42" t="s">
        <v>416</v>
      </c>
      <c r="G3233" s="33" t="str">
        <f>IF(ISNUMBER(F3233),E3233*F3233,"")</f>
        <v/>
      </c>
      <c r="H3233" s="34"/>
      <c r="I3233" s="30"/>
      <c r="J3233" s="152">
        <v>0</v>
      </c>
    </row>
    <row r="3234" spans="1:10" ht="26.25" hidden="1" thickBot="1" x14ac:dyDescent="0.3">
      <c r="A3234" s="176"/>
      <c r="B3234" s="174"/>
      <c r="C3234" s="35" t="s">
        <v>827</v>
      </c>
      <c r="D3234" s="35" t="s">
        <v>385</v>
      </c>
      <c r="E3234" s="36">
        <v>1.0210999999999999</v>
      </c>
      <c r="F3234" s="30">
        <v>71.202500000000001</v>
      </c>
      <c r="G3234" s="33">
        <f>IF(ISNUMBER(F3234),E3234*F3234,"")</f>
        <v>72.704872749999993</v>
      </c>
      <c r="H3234" s="38">
        <f>SUM(G3234:G3236)</f>
        <v>80.379352749999995</v>
      </c>
      <c r="I3234" s="39"/>
      <c r="J3234" s="152">
        <v>0</v>
      </c>
    </row>
    <row r="3235" spans="1:10" ht="26.25" hidden="1" thickBot="1" x14ac:dyDescent="0.3">
      <c r="A3235" s="176"/>
      <c r="B3235" s="174"/>
      <c r="C3235" s="35" t="s">
        <v>824</v>
      </c>
      <c r="D3235" s="35" t="s">
        <v>583</v>
      </c>
      <c r="E3235" s="36">
        <v>0.16</v>
      </c>
      <c r="F3235" s="30">
        <v>21.166</v>
      </c>
      <c r="G3235" s="33">
        <f>IF(ISNUMBER(F3235),E3235*F3235,"")</f>
        <v>3.3865600000000002</v>
      </c>
      <c r="H3235" s="34"/>
      <c r="I3235" s="30"/>
      <c r="J3235" s="152">
        <v>0</v>
      </c>
    </row>
    <row r="3236" spans="1:10" ht="26.25" hidden="1" thickBot="1" x14ac:dyDescent="0.3">
      <c r="A3236" s="176"/>
      <c r="B3236" s="174"/>
      <c r="C3236" s="35" t="s">
        <v>825</v>
      </c>
      <c r="D3236" s="35" t="s">
        <v>583</v>
      </c>
      <c r="E3236" s="36">
        <v>0.16</v>
      </c>
      <c r="F3236" s="30">
        <v>26.799499999999998</v>
      </c>
      <c r="G3236" s="33">
        <f>IF(ISNUMBER(F3236),E3236*F3236,"")</f>
        <v>4.2879199999999997</v>
      </c>
      <c r="H3236" s="34"/>
      <c r="I3236" s="30"/>
      <c r="J3236" s="152">
        <v>0</v>
      </c>
    </row>
    <row r="3237" spans="1:10" ht="15.75" hidden="1" thickBot="1" x14ac:dyDescent="0.3">
      <c r="A3237" s="177"/>
      <c r="B3237" s="175"/>
      <c r="C3237" s="35"/>
      <c r="D3237" s="35"/>
      <c r="E3237" s="36"/>
      <c r="F3237" s="30" t="s">
        <v>416</v>
      </c>
      <c r="G3237" s="33" t="str">
        <f>IF(ISNUMBER(F3237),E3237*F3237,"")</f>
        <v/>
      </c>
      <c r="H3237" s="34"/>
      <c r="I3237" s="30"/>
      <c r="J3237" s="152">
        <v>0</v>
      </c>
    </row>
    <row r="3238" spans="1:10" ht="15.75" hidden="1" thickBot="1" x14ac:dyDescent="0.3">
      <c r="A3238" s="170" t="s">
        <v>828</v>
      </c>
      <c r="B3238" s="173" t="str">
        <f>INDEX(Orçamentária!A:B,MATCH(Composições!A3238,Orçamentária!A:A,0),2)</f>
        <v>Tubo de cobre classe "E" 42 mm</v>
      </c>
      <c r="C3238" s="40"/>
      <c r="D3238" s="25" t="s">
        <v>69</v>
      </c>
      <c r="E3238" s="26"/>
      <c r="F3238" s="41" t="s">
        <v>416</v>
      </c>
      <c r="G3238" s="27" t="str">
        <f>IF(ISNUMBER(F3238),E3238*F3238,"")</f>
        <v/>
      </c>
      <c r="H3238" s="28"/>
      <c r="I3238" s="29"/>
      <c r="J3238" s="152">
        <v>0</v>
      </c>
    </row>
    <row r="3239" spans="1:10" ht="15.75" hidden="1" thickBot="1" x14ac:dyDescent="0.3">
      <c r="A3239" s="176"/>
      <c r="B3239" s="174"/>
      <c r="C3239" s="31"/>
      <c r="D3239" s="31"/>
      <c r="E3239" s="32"/>
      <c r="F3239" s="42" t="s">
        <v>416</v>
      </c>
      <c r="G3239" s="33" t="str">
        <f>IF(ISNUMBER(F3239),E3239*F3239,"")</f>
        <v/>
      </c>
      <c r="H3239" s="34"/>
      <c r="I3239" s="30"/>
      <c r="J3239" s="152">
        <v>0</v>
      </c>
    </row>
    <row r="3240" spans="1:10" ht="26.25" hidden="1" thickBot="1" x14ac:dyDescent="0.3">
      <c r="A3240" s="176"/>
      <c r="B3240" s="174"/>
      <c r="C3240" s="35" t="s">
        <v>829</v>
      </c>
      <c r="D3240" s="35" t="s">
        <v>385</v>
      </c>
      <c r="E3240" s="36">
        <v>1.0210999999999999</v>
      </c>
      <c r="F3240" s="30">
        <v>139.63099999999997</v>
      </c>
      <c r="G3240" s="33">
        <f>IF(ISNUMBER(F3240),E3240*F3240,"")</f>
        <v>142.57721409999996</v>
      </c>
      <c r="H3240" s="38">
        <f>SUM(G3240:G3242)</f>
        <v>146.22259209999999</v>
      </c>
      <c r="I3240" s="39"/>
      <c r="J3240" s="152">
        <v>0</v>
      </c>
    </row>
    <row r="3241" spans="1:10" ht="26.25" hidden="1" thickBot="1" x14ac:dyDescent="0.3">
      <c r="A3241" s="176"/>
      <c r="B3241" s="174"/>
      <c r="C3241" s="35" t="s">
        <v>824</v>
      </c>
      <c r="D3241" s="35" t="s">
        <v>583</v>
      </c>
      <c r="E3241" s="36">
        <v>7.5999999999999998E-2</v>
      </c>
      <c r="F3241" s="30">
        <v>21.166</v>
      </c>
      <c r="G3241" s="33">
        <f>IF(ISNUMBER(F3241),E3241*F3241,"")</f>
        <v>1.608616</v>
      </c>
      <c r="H3241" s="34"/>
      <c r="I3241" s="30"/>
      <c r="J3241" s="152">
        <v>0</v>
      </c>
    </row>
    <row r="3242" spans="1:10" ht="26.25" hidden="1" thickBot="1" x14ac:dyDescent="0.3">
      <c r="A3242" s="176"/>
      <c r="B3242" s="174"/>
      <c r="C3242" s="35" t="s">
        <v>825</v>
      </c>
      <c r="D3242" s="35" t="s">
        <v>583</v>
      </c>
      <c r="E3242" s="36">
        <v>7.5999999999999998E-2</v>
      </c>
      <c r="F3242" s="30">
        <v>26.799499999999998</v>
      </c>
      <c r="G3242" s="33">
        <f>IF(ISNUMBER(F3242),E3242*F3242,"")</f>
        <v>2.036762</v>
      </c>
      <c r="H3242" s="34"/>
      <c r="I3242" s="30"/>
      <c r="J3242" s="152">
        <v>0</v>
      </c>
    </row>
    <row r="3243" spans="1:10" ht="15.75" hidden="1" thickBot="1" x14ac:dyDescent="0.3">
      <c r="A3243" s="177"/>
      <c r="B3243" s="175"/>
      <c r="C3243" s="35"/>
      <c r="D3243" s="35"/>
      <c r="E3243" s="36"/>
      <c r="F3243" s="30" t="s">
        <v>416</v>
      </c>
      <c r="G3243" s="33" t="str">
        <f>IF(ISNUMBER(F3243),E3243*F3243,"")</f>
        <v/>
      </c>
      <c r="H3243" s="34"/>
      <c r="I3243" s="30"/>
      <c r="J3243" s="152">
        <v>0</v>
      </c>
    </row>
    <row r="3244" spans="1:10" ht="15.75" hidden="1" thickBot="1" x14ac:dyDescent="0.3">
      <c r="A3244" s="170" t="s">
        <v>830</v>
      </c>
      <c r="B3244" s="173" t="str">
        <f>INDEX(Orçamentária!A:B,MATCH(Composições!A3244,Orçamentária!A:A,0),2)</f>
        <v>Bacia conforto (h=44 cm) – Linha Acessibilidade</v>
      </c>
      <c r="C3244" s="40"/>
      <c r="D3244" s="25" t="s">
        <v>16</v>
      </c>
      <c r="E3244" s="26"/>
      <c r="F3244" s="41" t="s">
        <v>416</v>
      </c>
      <c r="G3244" s="27" t="str">
        <f>IF(ISNUMBER(F3244),E3244*F3244,"")</f>
        <v/>
      </c>
      <c r="H3244" s="28"/>
      <c r="I3244" s="29"/>
      <c r="J3244" s="152">
        <v>0</v>
      </c>
    </row>
    <row r="3245" spans="1:10" ht="15.75" hidden="1" thickBot="1" x14ac:dyDescent="0.3">
      <c r="A3245" s="176"/>
      <c r="B3245" s="174"/>
      <c r="C3245" s="31"/>
      <c r="D3245" s="31"/>
      <c r="E3245" s="32"/>
      <c r="F3245" s="42" t="s">
        <v>416</v>
      </c>
      <c r="G3245" s="33" t="str">
        <f>IF(ISNUMBER(F3245),E3245*F3245,"")</f>
        <v/>
      </c>
      <c r="H3245" s="34"/>
      <c r="I3245" s="30"/>
      <c r="J3245" s="152">
        <v>0</v>
      </c>
    </row>
    <row r="3246" spans="1:10" ht="39" hidden="1" thickBot="1" x14ac:dyDescent="0.3">
      <c r="A3246" s="176"/>
      <c r="B3246" s="174"/>
      <c r="C3246" s="35" t="s">
        <v>8308</v>
      </c>
      <c r="D3246" s="35" t="s">
        <v>213</v>
      </c>
      <c r="E3246" s="36">
        <v>2</v>
      </c>
      <c r="F3246" s="30">
        <v>22.799999999999997</v>
      </c>
      <c r="G3246" s="33">
        <f>IF(ISNUMBER(F3246),E3246*F3246,"")</f>
        <v>45.599999999999994</v>
      </c>
      <c r="H3246" s="38">
        <f>SUM(G3246:G3252)</f>
        <v>678.33500939999999</v>
      </c>
      <c r="I3246" s="39"/>
      <c r="J3246" s="152">
        <v>0</v>
      </c>
    </row>
    <row r="3247" spans="1:10" ht="26.25" hidden="1" thickBot="1" x14ac:dyDescent="0.3">
      <c r="A3247" s="176"/>
      <c r="B3247" s="174"/>
      <c r="C3247" s="35" t="s">
        <v>7982</v>
      </c>
      <c r="D3247" s="35" t="s">
        <v>213</v>
      </c>
      <c r="E3247" s="36">
        <v>1</v>
      </c>
      <c r="F3247" s="30">
        <v>14.3925</v>
      </c>
      <c r="G3247" s="33">
        <f>IF(ISNUMBER(F3247),E3247*F3247,"")</f>
        <v>14.3925</v>
      </c>
      <c r="H3247" s="34"/>
      <c r="I3247" s="30"/>
      <c r="J3247" s="152">
        <v>0</v>
      </c>
    </row>
    <row r="3248" spans="1:10" ht="26.25" hidden="1" thickBot="1" x14ac:dyDescent="0.3">
      <c r="A3248" s="176"/>
      <c r="B3248" s="174"/>
      <c r="C3248" s="35" t="s">
        <v>7994</v>
      </c>
      <c r="D3248" s="35" t="s">
        <v>213</v>
      </c>
      <c r="E3248" s="36">
        <v>1</v>
      </c>
      <c r="F3248" s="30">
        <v>569.74350000000004</v>
      </c>
      <c r="G3248" s="33">
        <f>IF(ISNUMBER(F3248),E3248*F3248,"")</f>
        <v>569.74350000000004</v>
      </c>
      <c r="H3248" s="34"/>
      <c r="I3248" s="30"/>
      <c r="J3248" s="152">
        <v>0</v>
      </c>
    </row>
    <row r="3249" spans="1:10" ht="15.75" hidden="1" thickBot="1" x14ac:dyDescent="0.3">
      <c r="A3249" s="176"/>
      <c r="B3249" s="174"/>
      <c r="C3249" s="35" t="s">
        <v>3061</v>
      </c>
      <c r="D3249" s="35" t="s">
        <v>773</v>
      </c>
      <c r="E3249" s="36">
        <v>8.8099999999999998E-2</v>
      </c>
      <c r="F3249" s="30">
        <v>72.836500000000001</v>
      </c>
      <c r="G3249" s="33">
        <f>IF(ISNUMBER(F3249),E3249*F3249,"")</f>
        <v>6.4168956499999998</v>
      </c>
      <c r="H3249" s="34"/>
      <c r="I3249" s="30"/>
      <c r="J3249" s="152">
        <v>0</v>
      </c>
    </row>
    <row r="3250" spans="1:10" ht="26.25" hidden="1" thickBot="1" x14ac:dyDescent="0.3">
      <c r="A3250" s="176"/>
      <c r="B3250" s="174"/>
      <c r="C3250" s="35" t="s">
        <v>825</v>
      </c>
      <c r="D3250" s="35" t="s">
        <v>583</v>
      </c>
      <c r="E3250" s="36">
        <v>1.1539999999999999</v>
      </c>
      <c r="F3250" s="30">
        <v>26.799499999999998</v>
      </c>
      <c r="G3250" s="33">
        <f>IF(ISNUMBER(F3250),E3250*F3250,"")</f>
        <v>30.926622999999996</v>
      </c>
      <c r="H3250" s="34"/>
      <c r="I3250" s="30"/>
      <c r="J3250" s="152">
        <v>0</v>
      </c>
    </row>
    <row r="3251" spans="1:10" ht="15.75" hidden="1" thickBot="1" x14ac:dyDescent="0.3">
      <c r="A3251" s="176"/>
      <c r="B3251" s="174"/>
      <c r="C3251" s="35" t="s">
        <v>584</v>
      </c>
      <c r="D3251" s="35" t="s">
        <v>583</v>
      </c>
      <c r="E3251" s="36">
        <v>0.55649999999999999</v>
      </c>
      <c r="F3251" s="30">
        <v>20.225499999999997</v>
      </c>
      <c r="G3251" s="33">
        <f>IF(ISNUMBER(F3251),E3251*F3251,"")</f>
        <v>11.255490749999998</v>
      </c>
      <c r="H3251" s="34"/>
      <c r="I3251" s="30"/>
      <c r="J3251" s="152">
        <v>0</v>
      </c>
    </row>
    <row r="3252" spans="1:10" ht="26.25" hidden="1" thickBot="1" x14ac:dyDescent="0.3">
      <c r="A3252" s="176"/>
      <c r="B3252" s="174"/>
      <c r="C3252" s="35" t="s">
        <v>233</v>
      </c>
      <c r="D3252" s="35" t="s">
        <v>16</v>
      </c>
      <c r="E3252" s="36">
        <v>1</v>
      </c>
      <c r="F3252" s="33" t="s">
        <v>416</v>
      </c>
      <c r="G3252" s="33" t="str">
        <f>IF(ISNUMBER(F3252),E3252*F3252,"")</f>
        <v/>
      </c>
      <c r="H3252" s="34"/>
      <c r="I3252" s="30"/>
      <c r="J3252" s="152">
        <v>0</v>
      </c>
    </row>
    <row r="3253" spans="1:10" ht="15.75" hidden="1" thickBot="1" x14ac:dyDescent="0.3">
      <c r="A3253" s="177"/>
      <c r="B3253" s="175"/>
      <c r="C3253" s="35"/>
      <c r="D3253" s="35"/>
      <c r="E3253" s="36"/>
      <c r="F3253" s="30" t="s">
        <v>416</v>
      </c>
      <c r="G3253" s="33" t="str">
        <f>IF(ISNUMBER(F3253),E3253*F3253,"")</f>
        <v/>
      </c>
      <c r="H3253" s="34"/>
      <c r="I3253" s="30"/>
      <c r="J3253" s="152">
        <v>0</v>
      </c>
    </row>
    <row r="3254" spans="1:10" ht="15.75" hidden="1" thickBot="1" x14ac:dyDescent="0.3">
      <c r="A3254" s="170" t="s">
        <v>831</v>
      </c>
      <c r="B3254" s="173" t="str">
        <f>INDEX(Orçamentária!A:B,MATCH(Composições!A3254,Orçamentária!A:A,0),2)</f>
        <v>Assento para bacia convencional - Linha Acessibilidade</v>
      </c>
      <c r="C3254" s="40"/>
      <c r="D3254" s="25" t="s">
        <v>16</v>
      </c>
      <c r="E3254" s="26"/>
      <c r="F3254" s="41" t="s">
        <v>416</v>
      </c>
      <c r="G3254" s="27" t="str">
        <f>IF(ISNUMBER(F3254),E3254*F3254,"")</f>
        <v/>
      </c>
      <c r="H3254" s="28"/>
      <c r="I3254" s="29"/>
      <c r="J3254" s="152">
        <v>0</v>
      </c>
    </row>
    <row r="3255" spans="1:10" ht="15.75" hidden="1" thickBot="1" x14ac:dyDescent="0.3">
      <c r="A3255" s="176"/>
      <c r="B3255" s="174"/>
      <c r="C3255" s="31"/>
      <c r="D3255" s="31"/>
      <c r="E3255" s="32"/>
      <c r="F3255" s="42" t="s">
        <v>416</v>
      </c>
      <c r="G3255" s="33" t="str">
        <f>IF(ISNUMBER(F3255),E3255*F3255,"")</f>
        <v/>
      </c>
      <c r="H3255" s="34"/>
      <c r="I3255" s="30"/>
      <c r="J3255" s="152">
        <v>0</v>
      </c>
    </row>
    <row r="3256" spans="1:10" ht="26.25" hidden="1" thickBot="1" x14ac:dyDescent="0.3">
      <c r="A3256" s="176"/>
      <c r="B3256" s="174"/>
      <c r="C3256" s="35" t="s">
        <v>832</v>
      </c>
      <c r="D3256" s="46" t="s">
        <v>107</v>
      </c>
      <c r="E3256" s="36">
        <v>1</v>
      </c>
      <c r="F3256" s="30" t="s">
        <v>416</v>
      </c>
      <c r="G3256" s="33" t="str">
        <f>IF(ISNUMBER(F3256),E3256*F3256,"")</f>
        <v/>
      </c>
      <c r="H3256" s="38">
        <f>SUM(G3256:G3257)</f>
        <v>2.0225499999999998</v>
      </c>
      <c r="I3256" s="39"/>
      <c r="J3256" s="152">
        <v>0</v>
      </c>
    </row>
    <row r="3257" spans="1:10" ht="15.75" hidden="1" thickBot="1" x14ac:dyDescent="0.3">
      <c r="A3257" s="176"/>
      <c r="B3257" s="174"/>
      <c r="C3257" s="35" t="s">
        <v>584</v>
      </c>
      <c r="D3257" s="35" t="s">
        <v>583</v>
      </c>
      <c r="E3257" s="36">
        <v>0.1</v>
      </c>
      <c r="F3257" s="30">
        <v>20.225499999999997</v>
      </c>
      <c r="G3257" s="33">
        <f>IF(ISNUMBER(F3257),E3257*F3257,"")</f>
        <v>2.0225499999999998</v>
      </c>
      <c r="H3257" s="34"/>
      <c r="I3257" s="30"/>
      <c r="J3257" s="152">
        <v>0</v>
      </c>
    </row>
    <row r="3258" spans="1:10" ht="15.75" hidden="1" thickBot="1" x14ac:dyDescent="0.3">
      <c r="A3258" s="177"/>
      <c r="B3258" s="175"/>
      <c r="C3258" s="35"/>
      <c r="D3258" s="35"/>
      <c r="E3258" s="36"/>
      <c r="F3258" s="30" t="s">
        <v>416</v>
      </c>
      <c r="G3258" s="33" t="str">
        <f>IF(ISNUMBER(F3258),E3258*F3258,"")</f>
        <v/>
      </c>
      <c r="H3258" s="34"/>
      <c r="I3258" s="30"/>
      <c r="J3258" s="152">
        <v>0</v>
      </c>
    </row>
    <row r="3259" spans="1:10" ht="15.75" hidden="1" thickBot="1" x14ac:dyDescent="0.3">
      <c r="A3259" s="170" t="s">
        <v>833</v>
      </c>
      <c r="B3259" s="173" t="str">
        <f>INDEX(Orçamentária!A:B,MATCH(Composições!A3259,Orçamentária!A:A,0),2)</f>
        <v>Base registro de gaveta 1 1/2”</v>
      </c>
      <c r="C3259" s="40"/>
      <c r="D3259" s="25" t="s">
        <v>16</v>
      </c>
      <c r="E3259" s="26"/>
      <c r="F3259" s="41" t="s">
        <v>416</v>
      </c>
      <c r="G3259" s="27" t="str">
        <f>IF(ISNUMBER(F3259),E3259*F3259,"")</f>
        <v/>
      </c>
      <c r="H3259" s="28"/>
      <c r="I3259" s="29"/>
      <c r="J3259" s="152">
        <v>0</v>
      </c>
    </row>
    <row r="3260" spans="1:10" ht="15.75" hidden="1" thickBot="1" x14ac:dyDescent="0.3">
      <c r="A3260" s="176"/>
      <c r="B3260" s="174"/>
      <c r="C3260" s="31"/>
      <c r="D3260" s="31"/>
      <c r="E3260" s="32"/>
      <c r="F3260" s="42" t="s">
        <v>416</v>
      </c>
      <c r="G3260" s="33" t="str">
        <f>IF(ISNUMBER(F3260),E3260*F3260,"")</f>
        <v/>
      </c>
      <c r="H3260" s="34"/>
      <c r="I3260" s="30"/>
      <c r="J3260" s="152">
        <v>0</v>
      </c>
    </row>
    <row r="3261" spans="1:10" ht="26.25" hidden="1" thickBot="1" x14ac:dyDescent="0.3">
      <c r="A3261" s="176"/>
      <c r="B3261" s="174"/>
      <c r="C3261" s="35" t="s">
        <v>834</v>
      </c>
      <c r="D3261" s="46" t="s">
        <v>107</v>
      </c>
      <c r="E3261" s="36">
        <v>1</v>
      </c>
      <c r="F3261" s="30" t="s">
        <v>416</v>
      </c>
      <c r="G3261" s="33" t="str">
        <f>IF(ISNUMBER(F3261),E3261*F3261,"")</f>
        <v/>
      </c>
      <c r="H3261" s="38">
        <f>SUM(G3261:G3264)</f>
        <v>12.915136949999999</v>
      </c>
      <c r="I3261" s="39"/>
      <c r="J3261" s="152">
        <v>0</v>
      </c>
    </row>
    <row r="3262" spans="1:10" ht="15.75" hidden="1" thickBot="1" x14ac:dyDescent="0.3">
      <c r="A3262" s="176"/>
      <c r="B3262" s="174"/>
      <c r="C3262" s="35" t="s">
        <v>244</v>
      </c>
      <c r="D3262" s="35" t="s">
        <v>213</v>
      </c>
      <c r="E3262" s="36">
        <v>1.9199999999999998E-2</v>
      </c>
      <c r="F3262" s="30">
        <v>14.8865</v>
      </c>
      <c r="G3262" s="33">
        <f>IF(ISNUMBER(F3262),E3262*F3262,"")</f>
        <v>0.28582079999999999</v>
      </c>
      <c r="H3262" s="34"/>
      <c r="I3262" s="30"/>
      <c r="J3262" s="152">
        <v>0</v>
      </c>
    </row>
    <row r="3263" spans="1:10" ht="26.25" hidden="1" thickBot="1" x14ac:dyDescent="0.3">
      <c r="A3263" s="176"/>
      <c r="B3263" s="174"/>
      <c r="C3263" s="35" t="s">
        <v>825</v>
      </c>
      <c r="D3263" s="35" t="s">
        <v>583</v>
      </c>
      <c r="E3263" s="36">
        <v>0.26329999999999998</v>
      </c>
      <c r="F3263" s="30">
        <v>26.799499999999998</v>
      </c>
      <c r="G3263" s="33">
        <f>IF(ISNUMBER(F3263),E3263*F3263,"")</f>
        <v>7.0563083499999992</v>
      </c>
      <c r="H3263" s="34"/>
      <c r="I3263" s="30"/>
      <c r="J3263" s="152">
        <v>0</v>
      </c>
    </row>
    <row r="3264" spans="1:10" ht="26.25" hidden="1" thickBot="1" x14ac:dyDescent="0.3">
      <c r="A3264" s="176"/>
      <c r="B3264" s="174"/>
      <c r="C3264" s="35" t="s">
        <v>824</v>
      </c>
      <c r="D3264" s="35" t="s">
        <v>583</v>
      </c>
      <c r="E3264" s="36">
        <v>0.26329999999999998</v>
      </c>
      <c r="F3264" s="30">
        <v>21.166</v>
      </c>
      <c r="G3264" s="33">
        <f>IF(ISNUMBER(F3264),E3264*F3264,"")</f>
        <v>5.5730078000000001</v>
      </c>
      <c r="H3264" s="34"/>
      <c r="I3264" s="30"/>
      <c r="J3264" s="152">
        <v>0</v>
      </c>
    </row>
    <row r="3265" spans="1:10" ht="15.75" hidden="1" thickBot="1" x14ac:dyDescent="0.3">
      <c r="A3265" s="177"/>
      <c r="B3265" s="175"/>
      <c r="C3265" s="35"/>
      <c r="D3265" s="35"/>
      <c r="E3265" s="36"/>
      <c r="F3265" s="30" t="s">
        <v>416</v>
      </c>
      <c r="G3265" s="33" t="str">
        <f>IF(ISNUMBER(F3265),E3265*F3265,"")</f>
        <v/>
      </c>
      <c r="H3265" s="34"/>
      <c r="I3265" s="30"/>
      <c r="J3265" s="152">
        <v>0</v>
      </c>
    </row>
    <row r="3266" spans="1:10" ht="15.75" hidden="1" thickBot="1" x14ac:dyDescent="0.3">
      <c r="A3266" s="170" t="s">
        <v>835</v>
      </c>
      <c r="B3266" s="173" t="str">
        <f>INDEX(Orçamentária!A:B,MATCH(Composições!A3266,Orçamentária!A:A,0),2)</f>
        <v>Condutor 25 mm²</v>
      </c>
      <c r="C3266" s="40"/>
      <c r="D3266" s="25" t="s">
        <v>69</v>
      </c>
      <c r="E3266" s="26"/>
      <c r="F3266" s="41" t="s">
        <v>416</v>
      </c>
      <c r="G3266" s="27" t="str">
        <f>IF(ISNUMBER(F3266),E3266*F3266,"")</f>
        <v/>
      </c>
      <c r="H3266" s="28"/>
      <c r="I3266" s="29"/>
      <c r="J3266" s="152">
        <v>0</v>
      </c>
    </row>
    <row r="3267" spans="1:10" ht="15.75" hidden="1" thickBot="1" x14ac:dyDescent="0.3">
      <c r="A3267" s="176"/>
      <c r="B3267" s="174"/>
      <c r="C3267" s="31"/>
      <c r="D3267" s="31"/>
      <c r="E3267" s="32"/>
      <c r="F3267" s="42" t="s">
        <v>416</v>
      </c>
      <c r="G3267" s="33" t="str">
        <f>IF(ISNUMBER(F3267),E3267*F3267,"")</f>
        <v/>
      </c>
      <c r="H3267" s="34"/>
      <c r="I3267" s="30"/>
      <c r="J3267" s="152">
        <v>0</v>
      </c>
    </row>
    <row r="3268" spans="1:10" ht="15.75" hidden="1" thickBot="1" x14ac:dyDescent="0.3">
      <c r="A3268" s="176"/>
      <c r="B3268" s="174"/>
      <c r="C3268" s="35" t="s">
        <v>836</v>
      </c>
      <c r="D3268" s="35" t="s">
        <v>69</v>
      </c>
      <c r="E3268" s="36">
        <v>1.0149999999999999</v>
      </c>
      <c r="F3268" s="30">
        <v>0</v>
      </c>
      <c r="G3268" s="33">
        <f>IF(ISNUMBER(F3268),E3268*F3268,"")</f>
        <v>0</v>
      </c>
      <c r="H3268" s="38">
        <f>SUM(G3268:G3271)</f>
        <v>3.1980420000000001</v>
      </c>
      <c r="I3268" s="39"/>
      <c r="J3268" s="152">
        <v>0</v>
      </c>
    </row>
    <row r="3269" spans="1:10" ht="26.25" hidden="1" thickBot="1" x14ac:dyDescent="0.3">
      <c r="A3269" s="176"/>
      <c r="B3269" s="174"/>
      <c r="C3269" s="35" t="s">
        <v>8169</v>
      </c>
      <c r="D3269" s="35" t="s">
        <v>213</v>
      </c>
      <c r="E3269" s="36">
        <v>8.9999999999999993E-3</v>
      </c>
      <c r="F3269" s="30">
        <v>3.9139999999999997</v>
      </c>
      <c r="G3269" s="33">
        <f>IF(ISNUMBER(F3269),E3269*F3269,"")</f>
        <v>3.5225999999999993E-2</v>
      </c>
      <c r="H3269" s="34"/>
      <c r="I3269" s="30"/>
      <c r="J3269" s="152">
        <v>0</v>
      </c>
    </row>
    <row r="3270" spans="1:10" ht="15.75" hidden="1" thickBot="1" x14ac:dyDescent="0.3">
      <c r="A3270" s="176"/>
      <c r="B3270" s="174"/>
      <c r="C3270" s="35" t="s">
        <v>1017</v>
      </c>
      <c r="D3270" s="35" t="s">
        <v>583</v>
      </c>
      <c r="E3270" s="36">
        <v>6.4000000000000001E-2</v>
      </c>
      <c r="F3270" s="30">
        <v>21.584</v>
      </c>
      <c r="G3270" s="33">
        <f>IF(ISNUMBER(F3270),E3270*F3270,"")</f>
        <v>1.3813759999999999</v>
      </c>
      <c r="H3270" s="34"/>
      <c r="I3270" s="30"/>
      <c r="J3270" s="152">
        <v>0</v>
      </c>
    </row>
    <row r="3271" spans="1:10" ht="15.75" hidden="1" thickBot="1" x14ac:dyDescent="0.3">
      <c r="A3271" s="176"/>
      <c r="B3271" s="174"/>
      <c r="C3271" s="35" t="s">
        <v>1018</v>
      </c>
      <c r="D3271" s="35" t="s">
        <v>583</v>
      </c>
      <c r="E3271" s="36">
        <v>6.4000000000000001E-2</v>
      </c>
      <c r="F3271" s="30">
        <v>27.835000000000001</v>
      </c>
      <c r="G3271" s="33">
        <f>IF(ISNUMBER(F3271),E3271*F3271,"")</f>
        <v>1.7814400000000001</v>
      </c>
      <c r="H3271" s="34"/>
      <c r="I3271" s="30"/>
      <c r="J3271" s="152">
        <v>0</v>
      </c>
    </row>
    <row r="3272" spans="1:10" ht="15.75" hidden="1" thickBot="1" x14ac:dyDescent="0.3">
      <c r="A3272" s="177"/>
      <c r="B3272" s="175"/>
      <c r="C3272" s="35"/>
      <c r="D3272" s="35"/>
      <c r="E3272" s="36"/>
      <c r="F3272" s="30" t="s">
        <v>416</v>
      </c>
      <c r="G3272" s="33" t="str">
        <f>IF(ISNUMBER(F3272),E3272*F3272,"")</f>
        <v/>
      </c>
      <c r="H3272" s="34"/>
      <c r="I3272" s="30"/>
      <c r="J3272" s="152">
        <v>0</v>
      </c>
    </row>
    <row r="3273" spans="1:10" ht="15.75" thickBot="1" x14ac:dyDescent="0.3">
      <c r="A3273" s="170" t="s">
        <v>837</v>
      </c>
      <c r="B3273" s="173" t="str">
        <f>INDEX(Orçamentária!A:B,MATCH(Composições!A3273,Orçamentária!A:A,0),2)</f>
        <v>Condutor 35 mm²</v>
      </c>
      <c r="C3273" s="40"/>
      <c r="D3273" s="25" t="s">
        <v>69</v>
      </c>
      <c r="E3273" s="26"/>
      <c r="F3273" s="41" t="s">
        <v>416</v>
      </c>
      <c r="G3273" s="27" t="str">
        <f>IF(ISNUMBER(F3273),E3273*F3273,"")</f>
        <v/>
      </c>
      <c r="H3273" s="28"/>
      <c r="I3273" s="29"/>
      <c r="J3273" s="152">
        <v>122</v>
      </c>
    </row>
    <row r="3274" spans="1:10" x14ac:dyDescent="0.25">
      <c r="A3274" s="176"/>
      <c r="B3274" s="174"/>
      <c r="C3274" s="31"/>
      <c r="D3274" s="31"/>
      <c r="E3274" s="32"/>
      <c r="F3274" s="42" t="s">
        <v>416</v>
      </c>
      <c r="G3274" s="33" t="str">
        <f>IF(ISNUMBER(F3274),E3274*F3274,"")</f>
        <v/>
      </c>
      <c r="H3274" s="34"/>
      <c r="I3274" s="30"/>
      <c r="J3274" s="152">
        <v>122</v>
      </c>
    </row>
    <row r="3275" spans="1:10" x14ac:dyDescent="0.25">
      <c r="A3275" s="176"/>
      <c r="B3275" s="174"/>
      <c r="C3275" s="35" t="s">
        <v>838</v>
      </c>
      <c r="D3275" s="35" t="s">
        <v>69</v>
      </c>
      <c r="E3275" s="36">
        <v>1.0149999999999999</v>
      </c>
      <c r="F3275" s="30">
        <v>47.851499999999994</v>
      </c>
      <c r="G3275" s="33">
        <f>IF(ISNUMBER(F3275),E3275*F3275,"")</f>
        <v>48.56927249999999</v>
      </c>
      <c r="H3275" s="38">
        <f>SUM(G3275:G3278)</f>
        <v>52.212085499999986</v>
      </c>
      <c r="I3275" s="39"/>
      <c r="J3275" s="152">
        <v>122</v>
      </c>
    </row>
    <row r="3276" spans="1:10" ht="25.5" x14ac:dyDescent="0.25">
      <c r="A3276" s="176"/>
      <c r="B3276" s="174"/>
      <c r="C3276" s="35" t="s">
        <v>8169</v>
      </c>
      <c r="D3276" s="35" t="s">
        <v>213</v>
      </c>
      <c r="E3276" s="36">
        <v>8.9999999999999993E-3</v>
      </c>
      <c r="F3276" s="30">
        <v>3.9139999999999997</v>
      </c>
      <c r="G3276" s="33">
        <f>IF(ISNUMBER(F3276),E3276*F3276,"")</f>
        <v>3.5225999999999993E-2</v>
      </c>
      <c r="H3276" s="34"/>
      <c r="I3276" s="30"/>
      <c r="J3276" s="152">
        <v>122</v>
      </c>
    </row>
    <row r="3277" spans="1:10" x14ac:dyDescent="0.25">
      <c r="A3277" s="176"/>
      <c r="B3277" s="174"/>
      <c r="C3277" s="35" t="s">
        <v>1017</v>
      </c>
      <c r="D3277" s="35" t="s">
        <v>583</v>
      </c>
      <c r="E3277" s="36">
        <v>7.2999999999999995E-2</v>
      </c>
      <c r="F3277" s="30">
        <v>21.584</v>
      </c>
      <c r="G3277" s="33">
        <f>IF(ISNUMBER(F3277),E3277*F3277,"")</f>
        <v>1.5756319999999999</v>
      </c>
      <c r="H3277" s="34"/>
      <c r="I3277" s="30"/>
      <c r="J3277" s="152">
        <v>122</v>
      </c>
    </row>
    <row r="3278" spans="1:10" x14ac:dyDescent="0.25">
      <c r="A3278" s="176"/>
      <c r="B3278" s="174"/>
      <c r="C3278" s="35" t="s">
        <v>1018</v>
      </c>
      <c r="D3278" s="35" t="s">
        <v>583</v>
      </c>
      <c r="E3278" s="36">
        <v>7.2999999999999995E-2</v>
      </c>
      <c r="F3278" s="30">
        <v>27.835000000000001</v>
      </c>
      <c r="G3278" s="33">
        <f>IF(ISNUMBER(F3278),E3278*F3278,"")</f>
        <v>2.031955</v>
      </c>
      <c r="H3278" s="34"/>
      <c r="I3278" s="30"/>
      <c r="J3278" s="152">
        <v>122</v>
      </c>
    </row>
    <row r="3279" spans="1:10" ht="15.75" thickBot="1" x14ac:dyDescent="0.3">
      <c r="A3279" s="177"/>
      <c r="B3279" s="175"/>
      <c r="C3279" s="35"/>
      <c r="D3279" s="35"/>
      <c r="E3279" s="36"/>
      <c r="F3279" s="30" t="s">
        <v>416</v>
      </c>
      <c r="G3279" s="33" t="str">
        <f>IF(ISNUMBER(F3279),E3279*F3279,"")</f>
        <v/>
      </c>
      <c r="H3279" s="34"/>
      <c r="I3279" s="30"/>
      <c r="J3279" s="152">
        <v>122</v>
      </c>
    </row>
    <row r="3280" spans="1:10" ht="15.75" hidden="1" thickBot="1" x14ac:dyDescent="0.3">
      <c r="A3280" s="170" t="s">
        <v>839</v>
      </c>
      <c r="B3280" s="173" t="str">
        <f>INDEX(Orçamentária!A:B,MATCH(Composições!A3280,Orçamentária!A:A,0),2)</f>
        <v>Condutor 50 mm²</v>
      </c>
      <c r="C3280" s="40"/>
      <c r="D3280" s="25" t="s">
        <v>69</v>
      </c>
      <c r="E3280" s="26"/>
      <c r="F3280" s="41" t="s">
        <v>416</v>
      </c>
      <c r="G3280" s="27" t="str">
        <f>IF(ISNUMBER(F3280),E3280*F3280,"")</f>
        <v/>
      </c>
      <c r="H3280" s="28"/>
      <c r="I3280" s="29"/>
      <c r="J3280" s="152">
        <v>0</v>
      </c>
    </row>
    <row r="3281" spans="1:10" ht="15.75" hidden="1" thickBot="1" x14ac:dyDescent="0.3">
      <c r="A3281" s="176"/>
      <c r="B3281" s="174"/>
      <c r="C3281" s="31"/>
      <c r="D3281" s="31"/>
      <c r="E3281" s="32"/>
      <c r="F3281" s="42" t="s">
        <v>416</v>
      </c>
      <c r="G3281" s="33" t="str">
        <f>IF(ISNUMBER(F3281),E3281*F3281,"")</f>
        <v/>
      </c>
      <c r="H3281" s="34"/>
      <c r="I3281" s="30"/>
      <c r="J3281" s="152">
        <v>0</v>
      </c>
    </row>
    <row r="3282" spans="1:10" ht="15.75" hidden="1" thickBot="1" x14ac:dyDescent="0.3">
      <c r="A3282" s="176"/>
      <c r="B3282" s="174"/>
      <c r="C3282" s="35" t="s">
        <v>840</v>
      </c>
      <c r="D3282" s="35" t="s">
        <v>69</v>
      </c>
      <c r="E3282" s="36">
        <v>1.0149999999999999</v>
      </c>
      <c r="F3282" s="30">
        <v>0</v>
      </c>
      <c r="G3282" s="33">
        <f>IF(ISNUMBER(F3282),E3282*F3282,"")</f>
        <v>0</v>
      </c>
      <c r="H3282" s="38">
        <f>SUM(G3282:G3285)</f>
        <v>4.3346789999999995</v>
      </c>
      <c r="I3282" s="39"/>
      <c r="J3282" s="152">
        <v>0</v>
      </c>
    </row>
    <row r="3283" spans="1:10" ht="26.25" hidden="1" thickBot="1" x14ac:dyDescent="0.3">
      <c r="A3283" s="176"/>
      <c r="B3283" s="174"/>
      <c r="C3283" s="35" t="s">
        <v>8169</v>
      </c>
      <c r="D3283" s="35" t="s">
        <v>213</v>
      </c>
      <c r="E3283" s="36">
        <v>8.9999999999999993E-3</v>
      </c>
      <c r="F3283" s="30">
        <v>3.9139999999999997</v>
      </c>
      <c r="G3283" s="33">
        <f>IF(ISNUMBER(F3283),E3283*F3283,"")</f>
        <v>3.5225999999999993E-2</v>
      </c>
      <c r="H3283" s="34"/>
      <c r="I3283" s="30"/>
      <c r="J3283" s="152">
        <v>0</v>
      </c>
    </row>
    <row r="3284" spans="1:10" ht="15.75" hidden="1" thickBot="1" x14ac:dyDescent="0.3">
      <c r="A3284" s="176"/>
      <c r="B3284" s="174"/>
      <c r="C3284" s="35" t="s">
        <v>1017</v>
      </c>
      <c r="D3284" s="35" t="s">
        <v>583</v>
      </c>
      <c r="E3284" s="36">
        <v>8.6999999999999994E-2</v>
      </c>
      <c r="F3284" s="30">
        <v>21.584</v>
      </c>
      <c r="G3284" s="33">
        <f>IF(ISNUMBER(F3284),E3284*F3284,"")</f>
        <v>1.8778079999999999</v>
      </c>
      <c r="H3284" s="34"/>
      <c r="I3284" s="30"/>
      <c r="J3284" s="152">
        <v>0</v>
      </c>
    </row>
    <row r="3285" spans="1:10" ht="15.75" hidden="1" thickBot="1" x14ac:dyDescent="0.3">
      <c r="A3285" s="176"/>
      <c r="B3285" s="174"/>
      <c r="C3285" s="35" t="s">
        <v>1018</v>
      </c>
      <c r="D3285" s="35" t="s">
        <v>583</v>
      </c>
      <c r="E3285" s="36">
        <v>8.6999999999999994E-2</v>
      </c>
      <c r="F3285" s="30">
        <v>27.835000000000001</v>
      </c>
      <c r="G3285" s="33">
        <f>IF(ISNUMBER(F3285),E3285*F3285,"")</f>
        <v>2.4216449999999998</v>
      </c>
      <c r="H3285" s="34"/>
      <c r="I3285" s="30"/>
      <c r="J3285" s="152">
        <v>0</v>
      </c>
    </row>
    <row r="3286" spans="1:10" ht="15.75" hidden="1" thickBot="1" x14ac:dyDescent="0.3">
      <c r="A3286" s="177"/>
      <c r="B3286" s="175"/>
      <c r="C3286" s="35"/>
      <c r="D3286" s="35"/>
      <c r="E3286" s="36"/>
      <c r="F3286" s="30" t="s">
        <v>416</v>
      </c>
      <c r="G3286" s="33" t="str">
        <f>IF(ISNUMBER(F3286),E3286*F3286,"")</f>
        <v/>
      </c>
      <c r="H3286" s="34"/>
      <c r="I3286" s="30"/>
      <c r="J3286" s="152">
        <v>0</v>
      </c>
    </row>
    <row r="3287" spans="1:10" ht="15.75" thickBot="1" x14ac:dyDescent="0.3">
      <c r="A3287" s="170" t="s">
        <v>841</v>
      </c>
      <c r="B3287" s="173" t="str">
        <f>INDEX(Orçamentária!A:B,MATCH(Composições!A3287,Orçamentária!A:A,0),2)</f>
        <v>Condutor 70 mm²</v>
      </c>
      <c r="C3287" s="40"/>
      <c r="D3287" s="25" t="s">
        <v>69</v>
      </c>
      <c r="E3287" s="26"/>
      <c r="F3287" s="41" t="s">
        <v>416</v>
      </c>
      <c r="G3287" s="27" t="str">
        <f>IF(ISNUMBER(F3287),E3287*F3287,"")</f>
        <v/>
      </c>
      <c r="H3287" s="28"/>
      <c r="I3287" s="29"/>
      <c r="J3287" s="152">
        <v>504</v>
      </c>
    </row>
    <row r="3288" spans="1:10" x14ac:dyDescent="0.25">
      <c r="A3288" s="176"/>
      <c r="B3288" s="174"/>
      <c r="C3288" s="31"/>
      <c r="D3288" s="31"/>
      <c r="E3288" s="32"/>
      <c r="F3288" s="42" t="s">
        <v>416</v>
      </c>
      <c r="G3288" s="33" t="str">
        <f>IF(ISNUMBER(F3288),E3288*F3288,"")</f>
        <v/>
      </c>
      <c r="H3288" s="34"/>
      <c r="I3288" s="30"/>
      <c r="J3288" s="152">
        <v>504</v>
      </c>
    </row>
    <row r="3289" spans="1:10" x14ac:dyDescent="0.25">
      <c r="A3289" s="176"/>
      <c r="B3289" s="174"/>
      <c r="C3289" s="35" t="s">
        <v>842</v>
      </c>
      <c r="D3289" s="35" t="s">
        <v>69</v>
      </c>
      <c r="E3289" s="36">
        <v>1.0149999999999999</v>
      </c>
      <c r="F3289" s="30">
        <v>90.971999999999994</v>
      </c>
      <c r="G3289" s="33">
        <f>IF(ISNUMBER(F3289),E3289*F3289,"")</f>
        <v>92.336579999999984</v>
      </c>
      <c r="H3289" s="38">
        <f>SUM(G3289:G3292)</f>
        <v>97.560800999999969</v>
      </c>
      <c r="I3289" s="39"/>
      <c r="J3289" s="152">
        <v>504</v>
      </c>
    </row>
    <row r="3290" spans="1:10" ht="25.5" x14ac:dyDescent="0.25">
      <c r="A3290" s="176"/>
      <c r="B3290" s="174"/>
      <c r="C3290" s="35" t="s">
        <v>8169</v>
      </c>
      <c r="D3290" s="35" t="s">
        <v>213</v>
      </c>
      <c r="E3290" s="36">
        <v>8.9999999999999993E-3</v>
      </c>
      <c r="F3290" s="30">
        <v>3.9139999999999997</v>
      </c>
      <c r="G3290" s="33">
        <f>IF(ISNUMBER(F3290),E3290*F3290,"")</f>
        <v>3.5225999999999993E-2</v>
      </c>
      <c r="H3290" s="34"/>
      <c r="I3290" s="30"/>
      <c r="J3290" s="152">
        <v>504</v>
      </c>
    </row>
    <row r="3291" spans="1:10" x14ac:dyDescent="0.25">
      <c r="A3291" s="176"/>
      <c r="B3291" s="174"/>
      <c r="C3291" s="35" t="s">
        <v>1017</v>
      </c>
      <c r="D3291" s="35" t="s">
        <v>583</v>
      </c>
      <c r="E3291" s="36">
        <v>0.105</v>
      </c>
      <c r="F3291" s="30">
        <v>21.584</v>
      </c>
      <c r="G3291" s="33">
        <f>IF(ISNUMBER(F3291),E3291*F3291,"")</f>
        <v>2.2663199999999999</v>
      </c>
      <c r="H3291" s="34"/>
      <c r="I3291" s="30"/>
      <c r="J3291" s="152">
        <v>504</v>
      </c>
    </row>
    <row r="3292" spans="1:10" x14ac:dyDescent="0.25">
      <c r="A3292" s="176"/>
      <c r="B3292" s="174"/>
      <c r="C3292" s="35" t="s">
        <v>1018</v>
      </c>
      <c r="D3292" s="35" t="s">
        <v>583</v>
      </c>
      <c r="E3292" s="36">
        <v>0.105</v>
      </c>
      <c r="F3292" s="30">
        <v>27.835000000000001</v>
      </c>
      <c r="G3292" s="33">
        <f>IF(ISNUMBER(F3292),E3292*F3292,"")</f>
        <v>2.9226749999999999</v>
      </c>
      <c r="H3292" s="34"/>
      <c r="I3292" s="30"/>
      <c r="J3292" s="152">
        <v>504</v>
      </c>
    </row>
    <row r="3293" spans="1:10" ht="15.75" thickBot="1" x14ac:dyDescent="0.3">
      <c r="A3293" s="177"/>
      <c r="B3293" s="175"/>
      <c r="C3293" s="35"/>
      <c r="D3293" s="35"/>
      <c r="E3293" s="36"/>
      <c r="F3293" s="30" t="s">
        <v>416</v>
      </c>
      <c r="G3293" s="33" t="str">
        <f>IF(ISNUMBER(F3293),E3293*F3293,"")</f>
        <v/>
      </c>
      <c r="H3293" s="34"/>
      <c r="I3293" s="30"/>
      <c r="J3293" s="152">
        <v>504</v>
      </c>
    </row>
    <row r="3294" spans="1:10" ht="15.75" hidden="1" thickBot="1" x14ac:dyDescent="0.3">
      <c r="A3294" s="170" t="s">
        <v>843</v>
      </c>
      <c r="B3294" s="173" t="str">
        <f>INDEX(Orçamentária!A:B,MATCH(Composições!A3294,Orçamentária!A:A,0),2)</f>
        <v>Condutor 95 mm²</v>
      </c>
      <c r="C3294" s="40"/>
      <c r="D3294" s="25" t="s">
        <v>69</v>
      </c>
      <c r="E3294" s="26"/>
      <c r="F3294" s="41" t="s">
        <v>416</v>
      </c>
      <c r="G3294" s="27" t="str">
        <f>IF(ISNUMBER(F3294),E3294*F3294,"")</f>
        <v/>
      </c>
      <c r="H3294" s="28"/>
      <c r="I3294" s="29"/>
      <c r="J3294" s="152">
        <v>0</v>
      </c>
    </row>
    <row r="3295" spans="1:10" ht="15.75" hidden="1" thickBot="1" x14ac:dyDescent="0.3">
      <c r="A3295" s="176"/>
      <c r="B3295" s="174"/>
      <c r="C3295" s="31"/>
      <c r="D3295" s="31"/>
      <c r="E3295" s="32"/>
      <c r="F3295" s="42" t="s">
        <v>416</v>
      </c>
      <c r="G3295" s="33" t="str">
        <f>IF(ISNUMBER(F3295),E3295*F3295,"")</f>
        <v/>
      </c>
      <c r="H3295" s="34"/>
      <c r="I3295" s="30"/>
      <c r="J3295" s="152">
        <v>0</v>
      </c>
    </row>
    <row r="3296" spans="1:10" ht="15.75" hidden="1" thickBot="1" x14ac:dyDescent="0.3">
      <c r="A3296" s="176"/>
      <c r="B3296" s="174"/>
      <c r="C3296" s="35" t="s">
        <v>844</v>
      </c>
      <c r="D3296" s="35" t="s">
        <v>69</v>
      </c>
      <c r="E3296" s="36">
        <v>1.0149999999999999</v>
      </c>
      <c r="F3296" s="30">
        <v>0</v>
      </c>
      <c r="G3296" s="33">
        <f>IF(ISNUMBER(F3296),E3296*F3296,"")</f>
        <v>0</v>
      </c>
      <c r="H3296" s="38">
        <f>SUM(G3296:G3299)</f>
        <v>6.3608580000000003</v>
      </c>
      <c r="I3296" s="39"/>
      <c r="J3296" s="152">
        <v>0</v>
      </c>
    </row>
    <row r="3297" spans="1:10" ht="26.25" hidden="1" thickBot="1" x14ac:dyDescent="0.3">
      <c r="A3297" s="176"/>
      <c r="B3297" s="174"/>
      <c r="C3297" s="35" t="s">
        <v>8169</v>
      </c>
      <c r="D3297" s="35" t="s">
        <v>213</v>
      </c>
      <c r="E3297" s="36">
        <v>8.9999999999999993E-3</v>
      </c>
      <c r="F3297" s="30">
        <v>3.9139999999999997</v>
      </c>
      <c r="G3297" s="33">
        <f>IF(ISNUMBER(F3297),E3297*F3297,"")</f>
        <v>3.5225999999999993E-2</v>
      </c>
      <c r="H3297" s="34"/>
      <c r="I3297" s="30"/>
      <c r="J3297" s="152">
        <v>0</v>
      </c>
    </row>
    <row r="3298" spans="1:10" ht="15.75" hidden="1" thickBot="1" x14ac:dyDescent="0.3">
      <c r="A3298" s="176"/>
      <c r="B3298" s="174"/>
      <c r="C3298" s="35" t="s">
        <v>1017</v>
      </c>
      <c r="D3298" s="35" t="s">
        <v>583</v>
      </c>
      <c r="E3298" s="36">
        <v>0.128</v>
      </c>
      <c r="F3298" s="30">
        <v>21.584</v>
      </c>
      <c r="G3298" s="33">
        <f>IF(ISNUMBER(F3298),E3298*F3298,"")</f>
        <v>2.7627519999999999</v>
      </c>
      <c r="H3298" s="34"/>
      <c r="I3298" s="30"/>
      <c r="J3298" s="152">
        <v>0</v>
      </c>
    </row>
    <row r="3299" spans="1:10" ht="15.75" hidden="1" thickBot="1" x14ac:dyDescent="0.3">
      <c r="A3299" s="176"/>
      <c r="B3299" s="174"/>
      <c r="C3299" s="35" t="s">
        <v>1018</v>
      </c>
      <c r="D3299" s="35" t="s">
        <v>583</v>
      </c>
      <c r="E3299" s="36">
        <v>0.128</v>
      </c>
      <c r="F3299" s="30">
        <v>27.835000000000001</v>
      </c>
      <c r="G3299" s="33">
        <f>IF(ISNUMBER(F3299),E3299*F3299,"")</f>
        <v>3.5628800000000003</v>
      </c>
      <c r="H3299" s="34"/>
      <c r="I3299" s="30"/>
      <c r="J3299" s="152">
        <v>0</v>
      </c>
    </row>
    <row r="3300" spans="1:10" ht="15.75" hidden="1" thickBot="1" x14ac:dyDescent="0.3">
      <c r="A3300" s="177"/>
      <c r="B3300" s="175"/>
      <c r="C3300" s="35"/>
      <c r="D3300" s="35"/>
      <c r="E3300" s="36"/>
      <c r="F3300" s="30" t="s">
        <v>416</v>
      </c>
      <c r="G3300" s="33" t="str">
        <f>IF(ISNUMBER(F3300),E3300*F3300,"")</f>
        <v/>
      </c>
      <c r="H3300" s="34"/>
      <c r="I3300" s="30"/>
      <c r="J3300" s="152">
        <v>0</v>
      </c>
    </row>
    <row r="3301" spans="1:10" ht="15.75" hidden="1" thickBot="1" x14ac:dyDescent="0.3">
      <c r="A3301" s="170" t="s">
        <v>845</v>
      </c>
      <c r="B3301" s="173" t="str">
        <f>INDEX(Orçamentária!A:B,MATCH(Composições!A3301,Orçamentária!A:A,0),2)</f>
        <v>Condutor 120 mm²</v>
      </c>
      <c r="C3301" s="40"/>
      <c r="D3301" s="25" t="s">
        <v>69</v>
      </c>
      <c r="E3301" s="26"/>
      <c r="F3301" s="41" t="s">
        <v>416</v>
      </c>
      <c r="G3301" s="27" t="str">
        <f>IF(ISNUMBER(F3301),E3301*F3301,"")</f>
        <v/>
      </c>
      <c r="H3301" s="28"/>
      <c r="I3301" s="29"/>
      <c r="J3301" s="152">
        <v>0</v>
      </c>
    </row>
    <row r="3302" spans="1:10" ht="15.75" hidden="1" thickBot="1" x14ac:dyDescent="0.3">
      <c r="A3302" s="176"/>
      <c r="B3302" s="174"/>
      <c r="C3302" s="31"/>
      <c r="D3302" s="31"/>
      <c r="E3302" s="32"/>
      <c r="F3302" s="42" t="s">
        <v>416</v>
      </c>
      <c r="G3302" s="33" t="str">
        <f>IF(ISNUMBER(F3302),E3302*F3302,"")</f>
        <v/>
      </c>
      <c r="H3302" s="34"/>
      <c r="I3302" s="30"/>
      <c r="J3302" s="152">
        <v>0</v>
      </c>
    </row>
    <row r="3303" spans="1:10" ht="15.75" hidden="1" thickBot="1" x14ac:dyDescent="0.3">
      <c r="A3303" s="176"/>
      <c r="B3303" s="174"/>
      <c r="C3303" s="35" t="s">
        <v>846</v>
      </c>
      <c r="D3303" s="35" t="s">
        <v>69</v>
      </c>
      <c r="E3303" s="36">
        <v>1.0149999999999999</v>
      </c>
      <c r="F3303" s="30">
        <v>0</v>
      </c>
      <c r="G3303" s="33">
        <f>IF(ISNUMBER(F3303),E3303*F3303,"")</f>
        <v>0</v>
      </c>
      <c r="H3303" s="38">
        <f>SUM(G3303:G3306)</f>
        <v>7.5469140000000001</v>
      </c>
      <c r="I3303" s="39"/>
      <c r="J3303" s="152">
        <v>0</v>
      </c>
    </row>
    <row r="3304" spans="1:10" ht="26.25" hidden="1" thickBot="1" x14ac:dyDescent="0.3">
      <c r="A3304" s="176"/>
      <c r="B3304" s="174"/>
      <c r="C3304" s="35" t="s">
        <v>8169</v>
      </c>
      <c r="D3304" s="35" t="s">
        <v>213</v>
      </c>
      <c r="E3304" s="36">
        <v>8.9999999999999993E-3</v>
      </c>
      <c r="F3304" s="30">
        <v>3.9139999999999997</v>
      </c>
      <c r="G3304" s="33">
        <f>IF(ISNUMBER(F3304),E3304*F3304,"")</f>
        <v>3.5225999999999993E-2</v>
      </c>
      <c r="H3304" s="34"/>
      <c r="I3304" s="30"/>
      <c r="J3304" s="152">
        <v>0</v>
      </c>
    </row>
    <row r="3305" spans="1:10" ht="15.75" hidden="1" thickBot="1" x14ac:dyDescent="0.3">
      <c r="A3305" s="176"/>
      <c r="B3305" s="174"/>
      <c r="C3305" s="35" t="s">
        <v>1017</v>
      </c>
      <c r="D3305" s="35" t="s">
        <v>583</v>
      </c>
      <c r="E3305" s="36">
        <v>0.152</v>
      </c>
      <c r="F3305" s="30">
        <v>21.584</v>
      </c>
      <c r="G3305" s="33">
        <f>IF(ISNUMBER(F3305),E3305*F3305,"")</f>
        <v>3.2807679999999997</v>
      </c>
      <c r="H3305" s="34"/>
      <c r="I3305" s="30"/>
      <c r="J3305" s="152">
        <v>0</v>
      </c>
    </row>
    <row r="3306" spans="1:10" ht="15.75" hidden="1" thickBot="1" x14ac:dyDescent="0.3">
      <c r="A3306" s="176"/>
      <c r="B3306" s="174"/>
      <c r="C3306" s="35" t="s">
        <v>1018</v>
      </c>
      <c r="D3306" s="35" t="s">
        <v>583</v>
      </c>
      <c r="E3306" s="36">
        <v>0.152</v>
      </c>
      <c r="F3306" s="30">
        <v>27.835000000000001</v>
      </c>
      <c r="G3306" s="33">
        <f>IF(ISNUMBER(F3306),E3306*F3306,"")</f>
        <v>4.2309200000000002</v>
      </c>
      <c r="H3306" s="34"/>
      <c r="I3306" s="30"/>
      <c r="J3306" s="152">
        <v>0</v>
      </c>
    </row>
    <row r="3307" spans="1:10" ht="15.75" hidden="1" thickBot="1" x14ac:dyDescent="0.3">
      <c r="A3307" s="177"/>
      <c r="B3307" s="175"/>
      <c r="C3307" s="35"/>
      <c r="D3307" s="35"/>
      <c r="E3307" s="36"/>
      <c r="F3307" s="30" t="s">
        <v>416</v>
      </c>
      <c r="G3307" s="33" t="str">
        <f>IF(ISNUMBER(F3307),E3307*F3307,"")</f>
        <v/>
      </c>
      <c r="H3307" s="34"/>
      <c r="I3307" s="30"/>
      <c r="J3307" s="152">
        <v>0</v>
      </c>
    </row>
    <row r="3308" spans="1:10" ht="15.75" hidden="1" thickBot="1" x14ac:dyDescent="0.3">
      <c r="A3308" s="170" t="s">
        <v>847</v>
      </c>
      <c r="B3308" s="173" t="str">
        <f>INDEX(Orçamentária!A:B,MATCH(Composições!A3308,Orçamentária!A:A,0),2)</f>
        <v>Condutor 150 mm²</v>
      </c>
      <c r="C3308" s="40"/>
      <c r="D3308" s="25" t="s">
        <v>69</v>
      </c>
      <c r="E3308" s="26"/>
      <c r="F3308" s="41" t="s">
        <v>416</v>
      </c>
      <c r="G3308" s="27" t="str">
        <f>IF(ISNUMBER(F3308),E3308*F3308,"")</f>
        <v/>
      </c>
      <c r="H3308" s="28"/>
      <c r="I3308" s="29"/>
      <c r="J3308" s="152">
        <v>0</v>
      </c>
    </row>
    <row r="3309" spans="1:10" ht="15.75" hidden="1" thickBot="1" x14ac:dyDescent="0.3">
      <c r="A3309" s="176"/>
      <c r="B3309" s="174"/>
      <c r="C3309" s="31"/>
      <c r="D3309" s="31"/>
      <c r="E3309" s="32"/>
      <c r="F3309" s="42" t="s">
        <v>416</v>
      </c>
      <c r="G3309" s="33" t="str">
        <f>IF(ISNUMBER(F3309),E3309*F3309,"")</f>
        <v/>
      </c>
      <c r="H3309" s="34"/>
      <c r="I3309" s="30"/>
      <c r="J3309" s="152">
        <v>0</v>
      </c>
    </row>
    <row r="3310" spans="1:10" ht="15.75" hidden="1" thickBot="1" x14ac:dyDescent="0.3">
      <c r="A3310" s="176"/>
      <c r="B3310" s="174"/>
      <c r="C3310" s="35" t="s">
        <v>848</v>
      </c>
      <c r="D3310" s="35" t="s">
        <v>69</v>
      </c>
      <c r="E3310" s="36">
        <v>1.0149999999999999</v>
      </c>
      <c r="F3310" s="30">
        <v>0</v>
      </c>
      <c r="G3310" s="33">
        <f>IF(ISNUMBER(F3310),E3310*F3310,"")</f>
        <v>0</v>
      </c>
      <c r="H3310" s="38">
        <f>SUM(G3310:G3313)</f>
        <v>8.8812270000000009</v>
      </c>
      <c r="I3310" s="39"/>
      <c r="J3310" s="152">
        <v>0</v>
      </c>
    </row>
    <row r="3311" spans="1:10" ht="26.25" hidden="1" thickBot="1" x14ac:dyDescent="0.3">
      <c r="A3311" s="176"/>
      <c r="B3311" s="174"/>
      <c r="C3311" s="35" t="s">
        <v>8169</v>
      </c>
      <c r="D3311" s="35" t="s">
        <v>213</v>
      </c>
      <c r="E3311" s="36">
        <v>8.9999999999999993E-3</v>
      </c>
      <c r="F3311" s="30">
        <v>3.9139999999999997</v>
      </c>
      <c r="G3311" s="33">
        <f>IF(ISNUMBER(F3311),E3311*F3311,"")</f>
        <v>3.5225999999999993E-2</v>
      </c>
      <c r="H3311" s="34"/>
      <c r="I3311" s="30"/>
      <c r="J3311" s="152">
        <v>0</v>
      </c>
    </row>
    <row r="3312" spans="1:10" ht="15.75" hidden="1" thickBot="1" x14ac:dyDescent="0.3">
      <c r="A3312" s="176"/>
      <c r="B3312" s="174"/>
      <c r="C3312" s="35" t="s">
        <v>1017</v>
      </c>
      <c r="D3312" s="35" t="s">
        <v>583</v>
      </c>
      <c r="E3312" s="36">
        <v>0.17899999999999999</v>
      </c>
      <c r="F3312" s="30">
        <v>21.584</v>
      </c>
      <c r="G3312" s="33">
        <f>IF(ISNUMBER(F3312),E3312*F3312,"")</f>
        <v>3.8635359999999999</v>
      </c>
      <c r="H3312" s="34"/>
      <c r="I3312" s="30"/>
      <c r="J3312" s="152">
        <v>0</v>
      </c>
    </row>
    <row r="3313" spans="1:10" ht="15.75" hidden="1" thickBot="1" x14ac:dyDescent="0.3">
      <c r="A3313" s="176"/>
      <c r="B3313" s="174"/>
      <c r="C3313" s="35" t="s">
        <v>1018</v>
      </c>
      <c r="D3313" s="35" t="s">
        <v>583</v>
      </c>
      <c r="E3313" s="36">
        <v>0.17899999999999999</v>
      </c>
      <c r="F3313" s="30">
        <v>27.835000000000001</v>
      </c>
      <c r="G3313" s="33">
        <f>IF(ISNUMBER(F3313),E3313*F3313,"")</f>
        <v>4.9824650000000004</v>
      </c>
      <c r="H3313" s="34"/>
      <c r="I3313" s="30"/>
      <c r="J3313" s="152">
        <v>0</v>
      </c>
    </row>
    <row r="3314" spans="1:10" ht="15.75" hidden="1" thickBot="1" x14ac:dyDescent="0.3">
      <c r="A3314" s="177"/>
      <c r="B3314" s="175"/>
      <c r="C3314" s="35"/>
      <c r="D3314" s="35"/>
      <c r="E3314" s="36"/>
      <c r="F3314" s="30" t="s">
        <v>416</v>
      </c>
      <c r="G3314" s="33" t="str">
        <f>IF(ISNUMBER(F3314),E3314*F3314,"")</f>
        <v/>
      </c>
      <c r="H3314" s="34"/>
      <c r="I3314" s="30"/>
      <c r="J3314" s="152">
        <v>0</v>
      </c>
    </row>
    <row r="3315" spans="1:10" ht="15.75" hidden="1" thickBot="1" x14ac:dyDescent="0.3">
      <c r="A3315" s="170" t="s">
        <v>849</v>
      </c>
      <c r="B3315" s="173" t="str">
        <f>INDEX(Orçamentária!A:B,MATCH(Composições!A3315,Orçamentária!A:A,0),2)</f>
        <v>Condutor 185 mm²</v>
      </c>
      <c r="C3315" s="40"/>
      <c r="D3315" s="25" t="s">
        <v>69</v>
      </c>
      <c r="E3315" s="26"/>
      <c r="F3315" s="41" t="s">
        <v>416</v>
      </c>
      <c r="G3315" s="27" t="str">
        <f>IF(ISNUMBER(F3315),E3315*F3315,"")</f>
        <v/>
      </c>
      <c r="H3315" s="28"/>
      <c r="I3315" s="29"/>
      <c r="J3315" s="152">
        <v>0</v>
      </c>
    </row>
    <row r="3316" spans="1:10" ht="15.75" hidden="1" thickBot="1" x14ac:dyDescent="0.3">
      <c r="A3316" s="176"/>
      <c r="B3316" s="174"/>
      <c r="C3316" s="31"/>
      <c r="D3316" s="31"/>
      <c r="E3316" s="32"/>
      <c r="F3316" s="42" t="s">
        <v>416</v>
      </c>
      <c r="G3316" s="33" t="str">
        <f>IF(ISNUMBER(F3316),E3316*F3316,"")</f>
        <v/>
      </c>
      <c r="H3316" s="34"/>
      <c r="I3316" s="30"/>
      <c r="J3316" s="152">
        <v>0</v>
      </c>
    </row>
    <row r="3317" spans="1:10" ht="15.75" hidden="1" thickBot="1" x14ac:dyDescent="0.3">
      <c r="A3317" s="176"/>
      <c r="B3317" s="174"/>
      <c r="C3317" s="35" t="s">
        <v>850</v>
      </c>
      <c r="D3317" s="35" t="s">
        <v>69</v>
      </c>
      <c r="E3317" s="36">
        <v>1.0149999999999999</v>
      </c>
      <c r="F3317" s="30">
        <v>0</v>
      </c>
      <c r="G3317" s="33">
        <f>IF(ISNUMBER(F3317),E3317*F3317,"")</f>
        <v>0</v>
      </c>
      <c r="H3317" s="38">
        <f>SUM(G3317:G3320)</f>
        <v>10.512053999999999</v>
      </c>
      <c r="I3317" s="39"/>
      <c r="J3317" s="152">
        <v>0</v>
      </c>
    </row>
    <row r="3318" spans="1:10" ht="26.25" hidden="1" thickBot="1" x14ac:dyDescent="0.3">
      <c r="A3318" s="176"/>
      <c r="B3318" s="174"/>
      <c r="C3318" s="35" t="s">
        <v>8169</v>
      </c>
      <c r="D3318" s="35" t="s">
        <v>213</v>
      </c>
      <c r="E3318" s="36">
        <v>8.9999999999999993E-3</v>
      </c>
      <c r="F3318" s="30">
        <v>3.9139999999999997</v>
      </c>
      <c r="G3318" s="33">
        <f>IF(ISNUMBER(F3318),E3318*F3318,"")</f>
        <v>3.5225999999999993E-2</v>
      </c>
      <c r="H3318" s="34"/>
      <c r="I3318" s="30"/>
      <c r="J3318" s="152">
        <v>0</v>
      </c>
    </row>
    <row r="3319" spans="1:10" ht="15.75" hidden="1" thickBot="1" x14ac:dyDescent="0.3">
      <c r="A3319" s="176"/>
      <c r="B3319" s="174"/>
      <c r="C3319" s="35" t="s">
        <v>1017</v>
      </c>
      <c r="D3319" s="35" t="s">
        <v>583</v>
      </c>
      <c r="E3319" s="36">
        <v>0.21199999999999999</v>
      </c>
      <c r="F3319" s="30">
        <v>21.584</v>
      </c>
      <c r="G3319" s="33">
        <f>IF(ISNUMBER(F3319),E3319*F3319,"")</f>
        <v>4.5758079999999994</v>
      </c>
      <c r="H3319" s="34"/>
      <c r="I3319" s="30"/>
      <c r="J3319" s="152">
        <v>0</v>
      </c>
    </row>
    <row r="3320" spans="1:10" ht="15.75" hidden="1" thickBot="1" x14ac:dyDescent="0.3">
      <c r="A3320" s="176"/>
      <c r="B3320" s="174"/>
      <c r="C3320" s="35" t="s">
        <v>1018</v>
      </c>
      <c r="D3320" s="35" t="s">
        <v>583</v>
      </c>
      <c r="E3320" s="36">
        <v>0.21199999999999999</v>
      </c>
      <c r="F3320" s="30">
        <v>27.835000000000001</v>
      </c>
      <c r="G3320" s="33">
        <f>IF(ISNUMBER(F3320),E3320*F3320,"")</f>
        <v>5.9010199999999999</v>
      </c>
      <c r="H3320" s="34"/>
      <c r="I3320" s="30"/>
      <c r="J3320" s="152">
        <v>0</v>
      </c>
    </row>
    <row r="3321" spans="1:10" ht="15.75" hidden="1" thickBot="1" x14ac:dyDescent="0.3">
      <c r="A3321" s="177"/>
      <c r="B3321" s="175"/>
      <c r="C3321" s="35"/>
      <c r="D3321" s="35"/>
      <c r="E3321" s="36"/>
      <c r="F3321" s="30" t="s">
        <v>416</v>
      </c>
      <c r="G3321" s="33" t="str">
        <f>IF(ISNUMBER(F3321),E3321*F3321,"")</f>
        <v/>
      </c>
      <c r="H3321" s="34"/>
      <c r="I3321" s="30"/>
      <c r="J3321" s="152">
        <v>0</v>
      </c>
    </row>
    <row r="3322" spans="1:10" ht="15.75" hidden="1" thickBot="1" x14ac:dyDescent="0.3">
      <c r="A3322" s="170" t="s">
        <v>851</v>
      </c>
      <c r="B3322" s="173" t="str">
        <f>INDEX(Orçamentária!A:B,MATCH(Composições!A3322,Orçamentária!A:A,0),2)</f>
        <v>Condutor 240 mm²</v>
      </c>
      <c r="C3322" s="40"/>
      <c r="D3322" s="25" t="s">
        <v>69</v>
      </c>
      <c r="E3322" s="26"/>
      <c r="F3322" s="41" t="s">
        <v>416</v>
      </c>
      <c r="G3322" s="27" t="str">
        <f>IF(ISNUMBER(F3322),E3322*F3322,"")</f>
        <v/>
      </c>
      <c r="H3322" s="28"/>
      <c r="I3322" s="29"/>
      <c r="J3322" s="152">
        <v>0</v>
      </c>
    </row>
    <row r="3323" spans="1:10" ht="15.75" hidden="1" thickBot="1" x14ac:dyDescent="0.3">
      <c r="A3323" s="176"/>
      <c r="B3323" s="174"/>
      <c r="C3323" s="31"/>
      <c r="D3323" s="31"/>
      <c r="E3323" s="32"/>
      <c r="F3323" s="42" t="s">
        <v>416</v>
      </c>
      <c r="G3323" s="33" t="str">
        <f>IF(ISNUMBER(F3323),E3323*F3323,"")</f>
        <v/>
      </c>
      <c r="H3323" s="34"/>
      <c r="I3323" s="30"/>
      <c r="J3323" s="152">
        <v>0</v>
      </c>
    </row>
    <row r="3324" spans="1:10" ht="15.75" hidden="1" thickBot="1" x14ac:dyDescent="0.3">
      <c r="A3324" s="176"/>
      <c r="B3324" s="174"/>
      <c r="C3324" s="35" t="s">
        <v>852</v>
      </c>
      <c r="D3324" s="35" t="s">
        <v>69</v>
      </c>
      <c r="E3324" s="36">
        <v>1.0149999999999999</v>
      </c>
      <c r="F3324" s="30">
        <v>0</v>
      </c>
      <c r="G3324" s="33">
        <f>IF(ISNUMBER(F3324),E3324*F3324,"")</f>
        <v>0</v>
      </c>
      <c r="H3324" s="38">
        <f>SUM(G3324:G3327)</f>
        <v>13.032423000000001</v>
      </c>
      <c r="I3324" s="39"/>
      <c r="J3324" s="152">
        <v>0</v>
      </c>
    </row>
    <row r="3325" spans="1:10" ht="26.25" hidden="1" thickBot="1" x14ac:dyDescent="0.3">
      <c r="A3325" s="176"/>
      <c r="B3325" s="174"/>
      <c r="C3325" s="35" t="s">
        <v>8169</v>
      </c>
      <c r="D3325" s="35" t="s">
        <v>213</v>
      </c>
      <c r="E3325" s="36">
        <v>8.9999999999999993E-3</v>
      </c>
      <c r="F3325" s="30">
        <v>3.9139999999999997</v>
      </c>
      <c r="G3325" s="33">
        <f>IF(ISNUMBER(F3325),E3325*F3325,"")</f>
        <v>3.5225999999999993E-2</v>
      </c>
      <c r="H3325" s="34"/>
      <c r="I3325" s="30"/>
      <c r="J3325" s="152">
        <v>0</v>
      </c>
    </row>
    <row r="3326" spans="1:10" ht="15.75" hidden="1" thickBot="1" x14ac:dyDescent="0.3">
      <c r="A3326" s="176"/>
      <c r="B3326" s="174"/>
      <c r="C3326" s="35" t="s">
        <v>1017</v>
      </c>
      <c r="D3326" s="35" t="s">
        <v>583</v>
      </c>
      <c r="E3326" s="36">
        <v>0.26300000000000001</v>
      </c>
      <c r="F3326" s="30">
        <v>21.584</v>
      </c>
      <c r="G3326" s="33">
        <f>IF(ISNUMBER(F3326),E3326*F3326,"")</f>
        <v>5.6765920000000003</v>
      </c>
      <c r="H3326" s="34"/>
      <c r="I3326" s="30"/>
      <c r="J3326" s="152">
        <v>0</v>
      </c>
    </row>
    <row r="3327" spans="1:10" ht="15.75" hidden="1" thickBot="1" x14ac:dyDescent="0.3">
      <c r="A3327" s="176"/>
      <c r="B3327" s="174"/>
      <c r="C3327" s="35" t="s">
        <v>1018</v>
      </c>
      <c r="D3327" s="35" t="s">
        <v>583</v>
      </c>
      <c r="E3327" s="36">
        <v>0.26300000000000001</v>
      </c>
      <c r="F3327" s="30">
        <v>27.835000000000001</v>
      </c>
      <c r="G3327" s="33">
        <f>IF(ISNUMBER(F3327),E3327*F3327,"")</f>
        <v>7.3206050000000005</v>
      </c>
      <c r="H3327" s="34"/>
      <c r="I3327" s="30"/>
      <c r="J3327" s="152">
        <v>0</v>
      </c>
    </row>
    <row r="3328" spans="1:10" ht="15.75" hidden="1" thickBot="1" x14ac:dyDescent="0.3">
      <c r="A3328" s="177"/>
      <c r="B3328" s="175"/>
      <c r="C3328" s="35"/>
      <c r="D3328" s="35"/>
      <c r="E3328" s="36"/>
      <c r="F3328" s="30" t="s">
        <v>416</v>
      </c>
      <c r="G3328" s="33" t="str">
        <f>IF(ISNUMBER(F3328),E3328*F3328,"")</f>
        <v/>
      </c>
      <c r="H3328" s="34"/>
      <c r="I3328" s="30"/>
      <c r="J3328" s="152">
        <v>0</v>
      </c>
    </row>
    <row r="3329" spans="1:10" ht="15.75" hidden="1" thickBot="1" x14ac:dyDescent="0.3">
      <c r="A3329" s="170" t="s">
        <v>853</v>
      </c>
      <c r="B3329" s="173" t="str">
        <f>INDEX(Orçamentária!A:B,MATCH(Composições!A3329,Orçamentária!A:A,0),2)</f>
        <v>Montagem e desmontagem de andaime fachadeiro</v>
      </c>
      <c r="C3329" s="40"/>
      <c r="D3329" s="25" t="s">
        <v>70</v>
      </c>
      <c r="E3329" s="26"/>
      <c r="F3329" s="41" t="s">
        <v>416</v>
      </c>
      <c r="G3329" s="27" t="str">
        <f>IF(ISNUMBER(F3329),E3329*F3329,"")</f>
        <v/>
      </c>
      <c r="H3329" s="28"/>
      <c r="I3329" s="29"/>
      <c r="J3329" s="152">
        <v>0</v>
      </c>
    </row>
    <row r="3330" spans="1:10" ht="15.75" hidden="1" thickBot="1" x14ac:dyDescent="0.3">
      <c r="A3330" s="176"/>
      <c r="B3330" s="174"/>
      <c r="C3330" s="31"/>
      <c r="D3330" s="31"/>
      <c r="E3330" s="32"/>
      <c r="F3330" s="42" t="s">
        <v>416</v>
      </c>
      <c r="G3330" s="33" t="str">
        <f>IF(ISNUMBER(F3330),E3330*F3330,"")</f>
        <v/>
      </c>
      <c r="H3330" s="34"/>
      <c r="I3330" s="30"/>
      <c r="J3330" s="152">
        <v>0</v>
      </c>
    </row>
    <row r="3331" spans="1:10" ht="26.25" hidden="1" thickBot="1" x14ac:dyDescent="0.3">
      <c r="A3331" s="176"/>
      <c r="B3331" s="174"/>
      <c r="C3331" s="35" t="s">
        <v>854</v>
      </c>
      <c r="D3331" s="35" t="s">
        <v>583</v>
      </c>
      <c r="E3331" s="36">
        <v>0.29509999999999997</v>
      </c>
      <c r="F3331" s="30">
        <v>20.719499999999996</v>
      </c>
      <c r="G3331" s="33">
        <f>IF(ISNUMBER(F3331),E3331*F3331,"")</f>
        <v>6.114324449999998</v>
      </c>
      <c r="H3331" s="38">
        <f>SUM(G3331:G3333)</f>
        <v>9.3777926085699974</v>
      </c>
      <c r="I3331" s="39"/>
      <c r="J3331" s="152">
        <v>0</v>
      </c>
    </row>
    <row r="3332" spans="1:10" ht="15.75" hidden="1" thickBot="1" x14ac:dyDescent="0.3">
      <c r="A3332" s="176"/>
      <c r="B3332" s="174"/>
      <c r="C3332" s="35" t="s">
        <v>584</v>
      </c>
      <c r="D3332" s="35" t="s">
        <v>583</v>
      </c>
      <c r="E3332" s="36">
        <v>5.8999999999999997E-2</v>
      </c>
      <c r="F3332" s="30">
        <v>20.225499999999997</v>
      </c>
      <c r="G3332" s="33">
        <f>IF(ISNUMBER(F3332),E3332*F3332,"")</f>
        <v>1.1933044999999998</v>
      </c>
      <c r="H3332" s="34"/>
      <c r="I3332" s="30"/>
      <c r="J3332" s="152">
        <v>0</v>
      </c>
    </row>
    <row r="3333" spans="1:10" ht="51.75" hidden="1" thickBot="1" x14ac:dyDescent="0.3">
      <c r="A3333" s="176"/>
      <c r="B3333" s="174"/>
      <c r="C3333" s="35" t="s">
        <v>855</v>
      </c>
      <c r="D3333" s="46" t="s">
        <v>856</v>
      </c>
      <c r="E3333" s="36">
        <v>0.1673</v>
      </c>
      <c r="F3333" s="30">
        <v>12.373960899999998</v>
      </c>
      <c r="G3333" s="33">
        <f>IF(ISNUMBER(F3333),E3333*F3333,"")</f>
        <v>2.0701636585699998</v>
      </c>
      <c r="H3333" s="34"/>
      <c r="I3333" s="30"/>
      <c r="J3333" s="152">
        <v>0</v>
      </c>
    </row>
    <row r="3334" spans="1:10" ht="15.75" hidden="1" thickBot="1" x14ac:dyDescent="0.3">
      <c r="A3334" s="177"/>
      <c r="B3334" s="175"/>
      <c r="C3334" s="35"/>
      <c r="D3334" s="35"/>
      <c r="E3334" s="36"/>
      <c r="F3334" s="30" t="s">
        <v>416</v>
      </c>
      <c r="G3334" s="33" t="str">
        <f>IF(ISNUMBER(F3334),E3334*F3334,"")</f>
        <v/>
      </c>
      <c r="H3334" s="34"/>
      <c r="I3334" s="30"/>
      <c r="J3334" s="152">
        <v>0</v>
      </c>
    </row>
    <row r="3335" spans="1:10" ht="15.75" hidden="1" thickBot="1" x14ac:dyDescent="0.3">
      <c r="A3335" s="170" t="s">
        <v>857</v>
      </c>
      <c r="B3335" s="173" t="str">
        <f>INDEX(Orçamentária!A:B,MATCH(Composições!A3335,Orçamentária!A:A,0),2)</f>
        <v>Montagem e desmontagem de andaime tubular</v>
      </c>
      <c r="C3335" s="40"/>
      <c r="D3335" s="25" t="s">
        <v>69</v>
      </c>
      <c r="E3335" s="26"/>
      <c r="F3335" s="41" t="s">
        <v>416</v>
      </c>
      <c r="G3335" s="27" t="str">
        <f>IF(ISNUMBER(F3335),E3335*F3335,"")</f>
        <v/>
      </c>
      <c r="H3335" s="28"/>
      <c r="I3335" s="29"/>
      <c r="J3335" s="152">
        <v>0</v>
      </c>
    </row>
    <row r="3336" spans="1:10" ht="15.75" hidden="1" thickBot="1" x14ac:dyDescent="0.3">
      <c r="A3336" s="176"/>
      <c r="B3336" s="174"/>
      <c r="C3336" s="31"/>
      <c r="D3336" s="31"/>
      <c r="E3336" s="32"/>
      <c r="F3336" s="42" t="s">
        <v>416</v>
      </c>
      <c r="G3336" s="33" t="str">
        <f>IF(ISNUMBER(F3336),E3336*F3336,"")</f>
        <v/>
      </c>
      <c r="H3336" s="34"/>
      <c r="I3336" s="30"/>
      <c r="J3336" s="152">
        <v>0</v>
      </c>
    </row>
    <row r="3337" spans="1:10" ht="26.25" hidden="1" thickBot="1" x14ac:dyDescent="0.3">
      <c r="A3337" s="176"/>
      <c r="B3337" s="174"/>
      <c r="C3337" s="35" t="s">
        <v>854</v>
      </c>
      <c r="D3337" s="35" t="s">
        <v>583</v>
      </c>
      <c r="E3337" s="36">
        <v>0.5</v>
      </c>
      <c r="F3337" s="30">
        <v>20.719499999999996</v>
      </c>
      <c r="G3337" s="33">
        <f>IF(ISNUMBER(F3337),E3337*F3337,"")</f>
        <v>10.359749999999998</v>
      </c>
      <c r="H3337" s="38">
        <f>SUM(G3337:G3339)</f>
        <v>17.356632281799996</v>
      </c>
      <c r="I3337" s="39"/>
      <c r="J3337" s="152">
        <v>0</v>
      </c>
    </row>
    <row r="3338" spans="1:10" ht="15.75" hidden="1" thickBot="1" x14ac:dyDescent="0.3">
      <c r="A3338" s="176"/>
      <c r="B3338" s="174"/>
      <c r="C3338" s="35" t="s">
        <v>584</v>
      </c>
      <c r="D3338" s="35" t="s">
        <v>583</v>
      </c>
      <c r="E3338" s="36">
        <v>0.1</v>
      </c>
      <c r="F3338" s="30">
        <v>20.225499999999997</v>
      </c>
      <c r="G3338" s="33">
        <f>IF(ISNUMBER(F3338),E3338*F3338,"")</f>
        <v>2.0225499999999998</v>
      </c>
      <c r="H3338" s="38"/>
      <c r="I3338" s="39"/>
      <c r="J3338" s="152">
        <v>0</v>
      </c>
    </row>
    <row r="3339" spans="1:10" ht="51.75" hidden="1" thickBot="1" x14ac:dyDescent="0.3">
      <c r="A3339" s="176"/>
      <c r="B3339" s="174"/>
      <c r="C3339" s="35" t="s">
        <v>855</v>
      </c>
      <c r="D3339" s="46" t="s">
        <v>856</v>
      </c>
      <c r="E3339" s="36">
        <v>0.40200000000000002</v>
      </c>
      <c r="F3339" s="30">
        <v>12.373960899999998</v>
      </c>
      <c r="G3339" s="33">
        <f>IF(ISNUMBER(F3339),E3339*F3339,"")</f>
        <v>4.9743322817999998</v>
      </c>
      <c r="H3339" s="34"/>
      <c r="I3339" s="30"/>
      <c r="J3339" s="152">
        <v>0</v>
      </c>
    </row>
    <row r="3340" spans="1:10" ht="15.75" hidden="1" thickBot="1" x14ac:dyDescent="0.3">
      <c r="A3340" s="177"/>
      <c r="B3340" s="175"/>
      <c r="C3340" s="35"/>
      <c r="D3340" s="35"/>
      <c r="E3340" s="36"/>
      <c r="F3340" s="30" t="s">
        <v>416</v>
      </c>
      <c r="G3340" s="33" t="str">
        <f>IF(ISNUMBER(F3340),E3340*F3340,"")</f>
        <v/>
      </c>
      <c r="H3340" s="34"/>
      <c r="I3340" s="30"/>
      <c r="J3340" s="152">
        <v>0</v>
      </c>
    </row>
    <row r="3341" spans="1:10" ht="15.75" hidden="1" thickBot="1" x14ac:dyDescent="0.3">
      <c r="A3341" s="170" t="s">
        <v>858</v>
      </c>
      <c r="B3341" s="173" t="str">
        <f>INDEX(Orçamentária!A:B,MATCH(Composições!A3341,Orçamentária!A:A,0),2)</f>
        <v>Tela de proteção para andaime</v>
      </c>
      <c r="C3341" s="40"/>
      <c r="D3341" s="25" t="s">
        <v>1334</v>
      </c>
      <c r="E3341" s="26"/>
      <c r="F3341" s="41" t="s">
        <v>416</v>
      </c>
      <c r="G3341" s="27" t="str">
        <f>IF(ISNUMBER(F3341),E3341*F3341,"")</f>
        <v/>
      </c>
      <c r="H3341" s="28"/>
      <c r="I3341" s="29"/>
      <c r="J3341" s="152">
        <v>0</v>
      </c>
    </row>
    <row r="3342" spans="1:10" ht="15.75" hidden="1" thickBot="1" x14ac:dyDescent="0.3">
      <c r="A3342" s="176"/>
      <c r="B3342" s="174"/>
      <c r="C3342" s="31"/>
      <c r="D3342" s="31"/>
      <c r="E3342" s="32"/>
      <c r="F3342" s="42" t="s">
        <v>416</v>
      </c>
      <c r="G3342" s="33" t="str">
        <f>IF(ISNUMBER(F3342),E3342*F3342,"")</f>
        <v/>
      </c>
      <c r="H3342" s="34"/>
      <c r="I3342" s="30"/>
      <c r="J3342" s="152">
        <v>0</v>
      </c>
    </row>
    <row r="3343" spans="1:10" ht="26.25" hidden="1" thickBot="1" x14ac:dyDescent="0.3">
      <c r="A3343" s="176"/>
      <c r="B3343" s="174"/>
      <c r="C3343" s="35" t="s">
        <v>859</v>
      </c>
      <c r="D3343" s="35" t="s">
        <v>213</v>
      </c>
      <c r="E3343" s="36">
        <v>0.89449999999999996</v>
      </c>
      <c r="F3343" s="30">
        <v>0.18049999999999999</v>
      </c>
      <c r="G3343" s="33">
        <f>IF(ISNUMBER(F3343),E3343*F3343,"")</f>
        <v>0.16145725</v>
      </c>
      <c r="H3343" s="38">
        <f>SUM(G3343:G3346)</f>
        <v>4.6523342999999997</v>
      </c>
      <c r="I3343" s="39"/>
      <c r="J3343" s="152">
        <v>0</v>
      </c>
    </row>
    <row r="3344" spans="1:10" ht="26.25" hidden="1" thickBot="1" x14ac:dyDescent="0.3">
      <c r="A3344" s="176"/>
      <c r="B3344" s="174"/>
      <c r="C3344" s="35" t="s">
        <v>860</v>
      </c>
      <c r="D3344" s="35" t="s">
        <v>861</v>
      </c>
      <c r="E3344" s="36">
        <f>ROUND(1.177*(1/3),4)</f>
        <v>0.39229999999999998</v>
      </c>
      <c r="F3344" s="30">
        <v>2.6315</v>
      </c>
      <c r="G3344" s="33">
        <f>IF(ISNUMBER(F3344),E3344*F3344,"")</f>
        <v>1.03233745</v>
      </c>
      <c r="H3344" s="34"/>
      <c r="I3344" s="30"/>
      <c r="J3344" s="152">
        <v>0</v>
      </c>
    </row>
    <row r="3345" spans="1:10" ht="15.75" hidden="1" thickBot="1" x14ac:dyDescent="0.3">
      <c r="A3345" s="176"/>
      <c r="B3345" s="174"/>
      <c r="C3345" s="35" t="s">
        <v>660</v>
      </c>
      <c r="D3345" s="35" t="s">
        <v>583</v>
      </c>
      <c r="E3345" s="36">
        <v>6.9900000000000004E-2</v>
      </c>
      <c r="F3345" s="30">
        <v>21.337</v>
      </c>
      <c r="G3345" s="33">
        <f>IF(ISNUMBER(F3345),E3345*F3345,"")</f>
        <v>1.4914563000000001</v>
      </c>
      <c r="H3345" s="34"/>
      <c r="I3345" s="30"/>
      <c r="J3345" s="152">
        <v>0</v>
      </c>
    </row>
    <row r="3346" spans="1:10" ht="15.75" hidden="1" thickBot="1" x14ac:dyDescent="0.3">
      <c r="A3346" s="176"/>
      <c r="B3346" s="174"/>
      <c r="C3346" s="35" t="s">
        <v>862</v>
      </c>
      <c r="D3346" s="35" t="s">
        <v>583</v>
      </c>
      <c r="E3346" s="36">
        <v>7.3400000000000007E-2</v>
      </c>
      <c r="F3346" s="30">
        <v>26.799499999999998</v>
      </c>
      <c r="G3346" s="33">
        <f>IF(ISNUMBER(F3346),E3346*F3346,"")</f>
        <v>1.9670833000000001</v>
      </c>
      <c r="H3346" s="34"/>
      <c r="I3346" s="30"/>
      <c r="J3346" s="152">
        <v>0</v>
      </c>
    </row>
    <row r="3347" spans="1:10" ht="15.75" hidden="1" thickBot="1" x14ac:dyDescent="0.3">
      <c r="A3347" s="176"/>
      <c r="B3347" s="174"/>
      <c r="C3347" s="35"/>
      <c r="D3347" s="46"/>
      <c r="E3347" s="36"/>
      <c r="F3347" s="30" t="s">
        <v>416</v>
      </c>
      <c r="G3347" s="33" t="str">
        <f>IF(ISNUMBER(F3347),E3347*F3347,"")</f>
        <v/>
      </c>
      <c r="H3347" s="34"/>
      <c r="I3347" s="30"/>
      <c r="J3347" s="152">
        <v>0</v>
      </c>
    </row>
    <row r="3348" spans="1:10" ht="26.25" hidden="1" thickBot="1" x14ac:dyDescent="0.3">
      <c r="A3348" s="176"/>
      <c r="B3348" s="174"/>
      <c r="C3348" s="51" t="s">
        <v>863</v>
      </c>
      <c r="D3348" s="46"/>
      <c r="E3348" s="36"/>
      <c r="F3348" s="30" t="s">
        <v>416</v>
      </c>
      <c r="G3348" s="33" t="str">
        <f>IF(ISNUMBER(F3348),E3348*F3348,"")</f>
        <v/>
      </c>
      <c r="H3348" s="34"/>
      <c r="I3348" s="30"/>
      <c r="J3348" s="152">
        <v>0</v>
      </c>
    </row>
    <row r="3349" spans="1:10" ht="15.75" hidden="1" thickBot="1" x14ac:dyDescent="0.3">
      <c r="A3349" s="177"/>
      <c r="B3349" s="175"/>
      <c r="C3349" s="54"/>
      <c r="D3349" s="54"/>
      <c r="E3349" s="65"/>
      <c r="F3349" s="66" t="s">
        <v>416</v>
      </c>
      <c r="G3349" s="67" t="str">
        <f>IF(ISNUMBER(F3349),E3349*F3349,"")</f>
        <v/>
      </c>
      <c r="H3349" s="68"/>
      <c r="I3349" s="30"/>
      <c r="J3349" s="152">
        <v>0</v>
      </c>
    </row>
    <row r="3350" spans="1:10" ht="15.75" hidden="1" thickBot="1" x14ac:dyDescent="0.3">
      <c r="A3350" s="170" t="s">
        <v>864</v>
      </c>
      <c r="B3350" s="173" t="str">
        <f>INDEX(Orçamentária!A:B,MATCH(Composições!A3350,Orçamentária!A:A,0),2)</f>
        <v>Remoção de folha de porta de enrolar</v>
      </c>
      <c r="C3350" s="40"/>
      <c r="D3350" s="25" t="s">
        <v>16</v>
      </c>
      <c r="E3350" s="26"/>
      <c r="F3350" s="41" t="s">
        <v>416</v>
      </c>
      <c r="G3350" s="27" t="str">
        <f>IF(ISNUMBER(F3350),E3350*F3350,"")</f>
        <v/>
      </c>
      <c r="H3350" s="28"/>
      <c r="I3350" s="29"/>
      <c r="J3350" s="152">
        <v>0</v>
      </c>
    </row>
    <row r="3351" spans="1:10" ht="15.75" hidden="1" thickBot="1" x14ac:dyDescent="0.3">
      <c r="A3351" s="176"/>
      <c r="B3351" s="174"/>
      <c r="C3351" s="31"/>
      <c r="D3351" s="31"/>
      <c r="E3351" s="32"/>
      <c r="F3351" s="42" t="s">
        <v>416</v>
      </c>
      <c r="G3351" s="33" t="str">
        <f>IF(ISNUMBER(F3351),E3351*F3351,"")</f>
        <v/>
      </c>
      <c r="H3351" s="34"/>
      <c r="I3351" s="30"/>
      <c r="J3351" s="152">
        <v>0</v>
      </c>
    </row>
    <row r="3352" spans="1:10" ht="15.75" hidden="1" thickBot="1" x14ac:dyDescent="0.3">
      <c r="A3352" s="176"/>
      <c r="B3352" s="174"/>
      <c r="C3352" s="35" t="s">
        <v>1041</v>
      </c>
      <c r="D3352" s="35" t="s">
        <v>583</v>
      </c>
      <c r="E3352" s="36">
        <v>2.5</v>
      </c>
      <c r="F3352" s="30">
        <v>26.970499999999998</v>
      </c>
      <c r="G3352" s="33">
        <f>IF(ISNUMBER(F3352),E3352*F3352,"")</f>
        <v>67.426249999999996</v>
      </c>
      <c r="H3352" s="38">
        <f>SUM(G3352:G3353)</f>
        <v>174.82374999999999</v>
      </c>
      <c r="I3352" s="39"/>
      <c r="J3352" s="152">
        <v>0</v>
      </c>
    </row>
    <row r="3353" spans="1:10" ht="15.75" hidden="1" thickBot="1" x14ac:dyDescent="0.3">
      <c r="A3353" s="176"/>
      <c r="B3353" s="174"/>
      <c r="C3353" s="35" t="s">
        <v>662</v>
      </c>
      <c r="D3353" s="35" t="s">
        <v>583</v>
      </c>
      <c r="E3353" s="36">
        <v>5</v>
      </c>
      <c r="F3353" s="30">
        <v>21.479499999999998</v>
      </c>
      <c r="G3353" s="33">
        <f>IF(ISNUMBER(F3353),E3353*F3353,"")</f>
        <v>107.39749999999999</v>
      </c>
      <c r="H3353" s="34"/>
      <c r="I3353" s="30"/>
      <c r="J3353" s="152">
        <v>0</v>
      </c>
    </row>
    <row r="3354" spans="1:10" ht="15.75" hidden="1" thickBot="1" x14ac:dyDescent="0.3">
      <c r="A3354" s="177"/>
      <c r="B3354" s="175"/>
      <c r="C3354" s="35"/>
      <c r="D3354" s="35"/>
      <c r="E3354" s="36"/>
      <c r="F3354" s="30" t="s">
        <v>416</v>
      </c>
      <c r="G3354" s="33" t="str">
        <f>IF(ISNUMBER(F3354),E3354*F3354,"")</f>
        <v/>
      </c>
      <c r="H3354" s="34"/>
      <c r="I3354" s="30"/>
      <c r="J3354" s="152">
        <v>0</v>
      </c>
    </row>
    <row r="3355" spans="1:10" ht="15.75" hidden="1" thickBot="1" x14ac:dyDescent="0.3">
      <c r="A3355" s="170" t="s">
        <v>865</v>
      </c>
      <c r="B3355" s="173" t="str">
        <f>INDEX(Orçamentária!A:B,MATCH(Composições!A3355,Orçamentária!A:A,0),2)</f>
        <v>Base registro de gaveta 1"</v>
      </c>
      <c r="C3355" s="40"/>
      <c r="D3355" s="25" t="s">
        <v>16</v>
      </c>
      <c r="E3355" s="26"/>
      <c r="F3355" s="41" t="s">
        <v>416</v>
      </c>
      <c r="G3355" s="27" t="str">
        <f>IF(ISNUMBER(F3355),E3355*F3355,"")</f>
        <v/>
      </c>
      <c r="H3355" s="28"/>
      <c r="I3355" s="29"/>
      <c r="J3355" s="152">
        <v>0</v>
      </c>
    </row>
    <row r="3356" spans="1:10" ht="15.75" hidden="1" thickBot="1" x14ac:dyDescent="0.3">
      <c r="A3356" s="176"/>
      <c r="B3356" s="174"/>
      <c r="C3356" s="31"/>
      <c r="D3356" s="31"/>
      <c r="E3356" s="32"/>
      <c r="F3356" s="42" t="s">
        <v>416</v>
      </c>
      <c r="G3356" s="33" t="str">
        <f>IF(ISNUMBER(F3356),E3356*F3356,"")</f>
        <v/>
      </c>
      <c r="H3356" s="34"/>
      <c r="I3356" s="30"/>
      <c r="J3356" s="152">
        <v>0</v>
      </c>
    </row>
    <row r="3357" spans="1:10" ht="26.25" hidden="1" thickBot="1" x14ac:dyDescent="0.3">
      <c r="A3357" s="176"/>
      <c r="B3357" s="174"/>
      <c r="C3357" s="35" t="s">
        <v>866</v>
      </c>
      <c r="D3357" s="46" t="s">
        <v>107</v>
      </c>
      <c r="E3357" s="36">
        <v>1</v>
      </c>
      <c r="F3357" s="30" t="s">
        <v>416</v>
      </c>
      <c r="G3357" s="33" t="str">
        <f>IF(ISNUMBER(F3357),E3357*F3357,"")</f>
        <v/>
      </c>
      <c r="H3357" s="38">
        <f>SUM(G3357:G3360)</f>
        <v>7.3193785499999997</v>
      </c>
      <c r="I3357" s="39"/>
      <c r="J3357" s="152">
        <v>0</v>
      </c>
    </row>
    <row r="3358" spans="1:10" ht="15.75" hidden="1" thickBot="1" x14ac:dyDescent="0.3">
      <c r="A3358" s="176"/>
      <c r="B3358" s="174"/>
      <c r="C3358" s="35" t="s">
        <v>244</v>
      </c>
      <c r="D3358" s="35" t="s">
        <v>213</v>
      </c>
      <c r="E3358" s="36">
        <v>1.32E-2</v>
      </c>
      <c r="F3358" s="30">
        <v>14.8865</v>
      </c>
      <c r="G3358" s="33">
        <f>IF(ISNUMBER(F3358),E3358*F3358,"")</f>
        <v>0.1965018</v>
      </c>
      <c r="H3358" s="34"/>
      <c r="I3358" s="30"/>
      <c r="J3358" s="152">
        <v>0</v>
      </c>
    </row>
    <row r="3359" spans="1:10" ht="26.25" hidden="1" thickBot="1" x14ac:dyDescent="0.3">
      <c r="A3359" s="176"/>
      <c r="B3359" s="174"/>
      <c r="C3359" s="35" t="s">
        <v>825</v>
      </c>
      <c r="D3359" s="35" t="s">
        <v>583</v>
      </c>
      <c r="E3359" s="36">
        <v>0.14849999999999999</v>
      </c>
      <c r="F3359" s="30">
        <v>26.799499999999998</v>
      </c>
      <c r="G3359" s="33">
        <f>IF(ISNUMBER(F3359),E3359*F3359,"")</f>
        <v>3.9797257499999996</v>
      </c>
      <c r="H3359" s="34"/>
      <c r="I3359" s="30"/>
      <c r="J3359" s="152">
        <v>0</v>
      </c>
    </row>
    <row r="3360" spans="1:10" ht="26.25" hidden="1" thickBot="1" x14ac:dyDescent="0.3">
      <c r="A3360" s="176"/>
      <c r="B3360" s="174"/>
      <c r="C3360" s="35" t="s">
        <v>824</v>
      </c>
      <c r="D3360" s="35" t="s">
        <v>583</v>
      </c>
      <c r="E3360" s="36">
        <v>0.14849999999999999</v>
      </c>
      <c r="F3360" s="30">
        <v>21.166</v>
      </c>
      <c r="G3360" s="33">
        <f>IF(ISNUMBER(F3360),E3360*F3360,"")</f>
        <v>3.143151</v>
      </c>
      <c r="H3360" s="34"/>
      <c r="I3360" s="30"/>
      <c r="J3360" s="152">
        <v>0</v>
      </c>
    </row>
    <row r="3361" spans="1:10" ht="15.75" hidden="1" thickBot="1" x14ac:dyDescent="0.3">
      <c r="A3361" s="177"/>
      <c r="B3361" s="175"/>
      <c r="C3361" s="35"/>
      <c r="D3361" s="35"/>
      <c r="E3361" s="36"/>
      <c r="F3361" s="30" t="s">
        <v>416</v>
      </c>
      <c r="G3361" s="33" t="str">
        <f>IF(ISNUMBER(F3361),E3361*F3361,"")</f>
        <v/>
      </c>
      <c r="H3361" s="34"/>
      <c r="I3361" s="30"/>
      <c r="J3361" s="152">
        <v>0</v>
      </c>
    </row>
    <row r="3362" spans="1:10" ht="15.75" hidden="1" thickBot="1" x14ac:dyDescent="0.3">
      <c r="A3362" s="170" t="s">
        <v>867</v>
      </c>
      <c r="B3362" s="173" t="str">
        <f>INDEX(Orçamentária!A:B,MATCH(Composições!A3362,Orçamentária!A:A,0),2)</f>
        <v>Base registro de pressão 3/4"</v>
      </c>
      <c r="C3362" s="40"/>
      <c r="D3362" s="25" t="s">
        <v>16</v>
      </c>
      <c r="E3362" s="26"/>
      <c r="F3362" s="41" t="s">
        <v>416</v>
      </c>
      <c r="G3362" s="27" t="str">
        <f>IF(ISNUMBER(F3362),E3362*F3362,"")</f>
        <v/>
      </c>
      <c r="H3362" s="28"/>
      <c r="I3362" s="29"/>
      <c r="J3362" s="152">
        <v>0</v>
      </c>
    </row>
    <row r="3363" spans="1:10" ht="15.75" hidden="1" thickBot="1" x14ac:dyDescent="0.3">
      <c r="A3363" s="176"/>
      <c r="B3363" s="174"/>
      <c r="C3363" s="31"/>
      <c r="D3363" s="31"/>
      <c r="E3363" s="32"/>
      <c r="F3363" s="42" t="s">
        <v>416</v>
      </c>
      <c r="G3363" s="33" t="str">
        <f>IF(ISNUMBER(F3363),E3363*F3363,"")</f>
        <v/>
      </c>
      <c r="H3363" s="34"/>
      <c r="I3363" s="30"/>
      <c r="J3363" s="152">
        <v>0</v>
      </c>
    </row>
    <row r="3364" spans="1:10" ht="15.75" hidden="1" thickBot="1" x14ac:dyDescent="0.3">
      <c r="A3364" s="176"/>
      <c r="B3364" s="174"/>
      <c r="C3364" s="35" t="s">
        <v>244</v>
      </c>
      <c r="D3364" s="35" t="s">
        <v>213</v>
      </c>
      <c r="E3364" s="36">
        <v>1.06E-2</v>
      </c>
      <c r="F3364" s="30">
        <v>14.8865</v>
      </c>
      <c r="G3364" s="33">
        <f>IF(ISNUMBER(F3364),E3364*F3364,"")</f>
        <v>0.15779689999999999</v>
      </c>
      <c r="H3364" s="38">
        <f>SUM(G3364:G3367)</f>
        <v>5.4435950000000002</v>
      </c>
      <c r="I3364" s="39"/>
      <c r="J3364" s="152">
        <v>0</v>
      </c>
    </row>
    <row r="3365" spans="1:10" ht="26.25" hidden="1" thickBot="1" x14ac:dyDescent="0.3">
      <c r="A3365" s="176"/>
      <c r="B3365" s="174"/>
      <c r="C3365" s="35" t="s">
        <v>868</v>
      </c>
      <c r="D3365" s="46" t="s">
        <v>107</v>
      </c>
      <c r="E3365" s="36">
        <v>1</v>
      </c>
      <c r="F3365" s="30" t="s">
        <v>416</v>
      </c>
      <c r="G3365" s="33" t="str">
        <f>IF(ISNUMBER(F3365),E3365*F3365,"")</f>
        <v/>
      </c>
      <c r="H3365" s="34"/>
      <c r="I3365" s="30"/>
      <c r="J3365" s="152">
        <v>0</v>
      </c>
    </row>
    <row r="3366" spans="1:10" ht="26.25" hidden="1" thickBot="1" x14ac:dyDescent="0.3">
      <c r="A3366" s="176"/>
      <c r="B3366" s="174"/>
      <c r="C3366" s="35" t="s">
        <v>824</v>
      </c>
      <c r="D3366" s="35" t="s">
        <v>583</v>
      </c>
      <c r="E3366" s="36">
        <v>0.11020000000000001</v>
      </c>
      <c r="F3366" s="30">
        <v>21.166</v>
      </c>
      <c r="G3366" s="33">
        <f>IF(ISNUMBER(F3366),E3366*F3366,"")</f>
        <v>2.3324932</v>
      </c>
      <c r="H3366" s="34"/>
      <c r="I3366" s="30"/>
      <c r="J3366" s="152">
        <v>0</v>
      </c>
    </row>
    <row r="3367" spans="1:10" ht="26.25" hidden="1" thickBot="1" x14ac:dyDescent="0.3">
      <c r="A3367" s="176"/>
      <c r="B3367" s="174"/>
      <c r="C3367" s="35" t="s">
        <v>825</v>
      </c>
      <c r="D3367" s="35" t="s">
        <v>583</v>
      </c>
      <c r="E3367" s="36">
        <v>0.11020000000000001</v>
      </c>
      <c r="F3367" s="30">
        <v>26.799499999999998</v>
      </c>
      <c r="G3367" s="33">
        <f>IF(ISNUMBER(F3367),E3367*F3367,"")</f>
        <v>2.9533049</v>
      </c>
      <c r="H3367" s="34"/>
      <c r="I3367" s="30"/>
      <c r="J3367" s="152">
        <v>0</v>
      </c>
    </row>
    <row r="3368" spans="1:10" ht="15.75" hidden="1" thickBot="1" x14ac:dyDescent="0.3">
      <c r="A3368" s="177"/>
      <c r="B3368" s="175"/>
      <c r="C3368" s="35"/>
      <c r="D3368" s="35"/>
      <c r="E3368" s="36"/>
      <c r="F3368" s="30" t="s">
        <v>416</v>
      </c>
      <c r="G3368" s="33" t="str">
        <f>IF(ISNUMBER(F3368),E3368*F3368,"")</f>
        <v/>
      </c>
      <c r="H3368" s="34"/>
      <c r="I3368" s="30"/>
      <c r="J3368" s="152">
        <v>0</v>
      </c>
    </row>
    <row r="3369" spans="1:10" ht="15.75" hidden="1" thickBot="1" x14ac:dyDescent="0.3">
      <c r="A3369" s="170" t="s">
        <v>869</v>
      </c>
      <c r="B3369" s="173" t="str">
        <f>INDEX(Orçamentária!A:B,MATCH(Composições!A3369,Orçamentária!A:A,0),2)</f>
        <v>Tampa em ferro fundido T-33</v>
      </c>
      <c r="C3369" s="40"/>
      <c r="D3369" s="25" t="s">
        <v>16</v>
      </c>
      <c r="E3369" s="26"/>
      <c r="F3369" s="41" t="s">
        <v>416</v>
      </c>
      <c r="G3369" s="27" t="str">
        <f>IF(ISNUMBER(F3369),E3369*F3369,"")</f>
        <v/>
      </c>
      <c r="H3369" s="28"/>
      <c r="I3369" s="29"/>
      <c r="J3369" s="152">
        <v>0</v>
      </c>
    </row>
    <row r="3370" spans="1:10" ht="15.75" hidden="1" thickBot="1" x14ac:dyDescent="0.3">
      <c r="A3370" s="176"/>
      <c r="B3370" s="174"/>
      <c r="C3370" s="31"/>
      <c r="D3370" s="31"/>
      <c r="E3370" s="32"/>
      <c r="F3370" s="42" t="s">
        <v>416</v>
      </c>
      <c r="G3370" s="33" t="str">
        <f>IF(ISNUMBER(F3370),E3370*F3370,"")</f>
        <v/>
      </c>
      <c r="H3370" s="34"/>
      <c r="I3370" s="30"/>
      <c r="J3370" s="152">
        <v>0</v>
      </c>
    </row>
    <row r="3371" spans="1:10" ht="26.25" hidden="1" thickBot="1" x14ac:dyDescent="0.3">
      <c r="A3371" s="176"/>
      <c r="B3371" s="174"/>
      <c r="C3371" s="35" t="s">
        <v>870</v>
      </c>
      <c r="D3371" s="35" t="s">
        <v>213</v>
      </c>
      <c r="E3371" s="36">
        <v>1</v>
      </c>
      <c r="F3371" s="30">
        <v>237.12950000000001</v>
      </c>
      <c r="G3371" s="33">
        <f>IF(ISNUMBER(F3371),E3371*F3371,"")</f>
        <v>237.12950000000001</v>
      </c>
      <c r="H3371" s="38">
        <f>SUM(G3371:G3374)</f>
        <v>283.45571341458941</v>
      </c>
      <c r="I3371" s="39"/>
      <c r="J3371" s="152">
        <v>0</v>
      </c>
    </row>
    <row r="3372" spans="1:10" ht="26.25" hidden="1" thickBot="1" x14ac:dyDescent="0.3">
      <c r="A3372" s="176"/>
      <c r="B3372" s="174"/>
      <c r="C3372" s="35" t="s">
        <v>2898</v>
      </c>
      <c r="D3372" s="46" t="s">
        <v>87</v>
      </c>
      <c r="E3372" s="36">
        <v>4.4000000000000003E-3</v>
      </c>
      <c r="F3372" s="30">
        <v>657.09798058849992</v>
      </c>
      <c r="G3372" s="33">
        <f>IF(ISNUMBER(F3372),E3372*F3372,"")</f>
        <v>2.8912311145893996</v>
      </c>
      <c r="H3372" s="34"/>
      <c r="I3372" s="30"/>
      <c r="J3372" s="152">
        <v>0</v>
      </c>
    </row>
    <row r="3373" spans="1:10" ht="15.75" hidden="1" thickBot="1" x14ac:dyDescent="0.3">
      <c r="A3373" s="176"/>
      <c r="B3373" s="174"/>
      <c r="C3373" s="35" t="s">
        <v>591</v>
      </c>
      <c r="D3373" s="35" t="s">
        <v>583</v>
      </c>
      <c r="E3373" s="36">
        <v>1.0088999999999999</v>
      </c>
      <c r="F3373" s="30">
        <v>27.160499999999999</v>
      </c>
      <c r="G3373" s="33">
        <f>IF(ISNUMBER(F3373),E3373*F3373,"")</f>
        <v>27.402228449999996</v>
      </c>
      <c r="H3373" s="34"/>
      <c r="I3373" s="30"/>
      <c r="J3373" s="152">
        <v>0</v>
      </c>
    </row>
    <row r="3374" spans="1:10" ht="15.75" hidden="1" thickBot="1" x14ac:dyDescent="0.3">
      <c r="A3374" s="176"/>
      <c r="B3374" s="174"/>
      <c r="C3374" s="35" t="s">
        <v>584</v>
      </c>
      <c r="D3374" s="35" t="s">
        <v>583</v>
      </c>
      <c r="E3374" s="36">
        <v>0.79269999999999996</v>
      </c>
      <c r="F3374" s="30">
        <v>20.225499999999997</v>
      </c>
      <c r="G3374" s="33">
        <f>IF(ISNUMBER(F3374),E3374*F3374,"")</f>
        <v>16.032753849999995</v>
      </c>
      <c r="H3374" s="34"/>
      <c r="I3374" s="30"/>
      <c r="J3374" s="152">
        <v>0</v>
      </c>
    </row>
    <row r="3375" spans="1:10" ht="15.75" hidden="1" thickBot="1" x14ac:dyDescent="0.3">
      <c r="A3375" s="177"/>
      <c r="B3375" s="175"/>
      <c r="C3375" s="54"/>
      <c r="D3375" s="54"/>
      <c r="E3375" s="65"/>
      <c r="F3375" s="66" t="s">
        <v>416</v>
      </c>
      <c r="G3375" s="67" t="str">
        <f>IF(ISNUMBER(F3375),E3375*F3375,"")</f>
        <v/>
      </c>
      <c r="H3375" s="68"/>
      <c r="I3375" s="30"/>
      <c r="J3375" s="152">
        <v>0</v>
      </c>
    </row>
    <row r="3376" spans="1:10" ht="15.75" hidden="1" thickBot="1" x14ac:dyDescent="0.3">
      <c r="A3376" s="171" t="s">
        <v>872</v>
      </c>
      <c r="B3376" s="174" t="str">
        <f>INDEX(Orçamentária!A:B,MATCH(Composições!A3376,Orçamentária!A:A,0),2)</f>
        <v>Arquiteto(a) com experiência em intervenção no patrimônio cultural</v>
      </c>
      <c r="C3376" s="156"/>
      <c r="D3376" s="25" t="s">
        <v>1286</v>
      </c>
      <c r="E3376" s="69"/>
      <c r="F3376" s="70" t="s">
        <v>416</v>
      </c>
      <c r="G3376" s="70" t="str">
        <f>IF(ISNUMBER(F3376),E3376*F3376,"")</f>
        <v/>
      </c>
      <c r="H3376" s="71"/>
      <c r="I3376" s="29"/>
      <c r="J3376" s="152">
        <v>0</v>
      </c>
    </row>
    <row r="3377" spans="1:10" ht="15.75" hidden="1" thickBot="1" x14ac:dyDescent="0.3">
      <c r="A3377" s="176"/>
      <c r="B3377" s="174"/>
      <c r="C3377" s="31"/>
      <c r="D3377" s="31"/>
      <c r="E3377" s="32"/>
      <c r="F3377" s="30" t="s">
        <v>416</v>
      </c>
      <c r="G3377" s="33" t="str">
        <f>IF(ISNUMBER(F3377),E3377*F3377,"")</f>
        <v/>
      </c>
      <c r="H3377" s="34"/>
      <c r="I3377" s="30"/>
      <c r="J3377" s="152">
        <v>0</v>
      </c>
    </row>
    <row r="3378" spans="1:10" ht="15.75" hidden="1" thickBot="1" x14ac:dyDescent="0.3">
      <c r="A3378" s="176"/>
      <c r="B3378" s="174"/>
      <c r="C3378" s="35" t="s">
        <v>2910</v>
      </c>
      <c r="D3378" s="35" t="s">
        <v>583</v>
      </c>
      <c r="E3378" s="36">
        <v>1</v>
      </c>
      <c r="F3378" s="30">
        <v>108.16699999999999</v>
      </c>
      <c r="G3378" s="33">
        <f>IF(ISNUMBER(F3378),E3378*F3378,"")</f>
        <v>108.16699999999999</v>
      </c>
      <c r="H3378" s="38">
        <f>SUM(G3378:G3378)</f>
        <v>108.16699999999999</v>
      </c>
      <c r="I3378" s="39"/>
      <c r="J3378" s="152">
        <v>0</v>
      </c>
    </row>
    <row r="3379" spans="1:10" ht="15.75" hidden="1" thickBot="1" x14ac:dyDescent="0.3">
      <c r="A3379" s="177"/>
      <c r="B3379" s="175"/>
      <c r="C3379" s="35"/>
      <c r="D3379" s="35"/>
      <c r="E3379" s="36"/>
      <c r="F3379" s="30" t="s">
        <v>416</v>
      </c>
      <c r="G3379" s="33" t="str">
        <f>IF(ISNUMBER(F3379),E3379*F3379,"")</f>
        <v/>
      </c>
      <c r="H3379" s="34"/>
      <c r="I3379" s="30"/>
      <c r="J3379" s="152">
        <v>0</v>
      </c>
    </row>
    <row r="3380" spans="1:10" ht="15.75" hidden="1" thickBot="1" x14ac:dyDescent="0.3">
      <c r="A3380" s="170" t="s">
        <v>873</v>
      </c>
      <c r="B3380" s="173" t="str">
        <f>INDEX(Orçamentária!A:B,MATCH(Composições!A3380,Orçamentária!A:A,0),2)</f>
        <v>Locação de andaime suspenso tipo leve</v>
      </c>
      <c r="C3380" s="40"/>
      <c r="D3380" s="25" t="s">
        <v>8575</v>
      </c>
      <c r="E3380" s="26"/>
      <c r="F3380" s="41" t="s">
        <v>416</v>
      </c>
      <c r="G3380" s="27" t="str">
        <f>IF(ISNUMBER(F3380),E3380*F3380,"")</f>
        <v/>
      </c>
      <c r="H3380" s="28"/>
      <c r="I3380" s="29"/>
      <c r="J3380" s="152">
        <v>0</v>
      </c>
    </row>
    <row r="3381" spans="1:10" ht="15.75" hidden="1" thickBot="1" x14ac:dyDescent="0.3">
      <c r="A3381" s="171"/>
      <c r="B3381" s="174"/>
      <c r="C3381" s="31"/>
      <c r="D3381" s="31"/>
      <c r="E3381" s="32"/>
      <c r="F3381" s="42" t="s">
        <v>416</v>
      </c>
      <c r="G3381" s="33" t="str">
        <f>IF(ISNUMBER(F3381),E3381*F3381,"")</f>
        <v/>
      </c>
      <c r="H3381" s="34"/>
      <c r="I3381" s="30"/>
      <c r="J3381" s="152">
        <v>0</v>
      </c>
    </row>
    <row r="3382" spans="1:10" ht="39" hidden="1" thickBot="1" x14ac:dyDescent="0.3">
      <c r="A3382" s="171"/>
      <c r="B3382" s="174"/>
      <c r="C3382" s="35" t="s">
        <v>874</v>
      </c>
      <c r="D3382" s="35" t="s">
        <v>93</v>
      </c>
      <c r="E3382" s="36">
        <v>1</v>
      </c>
      <c r="F3382" s="30">
        <v>581.4855</v>
      </c>
      <c r="G3382" s="33">
        <f>IF(ISNUMBER(F3382),E3382*F3382,"")</f>
        <v>581.4855</v>
      </c>
      <c r="H3382" s="38">
        <f>SUM(G3382:G3382)</f>
        <v>581.4855</v>
      </c>
      <c r="I3382" s="39"/>
      <c r="J3382" s="152">
        <v>0</v>
      </c>
    </row>
    <row r="3383" spans="1:10" ht="15.75" hidden="1" thickBot="1" x14ac:dyDescent="0.3">
      <c r="A3383" s="172"/>
      <c r="B3383" s="175"/>
      <c r="C3383" s="35"/>
      <c r="D3383" s="35"/>
      <c r="E3383" s="36"/>
      <c r="F3383" s="30" t="s">
        <v>416</v>
      </c>
      <c r="G3383" s="33" t="str">
        <f>IF(ISNUMBER(F3383),E3383*F3383,"")</f>
        <v/>
      </c>
      <c r="H3383" s="34"/>
      <c r="I3383" s="30"/>
      <c r="J3383" s="152">
        <v>0</v>
      </c>
    </row>
    <row r="3384" spans="1:10" ht="15.75" hidden="1" thickBot="1" x14ac:dyDescent="0.3">
      <c r="A3384" s="170" t="s">
        <v>875</v>
      </c>
      <c r="B3384" s="173" t="str">
        <f>INDEX(Orçamentária!A:B,MATCH(Composições!A3384,Orçamentária!A:A,0),2)</f>
        <v>Limpeza de superfície por hidrojateamento de média pressão</v>
      </c>
      <c r="C3384" s="40"/>
      <c r="D3384" s="25" t="s">
        <v>70</v>
      </c>
      <c r="E3384" s="26"/>
      <c r="F3384" s="41" t="s">
        <v>416</v>
      </c>
      <c r="G3384" s="27" t="str">
        <f>IF(ISNUMBER(F3384),E3384*F3384,"")</f>
        <v/>
      </c>
      <c r="H3384" s="28"/>
      <c r="I3384" s="29"/>
      <c r="J3384" s="152">
        <v>0</v>
      </c>
    </row>
    <row r="3385" spans="1:10" ht="15.75" hidden="1" thickBot="1" x14ac:dyDescent="0.3">
      <c r="A3385" s="176"/>
      <c r="B3385" s="174"/>
      <c r="C3385" s="31"/>
      <c r="D3385" s="31"/>
      <c r="E3385" s="32"/>
      <c r="F3385" s="42" t="s">
        <v>416</v>
      </c>
      <c r="G3385" s="33" t="str">
        <f>IF(ISNUMBER(F3385),E3385*F3385,"")</f>
        <v/>
      </c>
      <c r="H3385" s="34"/>
      <c r="I3385" s="30"/>
      <c r="J3385" s="152">
        <v>0</v>
      </c>
    </row>
    <row r="3386" spans="1:10" ht="15.75" hidden="1" thickBot="1" x14ac:dyDescent="0.3">
      <c r="A3386" s="176"/>
      <c r="B3386" s="174"/>
      <c r="C3386" s="35" t="s">
        <v>584</v>
      </c>
      <c r="D3386" s="35" t="s">
        <v>583</v>
      </c>
      <c r="E3386" s="36">
        <v>8.8999999999999996E-2</v>
      </c>
      <c r="F3386" s="30">
        <v>20.225499999999997</v>
      </c>
      <c r="G3386" s="33">
        <f>IF(ISNUMBER(F3386),E3386*F3386,"")</f>
        <v>1.8000694999999995</v>
      </c>
      <c r="H3386" s="38">
        <f>SUM(G3386:G3387)</f>
        <v>1.8466669999999996</v>
      </c>
      <c r="I3386" s="39"/>
      <c r="J3386" s="152">
        <v>0</v>
      </c>
    </row>
    <row r="3387" spans="1:10" ht="39" hidden="1" thickBot="1" x14ac:dyDescent="0.3">
      <c r="A3387" s="176"/>
      <c r="B3387" s="174"/>
      <c r="C3387" s="35" t="s">
        <v>876</v>
      </c>
      <c r="D3387" s="35" t="s">
        <v>813</v>
      </c>
      <c r="E3387" s="36">
        <v>1.4999999999999999E-2</v>
      </c>
      <c r="F3387" s="30">
        <v>3.1065</v>
      </c>
      <c r="G3387" s="33">
        <f>IF(ISNUMBER(F3387),E3387*F3387,"")</f>
        <v>4.65975E-2</v>
      </c>
      <c r="H3387" s="34"/>
      <c r="I3387" s="30"/>
      <c r="J3387" s="152">
        <v>0</v>
      </c>
    </row>
    <row r="3388" spans="1:10" ht="15.75" hidden="1" thickBot="1" x14ac:dyDescent="0.3">
      <c r="A3388" s="177"/>
      <c r="B3388" s="175"/>
      <c r="C3388" s="35"/>
      <c r="D3388" s="35"/>
      <c r="E3388" s="36"/>
      <c r="F3388" s="30" t="s">
        <v>416</v>
      </c>
      <c r="G3388" s="33" t="str">
        <f>IF(ISNUMBER(F3388),E3388*F3388,"")</f>
        <v/>
      </c>
      <c r="H3388" s="34"/>
      <c r="I3388" s="30"/>
      <c r="J3388" s="152">
        <v>0</v>
      </c>
    </row>
    <row r="3389" spans="1:10" ht="15.75" hidden="1" thickBot="1" x14ac:dyDescent="0.3">
      <c r="A3389" s="170" t="s">
        <v>877</v>
      </c>
      <c r="B3389" s="173" t="str">
        <f>INDEX(Orçamentária!A:B,MATCH(Composições!A3389,Orçamentária!A:A,0),2)</f>
        <v>Inspeção da integridade e adesão de placas de rocha ornamental por percussão</v>
      </c>
      <c r="C3389" s="40"/>
      <c r="D3389" s="25" t="s">
        <v>70</v>
      </c>
      <c r="E3389" s="26"/>
      <c r="F3389" s="48" t="s">
        <v>416</v>
      </c>
      <c r="G3389" s="27" t="str">
        <f>IF(ISNUMBER(F3389),E3389*F3389,"")</f>
        <v/>
      </c>
      <c r="H3389" s="28"/>
      <c r="I3389" s="29"/>
      <c r="J3389" s="152">
        <v>0</v>
      </c>
    </row>
    <row r="3390" spans="1:10" ht="15.75" hidden="1" thickBot="1" x14ac:dyDescent="0.3">
      <c r="A3390" s="176"/>
      <c r="B3390" s="174"/>
      <c r="C3390" s="31"/>
      <c r="D3390" s="31"/>
      <c r="E3390" s="32"/>
      <c r="F3390" s="53" t="s">
        <v>416</v>
      </c>
      <c r="G3390" s="53" t="str">
        <f>IF(ISNUMBER(F3390),E3390*F3390,"")</f>
        <v/>
      </c>
      <c r="H3390" s="72"/>
      <c r="I3390" s="73"/>
      <c r="J3390" s="152">
        <v>0</v>
      </c>
    </row>
    <row r="3391" spans="1:10" ht="15.75" hidden="1" thickBot="1" x14ac:dyDescent="0.3">
      <c r="A3391" s="176"/>
      <c r="B3391" s="174"/>
      <c r="C3391" s="35" t="s">
        <v>2906</v>
      </c>
      <c r="D3391" s="35" t="s">
        <v>583</v>
      </c>
      <c r="E3391" s="36">
        <v>0.25</v>
      </c>
      <c r="F3391" s="53">
        <v>27.036999999999999</v>
      </c>
      <c r="G3391" s="53">
        <f>IF(ISNUMBER(F3391),E3391*F3391,"")</f>
        <v>6.7592499999999998</v>
      </c>
      <c r="H3391" s="38">
        <f>SUM(G3391:G3392)</f>
        <v>6.7592499999999998</v>
      </c>
      <c r="I3391" s="39"/>
      <c r="J3391" s="152">
        <v>0</v>
      </c>
    </row>
    <row r="3392" spans="1:10" ht="15.75" hidden="1" thickBot="1" x14ac:dyDescent="0.3">
      <c r="A3392" s="177"/>
      <c r="B3392" s="175"/>
      <c r="C3392" s="35"/>
      <c r="D3392" s="35"/>
      <c r="E3392" s="36"/>
      <c r="F3392" s="53" t="s">
        <v>416</v>
      </c>
      <c r="G3392" s="53" t="str">
        <f>IF(ISNUMBER(F3392),E3392*F3392,"")</f>
        <v/>
      </c>
      <c r="H3392" s="72"/>
      <c r="I3392" s="73"/>
      <c r="J3392" s="152">
        <v>0</v>
      </c>
    </row>
    <row r="3393" spans="1:10" ht="15.75" hidden="1" thickBot="1" x14ac:dyDescent="0.3">
      <c r="A3393" s="170" t="s">
        <v>878</v>
      </c>
      <c r="B3393" s="173" t="str">
        <f>INDEX(Orçamentária!A:B,MATCH(Composições!A3393,Orçamentária!A:A,0),2)</f>
        <v>Demolição de proteção mecânica de impermeabilização</v>
      </c>
      <c r="C3393" s="40"/>
      <c r="D3393" s="25" t="s">
        <v>70</v>
      </c>
      <c r="E3393" s="26"/>
      <c r="F3393" s="48" t="s">
        <v>416</v>
      </c>
      <c r="G3393" s="27" t="str">
        <f>IF(ISNUMBER(F3393),E3393*F3393,"")</f>
        <v/>
      </c>
      <c r="H3393" s="28"/>
      <c r="I3393" s="29"/>
      <c r="J3393" s="152">
        <v>0</v>
      </c>
    </row>
    <row r="3394" spans="1:10" ht="15.75" hidden="1" thickBot="1" x14ac:dyDescent="0.3">
      <c r="A3394" s="176"/>
      <c r="B3394" s="174"/>
      <c r="C3394" s="31"/>
      <c r="D3394" s="31"/>
      <c r="E3394" s="32"/>
      <c r="F3394" s="53" t="s">
        <v>416</v>
      </c>
      <c r="G3394" s="53" t="str">
        <f>IF(ISNUMBER(F3394),E3394*F3394,"")</f>
        <v/>
      </c>
      <c r="H3394" s="72"/>
      <c r="I3394" s="73"/>
      <c r="J3394" s="152">
        <v>0</v>
      </c>
    </row>
    <row r="3395" spans="1:10" ht="15.75" hidden="1" thickBot="1" x14ac:dyDescent="0.3">
      <c r="A3395" s="176"/>
      <c r="B3395" s="174"/>
      <c r="C3395" s="35" t="s">
        <v>584</v>
      </c>
      <c r="D3395" s="35" t="s">
        <v>583</v>
      </c>
      <c r="E3395" s="36">
        <v>1.25</v>
      </c>
      <c r="F3395" s="53">
        <v>20.225499999999997</v>
      </c>
      <c r="G3395" s="53">
        <f>IF(ISNUMBER(F3395),E3395*F3395,"")</f>
        <v>25.281874999999996</v>
      </c>
      <c r="H3395" s="38">
        <f>SUM(G3395:G3395)</f>
        <v>25.281874999999996</v>
      </c>
      <c r="I3395" s="39"/>
      <c r="J3395" s="152">
        <v>0</v>
      </c>
    </row>
    <row r="3396" spans="1:10" ht="15.75" hidden="1" thickBot="1" x14ac:dyDescent="0.3">
      <c r="A3396" s="177"/>
      <c r="B3396" s="175"/>
      <c r="C3396" s="35"/>
      <c r="D3396" s="35"/>
      <c r="E3396" s="36"/>
      <c r="F3396" s="53" t="s">
        <v>416</v>
      </c>
      <c r="G3396" s="53" t="str">
        <f>IF(ISNUMBER(F3396),E3396*F3396,"")</f>
        <v/>
      </c>
      <c r="H3396" s="72"/>
      <c r="I3396" s="73"/>
      <c r="J3396" s="152">
        <v>0</v>
      </c>
    </row>
    <row r="3397" spans="1:10" ht="15.75" hidden="1" thickBot="1" x14ac:dyDescent="0.3">
      <c r="A3397" s="170" t="s">
        <v>879</v>
      </c>
      <c r="B3397" s="173" t="str">
        <f>INDEX(Orçamentária!A:B,MATCH(Composições!A3397,Orçamentária!A:A,0),2)</f>
        <v>Impermeabilização com emulsão asfáltica</v>
      </c>
      <c r="C3397" s="40"/>
      <c r="D3397" s="25" t="s">
        <v>70</v>
      </c>
      <c r="E3397" s="26"/>
      <c r="F3397" s="48" t="s">
        <v>416</v>
      </c>
      <c r="G3397" s="27" t="str">
        <f>IF(ISNUMBER(F3397),E3397*F3397,"")</f>
        <v/>
      </c>
      <c r="H3397" s="28"/>
      <c r="I3397" s="29"/>
      <c r="J3397" s="152">
        <v>0</v>
      </c>
    </row>
    <row r="3398" spans="1:10" ht="15.75" hidden="1" thickBot="1" x14ac:dyDescent="0.3">
      <c r="A3398" s="176"/>
      <c r="B3398" s="174"/>
      <c r="C3398" s="31"/>
      <c r="D3398" s="31"/>
      <c r="E3398" s="32"/>
      <c r="F3398" s="53" t="s">
        <v>416</v>
      </c>
      <c r="G3398" s="53" t="str">
        <f>IF(ISNUMBER(F3398),E3398*F3398,"")</f>
        <v/>
      </c>
      <c r="H3398" s="72"/>
      <c r="I3398" s="73"/>
      <c r="J3398" s="152">
        <v>0</v>
      </c>
    </row>
    <row r="3399" spans="1:10" ht="39" hidden="1" thickBot="1" x14ac:dyDescent="0.3">
      <c r="A3399" s="176"/>
      <c r="B3399" s="174"/>
      <c r="C3399" s="35" t="s">
        <v>880</v>
      </c>
      <c r="D3399" s="35" t="s">
        <v>773</v>
      </c>
      <c r="E3399" s="36">
        <v>1.5</v>
      </c>
      <c r="F3399" s="53">
        <v>19.209</v>
      </c>
      <c r="G3399" s="53">
        <f>IF(ISNUMBER(F3399),E3399*F3399,"")</f>
        <v>28.813499999999998</v>
      </c>
      <c r="H3399" s="38">
        <f>SUM(G3399:G3402)</f>
        <v>50.121657999999996</v>
      </c>
      <c r="I3399" s="39"/>
      <c r="J3399" s="152">
        <v>0</v>
      </c>
    </row>
    <row r="3400" spans="1:10" ht="15.75" hidden="1" thickBot="1" x14ac:dyDescent="0.3">
      <c r="A3400" s="176"/>
      <c r="B3400" s="174"/>
      <c r="C3400" s="35" t="s">
        <v>2952</v>
      </c>
      <c r="D3400" s="35" t="s">
        <v>861</v>
      </c>
      <c r="E3400" s="36">
        <v>1.351</v>
      </c>
      <c r="F3400" s="53">
        <v>5.9469999999999992</v>
      </c>
      <c r="G3400" s="53">
        <f>IF(ISNUMBER(F3400),E3400*F3400,"")</f>
        <v>8.0343969999999985</v>
      </c>
      <c r="H3400" s="72"/>
      <c r="I3400" s="39"/>
      <c r="J3400" s="152">
        <v>0</v>
      </c>
    </row>
    <row r="3401" spans="1:10" ht="15.75" hidden="1" thickBot="1" x14ac:dyDescent="0.3">
      <c r="A3401" s="176"/>
      <c r="B3401" s="174"/>
      <c r="C3401" s="35" t="s">
        <v>1233</v>
      </c>
      <c r="D3401" s="35" t="s">
        <v>583</v>
      </c>
      <c r="E3401" s="36">
        <v>8.5000000000000006E-2</v>
      </c>
      <c r="F3401" s="53">
        <v>21.318000000000001</v>
      </c>
      <c r="G3401" s="53">
        <f>IF(ISNUMBER(F3401),E3401*F3401,"")</f>
        <v>1.8120300000000003</v>
      </c>
      <c r="H3401" s="72"/>
      <c r="I3401" s="73"/>
      <c r="J3401" s="152">
        <v>0</v>
      </c>
    </row>
    <row r="3402" spans="1:10" ht="15.75" hidden="1" thickBot="1" x14ac:dyDescent="0.3">
      <c r="A3402" s="176"/>
      <c r="B3402" s="174"/>
      <c r="C3402" s="35" t="s">
        <v>881</v>
      </c>
      <c r="D3402" s="35" t="s">
        <v>583</v>
      </c>
      <c r="E3402" s="36">
        <v>0.42199999999999999</v>
      </c>
      <c r="F3402" s="53">
        <v>27.160499999999999</v>
      </c>
      <c r="G3402" s="53">
        <f>IF(ISNUMBER(F3402),E3402*F3402,"")</f>
        <v>11.461730999999999</v>
      </c>
      <c r="H3402" s="72"/>
      <c r="I3402" s="73"/>
      <c r="J3402" s="152">
        <v>0</v>
      </c>
    </row>
    <row r="3403" spans="1:10" ht="15.75" hidden="1" thickBot="1" x14ac:dyDescent="0.3">
      <c r="A3403" s="177"/>
      <c r="B3403" s="175"/>
      <c r="C3403" s="35"/>
      <c r="D3403" s="35"/>
      <c r="E3403" s="36"/>
      <c r="F3403" s="53" t="s">
        <v>416</v>
      </c>
      <c r="G3403" s="53" t="str">
        <f>IF(ISNUMBER(F3403),E3403*F3403,"")</f>
        <v/>
      </c>
      <c r="H3403" s="72"/>
      <c r="I3403" s="73"/>
      <c r="J3403" s="152">
        <v>0</v>
      </c>
    </row>
    <row r="3404" spans="1:10" ht="15.75" hidden="1" thickBot="1" x14ac:dyDescent="0.3">
      <c r="A3404" s="170" t="s">
        <v>882</v>
      </c>
      <c r="B3404" s="173" t="str">
        <f>INDEX(Orçamentária!A:B,MATCH(Composições!A3404,Orçamentária!A:A,0),2)</f>
        <v>Camada de proteção mecânica simples de impermeabilização</v>
      </c>
      <c r="C3404" s="40"/>
      <c r="D3404" s="25" t="s">
        <v>70</v>
      </c>
      <c r="E3404" s="26"/>
      <c r="F3404" s="48" t="s">
        <v>416</v>
      </c>
      <c r="G3404" s="27" t="str">
        <f>IF(ISNUMBER(F3404),E3404*F3404,"")</f>
        <v/>
      </c>
      <c r="H3404" s="28"/>
      <c r="I3404" s="29"/>
      <c r="J3404" s="152">
        <v>0</v>
      </c>
    </row>
    <row r="3405" spans="1:10" ht="15.75" hidden="1" thickBot="1" x14ac:dyDescent="0.3">
      <c r="A3405" s="176"/>
      <c r="B3405" s="174"/>
      <c r="C3405" s="31"/>
      <c r="D3405" s="31"/>
      <c r="E3405" s="32"/>
      <c r="F3405" s="53" t="s">
        <v>416</v>
      </c>
      <c r="G3405" s="53" t="str">
        <f>IF(ISNUMBER(F3405),E3405*F3405,"")</f>
        <v/>
      </c>
      <c r="H3405" s="72"/>
      <c r="I3405" s="73"/>
      <c r="J3405" s="152">
        <v>0</v>
      </c>
    </row>
    <row r="3406" spans="1:10" ht="15.75" hidden="1" thickBot="1" x14ac:dyDescent="0.3">
      <c r="A3406" s="176"/>
      <c r="B3406" s="174"/>
      <c r="C3406" s="35" t="s">
        <v>883</v>
      </c>
      <c r="D3406" s="35" t="s">
        <v>861</v>
      </c>
      <c r="E3406" s="36">
        <v>1.04</v>
      </c>
      <c r="F3406" s="53">
        <v>1.7575000000000001</v>
      </c>
      <c r="G3406" s="53">
        <f>IF(ISNUMBER(F3406),E3406*F3406,"")</f>
        <v>1.8278000000000001</v>
      </c>
      <c r="H3406" s="38">
        <f>SUM(G3406:G3409)</f>
        <v>54.561234949062502</v>
      </c>
      <c r="I3406" s="39"/>
      <c r="J3406" s="152">
        <v>0</v>
      </c>
    </row>
    <row r="3407" spans="1:10" ht="26.25" hidden="1" thickBot="1" x14ac:dyDescent="0.3">
      <c r="A3407" s="176"/>
      <c r="B3407" s="174"/>
      <c r="C3407" s="35" t="s">
        <v>884</v>
      </c>
      <c r="D3407" s="35" t="s">
        <v>87</v>
      </c>
      <c r="E3407" s="36">
        <v>3.5000000000000003E-2</v>
      </c>
      <c r="F3407" s="53">
        <v>918.41925568750003</v>
      </c>
      <c r="G3407" s="53">
        <f>IF(ISNUMBER(F3407),E3407*F3407,"")</f>
        <v>32.144673949062501</v>
      </c>
      <c r="H3407" s="72"/>
      <c r="I3407" s="73"/>
      <c r="J3407" s="152">
        <v>0</v>
      </c>
    </row>
    <row r="3408" spans="1:10" ht="15.75" hidden="1" thickBot="1" x14ac:dyDescent="0.3">
      <c r="A3408" s="176"/>
      <c r="B3408" s="174"/>
      <c r="C3408" s="35" t="s">
        <v>591</v>
      </c>
      <c r="D3408" s="35" t="s">
        <v>583</v>
      </c>
      <c r="E3408" s="36">
        <v>0.65900000000000003</v>
      </c>
      <c r="F3408" s="53">
        <v>27.160499999999999</v>
      </c>
      <c r="G3408" s="53">
        <f>IF(ISNUMBER(F3408),E3408*F3408,"")</f>
        <v>17.8987695</v>
      </c>
      <c r="H3408" s="72"/>
      <c r="I3408" s="73"/>
      <c r="J3408" s="152">
        <v>0</v>
      </c>
    </row>
    <row r="3409" spans="1:10" ht="15.75" hidden="1" thickBot="1" x14ac:dyDescent="0.3">
      <c r="A3409" s="176"/>
      <c r="B3409" s="174"/>
      <c r="C3409" s="35" t="s">
        <v>584</v>
      </c>
      <c r="D3409" s="35" t="s">
        <v>583</v>
      </c>
      <c r="E3409" s="36">
        <v>0.13300000000000001</v>
      </c>
      <c r="F3409" s="53">
        <v>20.225499999999997</v>
      </c>
      <c r="G3409" s="53">
        <f>IF(ISNUMBER(F3409),E3409*F3409,"")</f>
        <v>2.6899914999999996</v>
      </c>
      <c r="H3409" s="72"/>
      <c r="I3409" s="73"/>
      <c r="J3409" s="152">
        <v>0</v>
      </c>
    </row>
    <row r="3410" spans="1:10" ht="15.75" hidden="1" thickBot="1" x14ac:dyDescent="0.3">
      <c r="A3410" s="177"/>
      <c r="B3410" s="175"/>
      <c r="C3410" s="35"/>
      <c r="D3410" s="35"/>
      <c r="E3410" s="36"/>
      <c r="F3410" s="53" t="s">
        <v>416</v>
      </c>
      <c r="G3410" s="53" t="str">
        <f>IF(ISNUMBER(F3410),E3410*F3410,"")</f>
        <v/>
      </c>
      <c r="H3410" s="72"/>
      <c r="I3410" s="73"/>
      <c r="J3410" s="152">
        <v>0</v>
      </c>
    </row>
    <row r="3411" spans="1:10" ht="15.75" hidden="1" thickBot="1" x14ac:dyDescent="0.3">
      <c r="A3411" s="170" t="s">
        <v>885</v>
      </c>
      <c r="B3411" s="173" t="str">
        <f>INDEX(Orçamentária!A:B,MATCH(Composições!A3411,Orçamentária!A:A,0),2)</f>
        <v>Camada de proteção mecânica estruturada de impermeabilização</v>
      </c>
      <c r="C3411" s="40"/>
      <c r="D3411" s="25" t="s">
        <v>70</v>
      </c>
      <c r="E3411" s="26"/>
      <c r="F3411" s="48" t="s">
        <v>416</v>
      </c>
      <c r="G3411" s="27" t="str">
        <f>IF(ISNUMBER(F3411),E3411*F3411,"")</f>
        <v/>
      </c>
      <c r="H3411" s="28"/>
      <c r="I3411" s="29"/>
      <c r="J3411" s="152">
        <v>0</v>
      </c>
    </row>
    <row r="3412" spans="1:10" ht="15.75" hidden="1" thickBot="1" x14ac:dyDescent="0.3">
      <c r="A3412" s="176"/>
      <c r="B3412" s="174"/>
      <c r="C3412" s="31"/>
      <c r="D3412" s="31"/>
      <c r="E3412" s="32"/>
      <c r="F3412" s="53" t="s">
        <v>416</v>
      </c>
      <c r="G3412" s="53" t="str">
        <f>IF(ISNUMBER(F3412),E3412*F3412,"")</f>
        <v/>
      </c>
      <c r="H3412" s="72"/>
      <c r="I3412" s="73"/>
      <c r="J3412" s="152">
        <v>0</v>
      </c>
    </row>
    <row r="3413" spans="1:10" ht="26.25" hidden="1" thickBot="1" x14ac:dyDescent="0.3">
      <c r="A3413" s="176"/>
      <c r="B3413" s="174"/>
      <c r="C3413" s="35" t="s">
        <v>886</v>
      </c>
      <c r="D3413" s="35" t="s">
        <v>861</v>
      </c>
      <c r="E3413" s="36">
        <v>1.05</v>
      </c>
      <c r="F3413" s="53">
        <v>13.927</v>
      </c>
      <c r="G3413" s="53">
        <f>IF(ISNUMBER(F3413),E3413*F3413,"")</f>
        <v>14.62335</v>
      </c>
      <c r="H3413" s="38">
        <f>SUM(G3413:G3416)</f>
        <v>68.835583449062497</v>
      </c>
      <c r="I3413" s="39"/>
      <c r="J3413" s="152">
        <v>0</v>
      </c>
    </row>
    <row r="3414" spans="1:10" ht="26.25" hidden="1" thickBot="1" x14ac:dyDescent="0.3">
      <c r="A3414" s="176"/>
      <c r="B3414" s="174"/>
      <c r="C3414" s="35" t="s">
        <v>884</v>
      </c>
      <c r="D3414" s="35" t="s">
        <v>87</v>
      </c>
      <c r="E3414" s="36">
        <v>3.5000000000000003E-2</v>
      </c>
      <c r="F3414" s="53">
        <v>918.41925568750003</v>
      </c>
      <c r="G3414" s="53">
        <f>IF(ISNUMBER(F3414),E3414*F3414,"")</f>
        <v>32.144673949062501</v>
      </c>
      <c r="H3414" s="72"/>
      <c r="I3414" s="73"/>
      <c r="J3414" s="152">
        <v>0</v>
      </c>
    </row>
    <row r="3415" spans="1:10" ht="15.75" hidden="1" thickBot="1" x14ac:dyDescent="0.3">
      <c r="A3415" s="176"/>
      <c r="B3415" s="174"/>
      <c r="C3415" s="35" t="s">
        <v>591</v>
      </c>
      <c r="D3415" s="35" t="s">
        <v>583</v>
      </c>
      <c r="E3415" s="36">
        <v>0.70599999999999996</v>
      </c>
      <c r="F3415" s="53">
        <v>27.160499999999999</v>
      </c>
      <c r="G3415" s="53">
        <f>IF(ISNUMBER(F3415),E3415*F3415,"")</f>
        <v>19.175312999999999</v>
      </c>
      <c r="H3415" s="72"/>
      <c r="I3415" s="73"/>
      <c r="J3415" s="152">
        <v>0</v>
      </c>
    </row>
    <row r="3416" spans="1:10" ht="15.75" hidden="1" thickBot="1" x14ac:dyDescent="0.3">
      <c r="A3416" s="176"/>
      <c r="B3416" s="174"/>
      <c r="C3416" s="35" t="s">
        <v>584</v>
      </c>
      <c r="D3416" s="35" t="s">
        <v>583</v>
      </c>
      <c r="E3416" s="36">
        <v>0.14299999999999999</v>
      </c>
      <c r="F3416" s="53">
        <v>20.225499999999997</v>
      </c>
      <c r="G3416" s="53">
        <f>IF(ISNUMBER(F3416),E3416*F3416,"")</f>
        <v>2.8922464999999993</v>
      </c>
      <c r="H3416" s="72"/>
      <c r="I3416" s="73"/>
      <c r="J3416" s="152">
        <v>0</v>
      </c>
    </row>
    <row r="3417" spans="1:10" ht="15.75" hidden="1" thickBot="1" x14ac:dyDescent="0.3">
      <c r="A3417" s="177"/>
      <c r="B3417" s="175"/>
      <c r="C3417" s="35"/>
      <c r="D3417" s="35"/>
      <c r="E3417" s="36"/>
      <c r="F3417" s="53" t="s">
        <v>416</v>
      </c>
      <c r="G3417" s="53" t="str">
        <f>IF(ISNUMBER(F3417),E3417*F3417,"")</f>
        <v/>
      </c>
      <c r="H3417" s="72"/>
      <c r="I3417" s="73"/>
      <c r="J3417" s="152">
        <v>0</v>
      </c>
    </row>
    <row r="3418" spans="1:10" ht="15.75" hidden="1" thickBot="1" x14ac:dyDescent="0.3">
      <c r="A3418" s="170" t="s">
        <v>887</v>
      </c>
      <c r="B3418" s="173" t="str">
        <f>INDEX(Orçamentária!A:B,MATCH(Composições!A3418,Orçamentária!A:A,0),2)</f>
        <v>Remoção de placas  de mármore encaixadas por fixadores metálicos (modelo Ed. Principal)</v>
      </c>
      <c r="C3418" s="40"/>
      <c r="D3418" s="25" t="s">
        <v>70</v>
      </c>
      <c r="E3418" s="26"/>
      <c r="F3418" s="48" t="s">
        <v>416</v>
      </c>
      <c r="G3418" s="27" t="str">
        <f>IF(ISNUMBER(F3418),E3418*F3418,"")</f>
        <v/>
      </c>
      <c r="H3418" s="28"/>
      <c r="I3418" s="29"/>
      <c r="J3418" s="152">
        <v>0</v>
      </c>
    </row>
    <row r="3419" spans="1:10" ht="15.75" hidden="1" thickBot="1" x14ac:dyDescent="0.3">
      <c r="A3419" s="176"/>
      <c r="B3419" s="174"/>
      <c r="C3419" s="31"/>
      <c r="D3419" s="31"/>
      <c r="E3419" s="32"/>
      <c r="F3419" s="53" t="s">
        <v>416</v>
      </c>
      <c r="G3419" s="53" t="str">
        <f>IF(ISNUMBER(F3419),E3419*F3419,"")</f>
        <v/>
      </c>
      <c r="H3419" s="72"/>
      <c r="I3419" s="73"/>
      <c r="J3419" s="152">
        <v>0</v>
      </c>
    </row>
    <row r="3420" spans="1:10" ht="15.75" hidden="1" thickBot="1" x14ac:dyDescent="0.3">
      <c r="A3420" s="176"/>
      <c r="B3420" s="174"/>
      <c r="C3420" s="35" t="s">
        <v>2906</v>
      </c>
      <c r="D3420" s="35" t="s">
        <v>583</v>
      </c>
      <c r="E3420" s="36">
        <v>0.4</v>
      </c>
      <c r="F3420" s="53">
        <v>27.036999999999999</v>
      </c>
      <c r="G3420" s="53">
        <f>IF(ISNUMBER(F3420),E3420*F3420,"")</f>
        <v>10.8148</v>
      </c>
      <c r="H3420" s="38">
        <f>SUM(G3420:G3421)</f>
        <v>18.905000000000001</v>
      </c>
      <c r="I3420" s="39"/>
      <c r="J3420" s="152">
        <v>0</v>
      </c>
    </row>
    <row r="3421" spans="1:10" ht="15.75" hidden="1" thickBot="1" x14ac:dyDescent="0.3">
      <c r="A3421" s="176"/>
      <c r="B3421" s="174"/>
      <c r="C3421" s="35" t="s">
        <v>584</v>
      </c>
      <c r="D3421" s="35" t="s">
        <v>583</v>
      </c>
      <c r="E3421" s="36">
        <v>0.4</v>
      </c>
      <c r="F3421" s="53">
        <v>20.225499999999997</v>
      </c>
      <c r="G3421" s="53">
        <f>IF(ISNUMBER(F3421),E3421*F3421,"")</f>
        <v>8.0901999999999994</v>
      </c>
      <c r="H3421" s="72"/>
      <c r="I3421" s="73"/>
      <c r="J3421" s="152">
        <v>0</v>
      </c>
    </row>
    <row r="3422" spans="1:10" ht="15.75" hidden="1" thickBot="1" x14ac:dyDescent="0.3">
      <c r="A3422" s="177"/>
      <c r="B3422" s="175"/>
      <c r="C3422" s="35"/>
      <c r="D3422" s="35"/>
      <c r="E3422" s="36"/>
      <c r="F3422" s="53" t="s">
        <v>416</v>
      </c>
      <c r="G3422" s="53" t="str">
        <f>IF(ISNUMBER(F3422),E3422*F3422,"")</f>
        <v/>
      </c>
      <c r="H3422" s="72"/>
      <c r="I3422" s="73"/>
      <c r="J3422" s="152">
        <v>0</v>
      </c>
    </row>
    <row r="3423" spans="1:10" ht="15.75" hidden="1" thickBot="1" x14ac:dyDescent="0.3">
      <c r="A3423" s="170" t="s">
        <v>888</v>
      </c>
      <c r="B3423" s="173" t="str">
        <f>INDEX(Orçamentária!A:B,MATCH(Composições!A3423,Orçamentária!A:A,0),2)</f>
        <v>Remoção de placas de rocha ornamental argamassada, para reaproveitamento</v>
      </c>
      <c r="C3423" s="40"/>
      <c r="D3423" s="25" t="s">
        <v>70</v>
      </c>
      <c r="E3423" s="26"/>
      <c r="F3423" s="48" t="s">
        <v>416</v>
      </c>
      <c r="G3423" s="27" t="str">
        <f>IF(ISNUMBER(F3423),E3423*F3423,"")</f>
        <v/>
      </c>
      <c r="H3423" s="28"/>
      <c r="I3423" s="29"/>
      <c r="J3423" s="152">
        <v>0</v>
      </c>
    </row>
    <row r="3424" spans="1:10" ht="15.75" hidden="1" thickBot="1" x14ac:dyDescent="0.3">
      <c r="A3424" s="176"/>
      <c r="B3424" s="174"/>
      <c r="C3424" s="31"/>
      <c r="D3424" s="31"/>
      <c r="E3424" s="32"/>
      <c r="F3424" s="53" t="s">
        <v>416</v>
      </c>
      <c r="G3424" s="53" t="str">
        <f>IF(ISNUMBER(F3424),E3424*F3424,"")</f>
        <v/>
      </c>
      <c r="H3424" s="72"/>
      <c r="I3424" s="73"/>
      <c r="J3424" s="152">
        <v>0</v>
      </c>
    </row>
    <row r="3425" spans="1:10" ht="15.75" hidden="1" thickBot="1" x14ac:dyDescent="0.3">
      <c r="A3425" s="176"/>
      <c r="B3425" s="174"/>
      <c r="C3425" s="35" t="s">
        <v>2906</v>
      </c>
      <c r="D3425" s="35" t="s">
        <v>583</v>
      </c>
      <c r="E3425" s="36">
        <v>1.2</v>
      </c>
      <c r="F3425" s="53">
        <v>27.036999999999999</v>
      </c>
      <c r="G3425" s="53">
        <f>IF(ISNUMBER(F3425),E3425*F3425,"")</f>
        <v>32.444399999999995</v>
      </c>
      <c r="H3425" s="38">
        <f>SUM(G3425:G3426)</f>
        <v>56.714999999999989</v>
      </c>
      <c r="I3425" s="39"/>
      <c r="J3425" s="152">
        <v>0</v>
      </c>
    </row>
    <row r="3426" spans="1:10" ht="15.75" hidden="1" thickBot="1" x14ac:dyDescent="0.3">
      <c r="A3426" s="176"/>
      <c r="B3426" s="174"/>
      <c r="C3426" s="35" t="s">
        <v>584</v>
      </c>
      <c r="D3426" s="35" t="s">
        <v>583</v>
      </c>
      <c r="E3426" s="36">
        <v>1.2</v>
      </c>
      <c r="F3426" s="53">
        <v>20.225499999999997</v>
      </c>
      <c r="G3426" s="53">
        <f>IF(ISNUMBER(F3426),E3426*F3426,"")</f>
        <v>24.270599999999995</v>
      </c>
      <c r="H3426" s="72"/>
      <c r="I3426" s="73"/>
      <c r="J3426" s="152">
        <v>0</v>
      </c>
    </row>
    <row r="3427" spans="1:10" ht="15.75" hidden="1" thickBot="1" x14ac:dyDescent="0.3">
      <c r="A3427" s="177"/>
      <c r="B3427" s="175"/>
      <c r="C3427" s="35"/>
      <c r="D3427" s="35"/>
      <c r="E3427" s="36"/>
      <c r="F3427" s="53" t="s">
        <v>416</v>
      </c>
      <c r="G3427" s="53" t="str">
        <f>IF(ISNUMBER(F3427),E3427*F3427,"")</f>
        <v/>
      </c>
      <c r="H3427" s="72"/>
      <c r="I3427" s="73"/>
      <c r="J3427" s="152">
        <v>0</v>
      </c>
    </row>
    <row r="3428" spans="1:10" ht="15.75" hidden="1" thickBot="1" x14ac:dyDescent="0.3">
      <c r="A3428" s="170" t="s">
        <v>889</v>
      </c>
      <c r="B3428" s="173" t="str">
        <f>INDEX(Orçamentária!A:B,MATCH(Composições!A3428,Orçamentária!A:A,0),2)</f>
        <v>Identificação e acondicionamento de placas de rocha ornamental</v>
      </c>
      <c r="C3428" s="40"/>
      <c r="D3428" s="25" t="s">
        <v>70</v>
      </c>
      <c r="E3428" s="26"/>
      <c r="F3428" s="48" t="s">
        <v>416</v>
      </c>
      <c r="G3428" s="27" t="str">
        <f>IF(ISNUMBER(F3428),E3428*F3428,"")</f>
        <v/>
      </c>
      <c r="H3428" s="28"/>
      <c r="I3428" s="29"/>
      <c r="J3428" s="152">
        <v>0</v>
      </c>
    </row>
    <row r="3429" spans="1:10" ht="15.75" hidden="1" thickBot="1" x14ac:dyDescent="0.3">
      <c r="A3429" s="176"/>
      <c r="B3429" s="174"/>
      <c r="C3429" s="31"/>
      <c r="D3429" s="31"/>
      <c r="E3429" s="32"/>
      <c r="F3429" s="53" t="s">
        <v>416</v>
      </c>
      <c r="G3429" s="53" t="str">
        <f>IF(ISNUMBER(F3429),E3429*F3429,"")</f>
        <v/>
      </c>
      <c r="H3429" s="72"/>
      <c r="I3429" s="73"/>
      <c r="J3429" s="152">
        <v>0</v>
      </c>
    </row>
    <row r="3430" spans="1:10" ht="15.75" hidden="1" thickBot="1" x14ac:dyDescent="0.3">
      <c r="A3430" s="176"/>
      <c r="B3430" s="174"/>
      <c r="C3430" s="35" t="s">
        <v>8303</v>
      </c>
      <c r="D3430" s="35" t="s">
        <v>861</v>
      </c>
      <c r="E3430" s="36">
        <v>1.05</v>
      </c>
      <c r="F3430" s="53">
        <v>4.6645000000000003</v>
      </c>
      <c r="G3430" s="53">
        <f>IF(ISNUMBER(F3430),E3430*F3430,"")</f>
        <v>4.8977250000000003</v>
      </c>
      <c r="H3430" s="38">
        <f>SUM(G3430:G3431)</f>
        <v>8.9428249999999991</v>
      </c>
      <c r="I3430" s="39"/>
      <c r="J3430" s="152">
        <v>0</v>
      </c>
    </row>
    <row r="3431" spans="1:10" ht="15.75" hidden="1" thickBot="1" x14ac:dyDescent="0.3">
      <c r="A3431" s="176"/>
      <c r="B3431" s="174"/>
      <c r="C3431" s="35" t="s">
        <v>584</v>
      </c>
      <c r="D3431" s="35" t="s">
        <v>583</v>
      </c>
      <c r="E3431" s="36">
        <v>0.2</v>
      </c>
      <c r="F3431" s="53">
        <v>20.225499999999997</v>
      </c>
      <c r="G3431" s="53">
        <f>IF(ISNUMBER(F3431),E3431*F3431,"")</f>
        <v>4.0450999999999997</v>
      </c>
      <c r="H3431" s="72"/>
      <c r="I3431" s="73"/>
      <c r="J3431" s="152">
        <v>0</v>
      </c>
    </row>
    <row r="3432" spans="1:10" ht="15.75" hidden="1" thickBot="1" x14ac:dyDescent="0.3">
      <c r="A3432" s="177"/>
      <c r="B3432" s="175"/>
      <c r="C3432" s="35"/>
      <c r="D3432" s="35"/>
      <c r="E3432" s="36"/>
      <c r="F3432" s="53" t="s">
        <v>416</v>
      </c>
      <c r="G3432" s="53" t="str">
        <f>IF(ISNUMBER(F3432),E3432*F3432,"")</f>
        <v/>
      </c>
      <c r="H3432" s="72"/>
      <c r="I3432" s="73"/>
      <c r="J3432" s="152">
        <v>0</v>
      </c>
    </row>
    <row r="3433" spans="1:10" ht="15.75" hidden="1" thickBot="1" x14ac:dyDescent="0.3">
      <c r="A3433" s="170" t="s">
        <v>890</v>
      </c>
      <c r="B3433" s="173" t="str">
        <f>INDEX(Orçamentária!A:B,MATCH(Composições!A3433,Orçamentária!A:A,0),2)</f>
        <v>Limpeza de placas de rocha ornamental argamassada, para reaproveitamento</v>
      </c>
      <c r="C3433" s="40"/>
      <c r="D3433" s="25" t="s">
        <v>70</v>
      </c>
      <c r="E3433" s="26"/>
      <c r="F3433" s="48" t="s">
        <v>416</v>
      </c>
      <c r="G3433" s="27" t="str">
        <f>IF(ISNUMBER(F3433),E3433*F3433,"")</f>
        <v/>
      </c>
      <c r="H3433" s="28"/>
      <c r="I3433" s="29"/>
      <c r="J3433" s="152">
        <v>0</v>
      </c>
    </row>
    <row r="3434" spans="1:10" ht="15.75" hidden="1" thickBot="1" x14ac:dyDescent="0.3">
      <c r="A3434" s="176"/>
      <c r="B3434" s="174"/>
      <c r="C3434" s="31"/>
      <c r="D3434" s="31"/>
      <c r="E3434" s="32"/>
      <c r="F3434" s="53" t="s">
        <v>416</v>
      </c>
      <c r="G3434" s="53" t="str">
        <f>IF(ISNUMBER(F3434),E3434*F3434,"")</f>
        <v/>
      </c>
      <c r="H3434" s="72"/>
      <c r="I3434" s="73"/>
      <c r="J3434" s="152">
        <v>0</v>
      </c>
    </row>
    <row r="3435" spans="1:10" ht="15.75" hidden="1" thickBot="1" x14ac:dyDescent="0.3">
      <c r="A3435" s="176"/>
      <c r="B3435" s="174"/>
      <c r="C3435" s="35" t="s">
        <v>584</v>
      </c>
      <c r="D3435" s="35" t="s">
        <v>583</v>
      </c>
      <c r="E3435" s="36">
        <v>0.3</v>
      </c>
      <c r="F3435" s="53">
        <v>20.225499999999997</v>
      </c>
      <c r="G3435" s="53">
        <f>IF(ISNUMBER(F3435),E3435*F3435,"")</f>
        <v>6.0676499999999987</v>
      </c>
      <c r="H3435" s="38">
        <f>SUM(G3435)</f>
        <v>6.0676499999999987</v>
      </c>
      <c r="I3435" s="39"/>
      <c r="J3435" s="152">
        <v>0</v>
      </c>
    </row>
    <row r="3436" spans="1:10" ht="15.75" hidden="1" thickBot="1" x14ac:dyDescent="0.3">
      <c r="A3436" s="177"/>
      <c r="B3436" s="175"/>
      <c r="C3436" s="35"/>
      <c r="D3436" s="35"/>
      <c r="E3436" s="36"/>
      <c r="F3436" s="53" t="s">
        <v>416</v>
      </c>
      <c r="G3436" s="53" t="str">
        <f>IF(ISNUMBER(F3436),E3436*F3436,"")</f>
        <v/>
      </c>
      <c r="H3436" s="72"/>
      <c r="I3436" s="73"/>
      <c r="J3436" s="152">
        <v>0</v>
      </c>
    </row>
    <row r="3437" spans="1:10" ht="15.75" hidden="1" thickBot="1" x14ac:dyDescent="0.3">
      <c r="A3437" s="170" t="s">
        <v>891</v>
      </c>
      <c r="B3437" s="173" t="str">
        <f>INDEX(Orçamentária!A:B,MATCH(Composições!A3437,Orçamentária!A:A,0),2)</f>
        <v>Remoção e acondicionamento de fixadores metálicos para placas de mármore em fachada (modelo Ed. Principal)</v>
      </c>
      <c r="C3437" s="40"/>
      <c r="D3437" s="25" t="s">
        <v>16</v>
      </c>
      <c r="E3437" s="26"/>
      <c r="F3437" s="48" t="s">
        <v>416</v>
      </c>
      <c r="G3437" s="27" t="str">
        <f>IF(ISNUMBER(F3437),E3437*F3437,"")</f>
        <v/>
      </c>
      <c r="H3437" s="28"/>
      <c r="I3437" s="29"/>
      <c r="J3437" s="152">
        <v>0</v>
      </c>
    </row>
    <row r="3438" spans="1:10" ht="15.75" hidden="1" thickBot="1" x14ac:dyDescent="0.3">
      <c r="A3438" s="176"/>
      <c r="B3438" s="174"/>
      <c r="C3438" s="31"/>
      <c r="D3438" s="31"/>
      <c r="E3438" s="32"/>
      <c r="F3438" s="53" t="s">
        <v>416</v>
      </c>
      <c r="G3438" s="53" t="str">
        <f>IF(ISNUMBER(F3438),E3438*F3438,"")</f>
        <v/>
      </c>
      <c r="H3438" s="72"/>
      <c r="I3438" s="73"/>
      <c r="J3438" s="152">
        <v>0</v>
      </c>
    </row>
    <row r="3439" spans="1:10" ht="15.75" hidden="1" thickBot="1" x14ac:dyDescent="0.3">
      <c r="A3439" s="176"/>
      <c r="B3439" s="174"/>
      <c r="C3439" s="35" t="s">
        <v>584</v>
      </c>
      <c r="D3439" s="35" t="s">
        <v>583</v>
      </c>
      <c r="E3439" s="36">
        <v>0.1</v>
      </c>
      <c r="F3439" s="53">
        <v>20.225499999999997</v>
      </c>
      <c r="G3439" s="53">
        <f>IF(ISNUMBER(F3439),E3439*F3439,"")</f>
        <v>2.0225499999999998</v>
      </c>
      <c r="H3439" s="38">
        <f>SUM(G3439)</f>
        <v>2.0225499999999998</v>
      </c>
      <c r="I3439" s="39"/>
      <c r="J3439" s="152">
        <v>0</v>
      </c>
    </row>
    <row r="3440" spans="1:10" ht="15.75" hidden="1" thickBot="1" x14ac:dyDescent="0.3">
      <c r="A3440" s="177"/>
      <c r="B3440" s="175"/>
      <c r="C3440" s="35"/>
      <c r="D3440" s="35"/>
      <c r="E3440" s="36"/>
      <c r="F3440" s="53" t="s">
        <v>416</v>
      </c>
      <c r="G3440" s="53" t="str">
        <f>IF(ISNUMBER(F3440),E3440*F3440,"")</f>
        <v/>
      </c>
      <c r="H3440" s="72"/>
      <c r="I3440" s="73"/>
      <c r="J3440" s="152">
        <v>0</v>
      </c>
    </row>
    <row r="3441" spans="1:10" ht="15.75" hidden="1" thickBot="1" x14ac:dyDescent="0.3">
      <c r="A3441" s="170" t="s">
        <v>892</v>
      </c>
      <c r="B3441" s="173" t="str">
        <f>INDEX(Orçamentária!A:B,MATCH(Composições!A3441,Orçamentária!A:A,0),2)</f>
        <v>Instalação de fixadores metálicos para placas de mármore em fachada reaproveitados (modelo Ed. Principal)</v>
      </c>
      <c r="C3441" s="40"/>
      <c r="D3441" s="25" t="s">
        <v>16</v>
      </c>
      <c r="E3441" s="26"/>
      <c r="F3441" s="48" t="s">
        <v>416</v>
      </c>
      <c r="G3441" s="27" t="str">
        <f>IF(ISNUMBER(F3441),E3441*F3441,"")</f>
        <v/>
      </c>
      <c r="H3441" s="28"/>
      <c r="I3441" s="29"/>
      <c r="J3441" s="152">
        <v>0</v>
      </c>
    </row>
    <row r="3442" spans="1:10" ht="15.75" hidden="1" thickBot="1" x14ac:dyDescent="0.3">
      <c r="A3442" s="176"/>
      <c r="B3442" s="174"/>
      <c r="C3442" s="31"/>
      <c r="D3442" s="31"/>
      <c r="E3442" s="32"/>
      <c r="F3442" s="53" t="s">
        <v>416</v>
      </c>
      <c r="G3442" s="53" t="str">
        <f>IF(ISNUMBER(F3442),E3442*F3442,"")</f>
        <v/>
      </c>
      <c r="H3442" s="72"/>
      <c r="I3442" s="73"/>
      <c r="J3442" s="152">
        <v>0</v>
      </c>
    </row>
    <row r="3443" spans="1:10" ht="15.75" hidden="1" thickBot="1" x14ac:dyDescent="0.3">
      <c r="A3443" s="176"/>
      <c r="B3443" s="174"/>
      <c r="C3443" s="35" t="s">
        <v>591</v>
      </c>
      <c r="D3443" s="35" t="s">
        <v>583</v>
      </c>
      <c r="E3443" s="36">
        <f>0.1+0.1</f>
        <v>0.2</v>
      </c>
      <c r="F3443" s="53">
        <v>27.160499999999999</v>
      </c>
      <c r="G3443" s="53">
        <f>IF(ISNUMBER(F3443),E3443*F3443,"")</f>
        <v>5.4321000000000002</v>
      </c>
      <c r="H3443" s="38">
        <f>SUM(G3443:G3447)</f>
        <v>9.7687871391722965</v>
      </c>
      <c r="I3443" s="39"/>
      <c r="J3443" s="152">
        <v>0</v>
      </c>
    </row>
    <row r="3444" spans="1:10" ht="15.75" hidden="1" thickBot="1" x14ac:dyDescent="0.3">
      <c r="A3444" s="176"/>
      <c r="B3444" s="174"/>
      <c r="C3444" s="35" t="s">
        <v>584</v>
      </c>
      <c r="D3444" s="35" t="s">
        <v>583</v>
      </c>
      <c r="E3444" s="36">
        <f>0.1+0.1</f>
        <v>0.2</v>
      </c>
      <c r="F3444" s="53">
        <v>20.225499999999997</v>
      </c>
      <c r="G3444" s="53">
        <f>IF(ISNUMBER(F3444),E3444*F3444,"")</f>
        <v>4.0450999999999997</v>
      </c>
      <c r="H3444" s="72"/>
      <c r="I3444" s="73"/>
      <c r="J3444" s="152">
        <v>0</v>
      </c>
    </row>
    <row r="3445" spans="1:10" ht="15.75" hidden="1" thickBot="1" x14ac:dyDescent="0.3">
      <c r="A3445" s="176"/>
      <c r="B3445" s="174"/>
      <c r="C3445" s="35" t="s">
        <v>893</v>
      </c>
      <c r="D3445" s="35" t="s">
        <v>107</v>
      </c>
      <c r="E3445" s="36">
        <f>0.016*2</f>
        <v>3.2000000000000001E-2</v>
      </c>
      <c r="F3445" s="53">
        <v>0</v>
      </c>
      <c r="G3445" s="53">
        <f>IF(ISNUMBER(F3445),E3445*F3445,"")</f>
        <v>0</v>
      </c>
      <c r="H3445" s="72"/>
      <c r="I3445" s="73"/>
      <c r="J3445" s="152">
        <v>0</v>
      </c>
    </row>
    <row r="3446" spans="1:10" ht="15.75" hidden="1" thickBot="1" x14ac:dyDescent="0.3">
      <c r="A3446" s="176"/>
      <c r="B3446" s="174"/>
      <c r="C3446" s="35" t="s">
        <v>894</v>
      </c>
      <c r="D3446" s="35" t="s">
        <v>895</v>
      </c>
      <c r="E3446" s="36">
        <f>0.1*2</f>
        <v>0.2</v>
      </c>
      <c r="F3446" s="53">
        <v>0</v>
      </c>
      <c r="G3446" s="53">
        <f>IF(ISNUMBER(F3446),E3446*F3446,"")</f>
        <v>0</v>
      </c>
      <c r="H3446" s="72"/>
      <c r="I3446" s="73"/>
      <c r="J3446" s="152">
        <v>0</v>
      </c>
    </row>
    <row r="3447" spans="1:10" ht="39" hidden="1" thickBot="1" x14ac:dyDescent="0.3">
      <c r="A3447" s="176"/>
      <c r="B3447" s="174"/>
      <c r="C3447" s="35" t="s">
        <v>896</v>
      </c>
      <c r="D3447" s="35" t="s">
        <v>80</v>
      </c>
      <c r="E3447" s="36">
        <f>ROUND(0.15*0.05*0.05,4)</f>
        <v>4.0000000000000002E-4</v>
      </c>
      <c r="F3447" s="53">
        <v>728.96784793074005</v>
      </c>
      <c r="G3447" s="53">
        <f>IF(ISNUMBER(F3447),E3447*F3447,"")</f>
        <v>0.29158713917229601</v>
      </c>
      <c r="H3447" s="72"/>
      <c r="I3447" s="73"/>
      <c r="J3447" s="152">
        <v>0</v>
      </c>
    </row>
    <row r="3448" spans="1:10" ht="15.75" hidden="1" thickBot="1" x14ac:dyDescent="0.3">
      <c r="A3448" s="176"/>
      <c r="B3448" s="174"/>
      <c r="C3448" s="35"/>
      <c r="D3448" s="35"/>
      <c r="E3448" s="36"/>
      <c r="F3448" s="53" t="s">
        <v>416</v>
      </c>
      <c r="G3448" s="53" t="str">
        <f>IF(ISNUMBER(F3448),E3448*F3448,"")</f>
        <v/>
      </c>
      <c r="H3448" s="72"/>
      <c r="I3448" s="73"/>
      <c r="J3448" s="152">
        <v>0</v>
      </c>
    </row>
    <row r="3449" spans="1:10" ht="15.75" hidden="1" thickBot="1" x14ac:dyDescent="0.3">
      <c r="A3449" s="176"/>
      <c r="B3449" s="174"/>
      <c r="C3449" s="149" t="s">
        <v>897</v>
      </c>
      <c r="D3449" s="35"/>
      <c r="E3449" s="36"/>
      <c r="F3449" s="53" t="s">
        <v>416</v>
      </c>
      <c r="G3449" s="53" t="str">
        <f>IF(ISNUMBER(F3449),E3449*F3449,"")</f>
        <v/>
      </c>
      <c r="H3449" s="72"/>
      <c r="I3449" s="73"/>
      <c r="J3449" s="152">
        <v>0</v>
      </c>
    </row>
    <row r="3450" spans="1:10" ht="15.75" hidden="1" thickBot="1" x14ac:dyDescent="0.3">
      <c r="A3450" s="177"/>
      <c r="B3450" s="175"/>
      <c r="C3450" s="35"/>
      <c r="D3450" s="35"/>
      <c r="E3450" s="36"/>
      <c r="F3450" s="53" t="s">
        <v>416</v>
      </c>
      <c r="G3450" s="53" t="str">
        <f>IF(ISNUMBER(F3450),E3450*F3450,"")</f>
        <v/>
      </c>
      <c r="H3450" s="72"/>
      <c r="I3450" s="73"/>
      <c r="J3450" s="152">
        <v>0</v>
      </c>
    </row>
    <row r="3451" spans="1:10" ht="15.75" hidden="1" thickBot="1" x14ac:dyDescent="0.3">
      <c r="A3451" s="170" t="s">
        <v>898</v>
      </c>
      <c r="B3451" s="173" t="str">
        <f>INDEX(Orçamentária!A:B,MATCH(Composições!A3451,Orçamentária!A:A,0),2)</f>
        <v>Fixadores metálicos para rochas ornamentais (tipo Ed. Principal, peça superior)</v>
      </c>
      <c r="C3451" s="40"/>
      <c r="D3451" s="25" t="s">
        <v>16</v>
      </c>
      <c r="E3451" s="26"/>
      <c r="F3451" s="48" t="s">
        <v>416</v>
      </c>
      <c r="G3451" s="27" t="str">
        <f>IF(ISNUMBER(F3451),E3451*F3451,"")</f>
        <v/>
      </c>
      <c r="H3451" s="28"/>
      <c r="I3451" s="29"/>
      <c r="J3451" s="152">
        <v>0</v>
      </c>
    </row>
    <row r="3452" spans="1:10" ht="15.75" hidden="1" thickBot="1" x14ac:dyDescent="0.3">
      <c r="A3452" s="176"/>
      <c r="B3452" s="174"/>
      <c r="C3452" s="31"/>
      <c r="D3452" s="31"/>
      <c r="E3452" s="32"/>
      <c r="F3452" s="53" t="s">
        <v>416</v>
      </c>
      <c r="G3452" s="53" t="str">
        <f>IF(ISNUMBER(F3452),E3452*F3452,"")</f>
        <v/>
      </c>
      <c r="H3452" s="72"/>
      <c r="I3452" s="73"/>
      <c r="J3452" s="152">
        <v>0</v>
      </c>
    </row>
    <row r="3453" spans="1:10" ht="15.75" hidden="1" thickBot="1" x14ac:dyDescent="0.3">
      <c r="A3453" s="176"/>
      <c r="B3453" s="174"/>
      <c r="C3453" s="35" t="s">
        <v>591</v>
      </c>
      <c r="D3453" s="35" t="s">
        <v>583</v>
      </c>
      <c r="E3453" s="36">
        <f>0.1+0.1</f>
        <v>0.2</v>
      </c>
      <c r="F3453" s="53">
        <v>27.160499999999999</v>
      </c>
      <c r="G3453" s="53">
        <f>IF(ISNUMBER(F3453),E3453*F3453,"")</f>
        <v>5.4321000000000002</v>
      </c>
      <c r="H3453" s="38">
        <f>SUM(G3453:G3458)</f>
        <v>9.7687871391722965</v>
      </c>
      <c r="I3453" s="39"/>
      <c r="J3453" s="152">
        <v>0</v>
      </c>
    </row>
    <row r="3454" spans="1:10" ht="15.75" hidden="1" thickBot="1" x14ac:dyDescent="0.3">
      <c r="A3454" s="176"/>
      <c r="B3454" s="174"/>
      <c r="C3454" s="35" t="s">
        <v>584</v>
      </c>
      <c r="D3454" s="35" t="s">
        <v>583</v>
      </c>
      <c r="E3454" s="36">
        <f>0.1+0.1</f>
        <v>0.2</v>
      </c>
      <c r="F3454" s="53">
        <v>20.225499999999997</v>
      </c>
      <c r="G3454" s="53">
        <f>IF(ISNUMBER(F3454),E3454*F3454,"")</f>
        <v>4.0450999999999997</v>
      </c>
      <c r="H3454" s="72"/>
      <c r="I3454" s="73"/>
      <c r="J3454" s="152">
        <v>0</v>
      </c>
    </row>
    <row r="3455" spans="1:10" ht="15.75" hidden="1" thickBot="1" x14ac:dyDescent="0.3">
      <c r="A3455" s="176"/>
      <c r="B3455" s="174"/>
      <c r="C3455" s="35" t="s">
        <v>893</v>
      </c>
      <c r="D3455" s="35" t="s">
        <v>107</v>
      </c>
      <c r="E3455" s="36">
        <f>0.016*2</f>
        <v>3.2000000000000001E-2</v>
      </c>
      <c r="F3455" s="53">
        <v>0</v>
      </c>
      <c r="G3455" s="53">
        <f>IF(ISNUMBER(F3455),E3455*F3455,"")</f>
        <v>0</v>
      </c>
      <c r="H3455" s="72"/>
      <c r="I3455" s="73"/>
      <c r="J3455" s="152">
        <v>0</v>
      </c>
    </row>
    <row r="3456" spans="1:10" ht="15.75" hidden="1" thickBot="1" x14ac:dyDescent="0.3">
      <c r="A3456" s="176"/>
      <c r="B3456" s="174"/>
      <c r="C3456" s="35" t="s">
        <v>894</v>
      </c>
      <c r="D3456" s="35" t="s">
        <v>895</v>
      </c>
      <c r="E3456" s="36">
        <f>0.1*2</f>
        <v>0.2</v>
      </c>
      <c r="F3456" s="53">
        <v>0</v>
      </c>
      <c r="G3456" s="53">
        <f>IF(ISNUMBER(F3456),E3456*F3456,"")</f>
        <v>0</v>
      </c>
      <c r="H3456" s="72"/>
      <c r="I3456" s="73"/>
      <c r="J3456" s="152">
        <v>0</v>
      </c>
    </row>
    <row r="3457" spans="1:10" ht="15.75" hidden="1" thickBot="1" x14ac:dyDescent="0.3">
      <c r="A3457" s="176"/>
      <c r="B3457" s="174"/>
      <c r="C3457" s="35" t="s">
        <v>899</v>
      </c>
      <c r="D3457" s="35" t="s">
        <v>107</v>
      </c>
      <c r="E3457" s="36">
        <v>1</v>
      </c>
      <c r="F3457" s="53" t="s">
        <v>416</v>
      </c>
      <c r="G3457" s="53" t="str">
        <f>IF(ISNUMBER(F3457),E3457*F3457,"")</f>
        <v/>
      </c>
      <c r="H3457" s="72"/>
      <c r="I3457" s="73"/>
      <c r="J3457" s="152">
        <v>0</v>
      </c>
    </row>
    <row r="3458" spans="1:10" ht="39" hidden="1" thickBot="1" x14ac:dyDescent="0.3">
      <c r="A3458" s="176"/>
      <c r="B3458" s="174"/>
      <c r="C3458" s="35" t="s">
        <v>896</v>
      </c>
      <c r="D3458" s="35" t="s">
        <v>80</v>
      </c>
      <c r="E3458" s="36">
        <f>ROUND(0.15*0.05*0.05,4)</f>
        <v>4.0000000000000002E-4</v>
      </c>
      <c r="F3458" s="53">
        <v>728.96784793074005</v>
      </c>
      <c r="G3458" s="53">
        <f>IF(ISNUMBER(F3458),E3458*F3458,"")</f>
        <v>0.29158713917229601</v>
      </c>
      <c r="H3458" s="72"/>
      <c r="I3458" s="73"/>
      <c r="J3458" s="152">
        <v>0</v>
      </c>
    </row>
    <row r="3459" spans="1:10" ht="15.75" hidden="1" thickBot="1" x14ac:dyDescent="0.3">
      <c r="A3459" s="176"/>
      <c r="B3459" s="174"/>
      <c r="C3459" s="35"/>
      <c r="D3459" s="35"/>
      <c r="E3459" s="36"/>
      <c r="F3459" s="53" t="s">
        <v>416</v>
      </c>
      <c r="G3459" s="53" t="str">
        <f>IF(ISNUMBER(F3459),E3459*F3459,"")</f>
        <v/>
      </c>
      <c r="H3459" s="72"/>
      <c r="I3459" s="73"/>
      <c r="J3459" s="152">
        <v>0</v>
      </c>
    </row>
    <row r="3460" spans="1:10" ht="15.75" hidden="1" thickBot="1" x14ac:dyDescent="0.3">
      <c r="A3460" s="176"/>
      <c r="B3460" s="174"/>
      <c r="C3460" s="149" t="s">
        <v>897</v>
      </c>
      <c r="D3460" s="35"/>
      <c r="E3460" s="36"/>
      <c r="F3460" s="53" t="s">
        <v>416</v>
      </c>
      <c r="G3460" s="53" t="str">
        <f>IF(ISNUMBER(F3460),E3460*F3460,"")</f>
        <v/>
      </c>
      <c r="H3460" s="72"/>
      <c r="I3460" s="73"/>
      <c r="J3460" s="152">
        <v>0</v>
      </c>
    </row>
    <row r="3461" spans="1:10" ht="15.75" hidden="1" thickBot="1" x14ac:dyDescent="0.3">
      <c r="A3461" s="177"/>
      <c r="B3461" s="175"/>
      <c r="C3461" s="35"/>
      <c r="D3461" s="35"/>
      <c r="E3461" s="36"/>
      <c r="F3461" s="53" t="s">
        <v>416</v>
      </c>
      <c r="G3461" s="53" t="str">
        <f>IF(ISNUMBER(F3461),E3461*F3461,"")</f>
        <v/>
      </c>
      <c r="H3461" s="72"/>
      <c r="I3461" s="73"/>
      <c r="J3461" s="152">
        <v>0</v>
      </c>
    </row>
    <row r="3462" spans="1:10" ht="15.75" hidden="1" thickBot="1" x14ac:dyDescent="0.3">
      <c r="A3462" s="170" t="s">
        <v>2509</v>
      </c>
      <c r="B3462" s="173" t="str">
        <f>INDEX(Orçamentária!A:B,MATCH(Composições!A3462,Orçamentária!A:A,0),2)</f>
        <v>Fixadores metálicos para rochas ornamentais, sob medida</v>
      </c>
      <c r="C3462" s="40"/>
      <c r="D3462" s="25" t="s">
        <v>16</v>
      </c>
      <c r="E3462" s="26"/>
      <c r="F3462" s="48" t="s">
        <v>416</v>
      </c>
      <c r="G3462" s="27" t="str">
        <f>IF(ISNUMBER(F3462),E3462*F3462,"")</f>
        <v/>
      </c>
      <c r="H3462" s="28"/>
      <c r="I3462" s="29"/>
      <c r="J3462" s="152">
        <v>0</v>
      </c>
    </row>
    <row r="3463" spans="1:10" ht="15.75" hidden="1" thickBot="1" x14ac:dyDescent="0.3">
      <c r="A3463" s="176"/>
      <c r="B3463" s="174"/>
      <c r="C3463" s="31"/>
      <c r="D3463" s="31"/>
      <c r="E3463" s="32"/>
      <c r="F3463" s="53" t="s">
        <v>416</v>
      </c>
      <c r="G3463" s="53" t="str">
        <f>IF(ISNUMBER(F3463),E3463*F3463,"")</f>
        <v/>
      </c>
      <c r="H3463" s="72"/>
      <c r="I3463" s="73"/>
      <c r="J3463" s="152">
        <v>0</v>
      </c>
    </row>
    <row r="3464" spans="1:10" ht="15.75" hidden="1" thickBot="1" x14ac:dyDescent="0.3">
      <c r="A3464" s="176"/>
      <c r="B3464" s="174"/>
      <c r="C3464" s="35" t="s">
        <v>591</v>
      </c>
      <c r="D3464" s="35" t="s">
        <v>583</v>
      </c>
      <c r="E3464" s="36">
        <f>0.1+0.1</f>
        <v>0.2</v>
      </c>
      <c r="F3464" s="53">
        <v>27.160499999999999</v>
      </c>
      <c r="G3464" s="53">
        <f>IF(ISNUMBER(F3464),E3464*F3464,"")</f>
        <v>5.4321000000000002</v>
      </c>
      <c r="H3464" s="38">
        <f>SUM(G3464:G3469)</f>
        <v>9.7687871391722965</v>
      </c>
      <c r="I3464" s="39"/>
      <c r="J3464" s="152">
        <v>0</v>
      </c>
    </row>
    <row r="3465" spans="1:10" ht="15.75" hidden="1" thickBot="1" x14ac:dyDescent="0.3">
      <c r="A3465" s="176"/>
      <c r="B3465" s="174"/>
      <c r="C3465" s="35" t="s">
        <v>584</v>
      </c>
      <c r="D3465" s="35" t="s">
        <v>583</v>
      </c>
      <c r="E3465" s="36">
        <f>0.1+0.1</f>
        <v>0.2</v>
      </c>
      <c r="F3465" s="53">
        <v>20.225499999999997</v>
      </c>
      <c r="G3465" s="53">
        <f>IF(ISNUMBER(F3465),E3465*F3465,"")</f>
        <v>4.0450999999999997</v>
      </c>
      <c r="H3465" s="72"/>
      <c r="I3465" s="73"/>
      <c r="J3465" s="152">
        <v>0</v>
      </c>
    </row>
    <row r="3466" spans="1:10" ht="15.75" hidden="1" thickBot="1" x14ac:dyDescent="0.3">
      <c r="A3466" s="176"/>
      <c r="B3466" s="174"/>
      <c r="C3466" s="35" t="s">
        <v>893</v>
      </c>
      <c r="D3466" s="35" t="s">
        <v>107</v>
      </c>
      <c r="E3466" s="36">
        <f>0.016*2</f>
        <v>3.2000000000000001E-2</v>
      </c>
      <c r="F3466" s="53">
        <v>0</v>
      </c>
      <c r="G3466" s="53">
        <f>IF(ISNUMBER(F3466),E3466*F3466,"")</f>
        <v>0</v>
      </c>
      <c r="H3466" s="72"/>
      <c r="I3466" s="73"/>
      <c r="J3466" s="152">
        <v>0</v>
      </c>
    </row>
    <row r="3467" spans="1:10" ht="15.75" hidden="1" thickBot="1" x14ac:dyDescent="0.3">
      <c r="A3467" s="176"/>
      <c r="B3467" s="174"/>
      <c r="C3467" s="35" t="s">
        <v>894</v>
      </c>
      <c r="D3467" s="35" t="s">
        <v>895</v>
      </c>
      <c r="E3467" s="36">
        <f>0.1*2</f>
        <v>0.2</v>
      </c>
      <c r="F3467" s="53">
        <v>0</v>
      </c>
      <c r="G3467" s="53">
        <f>IF(ISNUMBER(F3467),E3467*F3467,"")</f>
        <v>0</v>
      </c>
      <c r="H3467" s="72"/>
      <c r="I3467" s="73"/>
      <c r="J3467" s="152">
        <v>0</v>
      </c>
    </row>
    <row r="3468" spans="1:10" ht="15.75" hidden="1" thickBot="1" x14ac:dyDescent="0.3">
      <c r="A3468" s="176"/>
      <c r="B3468" s="174"/>
      <c r="C3468" s="35" t="s">
        <v>966</v>
      </c>
      <c r="D3468" s="35" t="s">
        <v>107</v>
      </c>
      <c r="E3468" s="36">
        <v>1</v>
      </c>
      <c r="F3468" s="53" t="s">
        <v>416</v>
      </c>
      <c r="G3468" s="53" t="str">
        <f>IF(ISNUMBER(F3468),E3468*F3468,"")</f>
        <v/>
      </c>
      <c r="H3468" s="72"/>
      <c r="I3468" s="73"/>
      <c r="J3468" s="152">
        <v>0</v>
      </c>
    </row>
    <row r="3469" spans="1:10" ht="39" hidden="1" thickBot="1" x14ac:dyDescent="0.3">
      <c r="A3469" s="176"/>
      <c r="B3469" s="174"/>
      <c r="C3469" s="35" t="s">
        <v>896</v>
      </c>
      <c r="D3469" s="35" t="s">
        <v>80</v>
      </c>
      <c r="E3469" s="36">
        <f>ROUND(0.15*0.05*0.05,4)</f>
        <v>4.0000000000000002E-4</v>
      </c>
      <c r="F3469" s="53">
        <v>728.96784793074005</v>
      </c>
      <c r="G3469" s="53">
        <f>IF(ISNUMBER(F3469),E3469*F3469,"")</f>
        <v>0.29158713917229601</v>
      </c>
      <c r="H3469" s="72"/>
      <c r="I3469" s="73"/>
      <c r="J3469" s="152">
        <v>0</v>
      </c>
    </row>
    <row r="3470" spans="1:10" ht="15.75" hidden="1" thickBot="1" x14ac:dyDescent="0.3">
      <c r="A3470" s="176"/>
      <c r="B3470" s="174"/>
      <c r="C3470" s="35"/>
      <c r="D3470" s="35"/>
      <c r="E3470" s="36"/>
      <c r="F3470" s="53" t="s">
        <v>416</v>
      </c>
      <c r="G3470" s="53" t="str">
        <f>IF(ISNUMBER(F3470),E3470*F3470,"")</f>
        <v/>
      </c>
      <c r="H3470" s="72"/>
      <c r="I3470" s="73"/>
      <c r="J3470" s="152">
        <v>0</v>
      </c>
    </row>
    <row r="3471" spans="1:10" ht="15.75" hidden="1" thickBot="1" x14ac:dyDescent="0.3">
      <c r="A3471" s="176"/>
      <c r="B3471" s="174"/>
      <c r="C3471" s="149" t="s">
        <v>897</v>
      </c>
      <c r="D3471" s="35"/>
      <c r="E3471" s="36"/>
      <c r="F3471" s="53" t="s">
        <v>416</v>
      </c>
      <c r="G3471" s="53" t="str">
        <f>IF(ISNUMBER(F3471),E3471*F3471,"")</f>
        <v/>
      </c>
      <c r="H3471" s="72"/>
      <c r="I3471" s="73"/>
      <c r="J3471" s="152">
        <v>0</v>
      </c>
    </row>
    <row r="3472" spans="1:10" ht="15.75" hidden="1" thickBot="1" x14ac:dyDescent="0.3">
      <c r="A3472" s="177"/>
      <c r="B3472" s="175"/>
      <c r="C3472" s="35"/>
      <c r="D3472" s="35"/>
      <c r="E3472" s="36"/>
      <c r="F3472" s="53" t="s">
        <v>416</v>
      </c>
      <c r="G3472" s="53" t="str">
        <f>IF(ISNUMBER(F3472),E3472*F3472,"")</f>
        <v/>
      </c>
      <c r="H3472" s="72"/>
      <c r="I3472" s="73"/>
      <c r="J3472" s="152">
        <v>0</v>
      </c>
    </row>
    <row r="3473" spans="1:10" ht="15.75" hidden="1" thickBot="1" x14ac:dyDescent="0.3">
      <c r="A3473" s="170" t="s">
        <v>900</v>
      </c>
      <c r="B3473" s="173" t="str">
        <f>INDEX(Orçamentária!A:B,MATCH(Composições!A3473,Orçamentária!A:A,0),2)</f>
        <v>Mármore Branco Especial 20 mm argamassado (Ed. Principal e Anexo 1)</v>
      </c>
      <c r="C3473" s="40"/>
      <c r="D3473" s="25" t="s">
        <v>70</v>
      </c>
      <c r="E3473" s="26"/>
      <c r="F3473" s="48" t="s">
        <v>416</v>
      </c>
      <c r="G3473" s="27" t="str">
        <f>IF(ISNUMBER(F3473),E3473*F3473,"")</f>
        <v/>
      </c>
      <c r="H3473" s="28"/>
      <c r="I3473" s="29"/>
      <c r="J3473" s="152">
        <v>0</v>
      </c>
    </row>
    <row r="3474" spans="1:10" ht="15.75" hidden="1" thickBot="1" x14ac:dyDescent="0.3">
      <c r="A3474" s="176"/>
      <c r="B3474" s="174"/>
      <c r="C3474" s="31"/>
      <c r="D3474" s="31"/>
      <c r="E3474" s="32"/>
      <c r="F3474" s="53" t="s">
        <v>416</v>
      </c>
      <c r="G3474" s="53" t="str">
        <f>IF(ISNUMBER(F3474),E3474*F3474,"")</f>
        <v/>
      </c>
      <c r="H3474" s="72"/>
      <c r="I3474" s="73"/>
      <c r="J3474" s="152">
        <v>0</v>
      </c>
    </row>
    <row r="3475" spans="1:10" ht="15.75" hidden="1" thickBot="1" x14ac:dyDescent="0.3">
      <c r="A3475" s="176"/>
      <c r="B3475" s="174"/>
      <c r="C3475" s="35" t="s">
        <v>901</v>
      </c>
      <c r="D3475" s="35" t="s">
        <v>70</v>
      </c>
      <c r="E3475" s="36">
        <v>1.05</v>
      </c>
      <c r="F3475" s="53" t="s">
        <v>416</v>
      </c>
      <c r="G3475" s="53" t="str">
        <f>IF(ISNUMBER(F3475),E3475*F3475,"")</f>
        <v/>
      </c>
      <c r="H3475" s="38">
        <f>SUM(G3475:G3479)</f>
        <v>57.79515</v>
      </c>
      <c r="I3475" s="39"/>
      <c r="J3475" s="152">
        <v>0</v>
      </c>
    </row>
    <row r="3476" spans="1:10" ht="15.75" hidden="1" thickBot="1" x14ac:dyDescent="0.3">
      <c r="A3476" s="176"/>
      <c r="B3476" s="174"/>
      <c r="C3476" s="35" t="s">
        <v>2906</v>
      </c>
      <c r="D3476" s="35" t="s">
        <v>583</v>
      </c>
      <c r="E3476" s="36">
        <v>1.35</v>
      </c>
      <c r="F3476" s="53">
        <v>27.036999999999999</v>
      </c>
      <c r="G3476" s="53">
        <f>IF(ISNUMBER(F3476),E3476*F3476,"")</f>
        <v>36.499949999999998</v>
      </c>
      <c r="H3476" s="72"/>
      <c r="I3476" s="73"/>
      <c r="J3476" s="152">
        <v>0</v>
      </c>
    </row>
    <row r="3477" spans="1:10" ht="15.75" hidden="1" thickBot="1" x14ac:dyDescent="0.3">
      <c r="A3477" s="176"/>
      <c r="B3477" s="174"/>
      <c r="C3477" s="35" t="s">
        <v>584</v>
      </c>
      <c r="D3477" s="35" t="s">
        <v>583</v>
      </c>
      <c r="E3477" s="36">
        <v>0.6</v>
      </c>
      <c r="F3477" s="53">
        <v>20.225499999999997</v>
      </c>
      <c r="G3477" s="53">
        <f>IF(ISNUMBER(F3477),E3477*F3477,"")</f>
        <v>12.135299999999997</v>
      </c>
      <c r="H3477" s="72"/>
      <c r="I3477" s="73"/>
      <c r="J3477" s="152">
        <v>0</v>
      </c>
    </row>
    <row r="3478" spans="1:10" ht="15.75" hidden="1" thickBot="1" x14ac:dyDescent="0.3">
      <c r="A3478" s="176"/>
      <c r="B3478" s="174"/>
      <c r="C3478" s="35" t="s">
        <v>7987</v>
      </c>
      <c r="D3478" s="35" t="s">
        <v>773</v>
      </c>
      <c r="E3478" s="36">
        <v>4.5</v>
      </c>
      <c r="F3478" s="53">
        <v>1.8049999999999999</v>
      </c>
      <c r="G3478" s="53">
        <f>IF(ISNUMBER(F3478),E3478*F3478,"")</f>
        <v>8.1225000000000005</v>
      </c>
      <c r="H3478" s="72"/>
      <c r="I3478" s="73"/>
      <c r="J3478" s="152">
        <v>0</v>
      </c>
    </row>
    <row r="3479" spans="1:10" ht="15.75" hidden="1" thickBot="1" x14ac:dyDescent="0.3">
      <c r="A3479" s="176"/>
      <c r="B3479" s="174"/>
      <c r="C3479" s="35" t="s">
        <v>8367</v>
      </c>
      <c r="D3479" s="35" t="s">
        <v>773</v>
      </c>
      <c r="E3479" s="36">
        <v>0.3</v>
      </c>
      <c r="F3479" s="53">
        <v>3.4579999999999997</v>
      </c>
      <c r="G3479" s="53">
        <f>IF(ISNUMBER(F3479),E3479*F3479,"")</f>
        <v>1.0373999999999999</v>
      </c>
      <c r="H3479" s="72"/>
      <c r="I3479" s="73"/>
      <c r="J3479" s="152">
        <v>0</v>
      </c>
    </row>
    <row r="3480" spans="1:10" ht="15.75" hidden="1" thickBot="1" x14ac:dyDescent="0.3">
      <c r="A3480" s="177"/>
      <c r="B3480" s="175"/>
      <c r="C3480" s="35"/>
      <c r="D3480" s="35"/>
      <c r="E3480" s="36"/>
      <c r="F3480" s="53" t="s">
        <v>416</v>
      </c>
      <c r="G3480" s="53" t="str">
        <f>IF(ISNUMBER(F3480),E3480*F3480,"")</f>
        <v/>
      </c>
      <c r="H3480" s="72"/>
      <c r="I3480" s="73"/>
      <c r="J3480" s="152">
        <v>0</v>
      </c>
    </row>
    <row r="3481" spans="1:10" ht="15.75" hidden="1" thickBot="1" x14ac:dyDescent="0.3">
      <c r="A3481" s="170" t="s">
        <v>902</v>
      </c>
      <c r="B3481" s="173" t="str">
        <f>INDEX(Orçamentária!A:B,MATCH(Composições!A3481,Orçamentária!A:A,0),2)</f>
        <v>Mármore Branco Especial 20 mm com inserts e argamassa (Ed. Principal e Anexo 1)</v>
      </c>
      <c r="C3481" s="40"/>
      <c r="D3481" s="25" t="s">
        <v>70</v>
      </c>
      <c r="E3481" s="26"/>
      <c r="F3481" s="48" t="s">
        <v>416</v>
      </c>
      <c r="G3481" s="27" t="str">
        <f>IF(ISNUMBER(F3481),E3481*F3481,"")</f>
        <v/>
      </c>
      <c r="H3481" s="28"/>
      <c r="I3481" s="29"/>
      <c r="J3481" s="152">
        <v>0</v>
      </c>
    </row>
    <row r="3482" spans="1:10" ht="15.75" hidden="1" thickBot="1" x14ac:dyDescent="0.3">
      <c r="A3482" s="176"/>
      <c r="B3482" s="174"/>
      <c r="C3482" s="31"/>
      <c r="D3482" s="31"/>
      <c r="E3482" s="32"/>
      <c r="F3482" s="53" t="s">
        <v>416</v>
      </c>
      <c r="G3482" s="53" t="str">
        <f>IF(ISNUMBER(F3482),E3482*F3482,"")</f>
        <v/>
      </c>
      <c r="H3482" s="72"/>
      <c r="I3482" s="73"/>
      <c r="J3482" s="152">
        <v>0</v>
      </c>
    </row>
    <row r="3483" spans="1:10" ht="15.75" hidden="1" thickBot="1" x14ac:dyDescent="0.3">
      <c r="A3483" s="176"/>
      <c r="B3483" s="174"/>
      <c r="C3483" s="35" t="s">
        <v>901</v>
      </c>
      <c r="D3483" s="35" t="s">
        <v>70</v>
      </c>
      <c r="E3483" s="36">
        <v>1.05</v>
      </c>
      <c r="F3483" s="53" t="s">
        <v>416</v>
      </c>
      <c r="G3483" s="53" t="str">
        <f>IF(ISNUMBER(F3483),E3483*F3483,"")</f>
        <v/>
      </c>
      <c r="H3483" s="38">
        <f>SUM(G3483:G3493)</f>
        <v>79.769821784793081</v>
      </c>
      <c r="I3483" s="39"/>
      <c r="J3483" s="152">
        <v>0</v>
      </c>
    </row>
    <row r="3484" spans="1:10" ht="15.75" hidden="1" thickBot="1" x14ac:dyDescent="0.3">
      <c r="A3484" s="176"/>
      <c r="B3484" s="174"/>
      <c r="C3484" s="35" t="s">
        <v>2906</v>
      </c>
      <c r="D3484" s="35" t="s">
        <v>583</v>
      </c>
      <c r="E3484" s="36">
        <f>1.35</f>
        <v>1.35</v>
      </c>
      <c r="F3484" s="53">
        <v>27.036999999999999</v>
      </c>
      <c r="G3484" s="53">
        <f>IF(ISNUMBER(F3484),E3484*F3484,"")</f>
        <v>36.499949999999998</v>
      </c>
      <c r="H3484" s="72"/>
      <c r="I3484" s="73"/>
      <c r="J3484" s="152">
        <v>0</v>
      </c>
    </row>
    <row r="3485" spans="1:10" ht="15.75" hidden="1" thickBot="1" x14ac:dyDescent="0.3">
      <c r="A3485" s="176"/>
      <c r="B3485" s="174"/>
      <c r="C3485" s="35" t="s">
        <v>591</v>
      </c>
      <c r="D3485" s="35" t="s">
        <v>583</v>
      </c>
      <c r="E3485" s="36">
        <v>0.1</v>
      </c>
      <c r="F3485" s="53">
        <v>27.160499999999999</v>
      </c>
      <c r="G3485" s="53">
        <f>IF(ISNUMBER(F3485),E3485*F3485,"")</f>
        <v>2.7160500000000001</v>
      </c>
      <c r="H3485" s="72"/>
      <c r="I3485" s="73"/>
      <c r="J3485" s="152">
        <v>0</v>
      </c>
    </row>
    <row r="3486" spans="1:10" ht="15.75" hidden="1" thickBot="1" x14ac:dyDescent="0.3">
      <c r="A3486" s="176"/>
      <c r="B3486" s="174"/>
      <c r="C3486" s="35" t="s">
        <v>584</v>
      </c>
      <c r="D3486" s="35" t="s">
        <v>583</v>
      </c>
      <c r="E3486" s="36">
        <f>0.6+0.1+0.1</f>
        <v>0.79999999999999993</v>
      </c>
      <c r="F3486" s="53">
        <v>20.225499999999997</v>
      </c>
      <c r="G3486" s="53">
        <f>IF(ISNUMBER(F3486),E3486*F3486,"")</f>
        <v>16.180399999999995</v>
      </c>
      <c r="H3486" s="72"/>
      <c r="I3486" s="73"/>
      <c r="J3486" s="152">
        <v>0</v>
      </c>
    </row>
    <row r="3487" spans="1:10" ht="15.75" hidden="1" thickBot="1" x14ac:dyDescent="0.3">
      <c r="A3487" s="176"/>
      <c r="B3487" s="174"/>
      <c r="C3487" s="35" t="s">
        <v>7987</v>
      </c>
      <c r="D3487" s="35" t="s">
        <v>773</v>
      </c>
      <c r="E3487" s="36">
        <v>4.5</v>
      </c>
      <c r="F3487" s="53">
        <v>1.8049999999999999</v>
      </c>
      <c r="G3487" s="53">
        <f>IF(ISNUMBER(F3487),E3487*F3487,"")</f>
        <v>8.1225000000000005</v>
      </c>
      <c r="H3487" s="72"/>
      <c r="I3487" s="73"/>
      <c r="J3487" s="152">
        <v>0</v>
      </c>
    </row>
    <row r="3488" spans="1:10" ht="15.75" hidden="1" thickBot="1" x14ac:dyDescent="0.3">
      <c r="A3488" s="176"/>
      <c r="B3488" s="174"/>
      <c r="C3488" s="35" t="s">
        <v>8367</v>
      </c>
      <c r="D3488" s="35" t="s">
        <v>773</v>
      </c>
      <c r="E3488" s="36">
        <v>0.3</v>
      </c>
      <c r="F3488" s="53">
        <v>3.4579999999999997</v>
      </c>
      <c r="G3488" s="53">
        <f>IF(ISNUMBER(F3488),E3488*F3488,"")</f>
        <v>1.0373999999999999</v>
      </c>
      <c r="H3488" s="72"/>
      <c r="I3488" s="73"/>
      <c r="J3488" s="152">
        <v>0</v>
      </c>
    </row>
    <row r="3489" spans="1:10" ht="26.25" hidden="1" thickBot="1" x14ac:dyDescent="0.3">
      <c r="A3489" s="176"/>
      <c r="B3489" s="174"/>
      <c r="C3489" s="35" t="s">
        <v>903</v>
      </c>
      <c r="D3489" s="35" t="s">
        <v>213</v>
      </c>
      <c r="E3489" s="36">
        <f>2/(0.4*0.8)</f>
        <v>6.2499999999999991</v>
      </c>
      <c r="F3489" s="53">
        <v>2.4224999999999999</v>
      </c>
      <c r="G3489" s="53">
        <f>IF(ISNUMBER(F3489),E3489*F3489,"")</f>
        <v>15.140624999999996</v>
      </c>
      <c r="H3489" s="72"/>
      <c r="I3489" s="73"/>
      <c r="J3489" s="152">
        <v>0</v>
      </c>
    </row>
    <row r="3490" spans="1:10" ht="15.75" hidden="1" thickBot="1" x14ac:dyDescent="0.3">
      <c r="A3490" s="176"/>
      <c r="B3490" s="174"/>
      <c r="C3490" s="35" t="s">
        <v>893</v>
      </c>
      <c r="D3490" s="35" t="s">
        <v>107</v>
      </c>
      <c r="E3490" s="36">
        <f>(2/(0.4*0.8))*(0.016)*1.5</f>
        <v>0.15</v>
      </c>
      <c r="F3490" s="53">
        <v>0</v>
      </c>
      <c r="G3490" s="53">
        <f>IF(ISNUMBER(F3490),E3490*F3490,"")</f>
        <v>0</v>
      </c>
      <c r="H3490" s="72"/>
      <c r="I3490" s="73"/>
      <c r="J3490" s="152">
        <v>0</v>
      </c>
    </row>
    <row r="3491" spans="1:10" ht="15.75" hidden="1" thickBot="1" x14ac:dyDescent="0.3">
      <c r="A3491" s="176"/>
      <c r="B3491" s="174"/>
      <c r="C3491" s="35" t="s">
        <v>894</v>
      </c>
      <c r="D3491" s="35" t="s">
        <v>895</v>
      </c>
      <c r="E3491" s="36">
        <f>(2/(0.4*0.8))*0.1*1.5</f>
        <v>0.9375</v>
      </c>
      <c r="F3491" s="53">
        <v>0</v>
      </c>
      <c r="G3491" s="53">
        <f>IF(ISNUMBER(F3491),E3491*F3491,"")</f>
        <v>0</v>
      </c>
      <c r="H3491" s="72"/>
      <c r="I3491" s="73"/>
      <c r="J3491" s="152">
        <v>0</v>
      </c>
    </row>
    <row r="3492" spans="1:10" ht="15.75" hidden="1" thickBot="1" x14ac:dyDescent="0.3">
      <c r="A3492" s="176"/>
      <c r="B3492" s="174"/>
      <c r="C3492" s="35" t="s">
        <v>904</v>
      </c>
      <c r="D3492" s="35" t="s">
        <v>107</v>
      </c>
      <c r="E3492" s="36">
        <f>2/(0.4*0.8)</f>
        <v>6.2499999999999991</v>
      </c>
      <c r="F3492" s="53" t="s">
        <v>416</v>
      </c>
      <c r="G3492" s="53" t="str">
        <f>IF(ISNUMBER(F3492),E3492*F3492,"")</f>
        <v/>
      </c>
      <c r="H3492" s="72"/>
      <c r="I3492" s="73"/>
      <c r="J3492" s="152">
        <v>0</v>
      </c>
    </row>
    <row r="3493" spans="1:10" ht="39" hidden="1" thickBot="1" x14ac:dyDescent="0.3">
      <c r="A3493" s="176"/>
      <c r="B3493" s="174"/>
      <c r="C3493" s="35" t="s">
        <v>896</v>
      </c>
      <c r="D3493" s="35" t="s">
        <v>80</v>
      </c>
      <c r="E3493" s="36">
        <v>1E-4</v>
      </c>
      <c r="F3493" s="53">
        <v>728.96784793074005</v>
      </c>
      <c r="G3493" s="53">
        <f>IF(ISNUMBER(F3493),E3493*F3493,"")</f>
        <v>7.2896784793074001E-2</v>
      </c>
      <c r="H3493" s="72"/>
      <c r="I3493" s="73"/>
      <c r="J3493" s="152">
        <v>0</v>
      </c>
    </row>
    <row r="3494" spans="1:10" ht="15.75" hidden="1" thickBot="1" x14ac:dyDescent="0.3">
      <c r="A3494" s="176"/>
      <c r="B3494" s="174"/>
      <c r="C3494" s="35"/>
      <c r="D3494" s="35"/>
      <c r="E3494" s="36"/>
      <c r="F3494" s="53" t="s">
        <v>416</v>
      </c>
      <c r="G3494" s="53" t="str">
        <f>IF(ISNUMBER(F3494),E3494*F3494,"")</f>
        <v/>
      </c>
      <c r="H3494" s="72"/>
      <c r="I3494" s="73"/>
      <c r="J3494" s="152">
        <v>0</v>
      </c>
    </row>
    <row r="3495" spans="1:10" ht="15.75" hidden="1" thickBot="1" x14ac:dyDescent="0.3">
      <c r="A3495" s="176"/>
      <c r="B3495" s="174"/>
      <c r="C3495" s="149" t="s">
        <v>905</v>
      </c>
      <c r="D3495" s="35"/>
      <c r="E3495" s="36"/>
      <c r="F3495" s="53" t="s">
        <v>416</v>
      </c>
      <c r="G3495" s="53" t="str">
        <f>IF(ISNUMBER(F3495),E3495*F3495,"")</f>
        <v/>
      </c>
      <c r="H3495" s="72"/>
      <c r="I3495" s="73"/>
      <c r="J3495" s="152">
        <v>0</v>
      </c>
    </row>
    <row r="3496" spans="1:10" ht="26.25" hidden="1" thickBot="1" x14ac:dyDescent="0.3">
      <c r="A3496" s="176"/>
      <c r="B3496" s="174"/>
      <c r="C3496" s="149" t="s">
        <v>906</v>
      </c>
      <c r="D3496" s="35"/>
      <c r="E3496" s="36"/>
      <c r="F3496" s="53" t="s">
        <v>416</v>
      </c>
      <c r="G3496" s="53" t="str">
        <f>IF(ISNUMBER(F3496),E3496*F3496,"")</f>
        <v/>
      </c>
      <c r="H3496" s="72"/>
      <c r="I3496" s="73"/>
      <c r="J3496" s="152">
        <v>0</v>
      </c>
    </row>
    <row r="3497" spans="1:10" ht="15.75" hidden="1" thickBot="1" x14ac:dyDescent="0.3">
      <c r="A3497" s="177"/>
      <c r="B3497" s="175"/>
      <c r="C3497" s="35"/>
      <c r="D3497" s="35"/>
      <c r="E3497" s="36"/>
      <c r="F3497" s="53" t="s">
        <v>416</v>
      </c>
      <c r="G3497" s="53" t="str">
        <f>IF(ISNUMBER(F3497),E3497*F3497,"")</f>
        <v/>
      </c>
      <c r="H3497" s="72"/>
      <c r="I3497" s="73"/>
      <c r="J3497" s="152">
        <v>0</v>
      </c>
    </row>
    <row r="3498" spans="1:10" ht="15.75" hidden="1" thickBot="1" x14ac:dyDescent="0.3">
      <c r="A3498" s="170" t="s">
        <v>907</v>
      </c>
      <c r="B3498" s="173" t="str">
        <f>INDEX(Orçamentária!A:B,MATCH(Composições!A3498,Orçamentária!A:A,0),2)</f>
        <v>Mármore Branco Especial 30 mm argamassado (Ed. Principal e Anexo 1)</v>
      </c>
      <c r="C3498" s="40"/>
      <c r="D3498" s="25" t="s">
        <v>70</v>
      </c>
      <c r="E3498" s="26"/>
      <c r="F3498" s="48" t="s">
        <v>416</v>
      </c>
      <c r="G3498" s="27" t="str">
        <f>IF(ISNUMBER(F3498),E3498*F3498,"")</f>
        <v/>
      </c>
      <c r="H3498" s="28"/>
      <c r="I3498" s="29"/>
      <c r="J3498" s="152">
        <v>0</v>
      </c>
    </row>
    <row r="3499" spans="1:10" ht="15.75" hidden="1" thickBot="1" x14ac:dyDescent="0.3">
      <c r="A3499" s="176"/>
      <c r="B3499" s="174"/>
      <c r="C3499" s="31"/>
      <c r="D3499" s="31"/>
      <c r="E3499" s="32"/>
      <c r="F3499" s="53" t="s">
        <v>416</v>
      </c>
      <c r="G3499" s="53" t="str">
        <f>IF(ISNUMBER(F3499),E3499*F3499,"")</f>
        <v/>
      </c>
      <c r="H3499" s="72"/>
      <c r="I3499" s="73"/>
      <c r="J3499" s="152">
        <v>0</v>
      </c>
    </row>
    <row r="3500" spans="1:10" ht="15.75" hidden="1" thickBot="1" x14ac:dyDescent="0.3">
      <c r="A3500" s="176"/>
      <c r="B3500" s="174"/>
      <c r="C3500" s="35" t="s">
        <v>908</v>
      </c>
      <c r="D3500" s="35" t="s">
        <v>70</v>
      </c>
      <c r="E3500" s="36">
        <v>1.05</v>
      </c>
      <c r="F3500" s="53" t="s">
        <v>416</v>
      </c>
      <c r="G3500" s="53" t="str">
        <f>IF(ISNUMBER(F3500),E3500*F3500,"")</f>
        <v/>
      </c>
      <c r="H3500" s="38">
        <f>SUM(G3500:G3504)</f>
        <v>57.79515</v>
      </c>
      <c r="I3500" s="39"/>
      <c r="J3500" s="152">
        <v>0</v>
      </c>
    </row>
    <row r="3501" spans="1:10" ht="15.75" hidden="1" thickBot="1" x14ac:dyDescent="0.3">
      <c r="A3501" s="176"/>
      <c r="B3501" s="174"/>
      <c r="C3501" s="35" t="s">
        <v>2906</v>
      </c>
      <c r="D3501" s="35" t="s">
        <v>583</v>
      </c>
      <c r="E3501" s="36">
        <v>1.35</v>
      </c>
      <c r="F3501" s="53">
        <v>27.036999999999999</v>
      </c>
      <c r="G3501" s="53">
        <f>IF(ISNUMBER(F3501),E3501*F3501,"")</f>
        <v>36.499949999999998</v>
      </c>
      <c r="H3501" s="72"/>
      <c r="I3501" s="73"/>
      <c r="J3501" s="152">
        <v>0</v>
      </c>
    </row>
    <row r="3502" spans="1:10" ht="15.75" hidden="1" thickBot="1" x14ac:dyDescent="0.3">
      <c r="A3502" s="176"/>
      <c r="B3502" s="174"/>
      <c r="C3502" s="35" t="s">
        <v>584</v>
      </c>
      <c r="D3502" s="35" t="s">
        <v>583</v>
      </c>
      <c r="E3502" s="36">
        <v>0.6</v>
      </c>
      <c r="F3502" s="53">
        <v>20.225499999999997</v>
      </c>
      <c r="G3502" s="53">
        <f>IF(ISNUMBER(F3502),E3502*F3502,"")</f>
        <v>12.135299999999997</v>
      </c>
      <c r="H3502" s="72"/>
      <c r="I3502" s="73"/>
      <c r="J3502" s="152">
        <v>0</v>
      </c>
    </row>
    <row r="3503" spans="1:10" ht="15.75" hidden="1" thickBot="1" x14ac:dyDescent="0.3">
      <c r="A3503" s="176"/>
      <c r="B3503" s="174"/>
      <c r="C3503" s="35" t="s">
        <v>7987</v>
      </c>
      <c r="D3503" s="35" t="s">
        <v>773</v>
      </c>
      <c r="E3503" s="36">
        <v>4.5</v>
      </c>
      <c r="F3503" s="53">
        <v>1.8049999999999999</v>
      </c>
      <c r="G3503" s="53">
        <f>IF(ISNUMBER(F3503),E3503*F3503,"")</f>
        <v>8.1225000000000005</v>
      </c>
      <c r="H3503" s="72"/>
      <c r="I3503" s="73"/>
      <c r="J3503" s="152">
        <v>0</v>
      </c>
    </row>
    <row r="3504" spans="1:10" ht="15.75" hidden="1" thickBot="1" x14ac:dyDescent="0.3">
      <c r="A3504" s="176"/>
      <c r="B3504" s="174"/>
      <c r="C3504" s="35" t="s">
        <v>8367</v>
      </c>
      <c r="D3504" s="35" t="s">
        <v>773</v>
      </c>
      <c r="E3504" s="36">
        <v>0.3</v>
      </c>
      <c r="F3504" s="53">
        <v>3.4579999999999997</v>
      </c>
      <c r="G3504" s="53">
        <f>IF(ISNUMBER(F3504),E3504*F3504,"")</f>
        <v>1.0373999999999999</v>
      </c>
      <c r="H3504" s="72"/>
      <c r="I3504" s="73"/>
      <c r="J3504" s="152">
        <v>0</v>
      </c>
    </row>
    <row r="3505" spans="1:10" ht="15.75" hidden="1" thickBot="1" x14ac:dyDescent="0.3">
      <c r="A3505" s="177"/>
      <c r="B3505" s="175"/>
      <c r="C3505" s="35"/>
      <c r="D3505" s="35"/>
      <c r="E3505" s="36"/>
      <c r="F3505" s="53" t="s">
        <v>416</v>
      </c>
      <c r="G3505" s="53" t="str">
        <f>IF(ISNUMBER(F3505),E3505*F3505,"")</f>
        <v/>
      </c>
      <c r="H3505" s="72"/>
      <c r="I3505" s="73"/>
      <c r="J3505" s="152">
        <v>0</v>
      </c>
    </row>
    <row r="3506" spans="1:10" ht="15.75" hidden="1" thickBot="1" x14ac:dyDescent="0.3">
      <c r="A3506" s="170" t="s">
        <v>909</v>
      </c>
      <c r="B3506" s="173" t="str">
        <f>INDEX(Orçamentária!A:B,MATCH(Composições!A3506,Orçamentária!A:A,0),2)</f>
        <v>Mármore Branco Especial 30 mm com inserts e argamassa (Ed. Principal e Anexo 1)</v>
      </c>
      <c r="C3506" s="40"/>
      <c r="D3506" s="25" t="s">
        <v>70</v>
      </c>
      <c r="E3506" s="26"/>
      <c r="F3506" s="48" t="s">
        <v>416</v>
      </c>
      <c r="G3506" s="27" t="str">
        <f>IF(ISNUMBER(F3506),E3506*F3506,"")</f>
        <v/>
      </c>
      <c r="H3506" s="28"/>
      <c r="I3506" s="29"/>
      <c r="J3506" s="152">
        <v>0</v>
      </c>
    </row>
    <row r="3507" spans="1:10" ht="15.75" hidden="1" thickBot="1" x14ac:dyDescent="0.3">
      <c r="A3507" s="176"/>
      <c r="B3507" s="174"/>
      <c r="C3507" s="31"/>
      <c r="D3507" s="31"/>
      <c r="E3507" s="32"/>
      <c r="F3507" s="53" t="s">
        <v>416</v>
      </c>
      <c r="G3507" s="53" t="str">
        <f>IF(ISNUMBER(F3507),E3507*F3507,"")</f>
        <v/>
      </c>
      <c r="H3507" s="72"/>
      <c r="I3507" s="73"/>
      <c r="J3507" s="152">
        <v>0</v>
      </c>
    </row>
    <row r="3508" spans="1:10" ht="15.75" hidden="1" thickBot="1" x14ac:dyDescent="0.3">
      <c r="A3508" s="176"/>
      <c r="B3508" s="174"/>
      <c r="C3508" s="35" t="s">
        <v>908</v>
      </c>
      <c r="D3508" s="35" t="s">
        <v>70</v>
      </c>
      <c r="E3508" s="36">
        <v>1.05</v>
      </c>
      <c r="F3508" s="53" t="s">
        <v>416</v>
      </c>
      <c r="G3508" s="53" t="str">
        <f>IF(ISNUMBER(F3508),E3508*F3508,"")</f>
        <v/>
      </c>
      <c r="H3508" s="38">
        <f>SUM(G3508:G3518)</f>
        <v>79.769821784793081</v>
      </c>
      <c r="I3508" s="39"/>
      <c r="J3508" s="152">
        <v>0</v>
      </c>
    </row>
    <row r="3509" spans="1:10" ht="15.75" hidden="1" thickBot="1" x14ac:dyDescent="0.3">
      <c r="A3509" s="176"/>
      <c r="B3509" s="174"/>
      <c r="C3509" s="35" t="s">
        <v>2906</v>
      </c>
      <c r="D3509" s="35" t="s">
        <v>583</v>
      </c>
      <c r="E3509" s="36">
        <f>1.35</f>
        <v>1.35</v>
      </c>
      <c r="F3509" s="53">
        <v>27.036999999999999</v>
      </c>
      <c r="G3509" s="53">
        <f>IF(ISNUMBER(F3509),E3509*F3509,"")</f>
        <v>36.499949999999998</v>
      </c>
      <c r="H3509" s="72"/>
      <c r="I3509" s="73"/>
      <c r="J3509" s="152">
        <v>0</v>
      </c>
    </row>
    <row r="3510" spans="1:10" ht="15.75" hidden="1" thickBot="1" x14ac:dyDescent="0.3">
      <c r="A3510" s="176"/>
      <c r="B3510" s="174"/>
      <c r="C3510" s="35" t="s">
        <v>591</v>
      </c>
      <c r="D3510" s="35" t="s">
        <v>583</v>
      </c>
      <c r="E3510" s="36">
        <v>0.1</v>
      </c>
      <c r="F3510" s="53">
        <v>27.160499999999999</v>
      </c>
      <c r="G3510" s="53">
        <f>IF(ISNUMBER(F3510),E3510*F3510,"")</f>
        <v>2.7160500000000001</v>
      </c>
      <c r="H3510" s="72"/>
      <c r="I3510" s="73"/>
      <c r="J3510" s="152">
        <v>0</v>
      </c>
    </row>
    <row r="3511" spans="1:10" ht="15.75" hidden="1" thickBot="1" x14ac:dyDescent="0.3">
      <c r="A3511" s="176"/>
      <c r="B3511" s="174"/>
      <c r="C3511" s="35" t="s">
        <v>584</v>
      </c>
      <c r="D3511" s="35" t="s">
        <v>583</v>
      </c>
      <c r="E3511" s="36">
        <f>0.6+0.1+0.1</f>
        <v>0.79999999999999993</v>
      </c>
      <c r="F3511" s="53">
        <v>20.225499999999997</v>
      </c>
      <c r="G3511" s="53">
        <f>IF(ISNUMBER(F3511),E3511*F3511,"")</f>
        <v>16.180399999999995</v>
      </c>
      <c r="H3511" s="72"/>
      <c r="I3511" s="73"/>
      <c r="J3511" s="152">
        <v>0</v>
      </c>
    </row>
    <row r="3512" spans="1:10" ht="15.75" hidden="1" thickBot="1" x14ac:dyDescent="0.3">
      <c r="A3512" s="176"/>
      <c r="B3512" s="174"/>
      <c r="C3512" s="35" t="s">
        <v>7987</v>
      </c>
      <c r="D3512" s="35" t="s">
        <v>773</v>
      </c>
      <c r="E3512" s="36">
        <v>4.5</v>
      </c>
      <c r="F3512" s="53">
        <v>1.8049999999999999</v>
      </c>
      <c r="G3512" s="53">
        <f>IF(ISNUMBER(F3512),E3512*F3512,"")</f>
        <v>8.1225000000000005</v>
      </c>
      <c r="H3512" s="72"/>
      <c r="I3512" s="73"/>
      <c r="J3512" s="152">
        <v>0</v>
      </c>
    </row>
    <row r="3513" spans="1:10" ht="15.75" hidden="1" thickBot="1" x14ac:dyDescent="0.3">
      <c r="A3513" s="176"/>
      <c r="B3513" s="174"/>
      <c r="C3513" s="35" t="s">
        <v>8367</v>
      </c>
      <c r="D3513" s="35" t="s">
        <v>773</v>
      </c>
      <c r="E3513" s="36">
        <v>0.3</v>
      </c>
      <c r="F3513" s="53">
        <v>3.4579999999999997</v>
      </c>
      <c r="G3513" s="53">
        <f>IF(ISNUMBER(F3513),E3513*F3513,"")</f>
        <v>1.0373999999999999</v>
      </c>
      <c r="H3513" s="72"/>
      <c r="I3513" s="73"/>
      <c r="J3513" s="152">
        <v>0</v>
      </c>
    </row>
    <row r="3514" spans="1:10" ht="26.25" hidden="1" thickBot="1" x14ac:dyDescent="0.3">
      <c r="A3514" s="176"/>
      <c r="B3514" s="174"/>
      <c r="C3514" s="35" t="s">
        <v>903</v>
      </c>
      <c r="D3514" s="35" t="s">
        <v>213</v>
      </c>
      <c r="E3514" s="36">
        <f>2/(0.4*0.8)</f>
        <v>6.2499999999999991</v>
      </c>
      <c r="F3514" s="53">
        <v>2.4224999999999999</v>
      </c>
      <c r="G3514" s="53">
        <f>IF(ISNUMBER(F3514),E3514*F3514,"")</f>
        <v>15.140624999999996</v>
      </c>
      <c r="H3514" s="72"/>
      <c r="I3514" s="73"/>
      <c r="J3514" s="152">
        <v>0</v>
      </c>
    </row>
    <row r="3515" spans="1:10" ht="15.75" hidden="1" thickBot="1" x14ac:dyDescent="0.3">
      <c r="A3515" s="176"/>
      <c r="B3515" s="174"/>
      <c r="C3515" s="35" t="s">
        <v>893</v>
      </c>
      <c r="D3515" s="35" t="s">
        <v>107</v>
      </c>
      <c r="E3515" s="36">
        <f>(2/(0.4*0.8))*(0.016)*1.5</f>
        <v>0.15</v>
      </c>
      <c r="F3515" s="53">
        <v>0</v>
      </c>
      <c r="G3515" s="53">
        <f>IF(ISNUMBER(F3515),E3515*F3515,"")</f>
        <v>0</v>
      </c>
      <c r="H3515" s="72"/>
      <c r="I3515" s="73"/>
      <c r="J3515" s="152">
        <v>0</v>
      </c>
    </row>
    <row r="3516" spans="1:10" ht="15.75" hidden="1" thickBot="1" x14ac:dyDescent="0.3">
      <c r="A3516" s="176"/>
      <c r="B3516" s="174"/>
      <c r="C3516" s="35" t="s">
        <v>894</v>
      </c>
      <c r="D3516" s="35" t="s">
        <v>895</v>
      </c>
      <c r="E3516" s="36">
        <f>(2/(0.4*0.8))*0.1*1.5</f>
        <v>0.9375</v>
      </c>
      <c r="F3516" s="53">
        <v>0</v>
      </c>
      <c r="G3516" s="53">
        <f>IF(ISNUMBER(F3516),E3516*F3516,"")</f>
        <v>0</v>
      </c>
      <c r="H3516" s="72"/>
      <c r="I3516" s="73"/>
      <c r="J3516" s="152">
        <v>0</v>
      </c>
    </row>
    <row r="3517" spans="1:10" ht="15.75" hidden="1" thickBot="1" x14ac:dyDescent="0.3">
      <c r="A3517" s="176"/>
      <c r="B3517" s="174"/>
      <c r="C3517" s="35" t="s">
        <v>904</v>
      </c>
      <c r="D3517" s="35" t="s">
        <v>107</v>
      </c>
      <c r="E3517" s="36">
        <f>2/(0.4*0.8)</f>
        <v>6.2499999999999991</v>
      </c>
      <c r="F3517" s="53" t="s">
        <v>416</v>
      </c>
      <c r="G3517" s="53" t="str">
        <f>IF(ISNUMBER(F3517),E3517*F3517,"")</f>
        <v/>
      </c>
      <c r="H3517" s="72"/>
      <c r="I3517" s="73"/>
      <c r="J3517" s="152">
        <v>0</v>
      </c>
    </row>
    <row r="3518" spans="1:10" ht="39" hidden="1" thickBot="1" x14ac:dyDescent="0.3">
      <c r="A3518" s="176"/>
      <c r="B3518" s="174"/>
      <c r="C3518" s="35" t="s">
        <v>896</v>
      </c>
      <c r="D3518" s="35" t="s">
        <v>80</v>
      </c>
      <c r="E3518" s="36">
        <v>1E-4</v>
      </c>
      <c r="F3518" s="53">
        <v>728.96784793074005</v>
      </c>
      <c r="G3518" s="53">
        <f>IF(ISNUMBER(F3518),E3518*F3518,"")</f>
        <v>7.2896784793074001E-2</v>
      </c>
      <c r="H3518" s="72"/>
      <c r="I3518" s="73"/>
      <c r="J3518" s="152">
        <v>0</v>
      </c>
    </row>
    <row r="3519" spans="1:10" ht="15.75" hidden="1" thickBot="1" x14ac:dyDescent="0.3">
      <c r="A3519" s="176"/>
      <c r="B3519" s="174"/>
      <c r="C3519" s="35"/>
      <c r="D3519" s="35"/>
      <c r="E3519" s="36"/>
      <c r="F3519" s="53" t="s">
        <v>416</v>
      </c>
      <c r="G3519" s="53" t="str">
        <f>IF(ISNUMBER(F3519),E3519*F3519,"")</f>
        <v/>
      </c>
      <c r="H3519" s="72"/>
      <c r="I3519" s="73"/>
      <c r="J3519" s="152">
        <v>0</v>
      </c>
    </row>
    <row r="3520" spans="1:10" ht="15.75" hidden="1" thickBot="1" x14ac:dyDescent="0.3">
      <c r="A3520" s="176"/>
      <c r="B3520" s="174"/>
      <c r="C3520" s="149" t="s">
        <v>905</v>
      </c>
      <c r="D3520" s="35"/>
      <c r="E3520" s="36"/>
      <c r="F3520" s="53" t="s">
        <v>416</v>
      </c>
      <c r="G3520" s="53" t="str">
        <f>IF(ISNUMBER(F3520),E3520*F3520,"")</f>
        <v/>
      </c>
      <c r="H3520" s="72"/>
      <c r="I3520" s="73"/>
      <c r="J3520" s="152">
        <v>0</v>
      </c>
    </row>
    <row r="3521" spans="1:10" ht="26.25" hidden="1" thickBot="1" x14ac:dyDescent="0.3">
      <c r="A3521" s="176"/>
      <c r="B3521" s="174"/>
      <c r="C3521" s="149" t="s">
        <v>906</v>
      </c>
      <c r="D3521" s="35"/>
      <c r="E3521" s="36"/>
      <c r="F3521" s="53" t="s">
        <v>416</v>
      </c>
      <c r="G3521" s="53" t="str">
        <f>IF(ISNUMBER(F3521),E3521*F3521,"")</f>
        <v/>
      </c>
      <c r="H3521" s="72"/>
      <c r="I3521" s="73"/>
      <c r="J3521" s="152">
        <v>0</v>
      </c>
    </row>
    <row r="3522" spans="1:10" ht="15.75" hidden="1" thickBot="1" x14ac:dyDescent="0.3">
      <c r="A3522" s="177"/>
      <c r="B3522" s="175"/>
      <c r="C3522" s="35"/>
      <c r="D3522" s="35"/>
      <c r="E3522" s="36"/>
      <c r="F3522" s="53" t="s">
        <v>416</v>
      </c>
      <c r="G3522" s="53" t="str">
        <f>IF(ISNUMBER(F3522),E3522*F3522,"")</f>
        <v/>
      </c>
      <c r="H3522" s="72"/>
      <c r="I3522" s="73"/>
      <c r="J3522" s="152">
        <v>0</v>
      </c>
    </row>
    <row r="3523" spans="1:10" ht="15.75" hidden="1" thickBot="1" x14ac:dyDescent="0.3">
      <c r="A3523" s="170" t="s">
        <v>910</v>
      </c>
      <c r="B3523" s="173" t="str">
        <f>INDEX(Orçamentária!A:B,MATCH(Composições!A3523,Orçamentária!A:A,0),2)</f>
        <v>Mármore branco especial, e = 30 mm, instalação em fixadores metálicos existentes (modelo Edifício Principal)</v>
      </c>
      <c r="C3523" s="40"/>
      <c r="D3523" s="25" t="s">
        <v>70</v>
      </c>
      <c r="E3523" s="26"/>
      <c r="F3523" s="48" t="s">
        <v>416</v>
      </c>
      <c r="G3523" s="27" t="str">
        <f>IF(ISNUMBER(F3523),E3523*F3523,"")</f>
        <v/>
      </c>
      <c r="H3523" s="28"/>
      <c r="I3523" s="29"/>
      <c r="J3523" s="152">
        <v>0</v>
      </c>
    </row>
    <row r="3524" spans="1:10" ht="15.75" hidden="1" thickBot="1" x14ac:dyDescent="0.3">
      <c r="A3524" s="176"/>
      <c r="B3524" s="174"/>
      <c r="C3524" s="31"/>
      <c r="D3524" s="31"/>
      <c r="E3524" s="32"/>
      <c r="F3524" s="53" t="s">
        <v>416</v>
      </c>
      <c r="G3524" s="53" t="str">
        <f>IF(ISNUMBER(F3524),E3524*F3524,"")</f>
        <v/>
      </c>
      <c r="H3524" s="72"/>
      <c r="I3524" s="73"/>
      <c r="J3524" s="152">
        <v>0</v>
      </c>
    </row>
    <row r="3525" spans="1:10" ht="15.75" hidden="1" thickBot="1" x14ac:dyDescent="0.3">
      <c r="A3525" s="176"/>
      <c r="B3525" s="174"/>
      <c r="C3525" s="35" t="s">
        <v>908</v>
      </c>
      <c r="D3525" s="35" t="s">
        <v>70</v>
      </c>
      <c r="E3525" s="36">
        <v>1.05</v>
      </c>
      <c r="F3525" s="53" t="s">
        <v>416</v>
      </c>
      <c r="G3525" s="53" t="str">
        <f>IF(ISNUMBER(F3525),E3525*F3525,"")</f>
        <v/>
      </c>
      <c r="H3525" s="38">
        <f>SUM(G3525:G3529)</f>
        <v>8.7818000000000005</v>
      </c>
      <c r="I3525" s="39"/>
      <c r="J3525" s="152">
        <v>0</v>
      </c>
    </row>
    <row r="3526" spans="1:10" ht="15.75" hidden="1" thickBot="1" x14ac:dyDescent="0.3">
      <c r="A3526" s="176"/>
      <c r="B3526" s="174"/>
      <c r="C3526" s="35" t="s">
        <v>2906</v>
      </c>
      <c r="D3526" s="35" t="s">
        <v>583</v>
      </c>
      <c r="E3526" s="36">
        <v>0.25</v>
      </c>
      <c r="F3526" s="53">
        <v>27.036999999999999</v>
      </c>
      <c r="G3526" s="53">
        <f>IF(ISNUMBER(F3526),E3526*F3526,"")</f>
        <v>6.7592499999999998</v>
      </c>
      <c r="H3526" s="72"/>
      <c r="I3526" s="73"/>
      <c r="J3526" s="152">
        <v>0</v>
      </c>
    </row>
    <row r="3527" spans="1:10" ht="15.75" hidden="1" thickBot="1" x14ac:dyDescent="0.3">
      <c r="A3527" s="176"/>
      <c r="B3527" s="174"/>
      <c r="C3527" s="35" t="s">
        <v>584</v>
      </c>
      <c r="D3527" s="35" t="s">
        <v>583</v>
      </c>
      <c r="E3527" s="36">
        <v>0.1</v>
      </c>
      <c r="F3527" s="53">
        <v>20.225499999999997</v>
      </c>
      <c r="G3527" s="53">
        <f>IF(ISNUMBER(F3527),E3527*F3527,"")</f>
        <v>2.0225499999999998</v>
      </c>
      <c r="H3527" s="72"/>
      <c r="I3527" s="73"/>
      <c r="J3527" s="152">
        <v>0</v>
      </c>
    </row>
    <row r="3528" spans="1:10" ht="15.75" hidden="1" thickBot="1" x14ac:dyDescent="0.3">
      <c r="A3528" s="176"/>
      <c r="B3528" s="174"/>
      <c r="C3528" s="35" t="s">
        <v>893</v>
      </c>
      <c r="D3528" s="35" t="s">
        <v>107</v>
      </c>
      <c r="E3528" s="36">
        <f>(2/(0.4*0.8))*0.016/2</f>
        <v>4.9999999999999996E-2</v>
      </c>
      <c r="F3528" s="53">
        <v>0</v>
      </c>
      <c r="G3528" s="53">
        <f>IF(ISNUMBER(F3528),E3528*F3528,"")</f>
        <v>0</v>
      </c>
      <c r="H3528" s="72"/>
      <c r="I3528" s="73"/>
      <c r="J3528" s="152">
        <v>0</v>
      </c>
    </row>
    <row r="3529" spans="1:10" ht="15.75" hidden="1" thickBot="1" x14ac:dyDescent="0.3">
      <c r="A3529" s="176"/>
      <c r="B3529" s="174"/>
      <c r="C3529" s="35" t="s">
        <v>894</v>
      </c>
      <c r="D3529" s="35" t="s">
        <v>895</v>
      </c>
      <c r="E3529" s="36">
        <f>(2/(0.4*0.8))*0.1/2</f>
        <v>0.3125</v>
      </c>
      <c r="F3529" s="53">
        <v>0</v>
      </c>
      <c r="G3529" s="53">
        <f>IF(ISNUMBER(F3529),E3529*F3529,"")</f>
        <v>0</v>
      </c>
      <c r="H3529" s="72"/>
      <c r="I3529" s="73"/>
      <c r="J3529" s="152">
        <v>0</v>
      </c>
    </row>
    <row r="3530" spans="1:10" ht="15.75" hidden="1" thickBot="1" x14ac:dyDescent="0.3">
      <c r="A3530" s="176"/>
      <c r="B3530" s="174"/>
      <c r="C3530" s="35"/>
      <c r="D3530" s="35"/>
      <c r="E3530" s="36"/>
      <c r="F3530" s="53" t="s">
        <v>416</v>
      </c>
      <c r="G3530" s="53" t="str">
        <f>IF(ISNUMBER(F3530),E3530*F3530,"")</f>
        <v/>
      </c>
      <c r="H3530" s="72"/>
      <c r="I3530" s="73"/>
      <c r="J3530" s="152">
        <v>0</v>
      </c>
    </row>
    <row r="3531" spans="1:10" ht="15.75" hidden="1" thickBot="1" x14ac:dyDescent="0.3">
      <c r="A3531" s="176"/>
      <c r="B3531" s="174"/>
      <c r="C3531" s="149" t="s">
        <v>911</v>
      </c>
      <c r="D3531" s="35"/>
      <c r="E3531" s="36"/>
      <c r="F3531" s="53" t="s">
        <v>416</v>
      </c>
      <c r="G3531" s="53" t="str">
        <f>IF(ISNUMBER(F3531),E3531*F3531,"")</f>
        <v/>
      </c>
      <c r="H3531" s="72"/>
      <c r="I3531" s="73"/>
      <c r="J3531" s="152">
        <v>0</v>
      </c>
    </row>
    <row r="3532" spans="1:10" ht="15.75" hidden="1" thickBot="1" x14ac:dyDescent="0.3">
      <c r="A3532" s="177"/>
      <c r="B3532" s="175"/>
      <c r="C3532" s="35"/>
      <c r="D3532" s="35"/>
      <c r="E3532" s="36"/>
      <c r="F3532" s="53" t="s">
        <v>416</v>
      </c>
      <c r="G3532" s="53" t="str">
        <f>IF(ISNUMBER(F3532),E3532*F3532,"")</f>
        <v/>
      </c>
      <c r="H3532" s="72"/>
      <c r="I3532" s="73"/>
      <c r="J3532" s="152">
        <v>0</v>
      </c>
    </row>
    <row r="3533" spans="1:10" ht="15.75" hidden="1" thickBot="1" x14ac:dyDescent="0.3">
      <c r="A3533" s="170" t="s">
        <v>2511</v>
      </c>
      <c r="B3533" s="173" t="str">
        <f>INDEX(Orçamentária!A:B,MATCH(Composições!A3533,Orçamentária!A:A,0),2)</f>
        <v>Instalação de placas de mármore 30 mm reaproveitadas em fixadores metálicos existentes (modelo Edifício Principal)</v>
      </c>
      <c r="C3533" s="40"/>
      <c r="D3533" s="25" t="s">
        <v>70</v>
      </c>
      <c r="E3533" s="26"/>
      <c r="F3533" s="48" t="s">
        <v>416</v>
      </c>
      <c r="G3533" s="27" t="str">
        <f>IF(ISNUMBER(F3533),E3533*F3533,"")</f>
        <v/>
      </c>
      <c r="H3533" s="28"/>
      <c r="I3533" s="29"/>
      <c r="J3533" s="152">
        <v>0</v>
      </c>
    </row>
    <row r="3534" spans="1:10" ht="15.75" hidden="1" thickBot="1" x14ac:dyDescent="0.3">
      <c r="A3534" s="176"/>
      <c r="B3534" s="174"/>
      <c r="C3534" s="31"/>
      <c r="D3534" s="31"/>
      <c r="E3534" s="32"/>
      <c r="F3534" s="53" t="s">
        <v>416</v>
      </c>
      <c r="G3534" s="53" t="str">
        <f>IF(ISNUMBER(F3534),E3534*F3534,"")</f>
        <v/>
      </c>
      <c r="H3534" s="72"/>
      <c r="I3534" s="73"/>
      <c r="J3534" s="152">
        <v>0</v>
      </c>
    </row>
    <row r="3535" spans="1:10" ht="15.75" hidden="1" thickBot="1" x14ac:dyDescent="0.3">
      <c r="A3535" s="176"/>
      <c r="B3535" s="174"/>
      <c r="C3535" s="35" t="s">
        <v>2906</v>
      </c>
      <c r="D3535" s="35" t="s">
        <v>583</v>
      </c>
      <c r="E3535" s="36">
        <v>0.25</v>
      </c>
      <c r="F3535" s="53">
        <v>27.036999999999999</v>
      </c>
      <c r="G3535" s="53">
        <f>IF(ISNUMBER(F3535),E3535*F3535,"")</f>
        <v>6.7592499999999998</v>
      </c>
      <c r="H3535" s="38">
        <f>SUM(G3535:G3538)</f>
        <v>8.7818000000000005</v>
      </c>
      <c r="I3535" s="39"/>
      <c r="J3535" s="152">
        <v>0</v>
      </c>
    </row>
    <row r="3536" spans="1:10" ht="15.75" hidden="1" thickBot="1" x14ac:dyDescent="0.3">
      <c r="A3536" s="176"/>
      <c r="B3536" s="174"/>
      <c r="C3536" s="35" t="s">
        <v>584</v>
      </c>
      <c r="D3536" s="35" t="s">
        <v>583</v>
      </c>
      <c r="E3536" s="36">
        <v>0.1</v>
      </c>
      <c r="F3536" s="53">
        <v>20.225499999999997</v>
      </c>
      <c r="G3536" s="53">
        <f>IF(ISNUMBER(F3536),E3536*F3536,"")</f>
        <v>2.0225499999999998</v>
      </c>
      <c r="H3536" s="72"/>
      <c r="I3536" s="73"/>
      <c r="J3536" s="152">
        <v>0</v>
      </c>
    </row>
    <row r="3537" spans="1:10" ht="15.75" hidden="1" thickBot="1" x14ac:dyDescent="0.3">
      <c r="A3537" s="176"/>
      <c r="B3537" s="174"/>
      <c r="C3537" s="35" t="s">
        <v>893</v>
      </c>
      <c r="D3537" s="35" t="s">
        <v>107</v>
      </c>
      <c r="E3537" s="36">
        <f>(2/(0.4*0.8))*0.016/2</f>
        <v>4.9999999999999996E-2</v>
      </c>
      <c r="F3537" s="53">
        <v>0</v>
      </c>
      <c r="G3537" s="53">
        <f>IF(ISNUMBER(F3537),E3537*F3537,"")</f>
        <v>0</v>
      </c>
      <c r="H3537" s="72"/>
      <c r="I3537" s="73"/>
      <c r="J3537" s="152">
        <v>0</v>
      </c>
    </row>
    <row r="3538" spans="1:10" ht="15.75" hidden="1" thickBot="1" x14ac:dyDescent="0.3">
      <c r="A3538" s="176"/>
      <c r="B3538" s="174"/>
      <c r="C3538" s="35" t="s">
        <v>894</v>
      </c>
      <c r="D3538" s="35" t="s">
        <v>895</v>
      </c>
      <c r="E3538" s="36">
        <f>(2/(0.4*0.8))*0.1/2</f>
        <v>0.3125</v>
      </c>
      <c r="F3538" s="53">
        <v>0</v>
      </c>
      <c r="G3538" s="53">
        <f>IF(ISNUMBER(F3538),E3538*F3538,"")</f>
        <v>0</v>
      </c>
      <c r="H3538" s="72"/>
      <c r="I3538" s="73"/>
      <c r="J3538" s="152">
        <v>0</v>
      </c>
    </row>
    <row r="3539" spans="1:10" ht="15.75" hidden="1" thickBot="1" x14ac:dyDescent="0.3">
      <c r="A3539" s="176"/>
      <c r="B3539" s="174"/>
      <c r="C3539" s="35"/>
      <c r="D3539" s="35"/>
      <c r="E3539" s="36"/>
      <c r="F3539" s="53" t="s">
        <v>416</v>
      </c>
      <c r="G3539" s="53" t="str">
        <f>IF(ISNUMBER(F3539),E3539*F3539,"")</f>
        <v/>
      </c>
      <c r="H3539" s="72"/>
      <c r="I3539" s="73"/>
      <c r="J3539" s="152">
        <v>0</v>
      </c>
    </row>
    <row r="3540" spans="1:10" ht="15.75" hidden="1" thickBot="1" x14ac:dyDescent="0.3">
      <c r="A3540" s="176"/>
      <c r="B3540" s="174"/>
      <c r="C3540" s="149" t="s">
        <v>911</v>
      </c>
      <c r="D3540" s="35"/>
      <c r="E3540" s="36"/>
      <c r="F3540" s="53" t="s">
        <v>416</v>
      </c>
      <c r="G3540" s="53" t="str">
        <f>IF(ISNUMBER(F3540),E3540*F3540,"")</f>
        <v/>
      </c>
      <c r="H3540" s="72"/>
      <c r="I3540" s="73"/>
      <c r="J3540" s="152">
        <v>0</v>
      </c>
    </row>
    <row r="3541" spans="1:10" ht="15.75" hidden="1" thickBot="1" x14ac:dyDescent="0.3">
      <c r="A3541" s="177"/>
      <c r="B3541" s="175"/>
      <c r="C3541" s="35"/>
      <c r="D3541" s="35"/>
      <c r="E3541" s="36"/>
      <c r="F3541" s="53" t="s">
        <v>416</v>
      </c>
      <c r="G3541" s="53" t="str">
        <f>IF(ISNUMBER(F3541),E3541*F3541,"")</f>
        <v/>
      </c>
      <c r="H3541" s="72"/>
      <c r="I3541" s="73"/>
      <c r="J3541" s="152">
        <v>0</v>
      </c>
    </row>
    <row r="3542" spans="1:10" ht="15.75" hidden="1" thickBot="1" x14ac:dyDescent="0.3">
      <c r="A3542" s="170" t="s">
        <v>912</v>
      </c>
      <c r="B3542" s="173" t="str">
        <f>INDEX(Orçamentária!A:B,MATCH(Composições!A3542,Orçamentária!A:A,0),2)</f>
        <v>Instalação de placas de rocha ornamental reaproveitadas, por meio de argamassa</v>
      </c>
      <c r="C3542" s="40"/>
      <c r="D3542" s="25" t="s">
        <v>70</v>
      </c>
      <c r="E3542" s="26"/>
      <c r="F3542" s="48" t="s">
        <v>416</v>
      </c>
      <c r="G3542" s="27" t="str">
        <f>IF(ISNUMBER(F3542),E3542*F3542,"")</f>
        <v/>
      </c>
      <c r="H3542" s="28"/>
      <c r="I3542" s="29"/>
      <c r="J3542" s="152">
        <v>0</v>
      </c>
    </row>
    <row r="3543" spans="1:10" ht="15.75" hidden="1" thickBot="1" x14ac:dyDescent="0.3">
      <c r="A3543" s="176"/>
      <c r="B3543" s="174"/>
      <c r="C3543" s="31"/>
      <c r="D3543" s="31"/>
      <c r="E3543" s="32"/>
      <c r="F3543" s="53" t="s">
        <v>416</v>
      </c>
      <c r="G3543" s="53" t="str">
        <f>IF(ISNUMBER(F3543),E3543*F3543,"")</f>
        <v/>
      </c>
      <c r="H3543" s="72"/>
      <c r="I3543" s="73"/>
      <c r="J3543" s="152">
        <v>0</v>
      </c>
    </row>
    <row r="3544" spans="1:10" ht="15.75" hidden="1" thickBot="1" x14ac:dyDescent="0.3">
      <c r="A3544" s="176"/>
      <c r="B3544" s="174"/>
      <c r="C3544" s="35" t="s">
        <v>2906</v>
      </c>
      <c r="D3544" s="35" t="s">
        <v>583</v>
      </c>
      <c r="E3544" s="36">
        <v>1.35</v>
      </c>
      <c r="F3544" s="53">
        <v>27.036999999999999</v>
      </c>
      <c r="G3544" s="53">
        <f>IF(ISNUMBER(F3544),E3544*F3544,"")</f>
        <v>36.499949999999998</v>
      </c>
      <c r="H3544" s="38">
        <f>SUM(G3544:G3547)</f>
        <v>57.79515</v>
      </c>
      <c r="I3544" s="39"/>
      <c r="J3544" s="152">
        <v>0</v>
      </c>
    </row>
    <row r="3545" spans="1:10" ht="15.75" hidden="1" thickBot="1" x14ac:dyDescent="0.3">
      <c r="A3545" s="176"/>
      <c r="B3545" s="174"/>
      <c r="C3545" s="35" t="s">
        <v>584</v>
      </c>
      <c r="D3545" s="35" t="s">
        <v>583</v>
      </c>
      <c r="E3545" s="36">
        <v>0.6</v>
      </c>
      <c r="F3545" s="53">
        <v>20.225499999999997</v>
      </c>
      <c r="G3545" s="53">
        <f>IF(ISNUMBER(F3545),E3545*F3545,"")</f>
        <v>12.135299999999997</v>
      </c>
      <c r="H3545" s="72"/>
      <c r="I3545" s="73"/>
      <c r="J3545" s="152">
        <v>0</v>
      </c>
    </row>
    <row r="3546" spans="1:10" ht="15.75" hidden="1" thickBot="1" x14ac:dyDescent="0.3">
      <c r="A3546" s="176"/>
      <c r="B3546" s="174"/>
      <c r="C3546" s="35" t="s">
        <v>7987</v>
      </c>
      <c r="D3546" s="35" t="s">
        <v>773</v>
      </c>
      <c r="E3546" s="36">
        <v>4.5</v>
      </c>
      <c r="F3546" s="53">
        <v>1.8049999999999999</v>
      </c>
      <c r="G3546" s="53">
        <f>IF(ISNUMBER(F3546),E3546*F3546,"")</f>
        <v>8.1225000000000005</v>
      </c>
      <c r="H3546" s="72"/>
      <c r="I3546" s="73"/>
      <c r="J3546" s="152">
        <v>0</v>
      </c>
    </row>
    <row r="3547" spans="1:10" ht="15.75" hidden="1" thickBot="1" x14ac:dyDescent="0.3">
      <c r="A3547" s="176"/>
      <c r="B3547" s="174"/>
      <c r="C3547" s="35" t="s">
        <v>8367</v>
      </c>
      <c r="D3547" s="35" t="s">
        <v>773</v>
      </c>
      <c r="E3547" s="36">
        <v>0.3</v>
      </c>
      <c r="F3547" s="53">
        <v>3.4579999999999997</v>
      </c>
      <c r="G3547" s="53">
        <f>IF(ISNUMBER(F3547),E3547*F3547,"")</f>
        <v>1.0373999999999999</v>
      </c>
      <c r="H3547" s="72"/>
      <c r="I3547" s="73"/>
      <c r="J3547" s="152">
        <v>0</v>
      </c>
    </row>
    <row r="3548" spans="1:10" ht="15.75" hidden="1" thickBot="1" x14ac:dyDescent="0.3">
      <c r="A3548" s="177"/>
      <c r="B3548" s="175"/>
      <c r="C3548" s="35"/>
      <c r="D3548" s="35"/>
      <c r="E3548" s="36"/>
      <c r="F3548" s="53" t="s">
        <v>416</v>
      </c>
      <c r="G3548" s="53" t="str">
        <f>IF(ISNUMBER(F3548),E3548*F3548,"")</f>
        <v/>
      </c>
      <c r="H3548" s="72"/>
      <c r="I3548" s="73"/>
      <c r="J3548" s="152">
        <v>0</v>
      </c>
    </row>
    <row r="3549" spans="1:10" ht="15.75" hidden="1" thickBot="1" x14ac:dyDescent="0.3">
      <c r="A3549" s="170" t="s">
        <v>913</v>
      </c>
      <c r="B3549" s="173" t="str">
        <f>INDEX(Orçamentária!A:B,MATCH(Composições!A3549,Orçamentária!A:A,0),2)</f>
        <v>Instalação de placas de rocha ornamental reaproveitadas, por meio de argamassa e fixadores metálicos</v>
      </c>
      <c r="C3549" s="40"/>
      <c r="D3549" s="25" t="s">
        <v>70</v>
      </c>
      <c r="E3549" s="26"/>
      <c r="F3549" s="48" t="s">
        <v>416</v>
      </c>
      <c r="G3549" s="27" t="str">
        <f>IF(ISNUMBER(F3549),E3549*F3549,"")</f>
        <v/>
      </c>
      <c r="H3549" s="28"/>
      <c r="I3549" s="29"/>
      <c r="J3549" s="152">
        <v>0</v>
      </c>
    </row>
    <row r="3550" spans="1:10" ht="15.75" hidden="1" thickBot="1" x14ac:dyDescent="0.3">
      <c r="A3550" s="176"/>
      <c r="B3550" s="174"/>
      <c r="C3550" s="31"/>
      <c r="D3550" s="31"/>
      <c r="E3550" s="32"/>
      <c r="F3550" s="53" t="s">
        <v>416</v>
      </c>
      <c r="G3550" s="53" t="str">
        <f>IF(ISNUMBER(F3550),E3550*F3550,"")</f>
        <v/>
      </c>
      <c r="H3550" s="72"/>
      <c r="I3550" s="73"/>
      <c r="J3550" s="152">
        <v>0</v>
      </c>
    </row>
    <row r="3551" spans="1:10" ht="15.75" hidden="1" thickBot="1" x14ac:dyDescent="0.3">
      <c r="A3551" s="176"/>
      <c r="B3551" s="174"/>
      <c r="C3551" s="35" t="s">
        <v>2906</v>
      </c>
      <c r="D3551" s="35" t="s">
        <v>583</v>
      </c>
      <c r="E3551" s="36">
        <f>1.35</f>
        <v>1.35</v>
      </c>
      <c r="F3551" s="53">
        <v>27.036999999999999</v>
      </c>
      <c r="G3551" s="53">
        <f>IF(ISNUMBER(F3551),E3551*F3551,"")</f>
        <v>36.499949999999998</v>
      </c>
      <c r="H3551" s="38">
        <f>SUM(G3551:G3560)</f>
        <v>79.769821784793081</v>
      </c>
      <c r="I3551" s="39"/>
      <c r="J3551" s="152">
        <v>0</v>
      </c>
    </row>
    <row r="3552" spans="1:10" ht="15.75" hidden="1" thickBot="1" x14ac:dyDescent="0.3">
      <c r="A3552" s="176"/>
      <c r="B3552" s="174"/>
      <c r="C3552" s="35" t="s">
        <v>591</v>
      </c>
      <c r="D3552" s="35" t="s">
        <v>583</v>
      </c>
      <c r="E3552" s="36">
        <v>0.1</v>
      </c>
      <c r="F3552" s="53">
        <v>27.160499999999999</v>
      </c>
      <c r="G3552" s="53">
        <f>IF(ISNUMBER(F3552),E3552*F3552,"")</f>
        <v>2.7160500000000001</v>
      </c>
      <c r="H3552" s="72"/>
      <c r="I3552" s="73"/>
      <c r="J3552" s="152">
        <v>0</v>
      </c>
    </row>
    <row r="3553" spans="1:10" ht="15.75" hidden="1" thickBot="1" x14ac:dyDescent="0.3">
      <c r="A3553" s="176"/>
      <c r="B3553" s="174"/>
      <c r="C3553" s="35" t="s">
        <v>584</v>
      </c>
      <c r="D3553" s="35" t="s">
        <v>583</v>
      </c>
      <c r="E3553" s="36">
        <f>0.6+0.1+0.1</f>
        <v>0.79999999999999993</v>
      </c>
      <c r="F3553" s="53">
        <v>20.225499999999997</v>
      </c>
      <c r="G3553" s="53">
        <f>IF(ISNUMBER(F3553),E3553*F3553,"")</f>
        <v>16.180399999999995</v>
      </c>
      <c r="H3553" s="72"/>
      <c r="I3553" s="73"/>
      <c r="J3553" s="152">
        <v>0</v>
      </c>
    </row>
    <row r="3554" spans="1:10" ht="15.75" hidden="1" thickBot="1" x14ac:dyDescent="0.3">
      <c r="A3554" s="176"/>
      <c r="B3554" s="174"/>
      <c r="C3554" s="35" t="s">
        <v>7987</v>
      </c>
      <c r="D3554" s="35" t="s">
        <v>773</v>
      </c>
      <c r="E3554" s="36">
        <v>4.5</v>
      </c>
      <c r="F3554" s="53">
        <v>1.8049999999999999</v>
      </c>
      <c r="G3554" s="53">
        <f>IF(ISNUMBER(F3554),E3554*F3554,"")</f>
        <v>8.1225000000000005</v>
      </c>
      <c r="H3554" s="72"/>
      <c r="I3554" s="73"/>
      <c r="J3554" s="152">
        <v>0</v>
      </c>
    </row>
    <row r="3555" spans="1:10" ht="15.75" hidden="1" thickBot="1" x14ac:dyDescent="0.3">
      <c r="A3555" s="176"/>
      <c r="B3555" s="174"/>
      <c r="C3555" s="35" t="s">
        <v>8367</v>
      </c>
      <c r="D3555" s="35" t="s">
        <v>773</v>
      </c>
      <c r="E3555" s="36">
        <v>0.3</v>
      </c>
      <c r="F3555" s="53">
        <v>3.4579999999999997</v>
      </c>
      <c r="G3555" s="53">
        <f>IF(ISNUMBER(F3555),E3555*F3555,"")</f>
        <v>1.0373999999999999</v>
      </c>
      <c r="H3555" s="72"/>
      <c r="I3555" s="73"/>
      <c r="J3555" s="152">
        <v>0</v>
      </c>
    </row>
    <row r="3556" spans="1:10" ht="26.25" hidden="1" thickBot="1" x14ac:dyDescent="0.3">
      <c r="A3556" s="176"/>
      <c r="B3556" s="174"/>
      <c r="C3556" s="35" t="s">
        <v>903</v>
      </c>
      <c r="D3556" s="35" t="s">
        <v>213</v>
      </c>
      <c r="E3556" s="36">
        <f>2/(0.4*0.8)</f>
        <v>6.2499999999999991</v>
      </c>
      <c r="F3556" s="53">
        <v>2.4224999999999999</v>
      </c>
      <c r="G3556" s="53">
        <f>IF(ISNUMBER(F3556),E3556*F3556,"")</f>
        <v>15.140624999999996</v>
      </c>
      <c r="H3556" s="72"/>
      <c r="I3556" s="73"/>
      <c r="J3556" s="152">
        <v>0</v>
      </c>
    </row>
    <row r="3557" spans="1:10" ht="15.75" hidden="1" thickBot="1" x14ac:dyDescent="0.3">
      <c r="A3557" s="176"/>
      <c r="B3557" s="174"/>
      <c r="C3557" s="35" t="s">
        <v>893</v>
      </c>
      <c r="D3557" s="35" t="s">
        <v>107</v>
      </c>
      <c r="E3557" s="36">
        <f>(2/(0.4*0.8))*(0.016)*1.5</f>
        <v>0.15</v>
      </c>
      <c r="F3557" s="53">
        <v>0</v>
      </c>
      <c r="G3557" s="53">
        <f>IF(ISNUMBER(F3557),E3557*F3557,"")</f>
        <v>0</v>
      </c>
      <c r="H3557" s="72"/>
      <c r="I3557" s="73"/>
      <c r="J3557" s="152">
        <v>0</v>
      </c>
    </row>
    <row r="3558" spans="1:10" ht="15.75" hidden="1" thickBot="1" x14ac:dyDescent="0.3">
      <c r="A3558" s="176"/>
      <c r="B3558" s="174"/>
      <c r="C3558" s="35" t="s">
        <v>894</v>
      </c>
      <c r="D3558" s="35" t="s">
        <v>895</v>
      </c>
      <c r="E3558" s="36">
        <f>(2/(0.4*0.8))*0.1*1.5</f>
        <v>0.9375</v>
      </c>
      <c r="F3558" s="53">
        <v>0</v>
      </c>
      <c r="G3558" s="53">
        <f>IF(ISNUMBER(F3558),E3558*F3558,"")</f>
        <v>0</v>
      </c>
      <c r="H3558" s="72"/>
      <c r="I3558" s="73"/>
      <c r="J3558" s="152">
        <v>0</v>
      </c>
    </row>
    <row r="3559" spans="1:10" ht="15.75" hidden="1" thickBot="1" x14ac:dyDescent="0.3">
      <c r="A3559" s="176"/>
      <c r="B3559" s="174"/>
      <c r="C3559" s="35" t="s">
        <v>904</v>
      </c>
      <c r="D3559" s="35" t="s">
        <v>107</v>
      </c>
      <c r="E3559" s="36">
        <f>2/(0.4*0.8)</f>
        <v>6.2499999999999991</v>
      </c>
      <c r="F3559" s="53" t="s">
        <v>416</v>
      </c>
      <c r="G3559" s="53" t="str">
        <f>IF(ISNUMBER(F3559),E3559*F3559,"")</f>
        <v/>
      </c>
      <c r="H3559" s="72"/>
      <c r="I3559" s="73"/>
      <c r="J3559" s="152">
        <v>0</v>
      </c>
    </row>
    <row r="3560" spans="1:10" ht="39" hidden="1" thickBot="1" x14ac:dyDescent="0.3">
      <c r="A3560" s="176"/>
      <c r="B3560" s="174"/>
      <c r="C3560" s="35" t="s">
        <v>896</v>
      </c>
      <c r="D3560" s="35" t="s">
        <v>80</v>
      </c>
      <c r="E3560" s="36">
        <v>1E-4</v>
      </c>
      <c r="F3560" s="53">
        <v>728.96784793074005</v>
      </c>
      <c r="G3560" s="53">
        <f>IF(ISNUMBER(F3560),E3560*F3560,"")</f>
        <v>7.2896784793074001E-2</v>
      </c>
      <c r="H3560" s="72"/>
      <c r="I3560" s="73"/>
      <c r="J3560" s="152">
        <v>0</v>
      </c>
    </row>
    <row r="3561" spans="1:10" ht="15.75" hidden="1" thickBot="1" x14ac:dyDescent="0.3">
      <c r="A3561" s="176"/>
      <c r="B3561" s="174"/>
      <c r="C3561" s="35"/>
      <c r="D3561" s="35"/>
      <c r="E3561" s="36"/>
      <c r="F3561" s="53" t="s">
        <v>416</v>
      </c>
      <c r="G3561" s="53" t="str">
        <f>IF(ISNUMBER(F3561),E3561*F3561,"")</f>
        <v/>
      </c>
      <c r="H3561" s="72"/>
      <c r="I3561" s="73"/>
      <c r="J3561" s="152">
        <v>0</v>
      </c>
    </row>
    <row r="3562" spans="1:10" ht="15.75" hidden="1" thickBot="1" x14ac:dyDescent="0.3">
      <c r="A3562" s="176"/>
      <c r="B3562" s="174"/>
      <c r="C3562" s="149" t="s">
        <v>905</v>
      </c>
      <c r="D3562" s="35"/>
      <c r="E3562" s="36"/>
      <c r="F3562" s="53" t="s">
        <v>416</v>
      </c>
      <c r="G3562" s="53" t="str">
        <f>IF(ISNUMBER(F3562),E3562*F3562,"")</f>
        <v/>
      </c>
      <c r="H3562" s="72"/>
      <c r="I3562" s="73"/>
      <c r="J3562" s="152">
        <v>0</v>
      </c>
    </row>
    <row r="3563" spans="1:10" ht="26.25" hidden="1" thickBot="1" x14ac:dyDescent="0.3">
      <c r="A3563" s="176"/>
      <c r="B3563" s="174"/>
      <c r="C3563" s="149" t="s">
        <v>906</v>
      </c>
      <c r="D3563" s="35"/>
      <c r="E3563" s="36"/>
      <c r="F3563" s="53" t="s">
        <v>416</v>
      </c>
      <c r="G3563" s="53" t="str">
        <f>IF(ISNUMBER(F3563),E3563*F3563,"")</f>
        <v/>
      </c>
      <c r="H3563" s="72"/>
      <c r="I3563" s="73"/>
      <c r="J3563" s="152">
        <v>0</v>
      </c>
    </row>
    <row r="3564" spans="1:10" ht="15.75" hidden="1" thickBot="1" x14ac:dyDescent="0.3">
      <c r="A3564" s="177"/>
      <c r="B3564" s="175"/>
      <c r="C3564" s="35"/>
      <c r="D3564" s="35"/>
      <c r="E3564" s="36"/>
      <c r="F3564" s="53" t="s">
        <v>416</v>
      </c>
      <c r="G3564" s="53" t="str">
        <f>IF(ISNUMBER(F3564),E3564*F3564,"")</f>
        <v/>
      </c>
      <c r="H3564" s="72"/>
      <c r="I3564" s="73"/>
      <c r="J3564" s="152">
        <v>0</v>
      </c>
    </row>
    <row r="3565" spans="1:10" ht="15.75" hidden="1" thickBot="1" x14ac:dyDescent="0.3">
      <c r="A3565" s="170" t="s">
        <v>914</v>
      </c>
      <c r="B3565" s="173" t="str">
        <f>INDEX(Orçamentária!A:B,MATCH(Composições!A3565,Orçamentária!A:A,0),2)</f>
        <v>Aplicação de hidrofugante à base de silano e silicone</v>
      </c>
      <c r="C3565" s="40"/>
      <c r="D3565" s="25" t="s">
        <v>70</v>
      </c>
      <c r="E3565" s="26"/>
      <c r="F3565" s="48" t="s">
        <v>416</v>
      </c>
      <c r="G3565" s="27" t="str">
        <f>IF(ISNUMBER(F3565),E3565*F3565,"")</f>
        <v/>
      </c>
      <c r="H3565" s="28"/>
      <c r="I3565" s="29"/>
      <c r="J3565" s="152">
        <v>0</v>
      </c>
    </row>
    <row r="3566" spans="1:10" ht="15.75" hidden="1" thickBot="1" x14ac:dyDescent="0.3">
      <c r="A3566" s="171"/>
      <c r="B3566" s="174"/>
      <c r="C3566" s="31"/>
      <c r="D3566" s="31"/>
      <c r="E3566" s="32"/>
      <c r="F3566" s="53" t="s">
        <v>416</v>
      </c>
      <c r="G3566" s="53" t="str">
        <f>IF(ISNUMBER(F3566),E3566*F3566,"")</f>
        <v/>
      </c>
      <c r="H3566" s="72"/>
      <c r="I3566" s="73"/>
      <c r="J3566" s="152">
        <v>0</v>
      </c>
    </row>
    <row r="3567" spans="1:10" ht="15.75" hidden="1" thickBot="1" x14ac:dyDescent="0.3">
      <c r="A3567" s="171"/>
      <c r="B3567" s="174"/>
      <c r="C3567" s="35" t="s">
        <v>956</v>
      </c>
      <c r="D3567" s="35" t="s">
        <v>583</v>
      </c>
      <c r="E3567" s="36">
        <v>0.4</v>
      </c>
      <c r="F3567" s="53">
        <v>28.6615</v>
      </c>
      <c r="G3567" s="53">
        <f>IF(ISNUMBER(F3567),E3567*F3567,"")</f>
        <v>11.464600000000001</v>
      </c>
      <c r="H3567" s="38">
        <f>SUM(G3567:G3569)</f>
        <v>13.769300000000001</v>
      </c>
      <c r="I3567" s="39"/>
      <c r="J3567" s="152">
        <v>0</v>
      </c>
    </row>
    <row r="3568" spans="1:10" ht="15.75" hidden="1" thickBot="1" x14ac:dyDescent="0.3">
      <c r="A3568" s="171"/>
      <c r="B3568" s="174"/>
      <c r="C3568" s="35" t="s">
        <v>2919</v>
      </c>
      <c r="D3568" s="35" t="s">
        <v>583</v>
      </c>
      <c r="E3568" s="36">
        <v>0.1</v>
      </c>
      <c r="F3568" s="53">
        <v>23.047000000000001</v>
      </c>
      <c r="G3568" s="53">
        <f>IF(ISNUMBER(F3568),E3568*F3568,"")</f>
        <v>2.3047</v>
      </c>
      <c r="H3568" s="72"/>
      <c r="I3568" s="73"/>
      <c r="J3568" s="152">
        <v>0</v>
      </c>
    </row>
    <row r="3569" spans="1:10" ht="15.75" hidden="1" thickBot="1" x14ac:dyDescent="0.3">
      <c r="A3569" s="171"/>
      <c r="B3569" s="174"/>
      <c r="C3569" s="35" t="s">
        <v>915</v>
      </c>
      <c r="D3569" s="49" t="s">
        <v>75</v>
      </c>
      <c r="E3569" s="36">
        <v>0.33</v>
      </c>
      <c r="F3569" s="53">
        <v>0</v>
      </c>
      <c r="G3569" s="53">
        <f>IF(ISNUMBER(F3569),E3569*F3569,"")</f>
        <v>0</v>
      </c>
      <c r="H3569" s="72"/>
      <c r="I3569" s="73"/>
      <c r="J3569" s="152">
        <v>0</v>
      </c>
    </row>
    <row r="3570" spans="1:10" ht="15.75" hidden="1" thickBot="1" x14ac:dyDescent="0.3">
      <c r="A3570" s="172"/>
      <c r="B3570" s="175"/>
      <c r="C3570" s="35"/>
      <c r="D3570" s="35"/>
      <c r="E3570" s="36"/>
      <c r="F3570" s="53" t="s">
        <v>416</v>
      </c>
      <c r="G3570" s="53" t="str">
        <f>IF(ISNUMBER(F3570),E3570*F3570,"")</f>
        <v/>
      </c>
      <c r="H3570" s="72"/>
      <c r="I3570" s="73"/>
      <c r="J3570" s="152">
        <v>0</v>
      </c>
    </row>
    <row r="3571" spans="1:10" ht="15.75" hidden="1" thickBot="1" x14ac:dyDescent="0.3">
      <c r="A3571" s="170" t="s">
        <v>916</v>
      </c>
      <c r="B3571" s="173" t="str">
        <f>INDEX(Orçamentária!A:B,MATCH(Composições!A3571,Orçamentária!A:A,0),2)</f>
        <v>Cantoneira em alumínio abas iguais 1" x 1/8" – Pingadeira “L”</v>
      </c>
      <c r="C3571" s="40"/>
      <c r="D3571" s="25" t="s">
        <v>69</v>
      </c>
      <c r="E3571" s="26"/>
      <c r="F3571" s="48" t="s">
        <v>416</v>
      </c>
      <c r="G3571" s="27" t="str">
        <f>IF(ISNUMBER(F3571),E3571*F3571,"")</f>
        <v/>
      </c>
      <c r="H3571" s="28"/>
      <c r="I3571" s="29"/>
      <c r="J3571" s="152">
        <v>0</v>
      </c>
    </row>
    <row r="3572" spans="1:10" ht="15.75" hidden="1" thickBot="1" x14ac:dyDescent="0.3">
      <c r="A3572" s="171"/>
      <c r="B3572" s="174"/>
      <c r="C3572" s="31"/>
      <c r="D3572" s="31"/>
      <c r="E3572" s="32"/>
      <c r="F3572" s="53" t="s">
        <v>416</v>
      </c>
      <c r="G3572" s="53" t="str">
        <f>IF(ISNUMBER(F3572),E3572*F3572,"")</f>
        <v/>
      </c>
      <c r="H3572" s="72"/>
      <c r="I3572" s="73"/>
      <c r="J3572" s="152">
        <v>0</v>
      </c>
    </row>
    <row r="3573" spans="1:10" ht="15.75" hidden="1" thickBot="1" x14ac:dyDescent="0.3">
      <c r="A3573" s="171"/>
      <c r="B3573" s="174"/>
      <c r="C3573" s="35" t="s">
        <v>2906</v>
      </c>
      <c r="D3573" s="35" t="s">
        <v>583</v>
      </c>
      <c r="E3573" s="36">
        <v>0.6</v>
      </c>
      <c r="F3573" s="53">
        <v>27.036999999999999</v>
      </c>
      <c r="G3573" s="53">
        <f>IF(ISNUMBER(F3573),E3573*F3573,"")</f>
        <v>16.222199999999997</v>
      </c>
      <c r="H3573" s="38">
        <f>SUM(G3573:G3575)</f>
        <v>24.312399999999997</v>
      </c>
      <c r="I3573" s="39"/>
      <c r="J3573" s="152">
        <v>0</v>
      </c>
    </row>
    <row r="3574" spans="1:10" ht="15.75" hidden="1" thickBot="1" x14ac:dyDescent="0.3">
      <c r="A3574" s="171"/>
      <c r="B3574" s="174"/>
      <c r="C3574" s="35" t="s">
        <v>584</v>
      </c>
      <c r="D3574" s="35" t="s">
        <v>583</v>
      </c>
      <c r="E3574" s="36">
        <v>0.4</v>
      </c>
      <c r="F3574" s="53">
        <v>20.225499999999997</v>
      </c>
      <c r="G3574" s="53">
        <f>IF(ISNUMBER(F3574),E3574*F3574,"")</f>
        <v>8.0901999999999994</v>
      </c>
      <c r="H3574" s="72"/>
      <c r="I3574" s="73"/>
      <c r="J3574" s="152">
        <v>0</v>
      </c>
    </row>
    <row r="3575" spans="1:10" ht="26.25" hidden="1" thickBot="1" x14ac:dyDescent="0.3">
      <c r="A3575" s="171"/>
      <c r="B3575" s="174"/>
      <c r="C3575" s="35" t="s">
        <v>917</v>
      </c>
      <c r="D3575" s="46" t="s">
        <v>69</v>
      </c>
      <c r="E3575" s="36">
        <v>1</v>
      </c>
      <c r="F3575" s="53" t="s">
        <v>416</v>
      </c>
      <c r="G3575" s="53" t="str">
        <f>IF(ISNUMBER(F3575),E3575*F3575,"")</f>
        <v/>
      </c>
      <c r="H3575" s="72"/>
      <c r="I3575" s="73"/>
      <c r="J3575" s="152">
        <v>0</v>
      </c>
    </row>
    <row r="3576" spans="1:10" ht="15.75" hidden="1" thickBot="1" x14ac:dyDescent="0.3">
      <c r="A3576" s="172"/>
      <c r="B3576" s="175"/>
      <c r="C3576" s="35"/>
      <c r="D3576" s="35"/>
      <c r="E3576" s="36"/>
      <c r="F3576" s="53" t="s">
        <v>416</v>
      </c>
      <c r="G3576" s="53" t="str">
        <f>IF(ISNUMBER(F3576),E3576*F3576,"")</f>
        <v/>
      </c>
      <c r="H3576" s="72"/>
      <c r="I3576" s="73"/>
      <c r="J3576" s="152">
        <v>0</v>
      </c>
    </row>
    <row r="3577" spans="1:10" ht="15.75" hidden="1" thickBot="1" x14ac:dyDescent="0.3">
      <c r="A3577" s="170" t="s">
        <v>918</v>
      </c>
      <c r="B3577" s="173" t="str">
        <f>INDEX(Orçamentária!A:B,MATCH(Composições!A3577,Orçamentária!A:A,0),2)</f>
        <v>Granito Amarelo Maracujá para rodapé</v>
      </c>
      <c r="C3577" s="40"/>
      <c r="D3577" s="25" t="s">
        <v>70</v>
      </c>
      <c r="E3577" s="26"/>
      <c r="F3577" s="48" t="s">
        <v>416</v>
      </c>
      <c r="G3577" s="27" t="str">
        <f>IF(ISNUMBER(F3577),E3577*F3577,"")</f>
        <v/>
      </c>
      <c r="H3577" s="28"/>
      <c r="I3577" s="29"/>
      <c r="J3577" s="152">
        <v>0</v>
      </c>
    </row>
    <row r="3578" spans="1:10" ht="15.75" hidden="1" thickBot="1" x14ac:dyDescent="0.3">
      <c r="A3578" s="171"/>
      <c r="B3578" s="174"/>
      <c r="C3578" s="31"/>
      <c r="D3578" s="31"/>
      <c r="E3578" s="32"/>
      <c r="F3578" s="53" t="s">
        <v>416</v>
      </c>
      <c r="G3578" s="53" t="str">
        <f>IF(ISNUMBER(F3578),E3578*F3578,"")</f>
        <v/>
      </c>
      <c r="H3578" s="72"/>
      <c r="I3578" s="73"/>
      <c r="J3578" s="152">
        <v>0</v>
      </c>
    </row>
    <row r="3579" spans="1:10" ht="15.75" hidden="1" thickBot="1" x14ac:dyDescent="0.3">
      <c r="A3579" s="171"/>
      <c r="B3579" s="174"/>
      <c r="C3579" s="35" t="s">
        <v>919</v>
      </c>
      <c r="D3579" s="35" t="s">
        <v>70</v>
      </c>
      <c r="E3579" s="36">
        <v>1.05</v>
      </c>
      <c r="F3579" s="53" t="s">
        <v>416</v>
      </c>
      <c r="G3579" s="53" t="str">
        <f>IF(ISNUMBER(F3579),E3579*F3579,"")</f>
        <v/>
      </c>
      <c r="H3579" s="38">
        <f>SUM(G3579:G3583)</f>
        <v>130.87674999999999</v>
      </c>
      <c r="I3579" s="39"/>
      <c r="J3579" s="152">
        <v>0</v>
      </c>
    </row>
    <row r="3580" spans="1:10" ht="15.75" hidden="1" thickBot="1" x14ac:dyDescent="0.3">
      <c r="A3580" s="171"/>
      <c r="B3580" s="174"/>
      <c r="C3580" s="35" t="s">
        <v>7987</v>
      </c>
      <c r="D3580" s="35" t="s">
        <v>773</v>
      </c>
      <c r="E3580" s="36">
        <f>0.8614/0.1</f>
        <v>8.6140000000000008</v>
      </c>
      <c r="F3580" s="53">
        <v>1.8049999999999999</v>
      </c>
      <c r="G3580" s="53">
        <f>IF(ISNUMBER(F3580),E3580*F3580,"")</f>
        <v>15.54827</v>
      </c>
      <c r="H3580" s="72"/>
      <c r="I3580" s="73"/>
      <c r="J3580" s="152">
        <v>0</v>
      </c>
    </row>
    <row r="3581" spans="1:10" ht="15.75" hidden="1" thickBot="1" x14ac:dyDescent="0.3">
      <c r="A3581" s="171"/>
      <c r="B3581" s="174"/>
      <c r="C3581" s="35" t="s">
        <v>2906</v>
      </c>
      <c r="D3581" s="35" t="s">
        <v>583</v>
      </c>
      <c r="E3581" s="36">
        <f>0.299/0.1</f>
        <v>2.9899999999999998</v>
      </c>
      <c r="F3581" s="53">
        <v>27.036999999999999</v>
      </c>
      <c r="G3581" s="53">
        <f>IF(ISNUMBER(F3581),E3581*F3581,"")</f>
        <v>80.84062999999999</v>
      </c>
      <c r="H3581" s="72"/>
      <c r="I3581" s="73"/>
      <c r="J3581" s="152">
        <v>0</v>
      </c>
    </row>
    <row r="3582" spans="1:10" ht="15.75" hidden="1" thickBot="1" x14ac:dyDescent="0.3">
      <c r="A3582" s="171"/>
      <c r="B3582" s="174"/>
      <c r="C3582" s="35" t="s">
        <v>584</v>
      </c>
      <c r="D3582" s="35" t="s">
        <v>583</v>
      </c>
      <c r="E3582" s="36">
        <f>0.15/0.1</f>
        <v>1.4999999999999998</v>
      </c>
      <c r="F3582" s="53">
        <v>20.225499999999997</v>
      </c>
      <c r="G3582" s="53">
        <f>IF(ISNUMBER(F3582),E3582*F3582,"")</f>
        <v>30.338249999999992</v>
      </c>
      <c r="H3582" s="72"/>
      <c r="I3582" s="73"/>
      <c r="J3582" s="152">
        <v>0</v>
      </c>
    </row>
    <row r="3583" spans="1:10" ht="15.75" hidden="1" thickBot="1" x14ac:dyDescent="0.3">
      <c r="A3583" s="171"/>
      <c r="B3583" s="174"/>
      <c r="C3583" s="35" t="s">
        <v>8367</v>
      </c>
      <c r="D3583" s="35" t="s">
        <v>773</v>
      </c>
      <c r="E3583" s="36">
        <f>0.12/0.1</f>
        <v>1.2</v>
      </c>
      <c r="F3583" s="53">
        <v>3.4579999999999997</v>
      </c>
      <c r="G3583" s="53">
        <f>IF(ISNUMBER(F3583),E3583*F3583,"")</f>
        <v>4.1495999999999995</v>
      </c>
      <c r="H3583" s="72"/>
      <c r="I3583" s="73"/>
      <c r="J3583" s="152">
        <v>0</v>
      </c>
    </row>
    <row r="3584" spans="1:10" ht="15.75" hidden="1" thickBot="1" x14ac:dyDescent="0.3">
      <c r="A3584" s="171"/>
      <c r="B3584" s="174"/>
      <c r="C3584" s="35"/>
      <c r="D3584" s="35"/>
      <c r="E3584" s="36"/>
      <c r="F3584" s="53" t="s">
        <v>416</v>
      </c>
      <c r="G3584" s="53" t="str">
        <f>IF(ISNUMBER(F3584),E3584*F3584,"")</f>
        <v/>
      </c>
      <c r="H3584" s="72"/>
      <c r="I3584" s="73"/>
      <c r="J3584" s="152">
        <v>0</v>
      </c>
    </row>
    <row r="3585" spans="1:10" ht="15.75" hidden="1" thickBot="1" x14ac:dyDescent="0.3">
      <c r="A3585" s="170" t="s">
        <v>920</v>
      </c>
      <c r="B3585" s="173" t="str">
        <f>INDEX(Orçamentária!A:B,MATCH(Composições!A3585,Orçamentária!A:A,0),2)</f>
        <v>Acabamento das extremidades aparentes dos parafusos de fixação (lixamento e revestimento)</v>
      </c>
      <c r="C3585" s="40"/>
      <c r="D3585" s="25" t="s">
        <v>16</v>
      </c>
      <c r="E3585" s="26"/>
      <c r="F3585" s="48" t="s">
        <v>416</v>
      </c>
      <c r="G3585" s="27" t="str">
        <f>IF(ISNUMBER(F3585),E3585*F3585,"")</f>
        <v/>
      </c>
      <c r="H3585" s="28"/>
      <c r="I3585" s="29"/>
      <c r="J3585" s="152">
        <v>0</v>
      </c>
    </row>
    <row r="3586" spans="1:10" ht="15.75" hidden="1" thickBot="1" x14ac:dyDescent="0.3">
      <c r="A3586" s="171"/>
      <c r="B3586" s="174"/>
      <c r="C3586" s="31"/>
      <c r="D3586" s="31"/>
      <c r="E3586" s="32"/>
      <c r="F3586" s="53" t="s">
        <v>416</v>
      </c>
      <c r="G3586" s="53" t="str">
        <f>IF(ISNUMBER(F3586),E3586*F3586,"")</f>
        <v/>
      </c>
      <c r="H3586" s="72"/>
      <c r="I3586" s="73"/>
      <c r="J3586" s="152">
        <v>0</v>
      </c>
    </row>
    <row r="3587" spans="1:10" ht="15.75" hidden="1" thickBot="1" x14ac:dyDescent="0.3">
      <c r="A3587" s="171"/>
      <c r="B3587" s="174"/>
      <c r="C3587" s="35" t="s">
        <v>584</v>
      </c>
      <c r="D3587" s="35" t="s">
        <v>583</v>
      </c>
      <c r="E3587" s="36">
        <v>0.05</v>
      </c>
      <c r="F3587" s="53">
        <v>20.225499999999997</v>
      </c>
      <c r="G3587" s="53">
        <f>IF(ISNUMBER(F3587),E3587*F3587,"")</f>
        <v>1.0112749999999999</v>
      </c>
      <c r="H3587" s="38">
        <f>SUM(G3587:G3590)</f>
        <v>1.184175</v>
      </c>
      <c r="I3587" s="39"/>
      <c r="J3587" s="152">
        <v>0</v>
      </c>
    </row>
    <row r="3588" spans="1:10" ht="15.75" hidden="1" thickBot="1" x14ac:dyDescent="0.3">
      <c r="A3588" s="171"/>
      <c r="B3588" s="174"/>
      <c r="C3588" s="35" t="s">
        <v>921</v>
      </c>
      <c r="D3588" s="35" t="s">
        <v>922</v>
      </c>
      <c r="E3588" s="36">
        <f>0.25/10</f>
        <v>2.5000000000000001E-2</v>
      </c>
      <c r="F3588" s="53">
        <v>0</v>
      </c>
      <c r="G3588" s="53">
        <f>IF(ISNUMBER(F3588),E3588*F3588,"")</f>
        <v>0</v>
      </c>
      <c r="H3588" s="72"/>
      <c r="I3588" s="73"/>
      <c r="J3588" s="152">
        <v>0</v>
      </c>
    </row>
    <row r="3589" spans="1:10" ht="15.75" hidden="1" thickBot="1" x14ac:dyDescent="0.3">
      <c r="A3589" s="171"/>
      <c r="B3589" s="174"/>
      <c r="C3589" s="35" t="s">
        <v>923</v>
      </c>
      <c r="D3589" s="35" t="s">
        <v>16</v>
      </c>
      <c r="E3589" s="36">
        <v>0.25</v>
      </c>
      <c r="F3589" s="53" t="s">
        <v>416</v>
      </c>
      <c r="G3589" s="53" t="str">
        <f>IF(ISNUMBER(F3589),E3589*F3589,"")</f>
        <v/>
      </c>
      <c r="H3589" s="72"/>
      <c r="I3589" s="73"/>
      <c r="J3589" s="152">
        <v>0</v>
      </c>
    </row>
    <row r="3590" spans="1:10" ht="15.75" hidden="1" thickBot="1" x14ac:dyDescent="0.3">
      <c r="A3590" s="171"/>
      <c r="B3590" s="174"/>
      <c r="C3590" s="35" t="s">
        <v>8367</v>
      </c>
      <c r="D3590" s="35" t="s">
        <v>773</v>
      </c>
      <c r="E3590" s="36">
        <v>0.05</v>
      </c>
      <c r="F3590" s="53">
        <v>3.4579999999999997</v>
      </c>
      <c r="G3590" s="53">
        <f>IF(ISNUMBER(F3590),E3590*F3590,"")</f>
        <v>0.1729</v>
      </c>
      <c r="H3590" s="72"/>
      <c r="I3590" s="73"/>
      <c r="J3590" s="152">
        <v>0</v>
      </c>
    </row>
    <row r="3591" spans="1:10" ht="15.75" hidden="1" thickBot="1" x14ac:dyDescent="0.3">
      <c r="A3591" s="172"/>
      <c r="B3591" s="175"/>
      <c r="C3591" s="35"/>
      <c r="D3591" s="35"/>
      <c r="E3591" s="36"/>
      <c r="F3591" s="53" t="s">
        <v>416</v>
      </c>
      <c r="G3591" s="53" t="str">
        <f>IF(ISNUMBER(F3591),E3591*F3591,"")</f>
        <v/>
      </c>
      <c r="H3591" s="72"/>
      <c r="I3591" s="73"/>
      <c r="J3591" s="152">
        <v>0</v>
      </c>
    </row>
    <row r="3592" spans="1:10" ht="15.75" hidden="1" thickBot="1" x14ac:dyDescent="0.3">
      <c r="A3592" s="170" t="s">
        <v>924</v>
      </c>
      <c r="B3592" s="173" t="str">
        <f>INDEX(Orçamentária!A:B,MATCH(Composições!A3592,Orçamentária!A:A,0),2)</f>
        <v>Rejuntamento de placas de rocha ornamental em fachada</v>
      </c>
      <c r="C3592" s="40"/>
      <c r="D3592" s="25" t="s">
        <v>70</v>
      </c>
      <c r="E3592" s="26"/>
      <c r="F3592" s="48" t="s">
        <v>416</v>
      </c>
      <c r="G3592" s="27" t="str">
        <f>IF(ISNUMBER(F3592),E3592*F3592,"")</f>
        <v/>
      </c>
      <c r="H3592" s="28"/>
      <c r="I3592" s="29"/>
      <c r="J3592" s="152">
        <v>0</v>
      </c>
    </row>
    <row r="3593" spans="1:10" ht="15.75" hidden="1" thickBot="1" x14ac:dyDescent="0.3">
      <c r="A3593" s="171"/>
      <c r="B3593" s="174"/>
      <c r="C3593" s="31"/>
      <c r="D3593" s="31"/>
      <c r="E3593" s="32"/>
      <c r="F3593" s="53" t="s">
        <v>416</v>
      </c>
      <c r="G3593" s="53" t="str">
        <f>IF(ISNUMBER(F3593),E3593*F3593,"")</f>
        <v/>
      </c>
      <c r="H3593" s="72"/>
      <c r="I3593" s="73"/>
      <c r="J3593" s="152">
        <v>0</v>
      </c>
    </row>
    <row r="3594" spans="1:10" ht="15.75" hidden="1" thickBot="1" x14ac:dyDescent="0.3">
      <c r="A3594" s="171"/>
      <c r="B3594" s="174"/>
      <c r="C3594" s="35" t="s">
        <v>584</v>
      </c>
      <c r="D3594" s="35" t="s">
        <v>583</v>
      </c>
      <c r="E3594" s="36">
        <v>0.25</v>
      </c>
      <c r="F3594" s="53">
        <v>20.225499999999997</v>
      </c>
      <c r="G3594" s="53">
        <f>IF(ISNUMBER(F3594),E3594*F3594,"")</f>
        <v>5.0563749999999992</v>
      </c>
      <c r="H3594" s="38">
        <f>SUM(G3594:G3595)</f>
        <v>6.8856569999999993</v>
      </c>
      <c r="I3594" s="39"/>
      <c r="J3594" s="152">
        <v>0</v>
      </c>
    </row>
    <row r="3595" spans="1:10" ht="15.75" hidden="1" thickBot="1" x14ac:dyDescent="0.3">
      <c r="A3595" s="171"/>
      <c r="B3595" s="174"/>
      <c r="C3595" s="35" t="s">
        <v>8367</v>
      </c>
      <c r="D3595" s="35" t="s">
        <v>773</v>
      </c>
      <c r="E3595" s="36">
        <v>0.52900000000000003</v>
      </c>
      <c r="F3595" s="53">
        <v>3.4579999999999997</v>
      </c>
      <c r="G3595" s="53">
        <f>IF(ISNUMBER(F3595),E3595*F3595,"")</f>
        <v>1.8292819999999999</v>
      </c>
      <c r="H3595" s="72"/>
      <c r="I3595" s="73"/>
      <c r="J3595" s="152">
        <v>0</v>
      </c>
    </row>
    <row r="3596" spans="1:10" ht="15.75" hidden="1" thickBot="1" x14ac:dyDescent="0.3">
      <c r="A3596" s="172"/>
      <c r="B3596" s="175"/>
      <c r="C3596" s="35"/>
      <c r="D3596" s="35"/>
      <c r="E3596" s="36"/>
      <c r="F3596" s="53" t="s">
        <v>416</v>
      </c>
      <c r="G3596" s="53" t="str">
        <f>IF(ISNUMBER(F3596),E3596*F3596,"")</f>
        <v/>
      </c>
      <c r="H3596" s="72"/>
      <c r="I3596" s="73"/>
      <c r="J3596" s="152">
        <v>0</v>
      </c>
    </row>
    <row r="3597" spans="1:10" ht="15.75" hidden="1" thickBot="1" x14ac:dyDescent="0.3">
      <c r="A3597" s="170" t="s">
        <v>925</v>
      </c>
      <c r="B3597" s="173" t="str">
        <f>INDEX(Orçamentária!A:B,MATCH(Composições!A3597,Orçamentária!A:A,0),2)</f>
        <v>Junta de movimentação em fachada</v>
      </c>
      <c r="C3597" s="40"/>
      <c r="D3597" s="25" t="s">
        <v>69</v>
      </c>
      <c r="E3597" s="26"/>
      <c r="F3597" s="48" t="s">
        <v>416</v>
      </c>
      <c r="G3597" s="27" t="str">
        <f>IF(ISNUMBER(F3597),E3597*F3597,"")</f>
        <v/>
      </c>
      <c r="H3597" s="28"/>
      <c r="I3597" s="29"/>
      <c r="J3597" s="152">
        <v>0</v>
      </c>
    </row>
    <row r="3598" spans="1:10" ht="15.75" hidden="1" thickBot="1" x14ac:dyDescent="0.3">
      <c r="A3598" s="171"/>
      <c r="B3598" s="174"/>
      <c r="C3598" s="31"/>
      <c r="D3598" s="31"/>
      <c r="E3598" s="32"/>
      <c r="F3598" s="53" t="s">
        <v>416</v>
      </c>
      <c r="G3598" s="53" t="str">
        <f>IF(ISNUMBER(F3598),E3598*F3598,"")</f>
        <v/>
      </c>
      <c r="H3598" s="72"/>
      <c r="I3598" s="73"/>
      <c r="J3598" s="152">
        <v>0</v>
      </c>
    </row>
    <row r="3599" spans="1:10" ht="15.75" hidden="1" thickBot="1" x14ac:dyDescent="0.3">
      <c r="A3599" s="171"/>
      <c r="B3599" s="174"/>
      <c r="C3599" s="35" t="s">
        <v>591</v>
      </c>
      <c r="D3599" s="35" t="s">
        <v>583</v>
      </c>
      <c r="E3599" s="36">
        <v>0.33</v>
      </c>
      <c r="F3599" s="53">
        <v>27.160499999999999</v>
      </c>
      <c r="G3599" s="53">
        <f>IF(ISNUMBER(F3599),E3599*F3599,"")</f>
        <v>8.9629650000000005</v>
      </c>
      <c r="H3599" s="38">
        <f>SUM(G3599:G3603)</f>
        <v>31.215534149999996</v>
      </c>
      <c r="I3599" s="39"/>
      <c r="J3599" s="152">
        <v>0</v>
      </c>
    </row>
    <row r="3600" spans="1:10" ht="15.75" hidden="1" thickBot="1" x14ac:dyDescent="0.3">
      <c r="A3600" s="171"/>
      <c r="B3600" s="174"/>
      <c r="C3600" s="35" t="s">
        <v>584</v>
      </c>
      <c r="D3600" s="35" t="s">
        <v>583</v>
      </c>
      <c r="E3600" s="36">
        <v>0.1</v>
      </c>
      <c r="F3600" s="53">
        <v>20.225499999999997</v>
      </c>
      <c r="G3600" s="53">
        <f>IF(ISNUMBER(F3600),E3600*F3600,"")</f>
        <v>2.0225499999999998</v>
      </c>
      <c r="H3600" s="72"/>
      <c r="I3600" s="73"/>
      <c r="J3600" s="152">
        <v>0</v>
      </c>
    </row>
    <row r="3601" spans="1:10" ht="15.75" hidden="1" thickBot="1" x14ac:dyDescent="0.3">
      <c r="A3601" s="171"/>
      <c r="B3601" s="174"/>
      <c r="C3601" s="35" t="s">
        <v>926</v>
      </c>
      <c r="D3601" s="49" t="s">
        <v>75</v>
      </c>
      <c r="E3601" s="36">
        <v>0.15</v>
      </c>
      <c r="F3601" s="53">
        <v>0.95</v>
      </c>
      <c r="G3601" s="53">
        <f>IF(ISNUMBER(F3601),E3601*F3601,"")</f>
        <v>0.14249999999999999</v>
      </c>
      <c r="H3601" s="72"/>
      <c r="I3601" s="73"/>
      <c r="J3601" s="152">
        <v>0</v>
      </c>
    </row>
    <row r="3602" spans="1:10" ht="15.75" hidden="1" thickBot="1" x14ac:dyDescent="0.3">
      <c r="A3602" s="171"/>
      <c r="B3602" s="174"/>
      <c r="C3602" s="35" t="s">
        <v>927</v>
      </c>
      <c r="D3602" s="46" t="s">
        <v>69</v>
      </c>
      <c r="E3602" s="36">
        <v>1</v>
      </c>
      <c r="F3602" s="53">
        <v>0.95</v>
      </c>
      <c r="G3602" s="53">
        <f>IF(ISNUMBER(F3602),E3602*F3602,"")</f>
        <v>0.95</v>
      </c>
      <c r="H3602" s="72"/>
      <c r="I3602" s="73"/>
      <c r="J3602" s="152">
        <v>0</v>
      </c>
    </row>
    <row r="3603" spans="1:10" ht="26.25" hidden="1" thickBot="1" x14ac:dyDescent="0.3">
      <c r="A3603" s="171"/>
      <c r="B3603" s="174"/>
      <c r="C3603" s="35" t="s">
        <v>928</v>
      </c>
      <c r="D3603" s="35" t="s">
        <v>8526</v>
      </c>
      <c r="E3603" s="36">
        <f>ROUND(0.15/0.31,4)</f>
        <v>0.4839</v>
      </c>
      <c r="F3603" s="53">
        <v>39.548499999999997</v>
      </c>
      <c r="G3603" s="53">
        <f>IF(ISNUMBER(F3603),E3603*F3603,"")</f>
        <v>19.137519149999999</v>
      </c>
      <c r="H3603" s="72"/>
      <c r="I3603" s="73"/>
      <c r="J3603" s="152">
        <v>0</v>
      </c>
    </row>
    <row r="3604" spans="1:10" ht="15.75" hidden="1" thickBot="1" x14ac:dyDescent="0.3">
      <c r="A3604" s="172"/>
      <c r="B3604" s="175"/>
      <c r="C3604" s="35"/>
      <c r="D3604" s="35"/>
      <c r="E3604" s="36"/>
      <c r="F3604" s="53" t="s">
        <v>416</v>
      </c>
      <c r="G3604" s="53" t="str">
        <f>IF(ISNUMBER(F3604),E3604*F3604,"")</f>
        <v/>
      </c>
      <c r="H3604" s="72"/>
      <c r="I3604" s="73"/>
      <c r="J3604" s="152">
        <v>0</v>
      </c>
    </row>
    <row r="3605" spans="1:10" ht="15.75" hidden="1" thickBot="1" x14ac:dyDescent="0.3">
      <c r="A3605" s="170" t="s">
        <v>929</v>
      </c>
      <c r="B3605" s="173" t="str">
        <f>INDEX(Orçamentária!A:B,MATCH(Composições!A3605,Orçamentária!A:A,0),2)</f>
        <v>Adesivo Selante Poliuretano – fornecimento e aplicação</v>
      </c>
      <c r="C3605" s="40"/>
      <c r="D3605" s="25" t="s">
        <v>69</v>
      </c>
      <c r="E3605" s="26"/>
      <c r="F3605" s="48" t="s">
        <v>416</v>
      </c>
      <c r="G3605" s="27" t="str">
        <f>IF(ISNUMBER(F3605),E3605*F3605,"")</f>
        <v/>
      </c>
      <c r="H3605" s="28"/>
      <c r="I3605" s="29"/>
      <c r="J3605" s="152">
        <v>0</v>
      </c>
    </row>
    <row r="3606" spans="1:10" ht="15.75" hidden="1" thickBot="1" x14ac:dyDescent="0.3">
      <c r="A3606" s="171"/>
      <c r="B3606" s="174"/>
      <c r="C3606" s="31"/>
      <c r="D3606" s="31"/>
      <c r="E3606" s="32"/>
      <c r="F3606" s="53" t="s">
        <v>416</v>
      </c>
      <c r="G3606" s="53" t="str">
        <f>IF(ISNUMBER(F3606),E3606*F3606,"")</f>
        <v/>
      </c>
      <c r="H3606" s="72"/>
      <c r="I3606" s="73"/>
      <c r="J3606" s="152">
        <v>0</v>
      </c>
    </row>
    <row r="3607" spans="1:10" ht="15.75" hidden="1" thickBot="1" x14ac:dyDescent="0.3">
      <c r="A3607" s="171"/>
      <c r="B3607" s="174"/>
      <c r="C3607" s="35" t="s">
        <v>591</v>
      </c>
      <c r="D3607" s="35" t="s">
        <v>583</v>
      </c>
      <c r="E3607" s="36">
        <v>0.16500000000000001</v>
      </c>
      <c r="F3607" s="53">
        <v>27.160499999999999</v>
      </c>
      <c r="G3607" s="53">
        <f>IF(ISNUMBER(F3607),E3607*F3607,"")</f>
        <v>4.4814825000000003</v>
      </c>
      <c r="H3607" s="38">
        <f>SUM(G3607:G3609)</f>
        <v>19.681592699999999</v>
      </c>
      <c r="I3607" s="39"/>
      <c r="J3607" s="152">
        <v>0</v>
      </c>
    </row>
    <row r="3608" spans="1:10" ht="15.75" hidden="1" thickBot="1" x14ac:dyDescent="0.3">
      <c r="A3608" s="171"/>
      <c r="B3608" s="174"/>
      <c r="C3608" s="35" t="s">
        <v>584</v>
      </c>
      <c r="D3608" s="35" t="s">
        <v>583</v>
      </c>
      <c r="E3608" s="36">
        <v>0.1</v>
      </c>
      <c r="F3608" s="53">
        <v>20.225499999999997</v>
      </c>
      <c r="G3608" s="53">
        <f>IF(ISNUMBER(F3608),E3608*F3608,"")</f>
        <v>2.0225499999999998</v>
      </c>
      <c r="H3608" s="72"/>
      <c r="I3608" s="73"/>
      <c r="J3608" s="152">
        <v>0</v>
      </c>
    </row>
    <row r="3609" spans="1:10" ht="26.25" hidden="1" thickBot="1" x14ac:dyDescent="0.3">
      <c r="A3609" s="171"/>
      <c r="B3609" s="174"/>
      <c r="C3609" s="35" t="s">
        <v>928</v>
      </c>
      <c r="D3609" s="35" t="s">
        <v>8526</v>
      </c>
      <c r="E3609" s="36">
        <f>ROUND(0.1033/0.31,4)</f>
        <v>0.3332</v>
      </c>
      <c r="F3609" s="53">
        <v>39.548499999999997</v>
      </c>
      <c r="G3609" s="53">
        <f>IF(ISNUMBER(F3609),E3609*F3609,"")</f>
        <v>13.177560199999999</v>
      </c>
      <c r="H3609" s="72"/>
      <c r="I3609" s="73"/>
      <c r="J3609" s="152">
        <v>0</v>
      </c>
    </row>
    <row r="3610" spans="1:10" ht="15.75" hidden="1" thickBot="1" x14ac:dyDescent="0.3">
      <c r="A3610" s="172"/>
      <c r="B3610" s="175"/>
      <c r="C3610" s="35"/>
      <c r="D3610" s="35"/>
      <c r="E3610" s="36"/>
      <c r="F3610" s="53" t="s">
        <v>416</v>
      </c>
      <c r="G3610" s="53" t="str">
        <f>IF(ISNUMBER(F3610),E3610*F3610,"")</f>
        <v/>
      </c>
      <c r="H3610" s="72"/>
      <c r="I3610" s="73"/>
      <c r="J3610" s="152">
        <v>0</v>
      </c>
    </row>
    <row r="3611" spans="1:10" ht="15.75" hidden="1" thickBot="1" x14ac:dyDescent="0.3">
      <c r="A3611" s="170" t="s">
        <v>930</v>
      </c>
      <c r="B3611" s="173" t="str">
        <f>INDEX(Orçamentária!A:B,MATCH(Composições!A3611,Orçamentária!A:A,0),2)</f>
        <v>Chuveiro elétrico</v>
      </c>
      <c r="C3611" s="40"/>
      <c r="D3611" s="25" t="s">
        <v>16</v>
      </c>
      <c r="E3611" s="26"/>
      <c r="F3611" s="48" t="s">
        <v>416</v>
      </c>
      <c r="G3611" s="27" t="str">
        <f>IF(ISNUMBER(F3611),E3611*F3611,"")</f>
        <v/>
      </c>
      <c r="H3611" s="28"/>
      <c r="I3611" s="29"/>
      <c r="J3611" s="152">
        <v>0</v>
      </c>
    </row>
    <row r="3612" spans="1:10" ht="15.75" hidden="1" thickBot="1" x14ac:dyDescent="0.3">
      <c r="A3612" s="171"/>
      <c r="B3612" s="174"/>
      <c r="C3612" s="31"/>
      <c r="D3612" s="31"/>
      <c r="E3612" s="32"/>
      <c r="F3612" s="53" t="s">
        <v>416</v>
      </c>
      <c r="G3612" s="53" t="str">
        <f>IF(ISNUMBER(F3612),E3612*F3612,"")</f>
        <v/>
      </c>
      <c r="H3612" s="72"/>
      <c r="I3612" s="73"/>
      <c r="J3612" s="152">
        <v>0</v>
      </c>
    </row>
    <row r="3613" spans="1:10" ht="26.25" hidden="1" thickBot="1" x14ac:dyDescent="0.3">
      <c r="A3613" s="171"/>
      <c r="B3613" s="174"/>
      <c r="C3613" s="35" t="s">
        <v>931</v>
      </c>
      <c r="D3613" s="35" t="s">
        <v>213</v>
      </c>
      <c r="E3613" s="36">
        <v>1</v>
      </c>
      <c r="F3613" s="53">
        <v>73.320999999999998</v>
      </c>
      <c r="G3613" s="53">
        <f>IF(ISNUMBER(F3613),E3613*F3613,"")</f>
        <v>73.320999999999998</v>
      </c>
      <c r="H3613" s="38">
        <f>SUM(G3613:G3616)</f>
        <v>88.222852000000003</v>
      </c>
      <c r="I3613" s="39"/>
      <c r="J3613" s="152">
        <v>0</v>
      </c>
    </row>
    <row r="3614" spans="1:10" ht="15.75" hidden="1" thickBot="1" x14ac:dyDescent="0.3">
      <c r="A3614" s="171"/>
      <c r="B3614" s="174"/>
      <c r="C3614" s="35" t="s">
        <v>8171</v>
      </c>
      <c r="D3614" s="35" t="s">
        <v>213</v>
      </c>
      <c r="E3614" s="36">
        <v>2.1000000000000001E-2</v>
      </c>
      <c r="F3614" s="53">
        <v>4.0374999999999996</v>
      </c>
      <c r="G3614" s="53">
        <f>IF(ISNUMBER(F3614),E3614*F3614,"")</f>
        <v>8.4787500000000002E-2</v>
      </c>
      <c r="H3614" s="72"/>
      <c r="I3614" s="73"/>
      <c r="J3614" s="152">
        <v>0</v>
      </c>
    </row>
    <row r="3615" spans="1:10" ht="26.25" hidden="1" thickBot="1" x14ac:dyDescent="0.3">
      <c r="A3615" s="171"/>
      <c r="B3615" s="174"/>
      <c r="C3615" s="35" t="s">
        <v>825</v>
      </c>
      <c r="D3615" s="35" t="s">
        <v>583</v>
      </c>
      <c r="E3615" s="36">
        <v>0.44669999999999999</v>
      </c>
      <c r="F3615" s="53">
        <v>26.799499999999998</v>
      </c>
      <c r="G3615" s="53">
        <f>IF(ISNUMBER(F3615),E3615*F3615,"")</f>
        <v>11.97133665</v>
      </c>
      <c r="H3615" s="72"/>
      <c r="I3615" s="73"/>
      <c r="J3615" s="152">
        <v>0</v>
      </c>
    </row>
    <row r="3616" spans="1:10" ht="15.75" hidden="1" thickBot="1" x14ac:dyDescent="0.3">
      <c r="A3616" s="171"/>
      <c r="B3616" s="174"/>
      <c r="C3616" s="35" t="s">
        <v>584</v>
      </c>
      <c r="D3616" s="35" t="s">
        <v>583</v>
      </c>
      <c r="E3616" s="36">
        <v>0.14069999999999999</v>
      </c>
      <c r="F3616" s="53">
        <v>20.225499999999997</v>
      </c>
      <c r="G3616" s="53">
        <f>IF(ISNUMBER(F3616),E3616*F3616,"")</f>
        <v>2.8457278499999994</v>
      </c>
      <c r="H3616" s="72"/>
      <c r="I3616" s="73"/>
      <c r="J3616" s="152">
        <v>0</v>
      </c>
    </row>
    <row r="3617" spans="1:10" ht="15.75" hidden="1" thickBot="1" x14ac:dyDescent="0.3">
      <c r="A3617" s="172"/>
      <c r="B3617" s="175"/>
      <c r="C3617" s="35"/>
      <c r="D3617" s="35"/>
      <c r="E3617" s="36"/>
      <c r="F3617" s="53" t="s">
        <v>416</v>
      </c>
      <c r="G3617" s="53" t="str">
        <f>IF(ISNUMBER(F3617),E3617*F3617,"")</f>
        <v/>
      </c>
      <c r="H3617" s="72"/>
      <c r="I3617" s="73"/>
      <c r="J3617" s="152">
        <v>0</v>
      </c>
    </row>
    <row r="3618" spans="1:10" ht="15.75" hidden="1" thickBot="1" x14ac:dyDescent="0.3">
      <c r="A3618" s="170" t="s">
        <v>932</v>
      </c>
      <c r="B3618" s="173" t="str">
        <f>INDEX(Orçamentária!A:B,MATCH(Composições!A3618,Orçamentária!A:A,0),2)</f>
        <v>Lastro em concreto magro</v>
      </c>
      <c r="C3618" s="40"/>
      <c r="D3618" s="25" t="s">
        <v>80</v>
      </c>
      <c r="E3618" s="26"/>
      <c r="F3618" s="48" t="s">
        <v>416</v>
      </c>
      <c r="G3618" s="27" t="str">
        <f>IF(ISNUMBER(F3618),E3618*F3618,"")</f>
        <v/>
      </c>
      <c r="H3618" s="28"/>
      <c r="I3618" s="29"/>
      <c r="J3618" s="152">
        <v>0</v>
      </c>
    </row>
    <row r="3619" spans="1:10" ht="15.75" hidden="1" thickBot="1" x14ac:dyDescent="0.3">
      <c r="A3619" s="171"/>
      <c r="B3619" s="174"/>
      <c r="C3619" s="31"/>
      <c r="D3619" s="31"/>
      <c r="E3619" s="32"/>
      <c r="F3619" s="53" t="s">
        <v>416</v>
      </c>
      <c r="G3619" s="53" t="str">
        <f>IF(ISNUMBER(F3619),E3619*F3619,"")</f>
        <v/>
      </c>
      <c r="H3619" s="72"/>
      <c r="I3619" s="73"/>
      <c r="J3619" s="152">
        <v>0</v>
      </c>
    </row>
    <row r="3620" spans="1:10" ht="15.75" hidden="1" thickBot="1" x14ac:dyDescent="0.3">
      <c r="A3620" s="171"/>
      <c r="B3620" s="174"/>
      <c r="C3620" s="35" t="s">
        <v>591</v>
      </c>
      <c r="D3620" s="35" t="s">
        <v>583</v>
      </c>
      <c r="E3620" s="36">
        <v>5.4370000000000003</v>
      </c>
      <c r="F3620" s="53">
        <v>27.160499999999999</v>
      </c>
      <c r="G3620" s="53">
        <f>IF(ISNUMBER(F3620),E3620*F3620,"")</f>
        <v>147.6716385</v>
      </c>
      <c r="H3620" s="38">
        <f>SUM(G3620:G3622)</f>
        <v>817.09119779767377</v>
      </c>
      <c r="I3620" s="39"/>
      <c r="J3620" s="152">
        <v>0</v>
      </c>
    </row>
    <row r="3621" spans="1:10" ht="15.75" hidden="1" thickBot="1" x14ac:dyDescent="0.3">
      <c r="A3621" s="171"/>
      <c r="B3621" s="174"/>
      <c r="C3621" s="35" t="s">
        <v>584</v>
      </c>
      <c r="D3621" s="35" t="s">
        <v>583</v>
      </c>
      <c r="E3621" s="36">
        <v>1.4830000000000001</v>
      </c>
      <c r="F3621" s="53">
        <v>20.225499999999997</v>
      </c>
      <c r="G3621" s="53">
        <f>IF(ISNUMBER(F3621),E3621*F3621,"")</f>
        <v>29.994416499999996</v>
      </c>
      <c r="H3621" s="72"/>
      <c r="I3621" s="73"/>
      <c r="J3621" s="152">
        <v>0</v>
      </c>
    </row>
    <row r="3622" spans="1:10" ht="39" hidden="1" thickBot="1" x14ac:dyDescent="0.3">
      <c r="A3622" s="171"/>
      <c r="B3622" s="174"/>
      <c r="C3622" s="35" t="s">
        <v>933</v>
      </c>
      <c r="D3622" s="46" t="s">
        <v>87</v>
      </c>
      <c r="E3622" s="36">
        <v>1.1299999999999999</v>
      </c>
      <c r="F3622" s="53">
        <v>565.86295822802992</v>
      </c>
      <c r="G3622" s="53">
        <f>IF(ISNUMBER(F3622),E3622*F3622,"")</f>
        <v>639.42514279767374</v>
      </c>
      <c r="H3622" s="72"/>
      <c r="I3622" s="73"/>
      <c r="J3622" s="152">
        <v>0</v>
      </c>
    </row>
    <row r="3623" spans="1:10" ht="15.75" hidden="1" thickBot="1" x14ac:dyDescent="0.3">
      <c r="A3623" s="172"/>
      <c r="B3623" s="175"/>
      <c r="C3623" s="35"/>
      <c r="D3623" s="35"/>
      <c r="E3623" s="36"/>
      <c r="F3623" s="53" t="s">
        <v>416</v>
      </c>
      <c r="G3623" s="53" t="str">
        <f>IF(ISNUMBER(F3623),E3623*F3623,"")</f>
        <v/>
      </c>
      <c r="H3623" s="72"/>
      <c r="I3623" s="73"/>
      <c r="J3623" s="152">
        <v>0</v>
      </c>
    </row>
    <row r="3624" spans="1:10" ht="15.75" hidden="1" thickBot="1" x14ac:dyDescent="0.3">
      <c r="A3624" s="170" t="s">
        <v>934</v>
      </c>
      <c r="B3624" s="173" t="str">
        <f>INDEX(Orçamentária!A:B,MATCH(Composições!A3624,Orçamentária!A:A,0),2)</f>
        <v>Pavimentação em concreto armado simples</v>
      </c>
      <c r="C3624" s="40"/>
      <c r="D3624" s="25" t="s">
        <v>70</v>
      </c>
      <c r="E3624" s="26"/>
      <c r="F3624" s="48" t="s">
        <v>416</v>
      </c>
      <c r="G3624" s="27" t="str">
        <f>IF(ISNUMBER(F3624),E3624*F3624,"")</f>
        <v/>
      </c>
      <c r="H3624" s="28"/>
      <c r="I3624" s="29"/>
      <c r="J3624" s="152">
        <v>0</v>
      </c>
    </row>
    <row r="3625" spans="1:10" ht="15.75" hidden="1" thickBot="1" x14ac:dyDescent="0.3">
      <c r="A3625" s="176"/>
      <c r="B3625" s="174"/>
      <c r="C3625" s="31"/>
      <c r="D3625" s="31"/>
      <c r="E3625" s="32"/>
      <c r="F3625" s="53" t="s">
        <v>416</v>
      </c>
      <c r="G3625" s="53" t="str">
        <f>IF(ISNUMBER(F3625),E3625*F3625,"")</f>
        <v/>
      </c>
      <c r="H3625" s="72"/>
      <c r="I3625" s="73"/>
      <c r="J3625" s="152">
        <v>0</v>
      </c>
    </row>
    <row r="3626" spans="1:10" ht="39" hidden="1" thickBot="1" x14ac:dyDescent="0.3">
      <c r="A3626" s="176"/>
      <c r="B3626" s="174"/>
      <c r="C3626" s="35" t="s">
        <v>2930</v>
      </c>
      <c r="D3626" s="35" t="s">
        <v>87</v>
      </c>
      <c r="E3626" s="36">
        <v>8.14E-2</v>
      </c>
      <c r="F3626" s="53">
        <v>417.04999999999995</v>
      </c>
      <c r="G3626" s="53">
        <f>IF(ISNUMBER(F3626),E3626*F3626,"")</f>
        <v>33.947869999999995</v>
      </c>
      <c r="H3626" s="38">
        <f>SUM(G3626:G3632)</f>
        <v>112.92166354999999</v>
      </c>
      <c r="I3626" s="39"/>
      <c r="J3626" s="152">
        <v>0</v>
      </c>
    </row>
    <row r="3627" spans="1:10" ht="26.25" hidden="1" thickBot="1" x14ac:dyDescent="0.3">
      <c r="A3627" s="176"/>
      <c r="B3627" s="174"/>
      <c r="C3627" s="35" t="s">
        <v>2931</v>
      </c>
      <c r="D3627" s="35" t="s">
        <v>773</v>
      </c>
      <c r="E3627" s="36">
        <v>4</v>
      </c>
      <c r="F3627" s="53">
        <v>10.145999999999999</v>
      </c>
      <c r="G3627" s="53">
        <f>IF(ISNUMBER(F3627),E3627*F3627,"")</f>
        <v>40.583999999999996</v>
      </c>
      <c r="H3627" s="72"/>
      <c r="I3627" s="73"/>
      <c r="J3627" s="152">
        <v>0</v>
      </c>
    </row>
    <row r="3628" spans="1:10" ht="15.75" hidden="1" thickBot="1" x14ac:dyDescent="0.3">
      <c r="A3628" s="176"/>
      <c r="B3628" s="174"/>
      <c r="C3628" s="35" t="s">
        <v>591</v>
      </c>
      <c r="D3628" s="35" t="s">
        <v>583</v>
      </c>
      <c r="E3628" s="36">
        <v>0.1119</v>
      </c>
      <c r="F3628" s="53">
        <v>27.160499999999999</v>
      </c>
      <c r="G3628" s="53">
        <f>IF(ISNUMBER(F3628),E3628*F3628,"")</f>
        <v>3.0392599499999999</v>
      </c>
      <c r="H3628" s="72"/>
      <c r="I3628" s="73"/>
      <c r="J3628" s="152">
        <v>0</v>
      </c>
    </row>
    <row r="3629" spans="1:10" ht="15.75" hidden="1" thickBot="1" x14ac:dyDescent="0.3">
      <c r="A3629" s="176"/>
      <c r="B3629" s="174"/>
      <c r="C3629" s="35" t="s">
        <v>584</v>
      </c>
      <c r="D3629" s="35" t="s">
        <v>583</v>
      </c>
      <c r="E3629" s="36">
        <v>4.6600000000000003E-2</v>
      </c>
      <c r="F3629" s="53">
        <v>20.225499999999997</v>
      </c>
      <c r="G3629" s="53">
        <f>IF(ISNUMBER(F3629),E3629*F3629,"")</f>
        <v>0.94250829999999985</v>
      </c>
      <c r="H3629" s="72"/>
      <c r="I3629" s="73"/>
      <c r="J3629" s="152">
        <v>0</v>
      </c>
    </row>
    <row r="3630" spans="1:10" ht="26.25" hidden="1" thickBot="1" x14ac:dyDescent="0.3">
      <c r="A3630" s="176"/>
      <c r="B3630" s="174"/>
      <c r="C3630" s="35" t="s">
        <v>6971</v>
      </c>
      <c r="D3630" s="35" t="s">
        <v>813</v>
      </c>
      <c r="E3630" s="36">
        <v>7.0000000000000001E-3</v>
      </c>
      <c r="F3630" s="53">
        <v>7.6475</v>
      </c>
      <c r="G3630" s="53">
        <f>IF(ISNUMBER(F3630),E3630*F3630,"")</f>
        <v>5.3532500000000004E-2</v>
      </c>
      <c r="H3630" s="72"/>
      <c r="I3630" s="73"/>
      <c r="J3630" s="152">
        <v>0</v>
      </c>
    </row>
    <row r="3631" spans="1:10" ht="39" hidden="1" thickBot="1" x14ac:dyDescent="0.3">
      <c r="A3631" s="176"/>
      <c r="B3631" s="174"/>
      <c r="C3631" s="35" t="s">
        <v>935</v>
      </c>
      <c r="D3631" s="35" t="s">
        <v>861</v>
      </c>
      <c r="E3631" s="36">
        <v>1.1224000000000001</v>
      </c>
      <c r="F3631" s="53">
        <v>27.084499999999998</v>
      </c>
      <c r="G3631" s="53">
        <f>IF(ISNUMBER(F3631),E3631*F3631,"")</f>
        <v>30.399642799999999</v>
      </c>
      <c r="H3631" s="72"/>
      <c r="I3631" s="73"/>
      <c r="J3631" s="152">
        <v>0</v>
      </c>
    </row>
    <row r="3632" spans="1:10" ht="26.25" hidden="1" thickBot="1" x14ac:dyDescent="0.3">
      <c r="A3632" s="176"/>
      <c r="B3632" s="174"/>
      <c r="C3632" s="35" t="s">
        <v>928</v>
      </c>
      <c r="D3632" s="35" t="s">
        <v>8526</v>
      </c>
      <c r="E3632" s="36">
        <v>0.1</v>
      </c>
      <c r="F3632" s="53">
        <v>39.548499999999997</v>
      </c>
      <c r="G3632" s="53">
        <f>IF(ISNUMBER(F3632),E3632*F3632,"")</f>
        <v>3.95485</v>
      </c>
      <c r="H3632" s="72"/>
      <c r="I3632" s="73"/>
      <c r="J3632" s="152">
        <v>0</v>
      </c>
    </row>
    <row r="3633" spans="1:10" ht="15.75" hidden="1" thickBot="1" x14ac:dyDescent="0.3">
      <c r="A3633" s="177"/>
      <c r="B3633" s="175"/>
      <c r="C3633" s="35"/>
      <c r="D3633" s="35"/>
      <c r="E3633" s="36"/>
      <c r="F3633" s="53" t="s">
        <v>416</v>
      </c>
      <c r="G3633" s="53" t="str">
        <f>IF(ISNUMBER(F3633),E3633*F3633,"")</f>
        <v/>
      </c>
      <c r="H3633" s="72"/>
      <c r="I3633" s="73"/>
      <c r="J3633" s="152">
        <v>0</v>
      </c>
    </row>
    <row r="3634" spans="1:10" ht="15.75" hidden="1" thickBot="1" x14ac:dyDescent="0.3">
      <c r="A3634" s="170" t="s">
        <v>937</v>
      </c>
      <c r="B3634" s="173" t="str">
        <f>INDEX(Orçamentária!A:B,MATCH(Composições!A3634,Orçamentária!A:A,0),2)</f>
        <v>Remoção de reservatório d’água</v>
      </c>
      <c r="C3634" s="40"/>
      <c r="D3634" s="25" t="s">
        <v>16</v>
      </c>
      <c r="E3634" s="26"/>
      <c r="F3634" s="48" t="s">
        <v>416</v>
      </c>
      <c r="G3634" s="27" t="str">
        <f>IF(ISNUMBER(F3634),E3634*F3634,"")</f>
        <v/>
      </c>
      <c r="H3634" s="28"/>
      <c r="I3634" s="29"/>
      <c r="J3634" s="152">
        <v>0</v>
      </c>
    </row>
    <row r="3635" spans="1:10" ht="15.75" hidden="1" thickBot="1" x14ac:dyDescent="0.3">
      <c r="A3635" s="171"/>
      <c r="B3635" s="174"/>
      <c r="C3635" s="31"/>
      <c r="D3635" s="31"/>
      <c r="E3635" s="32"/>
      <c r="F3635" s="53" t="s">
        <v>416</v>
      </c>
      <c r="G3635" s="53" t="str">
        <f>IF(ISNUMBER(F3635),E3635*F3635,"")</f>
        <v/>
      </c>
      <c r="H3635" s="72"/>
      <c r="I3635" s="73"/>
      <c r="J3635" s="152">
        <v>0</v>
      </c>
    </row>
    <row r="3636" spans="1:10" ht="26.25" hidden="1" thickBot="1" x14ac:dyDescent="0.3">
      <c r="A3636" s="171"/>
      <c r="B3636" s="174"/>
      <c r="C3636" s="35" t="s">
        <v>825</v>
      </c>
      <c r="D3636" s="35" t="s">
        <v>583</v>
      </c>
      <c r="E3636" s="36">
        <v>4</v>
      </c>
      <c r="F3636" s="53">
        <v>26.799499999999998</v>
      </c>
      <c r="G3636" s="53">
        <f>IF(ISNUMBER(F3636),E3636*F3636,"")</f>
        <v>107.19799999999999</v>
      </c>
      <c r="H3636" s="38">
        <f>SUM(G3636:G3637)</f>
        <v>188.09999999999997</v>
      </c>
      <c r="I3636" s="39"/>
      <c r="J3636" s="152">
        <v>0</v>
      </c>
    </row>
    <row r="3637" spans="1:10" ht="15.75" hidden="1" thickBot="1" x14ac:dyDescent="0.3">
      <c r="A3637" s="171"/>
      <c r="B3637" s="174"/>
      <c r="C3637" s="35" t="s">
        <v>584</v>
      </c>
      <c r="D3637" s="35" t="s">
        <v>583</v>
      </c>
      <c r="E3637" s="36">
        <v>4</v>
      </c>
      <c r="F3637" s="53">
        <v>20.225499999999997</v>
      </c>
      <c r="G3637" s="53">
        <f>IF(ISNUMBER(F3637),E3637*F3637,"")</f>
        <v>80.901999999999987</v>
      </c>
      <c r="H3637" s="72"/>
      <c r="I3637" s="73"/>
      <c r="J3637" s="152">
        <v>0</v>
      </c>
    </row>
    <row r="3638" spans="1:10" ht="15.75" hidden="1" thickBot="1" x14ac:dyDescent="0.3">
      <c r="A3638" s="172"/>
      <c r="B3638" s="175"/>
      <c r="C3638" s="35"/>
      <c r="D3638" s="35"/>
      <c r="E3638" s="36"/>
      <c r="F3638" s="53" t="s">
        <v>416</v>
      </c>
      <c r="G3638" s="53" t="str">
        <f>IF(ISNUMBER(F3638),E3638*F3638,"")</f>
        <v/>
      </c>
      <c r="H3638" s="72"/>
      <c r="I3638" s="73"/>
      <c r="J3638" s="152">
        <v>0</v>
      </c>
    </row>
    <row r="3639" spans="1:10" ht="15.75" hidden="1" thickBot="1" x14ac:dyDescent="0.3">
      <c r="A3639" s="170" t="s">
        <v>938</v>
      </c>
      <c r="B3639" s="173" t="str">
        <f>INDEX(Orçamentária!A:B,MATCH(Composições!A3639,Orçamentária!A:A,0),2)</f>
        <v>Transporte e destinação final de entulho para distâncias até 30 km</v>
      </c>
      <c r="C3639" s="40"/>
      <c r="D3639" s="25" t="s">
        <v>2528</v>
      </c>
      <c r="E3639" s="26"/>
      <c r="F3639" s="48" t="s">
        <v>416</v>
      </c>
      <c r="G3639" s="27" t="str">
        <f>IF(ISNUMBER(F3639),E3639*F3639,"")</f>
        <v/>
      </c>
      <c r="H3639" s="28"/>
      <c r="I3639" s="29"/>
      <c r="J3639" s="152">
        <v>0</v>
      </c>
    </row>
    <row r="3640" spans="1:10" ht="15.75" hidden="1" thickBot="1" x14ac:dyDescent="0.3">
      <c r="A3640" s="171"/>
      <c r="B3640" s="174"/>
      <c r="C3640" s="31"/>
      <c r="D3640" s="31"/>
      <c r="E3640" s="32"/>
      <c r="F3640" s="53" t="s">
        <v>416</v>
      </c>
      <c r="G3640" s="53" t="str">
        <f>IF(ISNUMBER(F3640),E3640*F3640,"")</f>
        <v/>
      </c>
      <c r="H3640" s="72"/>
      <c r="I3640" s="73"/>
      <c r="J3640" s="152">
        <v>0</v>
      </c>
    </row>
    <row r="3641" spans="1:10" ht="51.75" hidden="1" thickBot="1" x14ac:dyDescent="0.3">
      <c r="A3641" s="171"/>
      <c r="B3641" s="174"/>
      <c r="C3641" s="35" t="s">
        <v>939</v>
      </c>
      <c r="D3641" s="35" t="s">
        <v>813</v>
      </c>
      <c r="E3641" s="36">
        <v>1.3899999999999999E-2</v>
      </c>
      <c r="F3641" s="53">
        <v>169.09049999999999</v>
      </c>
      <c r="G3641" s="53">
        <f>IF(ISNUMBER(F3641),E3641*F3641,"")</f>
        <v>2.3503579499999998</v>
      </c>
      <c r="H3641" s="38">
        <f>SUM(G3641:G3642)</f>
        <v>2.6576449499999999</v>
      </c>
      <c r="I3641" s="39"/>
      <c r="J3641" s="152">
        <v>0</v>
      </c>
    </row>
    <row r="3642" spans="1:10" ht="51.75" hidden="1" thickBot="1" x14ac:dyDescent="0.3">
      <c r="A3642" s="171"/>
      <c r="B3642" s="174"/>
      <c r="C3642" s="35" t="s">
        <v>940</v>
      </c>
      <c r="D3642" s="35" t="s">
        <v>815</v>
      </c>
      <c r="E3642" s="36">
        <v>6.0000000000000001E-3</v>
      </c>
      <c r="F3642" s="53">
        <v>51.214499999999994</v>
      </c>
      <c r="G3642" s="53">
        <f>IF(ISNUMBER(F3642),E3642*F3642,"")</f>
        <v>0.30728699999999998</v>
      </c>
      <c r="H3642" s="72"/>
      <c r="I3642" s="73"/>
      <c r="J3642" s="152">
        <v>0</v>
      </c>
    </row>
    <row r="3643" spans="1:10" ht="15.75" hidden="1" thickBot="1" x14ac:dyDescent="0.3">
      <c r="A3643" s="172"/>
      <c r="B3643" s="175"/>
      <c r="C3643" s="35"/>
      <c r="D3643" s="35"/>
      <c r="E3643" s="36"/>
      <c r="F3643" s="53" t="s">
        <v>416</v>
      </c>
      <c r="G3643" s="53" t="str">
        <f>IF(ISNUMBER(F3643),E3643*F3643,"")</f>
        <v/>
      </c>
      <c r="H3643" s="72"/>
      <c r="I3643" s="73"/>
      <c r="J3643" s="152">
        <v>0</v>
      </c>
    </row>
    <row r="3644" spans="1:10" ht="15.75" hidden="1" thickBot="1" x14ac:dyDescent="0.3">
      <c r="A3644" s="170" t="s">
        <v>941</v>
      </c>
      <c r="B3644" s="173" t="str">
        <f>INDEX(Orçamentária!A:B,MATCH(Composições!A3644,Orçamentária!A:A,0),2)</f>
        <v>Demolição de estrutura metálica</v>
      </c>
      <c r="C3644" s="40"/>
      <c r="D3644" s="25" t="s">
        <v>28</v>
      </c>
      <c r="E3644" s="26"/>
      <c r="F3644" s="48" t="s">
        <v>416</v>
      </c>
      <c r="G3644" s="27" t="str">
        <f>IF(ISNUMBER(F3644),E3644*F3644,"")</f>
        <v/>
      </c>
      <c r="H3644" s="28"/>
      <c r="I3644" s="29"/>
      <c r="J3644" s="152">
        <v>0</v>
      </c>
    </row>
    <row r="3645" spans="1:10" ht="15.75" hidden="1" thickBot="1" x14ac:dyDescent="0.3">
      <c r="A3645" s="171"/>
      <c r="B3645" s="174"/>
      <c r="C3645" s="31"/>
      <c r="D3645" s="31"/>
      <c r="E3645" s="32"/>
      <c r="F3645" s="53" t="s">
        <v>416</v>
      </c>
      <c r="G3645" s="53" t="str">
        <f>IF(ISNUMBER(F3645),E3645*F3645,"")</f>
        <v/>
      </c>
      <c r="H3645" s="72"/>
      <c r="I3645" s="73"/>
      <c r="J3645" s="152">
        <v>0</v>
      </c>
    </row>
    <row r="3646" spans="1:10" ht="26.25" hidden="1" thickBot="1" x14ac:dyDescent="0.3">
      <c r="A3646" s="171"/>
      <c r="B3646" s="174"/>
      <c r="C3646" s="35" t="s">
        <v>98</v>
      </c>
      <c r="D3646" s="35" t="s">
        <v>87</v>
      </c>
      <c r="E3646" s="36">
        <v>2.1999999999999999E-2</v>
      </c>
      <c r="F3646" s="53">
        <v>14.0695</v>
      </c>
      <c r="G3646" s="53">
        <f>IF(ISNUMBER(F3646),E3646*F3646,"")</f>
        <v>0.309529</v>
      </c>
      <c r="H3646" s="38">
        <f>SUM(G3646:G3650)</f>
        <v>5.7235409999999991</v>
      </c>
      <c r="I3646" s="39"/>
      <c r="J3646" s="152">
        <v>0</v>
      </c>
    </row>
    <row r="3647" spans="1:10" ht="39" hidden="1" thickBot="1" x14ac:dyDescent="0.3">
      <c r="A3647" s="171"/>
      <c r="B3647" s="174"/>
      <c r="C3647" s="35" t="s">
        <v>7956</v>
      </c>
      <c r="D3647" s="35" t="s">
        <v>773</v>
      </c>
      <c r="E3647" s="36">
        <v>5.0000000000000001E-3</v>
      </c>
      <c r="F3647" s="53">
        <v>64.219999999999985</v>
      </c>
      <c r="G3647" s="53">
        <f>IF(ISNUMBER(F3647),E3647*F3647,"")</f>
        <v>0.32109999999999994</v>
      </c>
      <c r="H3647" s="72"/>
      <c r="I3647" s="73"/>
      <c r="J3647" s="152">
        <v>0</v>
      </c>
    </row>
    <row r="3648" spans="1:10" ht="26.25" hidden="1" thickBot="1" x14ac:dyDescent="0.3">
      <c r="A3648" s="171"/>
      <c r="B3648" s="174"/>
      <c r="C3648" s="35" t="s">
        <v>942</v>
      </c>
      <c r="D3648" s="35" t="s">
        <v>813</v>
      </c>
      <c r="E3648" s="36">
        <f>E3649</f>
        <v>4.3999999999999997E-2</v>
      </c>
      <c r="F3648" s="53">
        <v>67.753999999999991</v>
      </c>
      <c r="G3648" s="53">
        <f>IF(ISNUMBER(F3648),E3648*F3648,"")</f>
        <v>2.9811759999999996</v>
      </c>
      <c r="H3648" s="72"/>
      <c r="I3648" s="73"/>
      <c r="J3648" s="152">
        <v>0</v>
      </c>
    </row>
    <row r="3649" spans="1:10" ht="15.75" hidden="1" thickBot="1" x14ac:dyDescent="0.3">
      <c r="A3649" s="171"/>
      <c r="B3649" s="174"/>
      <c r="C3649" s="35" t="s">
        <v>2908</v>
      </c>
      <c r="D3649" s="35" t="s">
        <v>583</v>
      </c>
      <c r="E3649" s="36">
        <v>4.3999999999999997E-2</v>
      </c>
      <c r="F3649" s="53">
        <v>27.7685</v>
      </c>
      <c r="G3649" s="53">
        <f>IF(ISNUMBER(F3649),E3649*F3649,"")</f>
        <v>1.221814</v>
      </c>
      <c r="H3649" s="72"/>
      <c r="I3649" s="73"/>
      <c r="J3649" s="152">
        <v>0</v>
      </c>
    </row>
    <row r="3650" spans="1:10" ht="15.75" hidden="1" thickBot="1" x14ac:dyDescent="0.3">
      <c r="A3650" s="171"/>
      <c r="B3650" s="174"/>
      <c r="C3650" s="35" t="s">
        <v>584</v>
      </c>
      <c r="D3650" s="35" t="s">
        <v>583</v>
      </c>
      <c r="E3650" s="36">
        <v>4.3999999999999997E-2</v>
      </c>
      <c r="F3650" s="53">
        <v>20.225499999999997</v>
      </c>
      <c r="G3650" s="53">
        <f>IF(ISNUMBER(F3650),E3650*F3650,"")</f>
        <v>0.88992199999999977</v>
      </c>
      <c r="H3650" s="72"/>
      <c r="I3650" s="73"/>
      <c r="J3650" s="152">
        <v>0</v>
      </c>
    </row>
    <row r="3651" spans="1:10" ht="15.75" hidden="1" thickBot="1" x14ac:dyDescent="0.3">
      <c r="A3651" s="172"/>
      <c r="B3651" s="175"/>
      <c r="C3651" s="35"/>
      <c r="D3651" s="35"/>
      <c r="E3651" s="36"/>
      <c r="F3651" s="53" t="s">
        <v>416</v>
      </c>
      <c r="G3651" s="53" t="str">
        <f>IF(ISNUMBER(F3651),E3651*F3651,"")</f>
        <v/>
      </c>
      <c r="H3651" s="72"/>
      <c r="I3651" s="73"/>
      <c r="J3651" s="152">
        <v>0</v>
      </c>
    </row>
    <row r="3652" spans="1:10" ht="15.75" hidden="1" thickBot="1" x14ac:dyDescent="0.3">
      <c r="A3652" s="170" t="s">
        <v>943</v>
      </c>
      <c r="B3652" s="173" t="str">
        <f>INDEX(Orçamentária!A:B,MATCH(Composições!A3652,Orçamentária!A:A,0),2)</f>
        <v>Escavação manual com profundidade maior do que 1,30 m</v>
      </c>
      <c r="C3652" s="40"/>
      <c r="D3652" s="25" t="s">
        <v>80</v>
      </c>
      <c r="E3652" s="26"/>
      <c r="F3652" s="48" t="s">
        <v>416</v>
      </c>
      <c r="G3652" s="27" t="str">
        <f>IF(ISNUMBER(F3652),E3652*F3652,"")</f>
        <v/>
      </c>
      <c r="H3652" s="28"/>
      <c r="I3652" s="29"/>
      <c r="J3652" s="152">
        <v>0</v>
      </c>
    </row>
    <row r="3653" spans="1:10" ht="15.75" hidden="1" thickBot="1" x14ac:dyDescent="0.3">
      <c r="A3653" s="171"/>
      <c r="B3653" s="174"/>
      <c r="C3653" s="31"/>
      <c r="D3653" s="31"/>
      <c r="E3653" s="32"/>
      <c r="F3653" s="53" t="s">
        <v>416</v>
      </c>
      <c r="G3653" s="53" t="str">
        <f>IF(ISNUMBER(F3653),E3653*F3653,"")</f>
        <v/>
      </c>
      <c r="H3653" s="72"/>
      <c r="I3653" s="73"/>
      <c r="J3653" s="152">
        <v>0</v>
      </c>
    </row>
    <row r="3654" spans="1:10" ht="15.75" hidden="1" thickBot="1" x14ac:dyDescent="0.3">
      <c r="A3654" s="171"/>
      <c r="B3654" s="174"/>
      <c r="C3654" s="35" t="s">
        <v>584</v>
      </c>
      <c r="D3654" s="35" t="s">
        <v>583</v>
      </c>
      <c r="E3654" s="36">
        <v>4.3</v>
      </c>
      <c r="F3654" s="53">
        <v>20.225499999999997</v>
      </c>
      <c r="G3654" s="53">
        <f>IF(ISNUMBER(F3654),E3654*F3654,"")</f>
        <v>86.969649999999987</v>
      </c>
      <c r="H3654" s="38">
        <f>SUM(G3654:G3654)</f>
        <v>86.969649999999987</v>
      </c>
      <c r="I3654" s="39"/>
      <c r="J3654" s="152">
        <v>0</v>
      </c>
    </row>
    <row r="3655" spans="1:10" ht="15.75" hidden="1" thickBot="1" x14ac:dyDescent="0.3">
      <c r="A3655" s="172"/>
      <c r="B3655" s="175"/>
      <c r="C3655" s="35"/>
      <c r="D3655" s="35"/>
      <c r="E3655" s="36"/>
      <c r="F3655" s="53" t="s">
        <v>416</v>
      </c>
      <c r="G3655" s="53" t="str">
        <f>IF(ISNUMBER(F3655),E3655*F3655,"")</f>
        <v/>
      </c>
      <c r="H3655" s="72"/>
      <c r="I3655" s="73"/>
      <c r="J3655" s="152">
        <v>0</v>
      </c>
    </row>
    <row r="3656" spans="1:10" ht="15.75" hidden="1" thickBot="1" x14ac:dyDescent="0.3">
      <c r="A3656" s="170" t="s">
        <v>944</v>
      </c>
      <c r="B3656" s="173" t="str">
        <f>INDEX(Orçamentária!A:B,MATCH(Composições!A3656,Orçamentária!A:A,0),2)</f>
        <v>Escavação mecânica com profundidade maior do que 1,30 m</v>
      </c>
      <c r="C3656" s="40"/>
      <c r="D3656" s="25" t="s">
        <v>80</v>
      </c>
      <c r="E3656" s="26"/>
      <c r="F3656" s="48" t="s">
        <v>416</v>
      </c>
      <c r="G3656" s="27" t="str">
        <f>IF(ISNUMBER(F3656),E3656*F3656,"")</f>
        <v/>
      </c>
      <c r="H3656" s="28"/>
      <c r="I3656" s="29"/>
      <c r="J3656" s="152">
        <v>0</v>
      </c>
    </row>
    <row r="3657" spans="1:10" ht="15.75" hidden="1" thickBot="1" x14ac:dyDescent="0.3">
      <c r="A3657" s="171"/>
      <c r="B3657" s="174"/>
      <c r="C3657" s="31"/>
      <c r="D3657" s="31"/>
      <c r="E3657" s="32"/>
      <c r="F3657" s="53" t="s">
        <v>416</v>
      </c>
      <c r="G3657" s="53" t="str">
        <f>IF(ISNUMBER(F3657),E3657*F3657,"")</f>
        <v/>
      </c>
      <c r="H3657" s="72"/>
      <c r="I3657" s="73"/>
      <c r="J3657" s="152">
        <v>0</v>
      </c>
    </row>
    <row r="3658" spans="1:10" ht="64.5" hidden="1" thickBot="1" x14ac:dyDescent="0.3">
      <c r="A3658" s="171"/>
      <c r="B3658" s="174"/>
      <c r="C3658" s="35" t="s">
        <v>2863</v>
      </c>
      <c r="D3658" s="35" t="s">
        <v>813</v>
      </c>
      <c r="E3658" s="36">
        <v>2.4799999999999999E-2</v>
      </c>
      <c r="F3658" s="53">
        <v>134.55799999999999</v>
      </c>
      <c r="G3658" s="53">
        <f>IF(ISNUMBER(F3658),E3658*F3658,"")</f>
        <v>3.3370383999999995</v>
      </c>
      <c r="H3658" s="38">
        <f>SUM(G3658:G3660)</f>
        <v>6.0681392499999998</v>
      </c>
      <c r="I3658" s="39"/>
      <c r="J3658" s="152">
        <v>0</v>
      </c>
    </row>
    <row r="3659" spans="1:10" ht="64.5" hidden="1" thickBot="1" x14ac:dyDescent="0.3">
      <c r="A3659" s="171"/>
      <c r="B3659" s="174"/>
      <c r="C3659" s="35" t="s">
        <v>2870</v>
      </c>
      <c r="D3659" s="35" t="s">
        <v>815</v>
      </c>
      <c r="E3659" s="36">
        <v>2.9899999999999999E-2</v>
      </c>
      <c r="F3659" s="53">
        <v>54.34</v>
      </c>
      <c r="G3659" s="53">
        <f>IF(ISNUMBER(F3659),E3659*F3659,"")</f>
        <v>1.6247660000000002</v>
      </c>
      <c r="H3659" s="72"/>
      <c r="I3659" s="73"/>
      <c r="J3659" s="152">
        <v>0</v>
      </c>
    </row>
    <row r="3660" spans="1:10" ht="15.75" hidden="1" thickBot="1" x14ac:dyDescent="0.3">
      <c r="A3660" s="171"/>
      <c r="B3660" s="174"/>
      <c r="C3660" s="35" t="s">
        <v>584</v>
      </c>
      <c r="D3660" s="35" t="s">
        <v>583</v>
      </c>
      <c r="E3660" s="36">
        <v>5.4699999999999999E-2</v>
      </c>
      <c r="F3660" s="53">
        <v>20.225499999999997</v>
      </c>
      <c r="G3660" s="53">
        <f>IF(ISNUMBER(F3660),E3660*F3660,"")</f>
        <v>1.1063348499999999</v>
      </c>
      <c r="H3660" s="72"/>
      <c r="I3660" s="73"/>
      <c r="J3660" s="152">
        <v>0</v>
      </c>
    </row>
    <row r="3661" spans="1:10" ht="15.75" hidden="1" thickBot="1" x14ac:dyDescent="0.3">
      <c r="A3661" s="172"/>
      <c r="B3661" s="175"/>
      <c r="C3661" s="74"/>
      <c r="D3661" s="35"/>
      <c r="E3661" s="36"/>
      <c r="F3661" s="53" t="s">
        <v>416</v>
      </c>
      <c r="G3661" s="53" t="str">
        <f>IF(ISNUMBER(F3661),E3661*F3661,"")</f>
        <v/>
      </c>
      <c r="H3661" s="72"/>
      <c r="I3661" s="73"/>
      <c r="J3661" s="152">
        <v>0</v>
      </c>
    </row>
    <row r="3662" spans="1:10" ht="15.75" hidden="1" thickBot="1" x14ac:dyDescent="0.3">
      <c r="A3662" s="170" t="s">
        <v>945</v>
      </c>
      <c r="B3662" s="173" t="str">
        <f>INDEX(Orçamentária!A:B,MATCH(Composições!A3662,Orçamentária!A:A,0),2)</f>
        <v>Grama Batatais em placas de 40 x 40 cm</v>
      </c>
      <c r="C3662" s="40"/>
      <c r="D3662" s="25" t="s">
        <v>70</v>
      </c>
      <c r="E3662" s="26"/>
      <c r="F3662" s="48" t="s">
        <v>416</v>
      </c>
      <c r="G3662" s="27" t="str">
        <f>IF(ISNUMBER(F3662),E3662*F3662,"")</f>
        <v/>
      </c>
      <c r="H3662" s="28"/>
      <c r="I3662" s="29"/>
      <c r="J3662" s="152">
        <v>0</v>
      </c>
    </row>
    <row r="3663" spans="1:10" ht="15.75" hidden="1" thickBot="1" x14ac:dyDescent="0.3">
      <c r="A3663" s="176"/>
      <c r="B3663" s="174"/>
      <c r="C3663" s="31"/>
      <c r="D3663" s="31"/>
      <c r="E3663" s="32"/>
      <c r="F3663" s="53" t="s">
        <v>416</v>
      </c>
      <c r="G3663" s="53" t="str">
        <f>IF(ISNUMBER(F3663),E3663*F3663,"")</f>
        <v/>
      </c>
      <c r="H3663" s="72"/>
      <c r="I3663" s="73"/>
      <c r="J3663" s="152">
        <v>0</v>
      </c>
    </row>
    <row r="3664" spans="1:10" ht="15.75" hidden="1" thickBot="1" x14ac:dyDescent="0.3">
      <c r="A3664" s="176"/>
      <c r="B3664" s="174"/>
      <c r="C3664" s="35" t="s">
        <v>946</v>
      </c>
      <c r="D3664" s="35" t="s">
        <v>861</v>
      </c>
      <c r="E3664" s="36">
        <v>1</v>
      </c>
      <c r="F3664" s="53">
        <v>10.307499999999999</v>
      </c>
      <c r="G3664" s="53">
        <f>IF(ISNUMBER(F3664),E3664*F3664,"")</f>
        <v>10.307499999999999</v>
      </c>
      <c r="H3664" s="38">
        <f>SUM(G3664:G3674)</f>
        <v>60.054888284745992</v>
      </c>
      <c r="I3664" s="39"/>
      <c r="J3664" s="152">
        <v>0</v>
      </c>
    </row>
    <row r="3665" spans="1:10" ht="15.75" hidden="1" thickBot="1" x14ac:dyDescent="0.3">
      <c r="A3665" s="176"/>
      <c r="B3665" s="174"/>
      <c r="C3665" s="35" t="s">
        <v>584</v>
      </c>
      <c r="D3665" s="35" t="s">
        <v>583</v>
      </c>
      <c r="E3665" s="36">
        <v>0.15640000000000001</v>
      </c>
      <c r="F3665" s="53">
        <v>20.225499999999997</v>
      </c>
      <c r="G3665" s="53">
        <f>IF(ISNUMBER(F3665),E3665*F3665,"")</f>
        <v>3.1632681999999996</v>
      </c>
      <c r="H3665" s="72"/>
      <c r="I3665" s="73"/>
      <c r="J3665" s="152">
        <v>0</v>
      </c>
    </row>
    <row r="3666" spans="1:10" ht="15.75" hidden="1" thickBot="1" x14ac:dyDescent="0.3">
      <c r="A3666" s="176"/>
      <c r="B3666" s="174"/>
      <c r="C3666" s="35" t="s">
        <v>947</v>
      </c>
      <c r="D3666" s="35" t="s">
        <v>583</v>
      </c>
      <c r="E3666" s="36">
        <v>3.9100000000000003E-2</v>
      </c>
      <c r="F3666" s="53">
        <v>21.384499999999999</v>
      </c>
      <c r="G3666" s="53">
        <f>IF(ISNUMBER(F3666),E3666*F3666,"")</f>
        <v>0.83613395000000001</v>
      </c>
      <c r="H3666" s="72"/>
      <c r="I3666" s="73"/>
      <c r="J3666" s="152">
        <v>0</v>
      </c>
    </row>
    <row r="3667" spans="1:10" ht="15.75" hidden="1" thickBot="1" x14ac:dyDescent="0.3">
      <c r="A3667" s="176"/>
      <c r="B3667" s="174"/>
      <c r="C3667" s="35" t="s">
        <v>584</v>
      </c>
      <c r="D3667" s="35" t="s">
        <v>583</v>
      </c>
      <c r="E3667" s="36">
        <f>1.6*0.25</f>
        <v>0.4</v>
      </c>
      <c r="F3667" s="53">
        <v>20.225499999999997</v>
      </c>
      <c r="G3667" s="53">
        <f>IF(ISNUMBER(F3667),E3667*F3667,"")</f>
        <v>8.0901999999999994</v>
      </c>
      <c r="H3667" s="72"/>
      <c r="I3667" s="73"/>
      <c r="J3667" s="152">
        <v>0</v>
      </c>
    </row>
    <row r="3668" spans="1:10" ht="26.25" hidden="1" thickBot="1" x14ac:dyDescent="0.3">
      <c r="A3668" s="176"/>
      <c r="B3668" s="174"/>
      <c r="C3668" s="35" t="s">
        <v>948</v>
      </c>
      <c r="D3668" s="35" t="s">
        <v>773</v>
      </c>
      <c r="E3668" s="36">
        <f>1*0.25</f>
        <v>0.25</v>
      </c>
      <c r="F3668" s="53">
        <v>0.26600000000000001</v>
      </c>
      <c r="G3668" s="53">
        <f>IF(ISNUMBER(F3668),E3668*F3668,"")</f>
        <v>6.6500000000000004E-2</v>
      </c>
      <c r="H3668" s="72"/>
      <c r="I3668" s="73"/>
      <c r="J3668" s="152">
        <v>0</v>
      </c>
    </row>
    <row r="3669" spans="1:10" ht="15.75" hidden="1" thickBot="1" x14ac:dyDescent="0.3">
      <c r="A3669" s="176"/>
      <c r="B3669" s="174"/>
      <c r="C3669" s="35" t="s">
        <v>949</v>
      </c>
      <c r="D3669" s="35" t="s">
        <v>87</v>
      </c>
      <c r="E3669" s="36">
        <f>0.9*0.25</f>
        <v>0.22500000000000001</v>
      </c>
      <c r="F3669" s="53">
        <v>162.84899999999999</v>
      </c>
      <c r="G3669" s="53">
        <f>IF(ISNUMBER(F3669),E3669*F3669,"")</f>
        <v>36.641024999999999</v>
      </c>
      <c r="H3669" s="72"/>
      <c r="I3669" s="73"/>
      <c r="J3669" s="152">
        <v>0</v>
      </c>
    </row>
    <row r="3670" spans="1:10" ht="15.75" hidden="1" thickBot="1" x14ac:dyDescent="0.3">
      <c r="A3670" s="176"/>
      <c r="B3670" s="174"/>
      <c r="C3670" s="35" t="s">
        <v>950</v>
      </c>
      <c r="D3670" s="35" t="s">
        <v>773</v>
      </c>
      <c r="E3670" s="36">
        <f>1*0.25</f>
        <v>0.25</v>
      </c>
      <c r="F3670" s="53">
        <v>3.6289999999999996</v>
      </c>
      <c r="G3670" s="53">
        <f>IF(ISNUMBER(F3670),E3670*F3670,"")</f>
        <v>0.90724999999999989</v>
      </c>
      <c r="H3670" s="72"/>
      <c r="I3670" s="73"/>
      <c r="J3670" s="152">
        <v>0</v>
      </c>
    </row>
    <row r="3671" spans="1:10" ht="15.75" hidden="1" thickBot="1" x14ac:dyDescent="0.3">
      <c r="A3671" s="176"/>
      <c r="B3671" s="174"/>
      <c r="C3671" s="35" t="s">
        <v>951</v>
      </c>
      <c r="D3671" s="35" t="s">
        <v>773</v>
      </c>
      <c r="E3671" s="36">
        <f>0.1*0.25</f>
        <v>2.5000000000000001E-2</v>
      </c>
      <c r="F3671" s="53">
        <v>1.3015000000000001</v>
      </c>
      <c r="G3671" s="53">
        <f>IF(ISNUMBER(F3671),E3671*F3671,"")</f>
        <v>3.2537500000000004E-2</v>
      </c>
      <c r="H3671" s="72"/>
      <c r="I3671" s="73"/>
      <c r="J3671" s="152">
        <v>0</v>
      </c>
    </row>
    <row r="3672" spans="1:10" ht="39" hidden="1" thickBot="1" x14ac:dyDescent="0.3">
      <c r="A3672" s="176"/>
      <c r="B3672" s="174"/>
      <c r="C3672" s="35" t="s">
        <v>86</v>
      </c>
      <c r="D3672" s="35" t="s">
        <v>952</v>
      </c>
      <c r="E3672" s="36">
        <f>ROUND(1*E3668/1000,4)</f>
        <v>2.9999999999999997E-4</v>
      </c>
      <c r="F3672" s="33">
        <v>5.2887883200000001</v>
      </c>
      <c r="G3672" s="33">
        <f>IF(ISNUMBER(F3672),E3672*F3672,"")</f>
        <v>1.586636496E-3</v>
      </c>
      <c r="H3672" s="34"/>
      <c r="I3672" s="30"/>
      <c r="J3672" s="152">
        <v>0</v>
      </c>
    </row>
    <row r="3673" spans="1:10" ht="39" hidden="1" thickBot="1" x14ac:dyDescent="0.3">
      <c r="A3673" s="176"/>
      <c r="B3673" s="174"/>
      <c r="C3673" s="35" t="s">
        <v>629</v>
      </c>
      <c r="D3673" s="35" t="s">
        <v>630</v>
      </c>
      <c r="E3673" s="36">
        <f>20*E3668*1/1000</f>
        <v>5.0000000000000001E-3</v>
      </c>
      <c r="F3673" s="53">
        <v>1.7773996499999998</v>
      </c>
      <c r="G3673" s="53">
        <f>IF(ISNUMBER(F3673),E3673*F3673,"")</f>
        <v>8.8869982499999983E-3</v>
      </c>
      <c r="H3673" s="72"/>
      <c r="I3673" s="73"/>
      <c r="J3673" s="152">
        <v>0</v>
      </c>
    </row>
    <row r="3674" spans="1:10" ht="15.75" hidden="1" thickBot="1" x14ac:dyDescent="0.3">
      <c r="A3674" s="176"/>
      <c r="B3674" s="174"/>
      <c r="C3674" s="35"/>
      <c r="D3674" s="35"/>
      <c r="E3674" s="36"/>
      <c r="F3674" s="53" t="s">
        <v>416</v>
      </c>
      <c r="G3674" s="53" t="str">
        <f>IF(ISNUMBER(F3674),E3674*F3674,"")</f>
        <v/>
      </c>
      <c r="H3674" s="72"/>
      <c r="I3674" s="73"/>
      <c r="J3674" s="152">
        <v>0</v>
      </c>
    </row>
    <row r="3675" spans="1:10" ht="26.25" hidden="1" thickBot="1" x14ac:dyDescent="0.3">
      <c r="A3675" s="176"/>
      <c r="B3675" s="174"/>
      <c r="C3675" s="47" t="s">
        <v>953</v>
      </c>
      <c r="D3675" s="35"/>
      <c r="E3675" s="36"/>
      <c r="F3675" s="53" t="s">
        <v>416</v>
      </c>
      <c r="G3675" s="53" t="str">
        <f>IF(ISNUMBER(F3675),E3675*F3675,"")</f>
        <v/>
      </c>
      <c r="H3675" s="72"/>
      <c r="I3675" s="73"/>
      <c r="J3675" s="152">
        <v>0</v>
      </c>
    </row>
    <row r="3676" spans="1:10" ht="15.75" hidden="1" thickBot="1" x14ac:dyDescent="0.3">
      <c r="A3676" s="177"/>
      <c r="B3676" s="175"/>
      <c r="C3676" s="35"/>
      <c r="D3676" s="35"/>
      <c r="E3676" s="36"/>
      <c r="F3676" s="53" t="s">
        <v>416</v>
      </c>
      <c r="G3676" s="53" t="str">
        <f>IF(ISNUMBER(F3676),E3676*F3676,"")</f>
        <v/>
      </c>
      <c r="H3676" s="72"/>
      <c r="I3676" s="73"/>
      <c r="J3676" s="152">
        <v>0</v>
      </c>
    </row>
    <row r="3677" spans="1:10" ht="15.75" hidden="1" thickBot="1" x14ac:dyDescent="0.3">
      <c r="A3677" s="170" t="s">
        <v>954</v>
      </c>
      <c r="B3677" s="173" t="str">
        <f>INDEX(Orçamentária!A:B,MATCH(Composições!A3677,Orçamentária!A:A,0),2)</f>
        <v>Pintura de meios-fios com tinta acrílica</v>
      </c>
      <c r="C3677" s="40"/>
      <c r="D3677" s="25" t="s">
        <v>69</v>
      </c>
      <c r="E3677" s="26"/>
      <c r="F3677" s="48" t="s">
        <v>416</v>
      </c>
      <c r="G3677" s="27" t="str">
        <f>IF(ISNUMBER(F3677),E3677*F3677,"")</f>
        <v/>
      </c>
      <c r="H3677" s="28"/>
      <c r="I3677" s="29"/>
      <c r="J3677" s="152">
        <v>0</v>
      </c>
    </row>
    <row r="3678" spans="1:10" ht="15.75" hidden="1" thickBot="1" x14ac:dyDescent="0.3">
      <c r="A3678" s="171"/>
      <c r="B3678" s="174"/>
      <c r="C3678" s="31"/>
      <c r="D3678" s="31"/>
      <c r="E3678" s="32"/>
      <c r="F3678" s="53" t="s">
        <v>416</v>
      </c>
      <c r="G3678" s="53" t="str">
        <f>IF(ISNUMBER(F3678),E3678*F3678,"")</f>
        <v/>
      </c>
      <c r="H3678" s="72"/>
      <c r="I3678" s="73"/>
      <c r="J3678" s="152">
        <v>0</v>
      </c>
    </row>
    <row r="3679" spans="1:10" ht="15.75" hidden="1" thickBot="1" x14ac:dyDescent="0.3">
      <c r="A3679" s="171"/>
      <c r="B3679" s="174"/>
      <c r="C3679" s="35" t="s">
        <v>955</v>
      </c>
      <c r="D3679" s="35" t="s">
        <v>75</v>
      </c>
      <c r="E3679" s="36">
        <f>ROUND(0.427/2*(0.25+0.13+0.25),4)</f>
        <v>0.13450000000000001</v>
      </c>
      <c r="F3679" s="53">
        <v>18.363499999999998</v>
      </c>
      <c r="G3679" s="53">
        <f>IF(ISNUMBER(F3679),E3679*F3679,"")</f>
        <v>2.4698907499999998</v>
      </c>
      <c r="H3679" s="38">
        <f>SUM(G3679:G3681)</f>
        <v>5.6853619249999996</v>
      </c>
      <c r="I3679" s="39"/>
      <c r="J3679" s="152">
        <v>0</v>
      </c>
    </row>
    <row r="3680" spans="1:10" ht="15.75" hidden="1" thickBot="1" x14ac:dyDescent="0.3">
      <c r="A3680" s="171"/>
      <c r="B3680" s="174"/>
      <c r="C3680" s="35" t="s">
        <v>956</v>
      </c>
      <c r="D3680" s="35" t="s">
        <v>583</v>
      </c>
      <c r="E3680" s="36">
        <f>0.275*(0.25+0.13+0.25)/2</f>
        <v>8.6625000000000008E-2</v>
      </c>
      <c r="F3680" s="53">
        <v>28.6615</v>
      </c>
      <c r="G3680" s="53">
        <f>IF(ISNUMBER(F3680),E3680*F3680,"")</f>
        <v>2.4828024375000002</v>
      </c>
      <c r="H3680" s="72"/>
      <c r="I3680" s="73"/>
      <c r="J3680" s="152">
        <v>0</v>
      </c>
    </row>
    <row r="3681" spans="1:10" ht="15.75" hidden="1" thickBot="1" x14ac:dyDescent="0.3">
      <c r="A3681" s="171"/>
      <c r="B3681" s="174"/>
      <c r="C3681" s="35" t="s">
        <v>584</v>
      </c>
      <c r="D3681" s="35" t="s">
        <v>583</v>
      </c>
      <c r="E3681" s="36">
        <f>0.115*(0.25+0.13+0.25)/2</f>
        <v>3.6225E-2</v>
      </c>
      <c r="F3681" s="53">
        <v>20.225499999999997</v>
      </c>
      <c r="G3681" s="53">
        <f>IF(ISNUMBER(F3681),E3681*F3681,"")</f>
        <v>0.73266873749999983</v>
      </c>
      <c r="H3681" s="72"/>
      <c r="I3681" s="73"/>
      <c r="J3681" s="152">
        <v>0</v>
      </c>
    </row>
    <row r="3682" spans="1:10" ht="15.75" hidden="1" thickBot="1" x14ac:dyDescent="0.3">
      <c r="A3682" s="171"/>
      <c r="B3682" s="174"/>
      <c r="C3682" s="35"/>
      <c r="D3682" s="35"/>
      <c r="E3682" s="36"/>
      <c r="F3682" s="53" t="s">
        <v>416</v>
      </c>
      <c r="G3682" s="53" t="str">
        <f>IF(ISNUMBER(F3682),E3682*F3682,"")</f>
        <v/>
      </c>
      <c r="H3682" s="72"/>
      <c r="I3682" s="73"/>
      <c r="J3682" s="152">
        <v>0</v>
      </c>
    </row>
    <row r="3683" spans="1:10" ht="26.25" hidden="1" thickBot="1" x14ac:dyDescent="0.3">
      <c r="A3683" s="171"/>
      <c r="B3683" s="174"/>
      <c r="C3683" s="47" t="s">
        <v>957</v>
      </c>
      <c r="D3683" s="35"/>
      <c r="E3683" s="36"/>
      <c r="F3683" s="53" t="s">
        <v>416</v>
      </c>
      <c r="G3683" s="53" t="str">
        <f>IF(ISNUMBER(F3683),E3683*F3683,"")</f>
        <v/>
      </c>
      <c r="H3683" s="72"/>
      <c r="I3683" s="73"/>
      <c r="J3683" s="152">
        <v>0</v>
      </c>
    </row>
    <row r="3684" spans="1:10" ht="15.75" hidden="1" thickBot="1" x14ac:dyDescent="0.3">
      <c r="A3684" s="172"/>
      <c r="B3684" s="175"/>
      <c r="C3684" s="35"/>
      <c r="D3684" s="35"/>
      <c r="E3684" s="36"/>
      <c r="F3684" s="53" t="s">
        <v>416</v>
      </c>
      <c r="G3684" s="53" t="str">
        <f>IF(ISNUMBER(F3684),E3684*F3684,"")</f>
        <v/>
      </c>
      <c r="H3684" s="72"/>
      <c r="I3684" s="73"/>
      <c r="J3684" s="152">
        <v>0</v>
      </c>
    </row>
    <row r="3685" spans="1:10" ht="15.75" hidden="1" thickBot="1" x14ac:dyDescent="0.3">
      <c r="A3685" s="170" t="s">
        <v>958</v>
      </c>
      <c r="B3685" s="173" t="str">
        <f>INDEX(Orçamentária!A:B,MATCH(Composições!A3685,Orçamentária!A:A,0),2)</f>
        <v>Meios-fios em concreto pré-moldado</v>
      </c>
      <c r="C3685" s="40"/>
      <c r="D3685" s="25" t="s">
        <v>69</v>
      </c>
      <c r="E3685" s="26"/>
      <c r="F3685" s="48" t="s">
        <v>416</v>
      </c>
      <c r="G3685" s="27" t="str">
        <f>IF(ISNUMBER(F3685),E3685*F3685,"")</f>
        <v/>
      </c>
      <c r="H3685" s="28"/>
      <c r="I3685" s="29"/>
      <c r="J3685" s="152">
        <v>0</v>
      </c>
    </row>
    <row r="3686" spans="1:10" ht="15.75" hidden="1" thickBot="1" x14ac:dyDescent="0.3">
      <c r="A3686" s="176"/>
      <c r="B3686" s="174"/>
      <c r="C3686" s="31"/>
      <c r="D3686" s="31"/>
      <c r="E3686" s="32"/>
      <c r="F3686" s="53" t="s">
        <v>416</v>
      </c>
      <c r="G3686" s="53" t="str">
        <f>IF(ISNUMBER(F3686),E3686*F3686,"")</f>
        <v/>
      </c>
      <c r="H3686" s="72"/>
      <c r="I3686" s="73"/>
      <c r="J3686" s="152">
        <v>0</v>
      </c>
    </row>
    <row r="3687" spans="1:10" ht="26.25" hidden="1" thickBot="1" x14ac:dyDescent="0.3">
      <c r="A3687" s="176"/>
      <c r="B3687" s="174"/>
      <c r="C3687" s="35" t="s">
        <v>7985</v>
      </c>
      <c r="D3687" s="35" t="s">
        <v>87</v>
      </c>
      <c r="E3687" s="36">
        <v>7.0000000000000001E-3</v>
      </c>
      <c r="F3687" s="53">
        <v>202.33099999999999</v>
      </c>
      <c r="G3687" s="53">
        <f>IF(ISNUMBER(F3687),E3687*F3687,"")</f>
        <v>1.416317</v>
      </c>
      <c r="H3687" s="38">
        <f>SUM(G3687:G3695)</f>
        <v>51.541540195776996</v>
      </c>
      <c r="I3687" s="39"/>
      <c r="J3687" s="152">
        <v>0</v>
      </c>
    </row>
    <row r="3688" spans="1:10" ht="26.25" hidden="1" thickBot="1" x14ac:dyDescent="0.3">
      <c r="A3688" s="176"/>
      <c r="B3688" s="174"/>
      <c r="C3688" s="35" t="s">
        <v>3230</v>
      </c>
      <c r="D3688" s="35" t="s">
        <v>385</v>
      </c>
      <c r="E3688" s="36">
        <v>1.0049999999999999</v>
      </c>
      <c r="F3688" s="53">
        <v>29.3645</v>
      </c>
      <c r="G3688" s="53">
        <f>IF(ISNUMBER(F3688),E3688*F3688,"")</f>
        <v>29.511322499999995</v>
      </c>
      <c r="H3688" s="72"/>
      <c r="I3688" s="73"/>
      <c r="J3688" s="152">
        <v>0</v>
      </c>
    </row>
    <row r="3689" spans="1:10" ht="15.75" hidden="1" thickBot="1" x14ac:dyDescent="0.3">
      <c r="A3689" s="176"/>
      <c r="B3689" s="174"/>
      <c r="C3689" s="35" t="s">
        <v>591</v>
      </c>
      <c r="D3689" s="35" t="s">
        <v>583</v>
      </c>
      <c r="E3689" s="36">
        <v>0.39400000000000002</v>
      </c>
      <c r="F3689" s="53">
        <v>27.160499999999999</v>
      </c>
      <c r="G3689" s="53">
        <f>IF(ISNUMBER(F3689),E3689*F3689,"")</f>
        <v>10.701237000000001</v>
      </c>
      <c r="H3689" s="72"/>
      <c r="I3689" s="73"/>
      <c r="J3689" s="152">
        <v>0</v>
      </c>
    </row>
    <row r="3690" spans="1:10" ht="15.75" hidden="1" thickBot="1" x14ac:dyDescent="0.3">
      <c r="A3690" s="176"/>
      <c r="B3690" s="174"/>
      <c r="C3690" s="35" t="s">
        <v>584</v>
      </c>
      <c r="D3690" s="35" t="s">
        <v>583</v>
      </c>
      <c r="E3690" s="36">
        <v>0.39400000000000002</v>
      </c>
      <c r="F3690" s="53">
        <v>20.225499999999997</v>
      </c>
      <c r="G3690" s="53">
        <f>IF(ISNUMBER(F3690),E3690*F3690,"")</f>
        <v>7.9688469999999993</v>
      </c>
      <c r="H3690" s="72"/>
      <c r="I3690" s="73"/>
      <c r="J3690" s="152">
        <v>0</v>
      </c>
    </row>
    <row r="3691" spans="1:10" ht="26.25" hidden="1" thickBot="1" x14ac:dyDescent="0.3">
      <c r="A3691" s="176"/>
      <c r="B3691" s="174"/>
      <c r="C3691" s="35" t="s">
        <v>79</v>
      </c>
      <c r="D3691" s="35" t="s">
        <v>80</v>
      </c>
      <c r="E3691" s="36">
        <v>2E-3</v>
      </c>
      <c r="F3691" s="53">
        <v>758.13304558849984</v>
      </c>
      <c r="G3691" s="53">
        <f>IF(ISNUMBER(F3691),E3691*F3691,"")</f>
        <v>1.5162660911769996</v>
      </c>
      <c r="H3691" s="72"/>
      <c r="I3691" s="73"/>
      <c r="J3691" s="152">
        <v>0</v>
      </c>
    </row>
    <row r="3692" spans="1:10" ht="51.75" hidden="1" thickBot="1" x14ac:dyDescent="0.3">
      <c r="A3692" s="176"/>
      <c r="B3692" s="174"/>
      <c r="C3692" s="35" t="s">
        <v>3071</v>
      </c>
      <c r="D3692" s="35" t="s">
        <v>80</v>
      </c>
      <c r="E3692" s="36">
        <f>1*E3687</f>
        <v>7.0000000000000001E-3</v>
      </c>
      <c r="F3692" s="33">
        <v>7.9257587999999988</v>
      </c>
      <c r="G3692" s="33">
        <f>IF(ISNUMBER(F3692),E3692*F3692,"")</f>
        <v>5.5480311599999992E-2</v>
      </c>
      <c r="H3692" s="34"/>
      <c r="I3692" s="30"/>
      <c r="J3692" s="152">
        <v>0</v>
      </c>
    </row>
    <row r="3693" spans="1:10" ht="39" hidden="1" thickBot="1" x14ac:dyDescent="0.3">
      <c r="A3693" s="176"/>
      <c r="B3693" s="174"/>
      <c r="C3693" s="35" t="s">
        <v>88</v>
      </c>
      <c r="D3693" s="35" t="s">
        <v>89</v>
      </c>
      <c r="E3693" s="36">
        <f>0.007*20</f>
        <v>0.14000000000000001</v>
      </c>
      <c r="F3693" s="53">
        <v>2.6576449499999995</v>
      </c>
      <c r="G3693" s="53">
        <f>IF(ISNUMBER(F3693),E3693*F3693,"")</f>
        <v>0.37207029299999994</v>
      </c>
      <c r="H3693" s="72"/>
      <c r="I3693" s="73"/>
      <c r="J3693" s="152">
        <v>0</v>
      </c>
    </row>
    <row r="3694" spans="1:10" ht="15.75" hidden="1" thickBot="1" x14ac:dyDescent="0.3">
      <c r="A3694" s="176"/>
      <c r="B3694" s="174"/>
      <c r="C3694" s="35"/>
      <c r="D3694" s="35"/>
      <c r="E3694" s="36"/>
      <c r="F3694" s="53" t="s">
        <v>416</v>
      </c>
      <c r="G3694" s="53" t="str">
        <f>IF(ISNUMBER(F3694),E3694*F3694,"")</f>
        <v/>
      </c>
      <c r="H3694" s="72"/>
      <c r="I3694" s="73"/>
      <c r="J3694" s="152">
        <v>0</v>
      </c>
    </row>
    <row r="3695" spans="1:10" ht="15.75" hidden="1" thickBot="1" x14ac:dyDescent="0.3">
      <c r="A3695" s="176"/>
      <c r="B3695" s="174"/>
      <c r="C3695" s="47" t="s">
        <v>959</v>
      </c>
      <c r="D3695" s="35"/>
      <c r="E3695" s="36"/>
      <c r="F3695" s="53" t="s">
        <v>416</v>
      </c>
      <c r="G3695" s="53" t="str">
        <f>IF(ISNUMBER(F3695),E3695*F3695,"")</f>
        <v/>
      </c>
      <c r="H3695" s="72"/>
      <c r="I3695" s="73"/>
      <c r="J3695" s="152">
        <v>0</v>
      </c>
    </row>
    <row r="3696" spans="1:10" ht="15.75" hidden="1" thickBot="1" x14ac:dyDescent="0.3">
      <c r="A3696" s="177"/>
      <c r="B3696" s="175"/>
      <c r="C3696" s="35"/>
      <c r="D3696" s="35"/>
      <c r="E3696" s="36"/>
      <c r="F3696" s="53" t="s">
        <v>416</v>
      </c>
      <c r="G3696" s="53" t="str">
        <f>IF(ISNUMBER(F3696),E3696*F3696,"")</f>
        <v/>
      </c>
      <c r="H3696" s="72"/>
      <c r="I3696" s="73"/>
      <c r="J3696" s="152">
        <v>0</v>
      </c>
    </row>
    <row r="3697" spans="1:10" ht="15.75" hidden="1" thickBot="1" x14ac:dyDescent="0.3">
      <c r="A3697" s="170" t="s">
        <v>960</v>
      </c>
      <c r="B3697" s="173" t="str">
        <f>INDEX(Orçamentária!A:B,MATCH(Composições!A3697,Orçamentária!A:A,0),2)</f>
        <v>Tubo PEAD corrugado para drenagem – Diâmetro 100 mm</v>
      </c>
      <c r="C3697" s="40"/>
      <c r="D3697" s="25" t="s">
        <v>69</v>
      </c>
      <c r="E3697" s="26"/>
      <c r="F3697" s="48" t="s">
        <v>416</v>
      </c>
      <c r="G3697" s="27" t="str">
        <f>IF(ISNUMBER(F3697),E3697*F3697,"")</f>
        <v/>
      </c>
      <c r="H3697" s="28"/>
      <c r="I3697" s="29"/>
      <c r="J3697" s="152">
        <v>0</v>
      </c>
    </row>
    <row r="3698" spans="1:10" ht="15.75" hidden="1" thickBot="1" x14ac:dyDescent="0.3">
      <c r="A3698" s="176"/>
      <c r="B3698" s="174"/>
      <c r="C3698" s="31"/>
      <c r="D3698" s="31"/>
      <c r="E3698" s="32"/>
      <c r="F3698" s="53" t="s">
        <v>416</v>
      </c>
      <c r="G3698" s="53" t="str">
        <f>IF(ISNUMBER(F3698),E3698*F3698,"")</f>
        <v/>
      </c>
      <c r="H3698" s="72"/>
      <c r="I3698" s="73"/>
      <c r="J3698" s="152">
        <v>0</v>
      </c>
    </row>
    <row r="3699" spans="1:10" ht="26.25" hidden="1" thickBot="1" x14ac:dyDescent="0.3">
      <c r="A3699" s="176"/>
      <c r="B3699" s="174"/>
      <c r="C3699" s="35" t="s">
        <v>8312</v>
      </c>
      <c r="D3699" s="35" t="s">
        <v>87</v>
      </c>
      <c r="E3699" s="36">
        <v>0.23</v>
      </c>
      <c r="F3699" s="53">
        <v>177.38399999999999</v>
      </c>
      <c r="G3699" s="53">
        <f>IF(ISNUMBER(F3699),E3699*F3699,"")</f>
        <v>40.798319999999997</v>
      </c>
      <c r="H3699" s="38">
        <f>SUM(G3699:G3709)</f>
        <v>146.31735129399999</v>
      </c>
      <c r="I3699" s="39"/>
      <c r="J3699" s="152">
        <v>0</v>
      </c>
    </row>
    <row r="3700" spans="1:10" ht="39" hidden="1" thickBot="1" x14ac:dyDescent="0.3">
      <c r="A3700" s="176"/>
      <c r="B3700" s="174"/>
      <c r="C3700" s="35" t="s">
        <v>962</v>
      </c>
      <c r="D3700" s="35" t="s">
        <v>385</v>
      </c>
      <c r="E3700" s="36">
        <v>1.01</v>
      </c>
      <c r="F3700" s="53">
        <v>10.754</v>
      </c>
      <c r="G3700" s="53">
        <f>IF(ISNUMBER(F3700),E3700*F3700,"")</f>
        <v>10.86154</v>
      </c>
      <c r="H3700" s="72"/>
      <c r="I3700" s="73"/>
      <c r="J3700" s="152">
        <v>0</v>
      </c>
    </row>
    <row r="3701" spans="1:10" ht="26.25" hidden="1" thickBot="1" x14ac:dyDescent="0.3">
      <c r="A3701" s="176"/>
      <c r="B3701" s="174"/>
      <c r="C3701" s="35" t="s">
        <v>825</v>
      </c>
      <c r="D3701" s="35" t="s">
        <v>583</v>
      </c>
      <c r="E3701" s="36">
        <v>0.5</v>
      </c>
      <c r="F3701" s="53">
        <v>26.799499999999998</v>
      </c>
      <c r="G3701" s="53">
        <f>IF(ISNUMBER(F3701),E3701*F3701,"")</f>
        <v>13.399749999999999</v>
      </c>
      <c r="H3701" s="72"/>
      <c r="I3701" s="73"/>
      <c r="J3701" s="152">
        <v>0</v>
      </c>
    </row>
    <row r="3702" spans="1:10" ht="15.75" hidden="1" thickBot="1" x14ac:dyDescent="0.3">
      <c r="A3702" s="176"/>
      <c r="B3702" s="174"/>
      <c r="C3702" s="35" t="s">
        <v>584</v>
      </c>
      <c r="D3702" s="35" t="s">
        <v>583</v>
      </c>
      <c r="E3702" s="36">
        <v>0.7</v>
      </c>
      <c r="F3702" s="53">
        <v>20.225499999999997</v>
      </c>
      <c r="G3702" s="53">
        <f>IF(ISNUMBER(F3702),E3702*F3702,"")</f>
        <v>14.157849999999996</v>
      </c>
      <c r="H3702" s="72"/>
      <c r="I3702" s="73"/>
      <c r="J3702" s="152">
        <v>0</v>
      </c>
    </row>
    <row r="3703" spans="1:10" ht="26.25" hidden="1" thickBot="1" x14ac:dyDescent="0.3">
      <c r="A3703" s="176"/>
      <c r="B3703" s="174"/>
      <c r="C3703" s="35" t="s">
        <v>8174</v>
      </c>
      <c r="D3703" s="35" t="s">
        <v>861</v>
      </c>
      <c r="E3703" s="36">
        <v>2.2000000000000002</v>
      </c>
      <c r="F3703" s="53">
        <v>19.303999999999998</v>
      </c>
      <c r="G3703" s="53">
        <f>IF(ISNUMBER(F3703),E3703*F3703,"")</f>
        <v>42.468800000000002</v>
      </c>
      <c r="H3703" s="72"/>
      <c r="I3703" s="73"/>
      <c r="J3703" s="152">
        <v>0</v>
      </c>
    </row>
    <row r="3704" spans="1:10" ht="26.25" hidden="1" thickBot="1" x14ac:dyDescent="0.3">
      <c r="A3704" s="176"/>
      <c r="B3704" s="174"/>
      <c r="C3704" s="35" t="s">
        <v>824</v>
      </c>
      <c r="D3704" s="35" t="s">
        <v>583</v>
      </c>
      <c r="E3704" s="36">
        <v>0.5</v>
      </c>
      <c r="F3704" s="53">
        <v>21.166</v>
      </c>
      <c r="G3704" s="53">
        <f>IF(ISNUMBER(F3704),E3704*F3704,"")</f>
        <v>10.583</v>
      </c>
      <c r="H3704" s="72"/>
      <c r="I3704" s="73"/>
      <c r="J3704" s="152">
        <v>0</v>
      </c>
    </row>
    <row r="3705" spans="1:10" ht="51.75" hidden="1" thickBot="1" x14ac:dyDescent="0.3">
      <c r="A3705" s="176"/>
      <c r="B3705" s="174"/>
      <c r="C3705" s="35" t="s">
        <v>3071</v>
      </c>
      <c r="D3705" s="35" t="s">
        <v>80</v>
      </c>
      <c r="E3705" s="36">
        <f>1*E3699</f>
        <v>0.23</v>
      </c>
      <c r="F3705" s="33">
        <v>7.9257587999999988</v>
      </c>
      <c r="G3705" s="33">
        <f>IF(ISNUMBER(F3705),E3705*F3705,"")</f>
        <v>1.8229245239999998</v>
      </c>
      <c r="H3705" s="34"/>
      <c r="I3705" s="30"/>
      <c r="J3705" s="152">
        <v>0</v>
      </c>
    </row>
    <row r="3706" spans="1:10" ht="39" hidden="1" thickBot="1" x14ac:dyDescent="0.3">
      <c r="A3706" s="176"/>
      <c r="B3706" s="174"/>
      <c r="C3706" s="35" t="s">
        <v>88</v>
      </c>
      <c r="D3706" s="35" t="s">
        <v>89</v>
      </c>
      <c r="E3706" s="36">
        <f>E3699*20</f>
        <v>4.6000000000000005</v>
      </c>
      <c r="F3706" s="53">
        <v>2.6576449499999995</v>
      </c>
      <c r="G3706" s="53">
        <f>IF(ISNUMBER(F3706),E3706*F3706,"")</f>
        <v>12.22516677</v>
      </c>
      <c r="H3706" s="72"/>
      <c r="I3706" s="73"/>
      <c r="J3706" s="152">
        <v>0</v>
      </c>
    </row>
    <row r="3707" spans="1:10" ht="15.75" hidden="1" thickBot="1" x14ac:dyDescent="0.3">
      <c r="A3707" s="176"/>
      <c r="B3707" s="174"/>
      <c r="C3707" s="35"/>
      <c r="D3707" s="35"/>
      <c r="E3707" s="36"/>
      <c r="F3707" s="53" t="s">
        <v>416</v>
      </c>
      <c r="G3707" s="53" t="str">
        <f>IF(ISNUMBER(F3707),E3707*F3707,"")</f>
        <v/>
      </c>
      <c r="H3707" s="72"/>
      <c r="I3707" s="73"/>
      <c r="J3707" s="152">
        <v>0</v>
      </c>
    </row>
    <row r="3708" spans="1:10" ht="15.75" hidden="1" thickBot="1" x14ac:dyDescent="0.3">
      <c r="A3708" s="176"/>
      <c r="B3708" s="174"/>
      <c r="C3708" s="47" t="s">
        <v>964</v>
      </c>
      <c r="D3708" s="35"/>
      <c r="E3708" s="36"/>
      <c r="F3708" s="53" t="s">
        <v>416</v>
      </c>
      <c r="G3708" s="53" t="str">
        <f>IF(ISNUMBER(F3708),E3708*F3708,"")</f>
        <v/>
      </c>
      <c r="H3708" s="72"/>
      <c r="I3708" s="73"/>
      <c r="J3708" s="152">
        <v>0</v>
      </c>
    </row>
    <row r="3709" spans="1:10" ht="15.75" hidden="1" thickBot="1" x14ac:dyDescent="0.3">
      <c r="A3709" s="176"/>
      <c r="B3709" s="174"/>
      <c r="C3709" s="35"/>
      <c r="D3709" s="35"/>
      <c r="E3709" s="36"/>
      <c r="F3709" s="53" t="s">
        <v>416</v>
      </c>
      <c r="G3709" s="53" t="str">
        <f>IF(ISNUMBER(F3709),E3709*F3709,"")</f>
        <v/>
      </c>
      <c r="H3709" s="72"/>
      <c r="I3709" s="73"/>
      <c r="J3709" s="152">
        <v>0</v>
      </c>
    </row>
    <row r="3710" spans="1:10" ht="15.75" hidden="1" thickBot="1" x14ac:dyDescent="0.3">
      <c r="A3710" s="170" t="s">
        <v>965</v>
      </c>
      <c r="B3710" s="173" t="str">
        <f>INDEX(Orçamentária!A:B,MATCH(Composições!A3710,Orçamentária!A:A,0),2)</f>
        <v>Fixadores metálicos para rochas ornamentais (Modelo Edifício Principal, peça inferior)</v>
      </c>
      <c r="C3710" s="40"/>
      <c r="D3710" s="25" t="s">
        <v>16</v>
      </c>
      <c r="E3710" s="26"/>
      <c r="F3710" s="48" t="s">
        <v>416</v>
      </c>
      <c r="G3710" s="27" t="str">
        <f>IF(ISNUMBER(F3710),E3710*F3710,"")</f>
        <v/>
      </c>
      <c r="H3710" s="28"/>
      <c r="I3710" s="29"/>
      <c r="J3710" s="152">
        <v>0</v>
      </c>
    </row>
    <row r="3711" spans="1:10" ht="15.75" hidden="1" thickBot="1" x14ac:dyDescent="0.3">
      <c r="A3711" s="176"/>
      <c r="B3711" s="174"/>
      <c r="C3711" s="31"/>
      <c r="D3711" s="31"/>
      <c r="E3711" s="32"/>
      <c r="F3711" s="53" t="s">
        <v>416</v>
      </c>
      <c r="G3711" s="53" t="str">
        <f>IF(ISNUMBER(F3711),E3711*F3711,"")</f>
        <v/>
      </c>
      <c r="H3711" s="72"/>
      <c r="I3711" s="73"/>
      <c r="J3711" s="152">
        <v>0</v>
      </c>
    </row>
    <row r="3712" spans="1:10" ht="15.75" hidden="1" thickBot="1" x14ac:dyDescent="0.3">
      <c r="A3712" s="176"/>
      <c r="B3712" s="174"/>
      <c r="C3712" s="35" t="s">
        <v>591</v>
      </c>
      <c r="D3712" s="35" t="s">
        <v>583</v>
      </c>
      <c r="E3712" s="36">
        <f>0.1+0.1</f>
        <v>0.2</v>
      </c>
      <c r="F3712" s="53">
        <v>27.160499999999999</v>
      </c>
      <c r="G3712" s="53">
        <f>IF(ISNUMBER(F3712),E3712*F3712,"")</f>
        <v>5.4321000000000002</v>
      </c>
      <c r="H3712" s="38">
        <f>SUM(G3712:G3717)</f>
        <v>9.7687871391722965</v>
      </c>
      <c r="I3712" s="39"/>
      <c r="J3712" s="152">
        <v>0</v>
      </c>
    </row>
    <row r="3713" spans="1:10" ht="15.75" hidden="1" thickBot="1" x14ac:dyDescent="0.3">
      <c r="A3713" s="176"/>
      <c r="B3713" s="174"/>
      <c r="C3713" s="35" t="s">
        <v>584</v>
      </c>
      <c r="D3713" s="35" t="s">
        <v>583</v>
      </c>
      <c r="E3713" s="36">
        <f>0.1+0.1</f>
        <v>0.2</v>
      </c>
      <c r="F3713" s="53">
        <v>20.225499999999997</v>
      </c>
      <c r="G3713" s="53">
        <f>IF(ISNUMBER(F3713),E3713*F3713,"")</f>
        <v>4.0450999999999997</v>
      </c>
      <c r="H3713" s="72"/>
      <c r="I3713" s="73"/>
      <c r="J3713" s="152">
        <v>0</v>
      </c>
    </row>
    <row r="3714" spans="1:10" ht="15.75" hidden="1" thickBot="1" x14ac:dyDescent="0.3">
      <c r="A3714" s="176"/>
      <c r="B3714" s="174"/>
      <c r="C3714" s="35" t="s">
        <v>893</v>
      </c>
      <c r="D3714" s="35" t="s">
        <v>107</v>
      </c>
      <c r="E3714" s="36">
        <f>0.016*2</f>
        <v>3.2000000000000001E-2</v>
      </c>
      <c r="F3714" s="53">
        <v>0</v>
      </c>
      <c r="G3714" s="53">
        <f>IF(ISNUMBER(F3714),E3714*F3714,"")</f>
        <v>0</v>
      </c>
      <c r="H3714" s="72"/>
      <c r="I3714" s="73"/>
      <c r="J3714" s="152">
        <v>0</v>
      </c>
    </row>
    <row r="3715" spans="1:10" ht="15.75" hidden="1" thickBot="1" x14ac:dyDescent="0.3">
      <c r="A3715" s="176"/>
      <c r="B3715" s="174"/>
      <c r="C3715" s="35" t="s">
        <v>894</v>
      </c>
      <c r="D3715" s="35" t="s">
        <v>895</v>
      </c>
      <c r="E3715" s="36">
        <f>0.1*2</f>
        <v>0.2</v>
      </c>
      <c r="F3715" s="53">
        <v>0</v>
      </c>
      <c r="G3715" s="53">
        <f>IF(ISNUMBER(F3715),E3715*F3715,"")</f>
        <v>0</v>
      </c>
      <c r="H3715" s="72"/>
      <c r="I3715" s="73"/>
      <c r="J3715" s="152">
        <v>0</v>
      </c>
    </row>
    <row r="3716" spans="1:10" ht="15.75" hidden="1" thickBot="1" x14ac:dyDescent="0.3">
      <c r="A3716" s="176"/>
      <c r="B3716" s="174"/>
      <c r="C3716" s="35" t="s">
        <v>966</v>
      </c>
      <c r="D3716" s="35" t="s">
        <v>107</v>
      </c>
      <c r="E3716" s="36">
        <v>1</v>
      </c>
      <c r="F3716" s="53" t="s">
        <v>416</v>
      </c>
      <c r="G3716" s="53" t="str">
        <f>IF(ISNUMBER(F3716),E3716*F3716,"")</f>
        <v/>
      </c>
      <c r="H3716" s="72"/>
      <c r="I3716" s="73"/>
      <c r="J3716" s="152">
        <v>0</v>
      </c>
    </row>
    <row r="3717" spans="1:10" ht="39" hidden="1" thickBot="1" x14ac:dyDescent="0.3">
      <c r="A3717" s="176"/>
      <c r="B3717" s="174"/>
      <c r="C3717" s="35" t="s">
        <v>896</v>
      </c>
      <c r="D3717" s="35" t="s">
        <v>80</v>
      </c>
      <c r="E3717" s="36">
        <f>ROUND(0.15*0.05*0.05,4)</f>
        <v>4.0000000000000002E-4</v>
      </c>
      <c r="F3717" s="53">
        <v>728.96784793074005</v>
      </c>
      <c r="G3717" s="53">
        <f>IF(ISNUMBER(F3717),E3717*F3717,"")</f>
        <v>0.29158713917229601</v>
      </c>
      <c r="H3717" s="72"/>
      <c r="I3717" s="73"/>
      <c r="J3717" s="152">
        <v>0</v>
      </c>
    </row>
    <row r="3718" spans="1:10" ht="15.75" hidden="1" thickBot="1" x14ac:dyDescent="0.3">
      <c r="A3718" s="176"/>
      <c r="B3718" s="174"/>
      <c r="C3718" s="35"/>
      <c r="D3718" s="35"/>
      <c r="E3718" s="36"/>
      <c r="F3718" s="53" t="s">
        <v>416</v>
      </c>
      <c r="G3718" s="53" t="str">
        <f>IF(ISNUMBER(F3718),E3718*F3718,"")</f>
        <v/>
      </c>
      <c r="H3718" s="72"/>
      <c r="I3718" s="73"/>
      <c r="J3718" s="152">
        <v>0</v>
      </c>
    </row>
    <row r="3719" spans="1:10" ht="15.75" hidden="1" thickBot="1" x14ac:dyDescent="0.3">
      <c r="A3719" s="176"/>
      <c r="B3719" s="174"/>
      <c r="C3719" s="149" t="s">
        <v>897</v>
      </c>
      <c r="D3719" s="35"/>
      <c r="E3719" s="36"/>
      <c r="F3719" s="53" t="s">
        <v>416</v>
      </c>
      <c r="G3719" s="53" t="str">
        <f>IF(ISNUMBER(F3719),E3719*F3719,"")</f>
        <v/>
      </c>
      <c r="H3719" s="72"/>
      <c r="I3719" s="73"/>
      <c r="J3719" s="152">
        <v>0</v>
      </c>
    </row>
    <row r="3720" spans="1:10" ht="15.75" hidden="1" thickBot="1" x14ac:dyDescent="0.3">
      <c r="A3720" s="177"/>
      <c r="B3720" s="175"/>
      <c r="C3720" s="54"/>
      <c r="D3720" s="54"/>
      <c r="E3720" s="65"/>
      <c r="F3720" s="75" t="s">
        <v>416</v>
      </c>
      <c r="G3720" s="75" t="str">
        <f>IF(ISNUMBER(F3720),E3720*F3720,"")</f>
        <v/>
      </c>
      <c r="H3720" s="76"/>
      <c r="I3720" s="73"/>
      <c r="J3720" s="152">
        <v>0</v>
      </c>
    </row>
    <row r="3721" spans="1:10" ht="15.75" hidden="1" thickBot="1" x14ac:dyDescent="0.3">
      <c r="A3721" s="170" t="s">
        <v>967</v>
      </c>
      <c r="B3721" s="173" t="str">
        <f>INDEX(Orçamentária!A:B,MATCH(Composições!A3721,Orçamentária!A:A,0),2)</f>
        <v>Locação de Container - Escritório</v>
      </c>
      <c r="C3721" s="40"/>
      <c r="D3721" s="25" t="s">
        <v>4170</v>
      </c>
      <c r="E3721" s="26"/>
      <c r="F3721" s="48" t="s">
        <v>416</v>
      </c>
      <c r="G3721" s="27" t="str">
        <f>IF(ISNUMBER(F3721),E3721*F3721,"")</f>
        <v/>
      </c>
      <c r="H3721" s="28"/>
      <c r="I3721" s="29"/>
      <c r="J3721" s="152">
        <v>0</v>
      </c>
    </row>
    <row r="3722" spans="1:10" ht="15.75" hidden="1" thickBot="1" x14ac:dyDescent="0.3">
      <c r="A3722" s="171"/>
      <c r="B3722" s="174"/>
      <c r="C3722" s="31"/>
      <c r="D3722" s="31"/>
      <c r="E3722" s="32"/>
      <c r="F3722" s="53" t="s">
        <v>416</v>
      </c>
      <c r="G3722" s="53" t="str">
        <f>IF(ISNUMBER(F3722),E3722*F3722,"")</f>
        <v/>
      </c>
      <c r="H3722" s="72"/>
      <c r="I3722" s="73"/>
      <c r="J3722" s="152">
        <v>0</v>
      </c>
    </row>
    <row r="3723" spans="1:10" ht="39" hidden="1" thickBot="1" x14ac:dyDescent="0.3">
      <c r="A3723" s="171"/>
      <c r="B3723" s="174"/>
      <c r="C3723" s="35" t="s">
        <v>8224</v>
      </c>
      <c r="D3723" s="35" t="s">
        <v>93</v>
      </c>
      <c r="E3723" s="36">
        <v>1</v>
      </c>
      <c r="F3723" s="53">
        <v>1163.75</v>
      </c>
      <c r="G3723" s="53">
        <f>IF(ISNUMBER(F3723),E3723*F3723,"")</f>
        <v>1163.75</v>
      </c>
      <c r="H3723" s="38">
        <f>SUM(G3723:G3723)</f>
        <v>1163.75</v>
      </c>
      <c r="I3723" s="39"/>
      <c r="J3723" s="152">
        <v>0</v>
      </c>
    </row>
    <row r="3724" spans="1:10" ht="15.75" hidden="1" thickBot="1" x14ac:dyDescent="0.3">
      <c r="A3724" s="172"/>
      <c r="B3724" s="175"/>
      <c r="C3724" s="35"/>
      <c r="D3724" s="35"/>
      <c r="E3724" s="36"/>
      <c r="F3724" s="53" t="s">
        <v>416</v>
      </c>
      <c r="G3724" s="53" t="str">
        <f>IF(ISNUMBER(F3724),E3724*F3724,"")</f>
        <v/>
      </c>
      <c r="H3724" s="72"/>
      <c r="I3724" s="73"/>
      <c r="J3724" s="152">
        <v>0</v>
      </c>
    </row>
    <row r="3725" spans="1:10" ht="15.75" hidden="1" thickBot="1" x14ac:dyDescent="0.3">
      <c r="A3725" s="170" t="s">
        <v>968</v>
      </c>
      <c r="B3725" s="173" t="str">
        <f>INDEX(Orçamentária!A:B,MATCH(Composições!A3725,Orçamentária!A:A,0),2)</f>
        <v>Abertura/fechamento de rasgo em concreto</v>
      </c>
      <c r="C3725" s="40"/>
      <c r="D3725" s="25" t="s">
        <v>69</v>
      </c>
      <c r="E3725" s="26"/>
      <c r="F3725" s="41" t="s">
        <v>416</v>
      </c>
      <c r="G3725" s="27" t="str">
        <f>IF(ISNUMBER(F3725),E3725*F3725,"")</f>
        <v/>
      </c>
      <c r="H3725" s="28"/>
      <c r="I3725" s="29"/>
      <c r="J3725" s="152">
        <v>0</v>
      </c>
    </row>
    <row r="3726" spans="1:10" ht="15.75" hidden="1" thickBot="1" x14ac:dyDescent="0.3">
      <c r="A3726" s="176"/>
      <c r="B3726" s="174"/>
      <c r="C3726" s="31"/>
      <c r="D3726" s="31"/>
      <c r="E3726" s="32"/>
      <c r="F3726" s="42" t="s">
        <v>416</v>
      </c>
      <c r="G3726" s="30" t="str">
        <f>IF(ISNUMBER(F3726),E3726*F3726,"")</f>
        <v/>
      </c>
      <c r="H3726" s="34"/>
      <c r="I3726" s="30"/>
      <c r="J3726" s="152">
        <v>0</v>
      </c>
    </row>
    <row r="3727" spans="1:10" ht="26.25" hidden="1" thickBot="1" x14ac:dyDescent="0.3">
      <c r="A3727" s="176"/>
      <c r="B3727" s="174"/>
      <c r="C3727" s="35" t="s">
        <v>969</v>
      </c>
      <c r="D3727" s="35" t="s">
        <v>813</v>
      </c>
      <c r="E3727" s="36">
        <v>0.183</v>
      </c>
      <c r="F3727" s="30">
        <v>24.6525</v>
      </c>
      <c r="G3727" s="30">
        <f>IF(ISNUMBER(F3727),E3727*F3727,"")</f>
        <v>4.5114074999999998</v>
      </c>
      <c r="H3727" s="38">
        <f>SUM(G3727:G3733)</f>
        <v>45.447067364708005</v>
      </c>
      <c r="I3727" s="39"/>
      <c r="J3727" s="152">
        <v>0</v>
      </c>
    </row>
    <row r="3728" spans="1:10" ht="26.25" hidden="1" thickBot="1" x14ac:dyDescent="0.3">
      <c r="A3728" s="176"/>
      <c r="B3728" s="174"/>
      <c r="C3728" s="35" t="s">
        <v>970</v>
      </c>
      <c r="D3728" s="35" t="s">
        <v>815</v>
      </c>
      <c r="E3728" s="36">
        <v>0.40100000000000002</v>
      </c>
      <c r="F3728" s="30">
        <v>23.008999999999997</v>
      </c>
      <c r="G3728" s="30">
        <f>IF(ISNUMBER(F3728),E3728*F3728,"")</f>
        <v>9.2266089999999998</v>
      </c>
      <c r="H3728" s="34"/>
      <c r="I3728" s="30"/>
      <c r="J3728" s="152">
        <v>0</v>
      </c>
    </row>
    <row r="3729" spans="1:10" ht="26.25" hidden="1" thickBot="1" x14ac:dyDescent="0.3">
      <c r="A3729" s="176"/>
      <c r="B3729" s="174"/>
      <c r="C3729" s="35" t="s">
        <v>824</v>
      </c>
      <c r="D3729" s="35" t="s">
        <v>583</v>
      </c>
      <c r="E3729" s="36">
        <v>9.0999999999999998E-2</v>
      </c>
      <c r="F3729" s="30">
        <v>21.166</v>
      </c>
      <c r="G3729" s="30">
        <f>IF(ISNUMBER(F3729),E3729*F3729,"")</f>
        <v>1.9261059999999999</v>
      </c>
      <c r="H3729" s="34"/>
      <c r="I3729" s="30"/>
      <c r="J3729" s="152">
        <v>0</v>
      </c>
    </row>
    <row r="3730" spans="1:10" ht="26.25" hidden="1" thickBot="1" x14ac:dyDescent="0.3">
      <c r="A3730" s="176"/>
      <c r="B3730" s="174"/>
      <c r="C3730" s="35" t="s">
        <v>825</v>
      </c>
      <c r="D3730" s="35" t="s">
        <v>583</v>
      </c>
      <c r="E3730" s="36">
        <v>0.58299999999999996</v>
      </c>
      <c r="F3730" s="30">
        <v>26.799499999999998</v>
      </c>
      <c r="G3730" s="30">
        <f>IF(ISNUMBER(F3730),E3730*F3730,"")</f>
        <v>15.624108499999998</v>
      </c>
      <c r="H3730" s="34"/>
      <c r="I3730" s="30"/>
      <c r="J3730" s="152">
        <v>0</v>
      </c>
    </row>
    <row r="3731" spans="1:10" ht="26.25" hidden="1" thickBot="1" x14ac:dyDescent="0.3">
      <c r="A3731" s="176"/>
      <c r="B3731" s="174"/>
      <c r="C3731" s="35" t="s">
        <v>824</v>
      </c>
      <c r="D3731" s="35" t="s">
        <v>583</v>
      </c>
      <c r="E3731" s="36">
        <v>3.7999999999999999E-2</v>
      </c>
      <c r="F3731" s="30">
        <v>21.166</v>
      </c>
      <c r="G3731" s="30">
        <f>IF(ISNUMBER(F3731),E3731*F3731,"")</f>
        <v>0.80430800000000002</v>
      </c>
      <c r="H3731" s="34"/>
      <c r="I3731" s="30"/>
      <c r="J3731" s="152">
        <v>0</v>
      </c>
    </row>
    <row r="3732" spans="1:10" ht="26.25" hidden="1" thickBot="1" x14ac:dyDescent="0.3">
      <c r="A3732" s="176"/>
      <c r="B3732" s="174"/>
      <c r="C3732" s="35" t="s">
        <v>825</v>
      </c>
      <c r="D3732" s="35" t="s">
        <v>583</v>
      </c>
      <c r="E3732" s="36">
        <v>0.27200000000000002</v>
      </c>
      <c r="F3732" s="30">
        <v>26.799499999999998</v>
      </c>
      <c r="G3732" s="30">
        <f>IF(ISNUMBER(F3732),E3732*F3732,"")</f>
        <v>7.2894639999999997</v>
      </c>
      <c r="H3732" s="34"/>
      <c r="I3732" s="30"/>
      <c r="J3732" s="152">
        <v>0</v>
      </c>
    </row>
    <row r="3733" spans="1:10" ht="26.25" hidden="1" thickBot="1" x14ac:dyDescent="0.3">
      <c r="A3733" s="176"/>
      <c r="B3733" s="174"/>
      <c r="C3733" s="35" t="s">
        <v>79</v>
      </c>
      <c r="D3733" s="35" t="s">
        <v>80</v>
      </c>
      <c r="E3733" s="36">
        <v>8.0000000000000002E-3</v>
      </c>
      <c r="F3733" s="33">
        <v>758.13304558849984</v>
      </c>
      <c r="G3733" s="33">
        <f>IF(ISNUMBER(F3733),E3733*F3733,"")</f>
        <v>6.0650643647079985</v>
      </c>
      <c r="H3733" s="34"/>
      <c r="I3733" s="30"/>
      <c r="J3733" s="152">
        <v>0</v>
      </c>
    </row>
    <row r="3734" spans="1:10" ht="15.75" hidden="1" thickBot="1" x14ac:dyDescent="0.3">
      <c r="A3734" s="177"/>
      <c r="B3734" s="175"/>
      <c r="C3734" s="35"/>
      <c r="D3734" s="35"/>
      <c r="E3734" s="36"/>
      <c r="F3734" s="30" t="s">
        <v>416</v>
      </c>
      <c r="G3734" s="30" t="str">
        <f>IF(ISNUMBER(F3734),E3734*F3734,"")</f>
        <v/>
      </c>
      <c r="H3734" s="34"/>
      <c r="I3734" s="30"/>
      <c r="J3734" s="152">
        <v>0</v>
      </c>
    </row>
    <row r="3735" spans="1:10" ht="15.75" hidden="1" thickBot="1" x14ac:dyDescent="0.3">
      <c r="A3735" s="170" t="s">
        <v>971</v>
      </c>
      <c r="B3735" s="173" t="str">
        <f>INDEX(Orçamentária!A:B,MATCH(Composições!A3735,Orçamentária!A:A,0),2)</f>
        <v>Recomposição de rejuntamento sobre revestimentos</v>
      </c>
      <c r="C3735" s="40"/>
      <c r="D3735" s="25" t="s">
        <v>28</v>
      </c>
      <c r="E3735" s="26"/>
      <c r="F3735" s="48" t="s">
        <v>416</v>
      </c>
      <c r="G3735" s="27" t="str">
        <f>IF(ISNUMBER(F3735),E3735*F3735,"")</f>
        <v/>
      </c>
      <c r="H3735" s="28"/>
      <c r="I3735" s="29"/>
      <c r="J3735" s="152">
        <v>0</v>
      </c>
    </row>
    <row r="3736" spans="1:10" ht="15.75" hidden="1" thickBot="1" x14ac:dyDescent="0.3">
      <c r="A3736" s="171"/>
      <c r="B3736" s="174"/>
      <c r="C3736" s="31"/>
      <c r="D3736" s="31"/>
      <c r="E3736" s="32"/>
      <c r="F3736" s="53" t="s">
        <v>416</v>
      </c>
      <c r="G3736" s="53" t="str">
        <f>IF(ISNUMBER(F3736),E3736*F3736,"")</f>
        <v/>
      </c>
      <c r="H3736" s="72"/>
      <c r="I3736" s="73"/>
      <c r="J3736" s="152">
        <v>0</v>
      </c>
    </row>
    <row r="3737" spans="1:10" ht="15.75" hidden="1" thickBot="1" x14ac:dyDescent="0.3">
      <c r="A3737" s="171"/>
      <c r="B3737" s="174"/>
      <c r="C3737" s="35" t="s">
        <v>8367</v>
      </c>
      <c r="D3737" s="35" t="s">
        <v>773</v>
      </c>
      <c r="E3737" s="36">
        <v>1</v>
      </c>
      <c r="F3737" s="53">
        <v>3.4579999999999997</v>
      </c>
      <c r="G3737" s="53">
        <f>IF(ISNUMBER(F3737),E3737*F3737,"")</f>
        <v>3.4579999999999997</v>
      </c>
      <c r="H3737" s="38">
        <f>SUM(G3737:G3738)</f>
        <v>22.574729678638935</v>
      </c>
      <c r="I3737" s="39"/>
      <c r="J3737" s="152">
        <v>0</v>
      </c>
    </row>
    <row r="3738" spans="1:10" ht="15.75" hidden="1" thickBot="1" x14ac:dyDescent="0.3">
      <c r="A3738" s="171"/>
      <c r="B3738" s="174"/>
      <c r="C3738" s="35" t="s">
        <v>584</v>
      </c>
      <c r="D3738" s="35" t="s">
        <v>583</v>
      </c>
      <c r="E3738" s="36">
        <f>0.5/0.529</f>
        <v>0.94517958412098291</v>
      </c>
      <c r="F3738" s="53">
        <v>20.225499999999997</v>
      </c>
      <c r="G3738" s="53">
        <f>IF(ISNUMBER(F3738),E3738*F3738,"")</f>
        <v>19.116729678638936</v>
      </c>
      <c r="H3738" s="72"/>
      <c r="I3738" s="73"/>
      <c r="J3738" s="152">
        <v>0</v>
      </c>
    </row>
    <row r="3739" spans="1:10" ht="15.75" hidden="1" thickBot="1" x14ac:dyDescent="0.3">
      <c r="A3739" s="172"/>
      <c r="B3739" s="175"/>
      <c r="C3739" s="35"/>
      <c r="D3739" s="35"/>
      <c r="E3739" s="36"/>
      <c r="F3739" s="53" t="s">
        <v>416</v>
      </c>
      <c r="G3739" s="53" t="str">
        <f>IF(ISNUMBER(F3739),E3739*F3739,"")</f>
        <v/>
      </c>
      <c r="H3739" s="72"/>
      <c r="I3739" s="73"/>
      <c r="J3739" s="152">
        <v>0</v>
      </c>
    </row>
    <row r="3740" spans="1:10" ht="15.75" hidden="1" thickBot="1" x14ac:dyDescent="0.3">
      <c r="A3740" s="170" t="s">
        <v>972</v>
      </c>
      <c r="B3740" s="173" t="str">
        <f>INDEX(Orçamentária!A:B,MATCH(Composições!A3740,Orçamentária!A:A,0),2)</f>
        <v>Impermeabilização de revestimentos em pedra</v>
      </c>
      <c r="C3740" s="40"/>
      <c r="D3740" s="25" t="s">
        <v>70</v>
      </c>
      <c r="E3740" s="26"/>
      <c r="F3740" s="48" t="s">
        <v>416</v>
      </c>
      <c r="G3740" s="27" t="str">
        <f>IF(ISNUMBER(F3740),E3740*F3740,"")</f>
        <v/>
      </c>
      <c r="H3740" s="28"/>
      <c r="I3740" s="29"/>
      <c r="J3740" s="152">
        <v>0</v>
      </c>
    </row>
    <row r="3741" spans="1:10" ht="15.75" hidden="1" thickBot="1" x14ac:dyDescent="0.3">
      <c r="A3741" s="171"/>
      <c r="B3741" s="174"/>
      <c r="C3741" s="31"/>
      <c r="D3741" s="31"/>
      <c r="E3741" s="32"/>
      <c r="F3741" s="53" t="s">
        <v>416</v>
      </c>
      <c r="G3741" s="53" t="str">
        <f>IF(ISNUMBER(F3741),E3741*F3741,"")</f>
        <v/>
      </c>
      <c r="H3741" s="72"/>
      <c r="I3741" s="73"/>
      <c r="J3741" s="152">
        <v>0</v>
      </c>
    </row>
    <row r="3742" spans="1:10" ht="15.75" hidden="1" thickBot="1" x14ac:dyDescent="0.3">
      <c r="A3742" s="171"/>
      <c r="B3742" s="174"/>
      <c r="C3742" s="35" t="s">
        <v>973</v>
      </c>
      <c r="D3742" s="49" t="s">
        <v>75</v>
      </c>
      <c r="E3742" s="36">
        <f>ROUND(1/12,4)</f>
        <v>8.3299999999999999E-2</v>
      </c>
      <c r="F3742" s="53" t="s">
        <v>416</v>
      </c>
      <c r="G3742" s="53" t="str">
        <f>IF(ISNUMBER(F3742),E3742*F3742,"")</f>
        <v/>
      </c>
      <c r="H3742" s="38">
        <f>SUM(G3742:G3744)</f>
        <v>22.363949999999996</v>
      </c>
      <c r="I3742" s="39"/>
      <c r="J3742" s="152">
        <v>0</v>
      </c>
    </row>
    <row r="3743" spans="1:10" ht="15.75" hidden="1" thickBot="1" x14ac:dyDescent="0.3">
      <c r="A3743" s="171"/>
      <c r="B3743" s="174"/>
      <c r="C3743" s="35" t="s">
        <v>881</v>
      </c>
      <c r="D3743" s="35" t="s">
        <v>583</v>
      </c>
      <c r="E3743" s="36">
        <f>1.2/2</f>
        <v>0.6</v>
      </c>
      <c r="F3743" s="53">
        <v>27.160499999999999</v>
      </c>
      <c r="G3743" s="53">
        <f>IF(ISNUMBER(F3743),E3743*F3743,"")</f>
        <v>16.296299999999999</v>
      </c>
      <c r="H3743" s="72"/>
      <c r="I3743" s="73"/>
      <c r="J3743" s="152">
        <v>0</v>
      </c>
    </row>
    <row r="3744" spans="1:10" ht="15.75" hidden="1" thickBot="1" x14ac:dyDescent="0.3">
      <c r="A3744" s="171"/>
      <c r="B3744" s="174"/>
      <c r="C3744" s="35" t="s">
        <v>584</v>
      </c>
      <c r="D3744" s="35" t="s">
        <v>583</v>
      </c>
      <c r="E3744" s="36">
        <f>0.6/2</f>
        <v>0.3</v>
      </c>
      <c r="F3744" s="53">
        <v>20.225499999999997</v>
      </c>
      <c r="G3744" s="53">
        <f>IF(ISNUMBER(F3744),E3744*F3744,"")</f>
        <v>6.0676499999999987</v>
      </c>
      <c r="H3744" s="72"/>
      <c r="I3744" s="73"/>
      <c r="J3744" s="152">
        <v>0</v>
      </c>
    </row>
    <row r="3745" spans="1:10" ht="15.75" hidden="1" thickBot="1" x14ac:dyDescent="0.3">
      <c r="A3745" s="171"/>
      <c r="B3745" s="174"/>
      <c r="C3745" s="35"/>
      <c r="D3745" s="35"/>
      <c r="E3745" s="36"/>
      <c r="F3745" s="53" t="s">
        <v>416</v>
      </c>
      <c r="G3745" s="53" t="str">
        <f>IF(ISNUMBER(F3745),E3745*F3745,"")</f>
        <v/>
      </c>
      <c r="H3745" s="72"/>
      <c r="I3745" s="73"/>
      <c r="J3745" s="152">
        <v>0</v>
      </c>
    </row>
    <row r="3746" spans="1:10" ht="26.25" hidden="1" thickBot="1" x14ac:dyDescent="0.3">
      <c r="A3746" s="171"/>
      <c r="B3746" s="174"/>
      <c r="C3746" s="47" t="s">
        <v>974</v>
      </c>
      <c r="D3746" s="35"/>
      <c r="E3746" s="36"/>
      <c r="F3746" s="53" t="s">
        <v>416</v>
      </c>
      <c r="G3746" s="53" t="str">
        <f>IF(ISNUMBER(F3746),E3746*F3746,"")</f>
        <v/>
      </c>
      <c r="H3746" s="72"/>
      <c r="I3746" s="73"/>
      <c r="J3746" s="152">
        <v>0</v>
      </c>
    </row>
    <row r="3747" spans="1:10" ht="15.75" hidden="1" thickBot="1" x14ac:dyDescent="0.3">
      <c r="A3747" s="171"/>
      <c r="B3747" s="174"/>
      <c r="C3747" s="47" t="s">
        <v>975</v>
      </c>
      <c r="D3747" s="35"/>
      <c r="E3747" s="36"/>
      <c r="F3747" s="53" t="s">
        <v>416</v>
      </c>
      <c r="G3747" s="53" t="str">
        <f>IF(ISNUMBER(F3747),E3747*F3747,"")</f>
        <v/>
      </c>
      <c r="H3747" s="72"/>
      <c r="I3747" s="73"/>
      <c r="J3747" s="152">
        <v>0</v>
      </c>
    </row>
    <row r="3748" spans="1:10" ht="15.75" hidden="1" thickBot="1" x14ac:dyDescent="0.3">
      <c r="A3748" s="172"/>
      <c r="B3748" s="175"/>
      <c r="C3748" s="35"/>
      <c r="D3748" s="35"/>
      <c r="E3748" s="36"/>
      <c r="F3748" s="53" t="s">
        <v>416</v>
      </c>
      <c r="G3748" s="53" t="str">
        <f>IF(ISNUMBER(F3748),E3748*F3748,"")</f>
        <v/>
      </c>
      <c r="H3748" s="72"/>
      <c r="I3748" s="73"/>
      <c r="J3748" s="152">
        <v>0</v>
      </c>
    </row>
    <row r="3749" spans="1:10" ht="15.75" hidden="1" thickBot="1" x14ac:dyDescent="0.3">
      <c r="A3749" s="170" t="s">
        <v>976</v>
      </c>
      <c r="B3749" s="173" t="str">
        <f>INDEX(Orçamentária!A:B,MATCH(Composições!A3749,Orçamentária!A:A,0),2)</f>
        <v>Piso vinílico semiflexível</v>
      </c>
      <c r="C3749" s="40"/>
      <c r="D3749" s="25" t="s">
        <v>70</v>
      </c>
      <c r="E3749" s="26"/>
      <c r="F3749" s="48" t="s">
        <v>416</v>
      </c>
      <c r="G3749" s="27" t="str">
        <f>IF(ISNUMBER(F3749),E3749*F3749,"")</f>
        <v/>
      </c>
      <c r="H3749" s="28"/>
      <c r="I3749" s="29"/>
      <c r="J3749" s="152">
        <v>0</v>
      </c>
    </row>
    <row r="3750" spans="1:10" ht="15.75" hidden="1" thickBot="1" x14ac:dyDescent="0.3">
      <c r="A3750" s="176"/>
      <c r="B3750" s="174"/>
      <c r="C3750" s="31"/>
      <c r="D3750" s="31"/>
      <c r="E3750" s="32"/>
      <c r="F3750" s="53" t="s">
        <v>416</v>
      </c>
      <c r="G3750" s="53" t="str">
        <f>IF(ISNUMBER(F3750),E3750*F3750,"")</f>
        <v/>
      </c>
      <c r="H3750" s="72"/>
      <c r="I3750" s="73"/>
      <c r="J3750" s="152">
        <v>0</v>
      </c>
    </row>
    <row r="3751" spans="1:10" ht="15.75" hidden="1" thickBot="1" x14ac:dyDescent="0.3">
      <c r="A3751" s="176"/>
      <c r="B3751" s="174"/>
      <c r="C3751" s="35" t="s">
        <v>7974</v>
      </c>
      <c r="D3751" s="35" t="s">
        <v>773</v>
      </c>
      <c r="E3751" s="36">
        <v>9.5000000000000001E-2</v>
      </c>
      <c r="F3751" s="53">
        <v>47.271999999999998</v>
      </c>
      <c r="G3751" s="53">
        <f>IF(ISNUMBER(F3751),E3751*F3751,"")</f>
        <v>4.4908399999999995</v>
      </c>
      <c r="H3751" s="38">
        <f>SUM(G3751:G3754)</f>
        <v>91.523703000000012</v>
      </c>
      <c r="I3751" s="39"/>
      <c r="J3751" s="152">
        <v>0</v>
      </c>
    </row>
    <row r="3752" spans="1:10" ht="26.25" hidden="1" thickBot="1" x14ac:dyDescent="0.3">
      <c r="A3752" s="176"/>
      <c r="B3752" s="174"/>
      <c r="C3752" s="35" t="s">
        <v>977</v>
      </c>
      <c r="D3752" s="35" t="s">
        <v>861</v>
      </c>
      <c r="E3752" s="36">
        <v>1.1100000000000001</v>
      </c>
      <c r="F3752" s="53">
        <v>72.674999999999997</v>
      </c>
      <c r="G3752" s="53">
        <f>IF(ISNUMBER(F3752),E3752*F3752,"")</f>
        <v>80.669250000000005</v>
      </c>
      <c r="H3752" s="72"/>
      <c r="I3752" s="73"/>
      <c r="J3752" s="152">
        <v>0</v>
      </c>
    </row>
    <row r="3753" spans="1:10" ht="15.75" hidden="1" thickBot="1" x14ac:dyDescent="0.3">
      <c r="A3753" s="176"/>
      <c r="B3753" s="174"/>
      <c r="C3753" s="35" t="s">
        <v>591</v>
      </c>
      <c r="D3753" s="35" t="s">
        <v>583</v>
      </c>
      <c r="E3753" s="36">
        <v>0.17100000000000001</v>
      </c>
      <c r="F3753" s="53">
        <v>27.160499999999999</v>
      </c>
      <c r="G3753" s="53">
        <f>IF(ISNUMBER(F3753),E3753*F3753,"")</f>
        <v>4.6444454999999998</v>
      </c>
      <c r="H3753" s="72"/>
      <c r="I3753" s="73"/>
      <c r="J3753" s="152">
        <v>0</v>
      </c>
    </row>
    <row r="3754" spans="1:10" ht="15.75" hidden="1" thickBot="1" x14ac:dyDescent="0.3">
      <c r="A3754" s="176"/>
      <c r="B3754" s="174"/>
      <c r="C3754" s="35" t="s">
        <v>584</v>
      </c>
      <c r="D3754" s="35" t="s">
        <v>583</v>
      </c>
      <c r="E3754" s="36">
        <v>8.5000000000000006E-2</v>
      </c>
      <c r="F3754" s="53">
        <v>20.225499999999997</v>
      </c>
      <c r="G3754" s="53">
        <f>IF(ISNUMBER(F3754),E3754*F3754,"")</f>
        <v>1.7191674999999997</v>
      </c>
      <c r="H3754" s="72"/>
      <c r="I3754" s="73"/>
      <c r="J3754" s="152">
        <v>0</v>
      </c>
    </row>
    <row r="3755" spans="1:10" ht="15.75" hidden="1" thickBot="1" x14ac:dyDescent="0.3">
      <c r="A3755" s="176"/>
      <c r="B3755" s="174"/>
      <c r="C3755" s="35"/>
      <c r="D3755" s="35"/>
      <c r="E3755" s="36"/>
      <c r="F3755" s="53" t="s">
        <v>416</v>
      </c>
      <c r="G3755" s="53" t="str">
        <f>IF(ISNUMBER(F3755),E3755*F3755,"")</f>
        <v/>
      </c>
      <c r="H3755" s="72"/>
      <c r="I3755" s="73"/>
      <c r="J3755" s="152">
        <v>0</v>
      </c>
    </row>
    <row r="3756" spans="1:10" ht="15.75" hidden="1" thickBot="1" x14ac:dyDescent="0.3">
      <c r="A3756" s="170" t="s">
        <v>978</v>
      </c>
      <c r="B3756" s="173" t="str">
        <f>INDEX(Orçamentária!A:B,MATCH(Composições!A3756,Orçamentária!A:A,0),2)</f>
        <v>Locação de Container - Sanitário</v>
      </c>
      <c r="C3756" s="40"/>
      <c r="D3756" s="25" t="s">
        <v>4170</v>
      </c>
      <c r="E3756" s="26"/>
      <c r="F3756" s="48" t="s">
        <v>416</v>
      </c>
      <c r="G3756" s="27" t="str">
        <f>IF(ISNUMBER(F3756),E3756*F3756,"")</f>
        <v/>
      </c>
      <c r="H3756" s="28"/>
      <c r="I3756" s="29"/>
      <c r="J3756" s="152">
        <v>0</v>
      </c>
    </row>
    <row r="3757" spans="1:10" ht="15.75" hidden="1" thickBot="1" x14ac:dyDescent="0.3">
      <c r="A3757" s="171"/>
      <c r="B3757" s="174"/>
      <c r="C3757" s="31"/>
      <c r="D3757" s="31"/>
      <c r="E3757" s="32"/>
      <c r="F3757" s="53" t="s">
        <v>416</v>
      </c>
      <c r="G3757" s="53" t="str">
        <f>IF(ISNUMBER(F3757),E3757*F3757,"")</f>
        <v/>
      </c>
      <c r="H3757" s="72"/>
      <c r="I3757" s="73"/>
      <c r="J3757" s="152">
        <v>0</v>
      </c>
    </row>
    <row r="3758" spans="1:10" ht="39" hidden="1" thickBot="1" x14ac:dyDescent="0.3">
      <c r="A3758" s="171"/>
      <c r="B3758" s="174"/>
      <c r="C3758" s="35" t="s">
        <v>8226</v>
      </c>
      <c r="D3758" s="35" t="s">
        <v>93</v>
      </c>
      <c r="E3758" s="36">
        <v>1</v>
      </c>
      <c r="F3758" s="53">
        <v>1454.6875</v>
      </c>
      <c r="G3758" s="53">
        <f>IF(ISNUMBER(F3758),E3758*F3758,"")</f>
        <v>1454.6875</v>
      </c>
      <c r="H3758" s="38">
        <f>SUM(G3758:G3758)</f>
        <v>1454.6875</v>
      </c>
      <c r="I3758" s="39"/>
      <c r="J3758" s="152">
        <v>0</v>
      </c>
    </row>
    <row r="3759" spans="1:10" ht="15.75" hidden="1" thickBot="1" x14ac:dyDescent="0.3">
      <c r="A3759" s="172"/>
      <c r="B3759" s="175"/>
      <c r="C3759" s="35"/>
      <c r="D3759" s="35"/>
      <c r="E3759" s="36"/>
      <c r="F3759" s="53" t="s">
        <v>416</v>
      </c>
      <c r="G3759" s="53" t="str">
        <f>IF(ISNUMBER(F3759),E3759*F3759,"")</f>
        <v/>
      </c>
      <c r="H3759" s="72"/>
      <c r="I3759" s="73"/>
      <c r="J3759" s="152">
        <v>0</v>
      </c>
    </row>
    <row r="3760" spans="1:10" ht="15.75" hidden="1" thickBot="1" x14ac:dyDescent="0.3">
      <c r="A3760" s="170" t="s">
        <v>979</v>
      </c>
      <c r="B3760" s="173" t="str">
        <f>INDEX(Orçamentária!A:B,MATCH(Composições!A3760,Orçamentária!A:A,0),2)</f>
        <v>Locação de Container - Almoxarifado</v>
      </c>
      <c r="C3760" s="40"/>
      <c r="D3760" s="25" t="s">
        <v>4170</v>
      </c>
      <c r="E3760" s="26"/>
      <c r="F3760" s="48" t="s">
        <v>416</v>
      </c>
      <c r="G3760" s="27" t="str">
        <f>IF(ISNUMBER(F3760),E3760*F3760,"")</f>
        <v/>
      </c>
      <c r="H3760" s="28"/>
      <c r="I3760" s="29"/>
      <c r="J3760" s="152">
        <v>0</v>
      </c>
    </row>
    <row r="3761" spans="1:10" ht="15.75" hidden="1" thickBot="1" x14ac:dyDescent="0.3">
      <c r="A3761" s="171"/>
      <c r="B3761" s="174"/>
      <c r="C3761" s="31"/>
      <c r="D3761" s="31"/>
      <c r="E3761" s="32"/>
      <c r="F3761" s="53" t="s">
        <v>416</v>
      </c>
      <c r="G3761" s="53" t="str">
        <f>IF(ISNUMBER(F3761),E3761*F3761,"")</f>
        <v/>
      </c>
      <c r="H3761" s="72"/>
      <c r="I3761" s="73"/>
      <c r="J3761" s="152">
        <v>0</v>
      </c>
    </row>
    <row r="3762" spans="1:10" ht="39" hidden="1" thickBot="1" x14ac:dyDescent="0.3">
      <c r="A3762" s="171"/>
      <c r="B3762" s="174"/>
      <c r="C3762" s="35" t="s">
        <v>8225</v>
      </c>
      <c r="D3762" s="35" t="s">
        <v>93</v>
      </c>
      <c r="E3762" s="36">
        <v>1</v>
      </c>
      <c r="F3762" s="53">
        <v>909.17849999999999</v>
      </c>
      <c r="G3762" s="53">
        <f>IF(ISNUMBER(F3762),E3762*F3762,"")</f>
        <v>909.17849999999999</v>
      </c>
      <c r="H3762" s="38">
        <f>SUM(G3762:G3762)</f>
        <v>909.17849999999999</v>
      </c>
      <c r="I3762" s="39"/>
      <c r="J3762" s="152">
        <v>0</v>
      </c>
    </row>
    <row r="3763" spans="1:10" ht="15.75" hidden="1" thickBot="1" x14ac:dyDescent="0.3">
      <c r="A3763" s="172"/>
      <c r="B3763" s="175"/>
      <c r="C3763" s="35"/>
      <c r="D3763" s="35"/>
      <c r="E3763" s="36"/>
      <c r="F3763" s="53" t="s">
        <v>416</v>
      </c>
      <c r="G3763" s="53" t="str">
        <f>IF(ISNUMBER(F3763),E3763*F3763,"")</f>
        <v/>
      </c>
      <c r="H3763" s="72"/>
      <c r="I3763" s="73"/>
      <c r="J3763" s="152">
        <v>0</v>
      </c>
    </row>
    <row r="3764" spans="1:10" ht="15.75" hidden="1" thickBot="1" x14ac:dyDescent="0.3">
      <c r="A3764" s="170" t="s">
        <v>980</v>
      </c>
      <c r="B3764" s="173" t="str">
        <f>INDEX(Orçamentária!A:B,MATCH(Composições!A3764,Orçamentária!A:A,0),2)</f>
        <v>Placa de Obra</v>
      </c>
      <c r="C3764" s="40"/>
      <c r="D3764" s="25" t="s">
        <v>70</v>
      </c>
      <c r="E3764" s="26"/>
      <c r="F3764" s="48" t="s">
        <v>416</v>
      </c>
      <c r="G3764" s="27" t="str">
        <f>IF(ISNUMBER(F3764),E3764*F3764,"")</f>
        <v/>
      </c>
      <c r="H3764" s="28"/>
      <c r="I3764" s="29"/>
      <c r="J3764" s="152">
        <v>0</v>
      </c>
    </row>
    <row r="3765" spans="1:10" ht="15.75" hidden="1" thickBot="1" x14ac:dyDescent="0.3">
      <c r="A3765" s="176"/>
      <c r="B3765" s="174"/>
      <c r="C3765" s="31"/>
      <c r="D3765" s="31"/>
      <c r="E3765" s="32"/>
      <c r="F3765" s="53" t="s">
        <v>416</v>
      </c>
      <c r="G3765" s="53" t="str">
        <f>IF(ISNUMBER(F3765),E3765*F3765,"")</f>
        <v/>
      </c>
      <c r="H3765" s="72"/>
      <c r="I3765" s="73"/>
      <c r="J3765" s="152">
        <v>0</v>
      </c>
    </row>
    <row r="3766" spans="1:10" ht="39" hidden="1" thickBot="1" x14ac:dyDescent="0.3">
      <c r="A3766" s="176"/>
      <c r="B3766" s="174"/>
      <c r="C3766" s="35" t="s">
        <v>8323</v>
      </c>
      <c r="D3766" s="35" t="s">
        <v>861</v>
      </c>
      <c r="E3766" s="36">
        <v>1</v>
      </c>
      <c r="F3766" s="53">
        <v>261.25</v>
      </c>
      <c r="G3766" s="53">
        <f>IF(ISNUMBER(F3766),E3766*F3766,"")</f>
        <v>261.25</v>
      </c>
      <c r="H3766" s="38">
        <f>SUM(G3766:G3767)</f>
        <v>261.25</v>
      </c>
      <c r="I3766" s="39"/>
      <c r="J3766" s="152">
        <v>0</v>
      </c>
    </row>
    <row r="3767" spans="1:10" ht="15.75" hidden="1" thickBot="1" x14ac:dyDescent="0.3">
      <c r="A3767" s="177"/>
      <c r="B3767" s="175"/>
      <c r="C3767" s="54"/>
      <c r="D3767" s="54"/>
      <c r="E3767" s="65"/>
      <c r="F3767" s="75" t="s">
        <v>416</v>
      </c>
      <c r="G3767" s="75" t="str">
        <f>IF(ISNUMBER(F3767),E3767*F3767,"")</f>
        <v/>
      </c>
      <c r="H3767" s="76"/>
      <c r="I3767" s="73"/>
      <c r="J3767" s="152">
        <v>0</v>
      </c>
    </row>
    <row r="3768" spans="1:10" ht="15.75" hidden="1" thickBot="1" x14ac:dyDescent="0.3">
      <c r="A3768" s="170" t="s">
        <v>2596</v>
      </c>
      <c r="B3768" s="173" t="str">
        <f>INDEX(Orçamentária!A:B,MATCH(Composições!A3768,Orçamentária!A:A,0),2)</f>
        <v>Supervisor(a) de Obras e Manutenção – Apoio a Projetos de Obras – Arquitetura, civil e hidrossanitária</v>
      </c>
      <c r="C3768" s="40"/>
      <c r="D3768" s="25" t="s">
        <v>2177</v>
      </c>
      <c r="E3768" s="26"/>
      <c r="F3768" s="48" t="s">
        <v>416</v>
      </c>
      <c r="G3768" s="27" t="str">
        <f>IF(ISNUMBER(F3768),E3768*F3768,"")</f>
        <v/>
      </c>
      <c r="H3768" s="28"/>
      <c r="I3768" s="29"/>
      <c r="J3768" s="152">
        <v>0</v>
      </c>
    </row>
    <row r="3769" spans="1:10" ht="15.75" hidden="1" thickBot="1" x14ac:dyDescent="0.3">
      <c r="A3769" s="176"/>
      <c r="B3769" s="174"/>
      <c r="C3769" s="31"/>
      <c r="D3769" s="31"/>
      <c r="E3769" s="32"/>
      <c r="F3769" s="53" t="s">
        <v>416</v>
      </c>
      <c r="G3769" s="53" t="str">
        <f>IF(ISNUMBER(F3769),E3769*F3769,"")</f>
        <v/>
      </c>
      <c r="H3769" s="72"/>
      <c r="I3769" s="73"/>
      <c r="J3769" s="152">
        <v>0</v>
      </c>
    </row>
    <row r="3770" spans="1:10" ht="15.75" hidden="1" thickBot="1" x14ac:dyDescent="0.3">
      <c r="A3770" s="176"/>
      <c r="B3770" s="174"/>
      <c r="C3770" s="35" t="s">
        <v>1067</v>
      </c>
      <c r="D3770" s="35" t="s">
        <v>93</v>
      </c>
      <c r="E3770" s="36">
        <f>ROUND(1/(1+70.03%),4)</f>
        <v>0.58809999999999996</v>
      </c>
      <c r="F3770" s="53">
        <v>3089.0484999999999</v>
      </c>
      <c r="G3770" s="53">
        <f>IF(ISNUMBER(F3770),E3770*F3770,"")</f>
        <v>1816.6694228499998</v>
      </c>
      <c r="H3770" s="38">
        <f>SUM(G3770:G3773)</f>
        <v>1816.6694228499998</v>
      </c>
      <c r="I3770" s="39"/>
      <c r="J3770" s="152">
        <v>0</v>
      </c>
    </row>
    <row r="3771" spans="1:10" ht="15.75" hidden="1" thickBot="1" x14ac:dyDescent="0.3">
      <c r="A3771" s="176"/>
      <c r="B3771" s="174"/>
      <c r="C3771" s="35"/>
      <c r="D3771" s="35"/>
      <c r="E3771" s="36"/>
      <c r="F3771" s="53" t="s">
        <v>416</v>
      </c>
      <c r="G3771" s="53" t="str">
        <f>IF(ISNUMBER(F3771),E3771*F3771,"")</f>
        <v/>
      </c>
      <c r="H3771" s="72"/>
      <c r="I3771" s="73"/>
      <c r="J3771" s="152">
        <v>0</v>
      </c>
    </row>
    <row r="3772" spans="1:10" ht="26.25" hidden="1" thickBot="1" x14ac:dyDescent="0.3">
      <c r="A3772" s="176"/>
      <c r="B3772" s="174"/>
      <c r="C3772" s="47" t="s">
        <v>655</v>
      </c>
      <c r="D3772" s="35"/>
      <c r="E3772" s="36"/>
      <c r="F3772" s="53" t="s">
        <v>416</v>
      </c>
      <c r="G3772" s="53" t="str">
        <f>IF(ISNUMBER(F3772),E3772*F3772,"")</f>
        <v/>
      </c>
      <c r="H3772" s="72"/>
      <c r="I3772" s="73"/>
      <c r="J3772" s="152">
        <v>0</v>
      </c>
    </row>
    <row r="3773" spans="1:10" ht="15.75" hidden="1" thickBot="1" x14ac:dyDescent="0.3">
      <c r="A3773" s="177"/>
      <c r="B3773" s="175"/>
      <c r="C3773" s="54"/>
      <c r="D3773" s="54"/>
      <c r="E3773" s="65"/>
      <c r="F3773" s="75" t="s">
        <v>416</v>
      </c>
      <c r="G3773" s="75" t="str">
        <f>IF(ISNUMBER(F3773),E3773*F3773,"")</f>
        <v/>
      </c>
      <c r="H3773" s="76"/>
      <c r="I3773" s="73"/>
      <c r="J3773" s="152">
        <v>0</v>
      </c>
    </row>
    <row r="3774" spans="1:10" ht="15.75" hidden="1" thickBot="1" x14ac:dyDescent="0.3">
      <c r="A3774" s="170" t="s">
        <v>2598</v>
      </c>
      <c r="B3774" s="173" t="str">
        <f>INDEX(Orçamentária!A:B,MATCH(Composições!A3774,Orçamentária!A:A,0),2)</f>
        <v>Supervisor de Obras e Manutenção - Apoio a Projetos e Obras - Eletromecânico</v>
      </c>
      <c r="C3774" s="40"/>
      <c r="D3774" s="25" t="s">
        <v>2177</v>
      </c>
      <c r="E3774" s="26"/>
      <c r="F3774" s="48" t="s">
        <v>416</v>
      </c>
      <c r="G3774" s="27" t="str">
        <f>IF(ISNUMBER(F3774),E3774*F3774,"")</f>
        <v/>
      </c>
      <c r="H3774" s="28"/>
      <c r="I3774" s="29"/>
      <c r="J3774" s="152">
        <v>0</v>
      </c>
    </row>
    <row r="3775" spans="1:10" ht="15.75" hidden="1" thickBot="1" x14ac:dyDescent="0.3">
      <c r="A3775" s="176"/>
      <c r="B3775" s="174"/>
      <c r="C3775" s="31"/>
      <c r="D3775" s="31"/>
      <c r="E3775" s="32"/>
      <c r="F3775" s="53" t="s">
        <v>416</v>
      </c>
      <c r="G3775" s="53" t="str">
        <f>IF(ISNUMBER(F3775),E3775*F3775,"")</f>
        <v/>
      </c>
      <c r="H3775" s="72"/>
      <c r="I3775" s="73"/>
      <c r="J3775" s="152">
        <v>0</v>
      </c>
    </row>
    <row r="3776" spans="1:10" ht="15.75" hidden="1" thickBot="1" x14ac:dyDescent="0.3">
      <c r="A3776" s="176"/>
      <c r="B3776" s="174"/>
      <c r="C3776" s="35" t="s">
        <v>1067</v>
      </c>
      <c r="D3776" s="35" t="s">
        <v>93</v>
      </c>
      <c r="E3776" s="36">
        <f t="shared" ref="E3776" si="0">ROUND(1/(1+70.03%),4)</f>
        <v>0.58809999999999996</v>
      </c>
      <c r="F3776" s="53">
        <v>3089.0484999999999</v>
      </c>
      <c r="G3776" s="53">
        <f>IF(ISNUMBER(F3776),E3776*F3776,"")</f>
        <v>1816.6694228499998</v>
      </c>
      <c r="H3776" s="38">
        <f>SUM(G3776:G3779)</f>
        <v>1816.6694228499998</v>
      </c>
      <c r="I3776" s="39"/>
      <c r="J3776" s="152">
        <v>0</v>
      </c>
    </row>
    <row r="3777" spans="1:10" ht="15.75" hidden="1" thickBot="1" x14ac:dyDescent="0.3">
      <c r="A3777" s="176"/>
      <c r="B3777" s="174"/>
      <c r="C3777" s="35"/>
      <c r="D3777" s="35"/>
      <c r="E3777" s="36"/>
      <c r="F3777" s="53" t="s">
        <v>416</v>
      </c>
      <c r="G3777" s="53" t="str">
        <f>IF(ISNUMBER(F3777),E3777*F3777,"")</f>
        <v/>
      </c>
      <c r="H3777" s="72"/>
      <c r="I3777" s="73"/>
      <c r="J3777" s="152">
        <v>0</v>
      </c>
    </row>
    <row r="3778" spans="1:10" ht="26.25" hidden="1" thickBot="1" x14ac:dyDescent="0.3">
      <c r="A3778" s="176"/>
      <c r="B3778" s="174"/>
      <c r="C3778" s="47" t="s">
        <v>655</v>
      </c>
      <c r="D3778" s="35"/>
      <c r="E3778" s="36"/>
      <c r="F3778" s="53" t="s">
        <v>416</v>
      </c>
      <c r="G3778" s="53" t="str">
        <f>IF(ISNUMBER(F3778),E3778*F3778,"")</f>
        <v/>
      </c>
      <c r="H3778" s="72"/>
      <c r="I3778" s="73"/>
      <c r="J3778" s="152">
        <v>0</v>
      </c>
    </row>
    <row r="3779" spans="1:10" ht="15.75" hidden="1" thickBot="1" x14ac:dyDescent="0.3">
      <c r="A3779" s="177"/>
      <c r="B3779" s="175"/>
      <c r="C3779" s="54"/>
      <c r="D3779" s="54"/>
      <c r="E3779" s="65"/>
      <c r="F3779" s="75" t="s">
        <v>416</v>
      </c>
      <c r="G3779" s="75" t="str">
        <f>IF(ISNUMBER(F3779),E3779*F3779,"")</f>
        <v/>
      </c>
      <c r="H3779" s="76"/>
      <c r="I3779" s="73"/>
      <c r="J3779" s="152">
        <v>0</v>
      </c>
    </row>
    <row r="3780" spans="1:10" ht="15.75" hidden="1" thickBot="1" x14ac:dyDescent="0.3">
      <c r="A3780" s="170" t="s">
        <v>2600</v>
      </c>
      <c r="B3780" s="173" t="str">
        <f>INDEX(Orçamentária!A:B,MATCH(Composições!A3780,Orçamentária!A:A,0),2)</f>
        <v>Supervisor de Obras e Manutenção – Apoio a projetos e obras - Orçamentos</v>
      </c>
      <c r="C3780" s="40"/>
      <c r="D3780" s="25" t="s">
        <v>2177</v>
      </c>
      <c r="E3780" s="26"/>
      <c r="F3780" s="48" t="s">
        <v>416</v>
      </c>
      <c r="G3780" s="27" t="str">
        <f>IF(ISNUMBER(F3780),E3780*F3780,"")</f>
        <v/>
      </c>
      <c r="H3780" s="28"/>
      <c r="I3780" s="29"/>
      <c r="J3780" s="152">
        <v>0</v>
      </c>
    </row>
    <row r="3781" spans="1:10" ht="15.75" hidden="1" thickBot="1" x14ac:dyDescent="0.3">
      <c r="A3781" s="176"/>
      <c r="B3781" s="174"/>
      <c r="C3781" s="31"/>
      <c r="D3781" s="31"/>
      <c r="E3781" s="32"/>
      <c r="F3781" s="53" t="s">
        <v>416</v>
      </c>
      <c r="G3781" s="53" t="str">
        <f>IF(ISNUMBER(F3781),E3781*F3781,"")</f>
        <v/>
      </c>
      <c r="H3781" s="72"/>
      <c r="I3781" s="73"/>
      <c r="J3781" s="152">
        <v>0</v>
      </c>
    </row>
    <row r="3782" spans="1:10" ht="15.75" hidden="1" thickBot="1" x14ac:dyDescent="0.3">
      <c r="A3782" s="176"/>
      <c r="B3782" s="174"/>
      <c r="C3782" s="35" t="s">
        <v>1067</v>
      </c>
      <c r="D3782" s="35" t="s">
        <v>93</v>
      </c>
      <c r="E3782" s="36">
        <f t="shared" ref="E3782" si="1">ROUND(1/(1+70.03%),4)</f>
        <v>0.58809999999999996</v>
      </c>
      <c r="F3782" s="53">
        <v>3089.0484999999999</v>
      </c>
      <c r="G3782" s="53">
        <f>IF(ISNUMBER(F3782),E3782*F3782,"")</f>
        <v>1816.6694228499998</v>
      </c>
      <c r="H3782" s="38">
        <f>SUM(G3782:G3785)</f>
        <v>1816.6694228499998</v>
      </c>
      <c r="I3782" s="39"/>
      <c r="J3782" s="152">
        <v>0</v>
      </c>
    </row>
    <row r="3783" spans="1:10" ht="15.75" hidden="1" thickBot="1" x14ac:dyDescent="0.3">
      <c r="A3783" s="176"/>
      <c r="B3783" s="174"/>
      <c r="C3783" s="35"/>
      <c r="D3783" s="35"/>
      <c r="E3783" s="36"/>
      <c r="F3783" s="53" t="s">
        <v>416</v>
      </c>
      <c r="G3783" s="53" t="str">
        <f>IF(ISNUMBER(F3783),E3783*F3783,"")</f>
        <v/>
      </c>
      <c r="H3783" s="72"/>
      <c r="I3783" s="73"/>
      <c r="J3783" s="152">
        <v>0</v>
      </c>
    </row>
    <row r="3784" spans="1:10" ht="26.25" hidden="1" thickBot="1" x14ac:dyDescent="0.3">
      <c r="A3784" s="176"/>
      <c r="B3784" s="174"/>
      <c r="C3784" s="47" t="s">
        <v>655</v>
      </c>
      <c r="D3784" s="35"/>
      <c r="E3784" s="36"/>
      <c r="F3784" s="53" t="s">
        <v>416</v>
      </c>
      <c r="G3784" s="53" t="str">
        <f>IF(ISNUMBER(F3784),E3784*F3784,"")</f>
        <v/>
      </c>
      <c r="H3784" s="72"/>
      <c r="I3784" s="73"/>
      <c r="J3784" s="152">
        <v>0</v>
      </c>
    </row>
    <row r="3785" spans="1:10" ht="15.75" hidden="1" thickBot="1" x14ac:dyDescent="0.3">
      <c r="A3785" s="177"/>
      <c r="B3785" s="175"/>
      <c r="C3785" s="54"/>
      <c r="D3785" s="54"/>
      <c r="E3785" s="65"/>
      <c r="F3785" s="75" t="s">
        <v>416</v>
      </c>
      <c r="G3785" s="75" t="str">
        <f>IF(ISNUMBER(F3785),E3785*F3785,"")</f>
        <v/>
      </c>
      <c r="H3785" s="76"/>
      <c r="I3785" s="73"/>
      <c r="J3785" s="152">
        <v>0</v>
      </c>
    </row>
    <row r="3786" spans="1:10" ht="15.75" hidden="1" thickBot="1" x14ac:dyDescent="0.3">
      <c r="A3786" s="170" t="s">
        <v>2602</v>
      </c>
      <c r="B3786" s="173" t="str">
        <f>INDEX(Orçamentária!A:B,MATCH(Composições!A3786,Orçamentária!A:A,0),2)</f>
        <v>Supervisor de Obras e Manutenção – Apoio de campo – Sistemas de climatização</v>
      </c>
      <c r="C3786" s="40"/>
      <c r="D3786" s="25" t="s">
        <v>2177</v>
      </c>
      <c r="E3786" s="26"/>
      <c r="F3786" s="48" t="s">
        <v>416</v>
      </c>
      <c r="G3786" s="27" t="str">
        <f>IF(ISNUMBER(F3786),E3786*F3786,"")</f>
        <v/>
      </c>
      <c r="H3786" s="28"/>
      <c r="I3786" s="29"/>
      <c r="J3786" s="152">
        <v>0</v>
      </c>
    </row>
    <row r="3787" spans="1:10" ht="15.75" hidden="1" thickBot="1" x14ac:dyDescent="0.3">
      <c r="A3787" s="176"/>
      <c r="B3787" s="174"/>
      <c r="C3787" s="31"/>
      <c r="D3787" s="31"/>
      <c r="E3787" s="32"/>
      <c r="F3787" s="53" t="s">
        <v>416</v>
      </c>
      <c r="G3787" s="53" t="str">
        <f>IF(ISNUMBER(F3787),E3787*F3787,"")</f>
        <v/>
      </c>
      <c r="H3787" s="72"/>
      <c r="I3787" s="73"/>
      <c r="J3787" s="152">
        <v>0</v>
      </c>
    </row>
    <row r="3788" spans="1:10" ht="15.75" hidden="1" thickBot="1" x14ac:dyDescent="0.3">
      <c r="A3788" s="176"/>
      <c r="B3788" s="174"/>
      <c r="C3788" s="35" t="s">
        <v>1067</v>
      </c>
      <c r="D3788" s="35" t="s">
        <v>93</v>
      </c>
      <c r="E3788" s="36">
        <f t="shared" ref="E3788" si="2">ROUND(1/(1+70.03%),4)</f>
        <v>0.58809999999999996</v>
      </c>
      <c r="F3788" s="53">
        <v>3089.0484999999999</v>
      </c>
      <c r="G3788" s="53">
        <f>IF(ISNUMBER(F3788),E3788*F3788,"")</f>
        <v>1816.6694228499998</v>
      </c>
      <c r="H3788" s="38">
        <f>SUM(G3788:G3791)</f>
        <v>1816.6694228499998</v>
      </c>
      <c r="I3788" s="39"/>
      <c r="J3788" s="152">
        <v>0</v>
      </c>
    </row>
    <row r="3789" spans="1:10" ht="15.75" hidden="1" thickBot="1" x14ac:dyDescent="0.3">
      <c r="A3789" s="176"/>
      <c r="B3789" s="174"/>
      <c r="C3789" s="35"/>
      <c r="D3789" s="35"/>
      <c r="E3789" s="36"/>
      <c r="F3789" s="53" t="s">
        <v>416</v>
      </c>
      <c r="G3789" s="53" t="str">
        <f>IF(ISNUMBER(F3789),E3789*F3789,"")</f>
        <v/>
      </c>
      <c r="H3789" s="72"/>
      <c r="I3789" s="73"/>
      <c r="J3789" s="152">
        <v>0</v>
      </c>
    </row>
    <row r="3790" spans="1:10" ht="26.25" hidden="1" thickBot="1" x14ac:dyDescent="0.3">
      <c r="A3790" s="176"/>
      <c r="B3790" s="174"/>
      <c r="C3790" s="47" t="s">
        <v>655</v>
      </c>
      <c r="D3790" s="35"/>
      <c r="E3790" s="36"/>
      <c r="F3790" s="53" t="s">
        <v>416</v>
      </c>
      <c r="G3790" s="53" t="str">
        <f>IF(ISNUMBER(F3790),E3790*F3790,"")</f>
        <v/>
      </c>
      <c r="H3790" s="72"/>
      <c r="I3790" s="73"/>
      <c r="J3790" s="152">
        <v>0</v>
      </c>
    </row>
    <row r="3791" spans="1:10" ht="15.75" hidden="1" thickBot="1" x14ac:dyDescent="0.3">
      <c r="A3791" s="177"/>
      <c r="B3791" s="175"/>
      <c r="C3791" s="54"/>
      <c r="D3791" s="54"/>
      <c r="E3791" s="65"/>
      <c r="F3791" s="75" t="s">
        <v>416</v>
      </c>
      <c r="G3791" s="75" t="str">
        <f>IF(ISNUMBER(F3791),E3791*F3791,"")</f>
        <v/>
      </c>
      <c r="H3791" s="76"/>
      <c r="I3791" s="73"/>
      <c r="J3791" s="152">
        <v>0</v>
      </c>
    </row>
    <row r="3792" spans="1:10" ht="15.75" hidden="1" thickBot="1" x14ac:dyDescent="0.3">
      <c r="A3792" s="170" t="s">
        <v>2604</v>
      </c>
      <c r="B3792" s="173" t="str">
        <f>INDEX(Orçamentária!A:B,MATCH(Composições!A3792,Orçamentária!A:A,0),2)</f>
        <v>Supervisor de Obras e Manutenção – Apoio de campo - Elevadores</v>
      </c>
      <c r="C3792" s="40"/>
      <c r="D3792" s="25" t="s">
        <v>2177</v>
      </c>
      <c r="E3792" s="26"/>
      <c r="F3792" s="48" t="s">
        <v>416</v>
      </c>
      <c r="G3792" s="27" t="str">
        <f>IF(ISNUMBER(F3792),E3792*F3792,"")</f>
        <v/>
      </c>
      <c r="H3792" s="28"/>
      <c r="I3792" s="29"/>
      <c r="J3792" s="152">
        <v>0</v>
      </c>
    </row>
    <row r="3793" spans="1:10" ht="15.75" hidden="1" thickBot="1" x14ac:dyDescent="0.3">
      <c r="A3793" s="176"/>
      <c r="B3793" s="174"/>
      <c r="C3793" s="31"/>
      <c r="D3793" s="31"/>
      <c r="E3793" s="32"/>
      <c r="F3793" s="53" t="s">
        <v>416</v>
      </c>
      <c r="G3793" s="53" t="str">
        <f>IF(ISNUMBER(F3793),E3793*F3793,"")</f>
        <v/>
      </c>
      <c r="H3793" s="72"/>
      <c r="I3793" s="73"/>
      <c r="J3793" s="152">
        <v>0</v>
      </c>
    </row>
    <row r="3794" spans="1:10" ht="15.75" hidden="1" thickBot="1" x14ac:dyDescent="0.3">
      <c r="A3794" s="176"/>
      <c r="B3794" s="174"/>
      <c r="C3794" s="35" t="s">
        <v>1067</v>
      </c>
      <c r="D3794" s="35" t="s">
        <v>93</v>
      </c>
      <c r="E3794" s="36">
        <f t="shared" ref="E3794" si="3">ROUND(1/(1+70.03%),4)</f>
        <v>0.58809999999999996</v>
      </c>
      <c r="F3794" s="53">
        <v>3089.0484999999999</v>
      </c>
      <c r="G3794" s="53">
        <f>IF(ISNUMBER(F3794),E3794*F3794,"")</f>
        <v>1816.6694228499998</v>
      </c>
      <c r="H3794" s="38">
        <f>SUM(G3794:G3797)</f>
        <v>1816.6694228499998</v>
      </c>
      <c r="I3794" s="39"/>
      <c r="J3794" s="152">
        <v>0</v>
      </c>
    </row>
    <row r="3795" spans="1:10" ht="15.75" hidden="1" thickBot="1" x14ac:dyDescent="0.3">
      <c r="A3795" s="176"/>
      <c r="B3795" s="174"/>
      <c r="C3795" s="35"/>
      <c r="D3795" s="35"/>
      <c r="E3795" s="36"/>
      <c r="F3795" s="53" t="s">
        <v>416</v>
      </c>
      <c r="G3795" s="53" t="str">
        <f>IF(ISNUMBER(F3795),E3795*F3795,"")</f>
        <v/>
      </c>
      <c r="H3795" s="72"/>
      <c r="I3795" s="73"/>
      <c r="J3795" s="152">
        <v>0</v>
      </c>
    </row>
    <row r="3796" spans="1:10" ht="26.25" hidden="1" thickBot="1" x14ac:dyDescent="0.3">
      <c r="A3796" s="176"/>
      <c r="B3796" s="174"/>
      <c r="C3796" s="47" t="s">
        <v>655</v>
      </c>
      <c r="D3796" s="35"/>
      <c r="E3796" s="36"/>
      <c r="F3796" s="53" t="s">
        <v>416</v>
      </c>
      <c r="G3796" s="53" t="str">
        <f>IF(ISNUMBER(F3796),E3796*F3796,"")</f>
        <v/>
      </c>
      <c r="H3796" s="72"/>
      <c r="I3796" s="73"/>
      <c r="J3796" s="152">
        <v>0</v>
      </c>
    </row>
    <row r="3797" spans="1:10" ht="15.75" hidden="1" thickBot="1" x14ac:dyDescent="0.3">
      <c r="A3797" s="177"/>
      <c r="B3797" s="175"/>
      <c r="C3797" s="54"/>
      <c r="D3797" s="54"/>
      <c r="E3797" s="65"/>
      <c r="F3797" s="75" t="s">
        <v>416</v>
      </c>
      <c r="G3797" s="75" t="str">
        <f>IF(ISNUMBER(F3797),E3797*F3797,"")</f>
        <v/>
      </c>
      <c r="H3797" s="76"/>
      <c r="I3797" s="73"/>
      <c r="J3797" s="152">
        <v>0</v>
      </c>
    </row>
    <row r="3798" spans="1:10" ht="15.75" hidden="1" thickBot="1" x14ac:dyDescent="0.3">
      <c r="A3798" s="170" t="s">
        <v>2606</v>
      </c>
      <c r="B3798" s="173" t="str">
        <f>INDEX(Orçamentária!A:B,MATCH(Composições!A3798,Orçamentária!A:A,0),2)</f>
        <v>Supervisor de Obras e Manutenção – Apoio de campo - Eletrotécnico</v>
      </c>
      <c r="C3798" s="40"/>
      <c r="D3798" s="25" t="s">
        <v>2177</v>
      </c>
      <c r="E3798" s="26"/>
      <c r="F3798" s="48" t="s">
        <v>416</v>
      </c>
      <c r="G3798" s="27" t="str">
        <f>IF(ISNUMBER(F3798),E3798*F3798,"")</f>
        <v/>
      </c>
      <c r="H3798" s="28"/>
      <c r="I3798" s="29"/>
      <c r="J3798" s="152">
        <v>0</v>
      </c>
    </row>
    <row r="3799" spans="1:10" ht="15.75" hidden="1" thickBot="1" x14ac:dyDescent="0.3">
      <c r="A3799" s="176"/>
      <c r="B3799" s="174"/>
      <c r="C3799" s="31"/>
      <c r="D3799" s="31"/>
      <c r="E3799" s="32"/>
      <c r="F3799" s="53" t="s">
        <v>416</v>
      </c>
      <c r="G3799" s="53" t="str">
        <f>IF(ISNUMBER(F3799),E3799*F3799,"")</f>
        <v/>
      </c>
      <c r="H3799" s="72"/>
      <c r="I3799" s="73"/>
      <c r="J3799" s="152">
        <v>0</v>
      </c>
    </row>
    <row r="3800" spans="1:10" ht="15.75" hidden="1" thickBot="1" x14ac:dyDescent="0.3">
      <c r="A3800" s="176"/>
      <c r="B3800" s="174"/>
      <c r="C3800" s="35" t="s">
        <v>1067</v>
      </c>
      <c r="D3800" s="35" t="s">
        <v>93</v>
      </c>
      <c r="E3800" s="36">
        <f t="shared" ref="E3800" si="4">ROUND(1/(1+70.03%),4)</f>
        <v>0.58809999999999996</v>
      </c>
      <c r="F3800" s="53">
        <v>3089.0484999999999</v>
      </c>
      <c r="G3800" s="53">
        <f>IF(ISNUMBER(F3800),E3800*F3800,"")</f>
        <v>1816.6694228499998</v>
      </c>
      <c r="H3800" s="38">
        <f>SUM(G3800:G3803)</f>
        <v>1816.6694228499998</v>
      </c>
      <c r="I3800" s="39"/>
      <c r="J3800" s="152">
        <v>0</v>
      </c>
    </row>
    <row r="3801" spans="1:10" ht="15.75" hidden="1" thickBot="1" x14ac:dyDescent="0.3">
      <c r="A3801" s="176"/>
      <c r="B3801" s="174"/>
      <c r="C3801" s="35"/>
      <c r="D3801" s="35"/>
      <c r="E3801" s="36"/>
      <c r="F3801" s="53" t="s">
        <v>416</v>
      </c>
      <c r="G3801" s="53" t="str">
        <f>IF(ISNUMBER(F3801),E3801*F3801,"")</f>
        <v/>
      </c>
      <c r="H3801" s="72"/>
      <c r="I3801" s="73"/>
      <c r="J3801" s="152">
        <v>0</v>
      </c>
    </row>
    <row r="3802" spans="1:10" ht="26.25" hidden="1" thickBot="1" x14ac:dyDescent="0.3">
      <c r="A3802" s="176"/>
      <c r="B3802" s="174"/>
      <c r="C3802" s="47" t="s">
        <v>655</v>
      </c>
      <c r="D3802" s="35"/>
      <c r="E3802" s="36"/>
      <c r="F3802" s="53" t="s">
        <v>416</v>
      </c>
      <c r="G3802" s="53" t="str">
        <f>IF(ISNUMBER(F3802),E3802*F3802,"")</f>
        <v/>
      </c>
      <c r="H3802" s="72"/>
      <c r="I3802" s="73"/>
      <c r="J3802" s="152">
        <v>0</v>
      </c>
    </row>
    <row r="3803" spans="1:10" ht="15.75" hidden="1" thickBot="1" x14ac:dyDescent="0.3">
      <c r="A3803" s="177"/>
      <c r="B3803" s="175"/>
      <c r="C3803" s="54"/>
      <c r="D3803" s="54"/>
      <c r="E3803" s="65"/>
      <c r="F3803" s="75" t="s">
        <v>416</v>
      </c>
      <c r="G3803" s="75" t="str">
        <f>IF(ISNUMBER(F3803),E3803*F3803,"")</f>
        <v/>
      </c>
      <c r="H3803" s="76"/>
      <c r="I3803" s="73"/>
      <c r="J3803" s="152">
        <v>0</v>
      </c>
    </row>
    <row r="3804" spans="1:10" ht="15.75" hidden="1" thickBot="1" x14ac:dyDescent="0.3">
      <c r="A3804" s="170" t="s">
        <v>2608</v>
      </c>
      <c r="B3804" s="173" t="str">
        <f>INDEX(Orçamentária!A:B,MATCH(Composições!A3804,Orçamentária!A:A,0),2)</f>
        <v>Supervisor de Obras e Manutenção – Apoio de Campo - Obras Civis</v>
      </c>
      <c r="C3804" s="40"/>
      <c r="D3804" s="25" t="s">
        <v>2177</v>
      </c>
      <c r="E3804" s="26"/>
      <c r="F3804" s="48" t="s">
        <v>416</v>
      </c>
      <c r="G3804" s="27" t="str">
        <f>IF(ISNUMBER(F3804),E3804*F3804,"")</f>
        <v/>
      </c>
      <c r="H3804" s="28"/>
      <c r="I3804" s="29"/>
      <c r="J3804" s="152">
        <v>0</v>
      </c>
    </row>
    <row r="3805" spans="1:10" ht="15.75" hidden="1" thickBot="1" x14ac:dyDescent="0.3">
      <c r="A3805" s="176"/>
      <c r="B3805" s="174"/>
      <c r="C3805" s="31"/>
      <c r="D3805" s="31"/>
      <c r="E3805" s="32"/>
      <c r="F3805" s="53" t="s">
        <v>416</v>
      </c>
      <c r="G3805" s="53" t="str">
        <f>IF(ISNUMBER(F3805),E3805*F3805,"")</f>
        <v/>
      </c>
      <c r="H3805" s="72"/>
      <c r="I3805" s="73"/>
      <c r="J3805" s="152">
        <v>0</v>
      </c>
    </row>
    <row r="3806" spans="1:10" ht="15.75" hidden="1" thickBot="1" x14ac:dyDescent="0.3">
      <c r="A3806" s="176"/>
      <c r="B3806" s="174"/>
      <c r="C3806" s="35" t="s">
        <v>1067</v>
      </c>
      <c r="D3806" s="35" t="s">
        <v>93</v>
      </c>
      <c r="E3806" s="36">
        <f t="shared" ref="E3806" si="5">ROUND(1/(1+70.03%),4)</f>
        <v>0.58809999999999996</v>
      </c>
      <c r="F3806" s="53">
        <v>3089.0484999999999</v>
      </c>
      <c r="G3806" s="53">
        <f>IF(ISNUMBER(F3806),E3806*F3806,"")</f>
        <v>1816.6694228499998</v>
      </c>
      <c r="H3806" s="38">
        <f>SUM(G3806:G3809)</f>
        <v>1816.6694228499998</v>
      </c>
      <c r="I3806" s="39"/>
      <c r="J3806" s="152">
        <v>0</v>
      </c>
    </row>
    <row r="3807" spans="1:10" ht="15.75" hidden="1" thickBot="1" x14ac:dyDescent="0.3">
      <c r="A3807" s="176"/>
      <c r="B3807" s="174"/>
      <c r="C3807" s="35"/>
      <c r="D3807" s="35"/>
      <c r="E3807" s="36"/>
      <c r="F3807" s="53" t="s">
        <v>416</v>
      </c>
      <c r="G3807" s="53" t="str">
        <f>IF(ISNUMBER(F3807),E3807*F3807,"")</f>
        <v/>
      </c>
      <c r="H3807" s="72"/>
      <c r="I3807" s="73"/>
      <c r="J3807" s="152">
        <v>0</v>
      </c>
    </row>
    <row r="3808" spans="1:10" ht="26.25" hidden="1" thickBot="1" x14ac:dyDescent="0.3">
      <c r="A3808" s="176"/>
      <c r="B3808" s="174"/>
      <c r="C3808" s="47" t="s">
        <v>655</v>
      </c>
      <c r="D3808" s="35"/>
      <c r="E3808" s="36"/>
      <c r="F3808" s="53" t="s">
        <v>416</v>
      </c>
      <c r="G3808" s="53" t="str">
        <f>IF(ISNUMBER(F3808),E3808*F3808,"")</f>
        <v/>
      </c>
      <c r="H3808" s="72"/>
      <c r="I3808" s="73"/>
      <c r="J3808" s="152">
        <v>0</v>
      </c>
    </row>
    <row r="3809" spans="1:10" ht="15.75" hidden="1" thickBot="1" x14ac:dyDescent="0.3">
      <c r="A3809" s="177"/>
      <c r="B3809" s="175"/>
      <c r="C3809" s="54"/>
      <c r="D3809" s="54"/>
      <c r="E3809" s="65"/>
      <c r="F3809" s="75" t="s">
        <v>416</v>
      </c>
      <c r="G3809" s="75" t="str">
        <f>IF(ISNUMBER(F3809),E3809*F3809,"")</f>
        <v/>
      </c>
      <c r="H3809" s="76"/>
      <c r="I3809" s="73"/>
      <c r="J3809" s="152">
        <v>0</v>
      </c>
    </row>
    <row r="3810" spans="1:10" ht="15.75" hidden="1" thickBot="1" x14ac:dyDescent="0.3">
      <c r="A3810" s="170" t="s">
        <v>2610</v>
      </c>
      <c r="B3810" s="173" t="str">
        <f>INDEX(Orçamentária!A:B,MATCH(Composições!A3810,Orçamentária!A:A,0),2)</f>
        <v>Supervisor de Obras e Manutenção – Apoio de Campo - Hidrossanitário</v>
      </c>
      <c r="C3810" s="40"/>
      <c r="D3810" s="25" t="s">
        <v>2177</v>
      </c>
      <c r="E3810" s="26"/>
      <c r="F3810" s="48" t="s">
        <v>416</v>
      </c>
      <c r="G3810" s="27" t="str">
        <f>IF(ISNUMBER(F3810),E3810*F3810,"")</f>
        <v/>
      </c>
      <c r="H3810" s="28"/>
      <c r="I3810" s="29"/>
      <c r="J3810" s="152">
        <v>0</v>
      </c>
    </row>
    <row r="3811" spans="1:10" ht="15.75" hidden="1" thickBot="1" x14ac:dyDescent="0.3">
      <c r="A3811" s="176"/>
      <c r="B3811" s="174"/>
      <c r="C3811" s="31"/>
      <c r="D3811" s="31"/>
      <c r="E3811" s="32"/>
      <c r="F3811" s="53" t="s">
        <v>416</v>
      </c>
      <c r="G3811" s="53" t="str">
        <f>IF(ISNUMBER(F3811),E3811*F3811,"")</f>
        <v/>
      </c>
      <c r="H3811" s="72"/>
      <c r="I3811" s="73"/>
      <c r="J3811" s="152">
        <v>0</v>
      </c>
    </row>
    <row r="3812" spans="1:10" ht="15.75" hidden="1" thickBot="1" x14ac:dyDescent="0.3">
      <c r="A3812" s="176"/>
      <c r="B3812" s="174"/>
      <c r="C3812" s="35" t="s">
        <v>1067</v>
      </c>
      <c r="D3812" s="35" t="s">
        <v>93</v>
      </c>
      <c r="E3812" s="36">
        <f t="shared" ref="E3812" si="6">ROUND(1/(1+70.03%),4)</f>
        <v>0.58809999999999996</v>
      </c>
      <c r="F3812" s="53">
        <v>3089.0484999999999</v>
      </c>
      <c r="G3812" s="53">
        <f>IF(ISNUMBER(F3812),E3812*F3812,"")</f>
        <v>1816.6694228499998</v>
      </c>
      <c r="H3812" s="38">
        <f>SUM(G3812:G3815)</f>
        <v>1816.6694228499998</v>
      </c>
      <c r="I3812" s="39"/>
      <c r="J3812" s="152">
        <v>0</v>
      </c>
    </row>
    <row r="3813" spans="1:10" ht="15.75" hidden="1" thickBot="1" x14ac:dyDescent="0.3">
      <c r="A3813" s="176"/>
      <c r="B3813" s="174"/>
      <c r="C3813" s="35"/>
      <c r="D3813" s="35"/>
      <c r="E3813" s="36"/>
      <c r="F3813" s="53" t="s">
        <v>416</v>
      </c>
      <c r="G3813" s="53" t="str">
        <f>IF(ISNUMBER(F3813),E3813*F3813,"")</f>
        <v/>
      </c>
      <c r="H3813" s="72"/>
      <c r="I3813" s="73"/>
      <c r="J3813" s="152">
        <v>0</v>
      </c>
    </row>
    <row r="3814" spans="1:10" ht="26.25" hidden="1" thickBot="1" x14ac:dyDescent="0.3">
      <c r="A3814" s="176"/>
      <c r="B3814" s="174"/>
      <c r="C3814" s="47" t="s">
        <v>655</v>
      </c>
      <c r="D3814" s="35"/>
      <c r="E3814" s="36"/>
      <c r="F3814" s="53" t="s">
        <v>416</v>
      </c>
      <c r="G3814" s="53" t="str">
        <f>IF(ISNUMBER(F3814),E3814*F3814,"")</f>
        <v/>
      </c>
      <c r="H3814" s="72"/>
      <c r="I3814" s="73"/>
      <c r="J3814" s="152">
        <v>0</v>
      </c>
    </row>
    <row r="3815" spans="1:10" ht="15.75" hidden="1" thickBot="1" x14ac:dyDescent="0.3">
      <c r="A3815" s="177"/>
      <c r="B3815" s="175"/>
      <c r="C3815" s="54"/>
      <c r="D3815" s="54"/>
      <c r="E3815" s="65"/>
      <c r="F3815" s="75" t="s">
        <v>416</v>
      </c>
      <c r="G3815" s="75" t="str">
        <f>IF(ISNUMBER(F3815),E3815*F3815,"")</f>
        <v/>
      </c>
      <c r="H3815" s="76"/>
      <c r="I3815" s="73"/>
      <c r="J3815" s="152">
        <v>0</v>
      </c>
    </row>
    <row r="3816" spans="1:10" ht="15.75" hidden="1" thickBot="1" x14ac:dyDescent="0.3">
      <c r="A3816" s="170" t="s">
        <v>2612</v>
      </c>
      <c r="B3816" s="173" t="str">
        <f>INDEX(Orçamentária!A:B,MATCH(Composições!A3816,Orçamentária!A:A,0),2)</f>
        <v>Supervisor de Obras e Manutenção – Apoio de campo – Planejamento</v>
      </c>
      <c r="C3816" s="40"/>
      <c r="D3816" s="25" t="s">
        <v>2177</v>
      </c>
      <c r="E3816" s="26"/>
      <c r="F3816" s="48" t="s">
        <v>416</v>
      </c>
      <c r="G3816" s="27" t="str">
        <f>IF(ISNUMBER(F3816),E3816*F3816,"")</f>
        <v/>
      </c>
      <c r="H3816" s="28"/>
      <c r="I3816" s="29"/>
      <c r="J3816" s="152">
        <v>0</v>
      </c>
    </row>
    <row r="3817" spans="1:10" ht="15.75" hidden="1" thickBot="1" x14ac:dyDescent="0.3">
      <c r="A3817" s="176"/>
      <c r="B3817" s="174"/>
      <c r="C3817" s="31"/>
      <c r="D3817" s="31"/>
      <c r="E3817" s="32"/>
      <c r="F3817" s="53" t="s">
        <v>416</v>
      </c>
      <c r="G3817" s="53" t="str">
        <f>IF(ISNUMBER(F3817),E3817*F3817,"")</f>
        <v/>
      </c>
      <c r="H3817" s="72"/>
      <c r="I3817" s="73"/>
      <c r="J3817" s="152">
        <v>0</v>
      </c>
    </row>
    <row r="3818" spans="1:10" ht="15.75" hidden="1" thickBot="1" x14ac:dyDescent="0.3">
      <c r="A3818" s="176"/>
      <c r="B3818" s="174"/>
      <c r="C3818" s="35" t="s">
        <v>1067</v>
      </c>
      <c r="D3818" s="35" t="s">
        <v>93</v>
      </c>
      <c r="E3818" s="36">
        <f t="shared" ref="E3818" si="7">ROUND(1/(1+70.03%),4)</f>
        <v>0.58809999999999996</v>
      </c>
      <c r="F3818" s="53">
        <v>3089.0484999999999</v>
      </c>
      <c r="G3818" s="53">
        <f>IF(ISNUMBER(F3818),E3818*F3818,"")</f>
        <v>1816.6694228499998</v>
      </c>
      <c r="H3818" s="38">
        <f>SUM(G3818:G3821)</f>
        <v>1816.6694228499998</v>
      </c>
      <c r="I3818" s="39"/>
      <c r="J3818" s="152">
        <v>0</v>
      </c>
    </row>
    <row r="3819" spans="1:10" ht="15.75" hidden="1" thickBot="1" x14ac:dyDescent="0.3">
      <c r="A3819" s="176"/>
      <c r="B3819" s="174"/>
      <c r="C3819" s="35"/>
      <c r="D3819" s="35"/>
      <c r="E3819" s="36"/>
      <c r="F3819" s="53" t="s">
        <v>416</v>
      </c>
      <c r="G3819" s="53" t="str">
        <f>IF(ISNUMBER(F3819),E3819*F3819,"")</f>
        <v/>
      </c>
      <c r="H3819" s="72"/>
      <c r="I3819" s="73"/>
      <c r="J3819" s="152">
        <v>0</v>
      </c>
    </row>
    <row r="3820" spans="1:10" ht="26.25" hidden="1" thickBot="1" x14ac:dyDescent="0.3">
      <c r="A3820" s="176"/>
      <c r="B3820" s="174"/>
      <c r="C3820" s="47" t="s">
        <v>655</v>
      </c>
      <c r="D3820" s="35"/>
      <c r="E3820" s="36"/>
      <c r="F3820" s="53" t="s">
        <v>416</v>
      </c>
      <c r="G3820" s="53" t="str">
        <f>IF(ISNUMBER(F3820),E3820*F3820,"")</f>
        <v/>
      </c>
      <c r="H3820" s="72"/>
      <c r="I3820" s="73"/>
      <c r="J3820" s="152">
        <v>0</v>
      </c>
    </row>
    <row r="3821" spans="1:10" ht="15.75" hidden="1" thickBot="1" x14ac:dyDescent="0.3">
      <c r="A3821" s="177"/>
      <c r="B3821" s="175"/>
      <c r="C3821" s="54"/>
      <c r="D3821" s="54"/>
      <c r="E3821" s="65"/>
      <c r="F3821" s="75" t="s">
        <v>416</v>
      </c>
      <c r="G3821" s="75" t="str">
        <f>IF(ISNUMBER(F3821),E3821*F3821,"")</f>
        <v/>
      </c>
      <c r="H3821" s="76"/>
      <c r="I3821" s="73"/>
      <c r="J3821" s="152">
        <v>0</v>
      </c>
    </row>
    <row r="3822" spans="1:10" ht="15.75" hidden="1" thickBot="1" x14ac:dyDescent="0.3">
      <c r="A3822" s="170" t="s">
        <v>981</v>
      </c>
      <c r="B3822" s="173" t="str">
        <f>INDEX(Orçamentária!A:B,MATCH(Composições!A3822,Orçamentária!A:A,0),2)</f>
        <v>Supervisor de Obras e Manutenção – Apoio de campo – Segurança do Trabalho</v>
      </c>
      <c r="C3822" s="40"/>
      <c r="D3822" s="25" t="s">
        <v>2177</v>
      </c>
      <c r="E3822" s="26"/>
      <c r="F3822" s="48" t="s">
        <v>416</v>
      </c>
      <c r="G3822" s="27" t="str">
        <f>IF(ISNUMBER(F3822),E3822*F3822,"")</f>
        <v/>
      </c>
      <c r="H3822" s="28"/>
      <c r="I3822" s="29"/>
      <c r="J3822" s="152">
        <v>0</v>
      </c>
    </row>
    <row r="3823" spans="1:10" ht="15.75" hidden="1" thickBot="1" x14ac:dyDescent="0.3">
      <c r="A3823" s="176"/>
      <c r="B3823" s="174"/>
      <c r="C3823" s="31"/>
      <c r="D3823" s="31"/>
      <c r="E3823" s="32"/>
      <c r="F3823" s="53" t="s">
        <v>416</v>
      </c>
      <c r="G3823" s="53" t="str">
        <f>IF(ISNUMBER(F3823),E3823*F3823,"")</f>
        <v/>
      </c>
      <c r="H3823" s="72"/>
      <c r="I3823" s="73"/>
      <c r="J3823" s="152">
        <v>0</v>
      </c>
    </row>
    <row r="3824" spans="1:10" ht="26.25" hidden="1" thickBot="1" x14ac:dyDescent="0.3">
      <c r="A3824" s="176"/>
      <c r="B3824" s="174"/>
      <c r="C3824" s="35" t="s">
        <v>982</v>
      </c>
      <c r="D3824" s="35" t="s">
        <v>93</v>
      </c>
      <c r="E3824" s="36">
        <f>ROUND(1/(1+72.54%),4)</f>
        <v>0.5796</v>
      </c>
      <c r="F3824" s="53">
        <v>7819.2979999999998</v>
      </c>
      <c r="G3824" s="53">
        <f>IF(ISNUMBER(F3824),E3824*F3824,"")</f>
        <v>4532.0651207999999</v>
      </c>
      <c r="H3824" s="38">
        <f>SUM(G3824:G3827)</f>
        <v>4532.0651207999999</v>
      </c>
      <c r="I3824" s="39"/>
      <c r="J3824" s="152">
        <v>0</v>
      </c>
    </row>
    <row r="3825" spans="1:10" ht="15.75" hidden="1" thickBot="1" x14ac:dyDescent="0.3">
      <c r="A3825" s="176"/>
      <c r="B3825" s="174"/>
      <c r="C3825" s="35"/>
      <c r="D3825" s="35"/>
      <c r="E3825" s="36"/>
      <c r="F3825" s="53" t="s">
        <v>416</v>
      </c>
      <c r="G3825" s="53" t="str">
        <f>IF(ISNUMBER(F3825),E3825*F3825,"")</f>
        <v/>
      </c>
      <c r="H3825" s="72"/>
      <c r="I3825" s="73"/>
      <c r="J3825" s="152">
        <v>0</v>
      </c>
    </row>
    <row r="3826" spans="1:10" ht="26.25" hidden="1" thickBot="1" x14ac:dyDescent="0.3">
      <c r="A3826" s="176"/>
      <c r="B3826" s="174"/>
      <c r="C3826" s="47" t="s">
        <v>655</v>
      </c>
      <c r="D3826" s="35"/>
      <c r="E3826" s="36"/>
      <c r="F3826" s="53" t="s">
        <v>416</v>
      </c>
      <c r="G3826" s="53" t="str">
        <f>IF(ISNUMBER(F3826),E3826*F3826,"")</f>
        <v/>
      </c>
      <c r="H3826" s="72"/>
      <c r="I3826" s="73"/>
      <c r="J3826" s="152">
        <v>0</v>
      </c>
    </row>
    <row r="3827" spans="1:10" ht="15.75" hidden="1" thickBot="1" x14ac:dyDescent="0.3">
      <c r="A3827" s="177"/>
      <c r="B3827" s="175"/>
      <c r="C3827" s="54"/>
      <c r="D3827" s="54"/>
      <c r="E3827" s="65"/>
      <c r="F3827" s="75" t="s">
        <v>416</v>
      </c>
      <c r="G3827" s="75" t="str">
        <f>IF(ISNUMBER(F3827),E3827*F3827,"")</f>
        <v/>
      </c>
      <c r="H3827" s="76"/>
      <c r="I3827" s="73"/>
      <c r="J3827" s="152">
        <v>0</v>
      </c>
    </row>
    <row r="3828" spans="1:10" ht="15.75" hidden="1" thickBot="1" x14ac:dyDescent="0.3">
      <c r="A3828" s="170" t="s">
        <v>983</v>
      </c>
      <c r="B3828" s="173" t="str">
        <f>INDEX(Orçamentária!A:B,MATCH(Composições!A3828,Orçamentária!A:A,0),2)</f>
        <v xml:space="preserve">Reparo de placas de mármore com adesivo estrutural epóxi branco/transparente </v>
      </c>
      <c r="C3828" s="40"/>
      <c r="D3828" s="25" t="s">
        <v>5416</v>
      </c>
      <c r="E3828" s="26"/>
      <c r="F3828" s="48" t="s">
        <v>416</v>
      </c>
      <c r="G3828" s="27" t="str">
        <f>IF(ISNUMBER(F3828),E3828*F3828,"")</f>
        <v/>
      </c>
      <c r="H3828" s="28"/>
      <c r="I3828" s="29"/>
      <c r="J3828" s="152">
        <v>0</v>
      </c>
    </row>
    <row r="3829" spans="1:10" ht="15.75" hidden="1" thickBot="1" x14ac:dyDescent="0.3">
      <c r="A3829" s="171"/>
      <c r="B3829" s="174"/>
      <c r="C3829" s="31"/>
      <c r="D3829" s="31"/>
      <c r="E3829" s="32"/>
      <c r="F3829" s="53" t="s">
        <v>416</v>
      </c>
      <c r="G3829" s="53" t="str">
        <f>IF(ISNUMBER(F3829),E3829*F3829,"")</f>
        <v/>
      </c>
      <c r="H3829" s="72"/>
      <c r="I3829" s="73"/>
      <c r="J3829" s="152">
        <v>0</v>
      </c>
    </row>
    <row r="3830" spans="1:10" ht="15.75" hidden="1" thickBot="1" x14ac:dyDescent="0.3">
      <c r="A3830" s="171"/>
      <c r="B3830" s="174"/>
      <c r="C3830" s="35" t="s">
        <v>2906</v>
      </c>
      <c r="D3830" s="35" t="s">
        <v>583</v>
      </c>
      <c r="E3830" s="36">
        <f>0.5/50</f>
        <v>0.01</v>
      </c>
      <c r="F3830" s="53">
        <v>27.036999999999999</v>
      </c>
      <c r="G3830" s="53">
        <f>IF(ISNUMBER(F3830),E3830*F3830,"")</f>
        <v>0.27037</v>
      </c>
      <c r="H3830" s="38">
        <f>SUM(G3830:G3831)</f>
        <v>0.27037</v>
      </c>
      <c r="I3830" s="39"/>
      <c r="J3830" s="152">
        <v>0</v>
      </c>
    </row>
    <row r="3831" spans="1:10" ht="15.75" hidden="1" thickBot="1" x14ac:dyDescent="0.3">
      <c r="A3831" s="171"/>
      <c r="B3831" s="174"/>
      <c r="C3831" s="35" t="s">
        <v>984</v>
      </c>
      <c r="D3831" s="35" t="s">
        <v>107</v>
      </c>
      <c r="E3831" s="36">
        <f>1/50</f>
        <v>0.02</v>
      </c>
      <c r="F3831" s="53" t="s">
        <v>416</v>
      </c>
      <c r="G3831" s="53" t="str">
        <f>IF(ISNUMBER(F3831),E3831*F3831,"")</f>
        <v/>
      </c>
      <c r="H3831" s="72"/>
      <c r="I3831" s="73"/>
      <c r="J3831" s="152">
        <v>0</v>
      </c>
    </row>
    <row r="3832" spans="1:10" ht="15.75" hidden="1" thickBot="1" x14ac:dyDescent="0.3">
      <c r="A3832" s="172"/>
      <c r="B3832" s="175"/>
      <c r="C3832" s="35"/>
      <c r="D3832" s="35"/>
      <c r="E3832" s="36"/>
      <c r="F3832" s="53" t="s">
        <v>416</v>
      </c>
      <c r="G3832" s="53" t="str">
        <f>IF(ISNUMBER(F3832),E3832*F3832,"")</f>
        <v/>
      </c>
      <c r="H3832" s="72"/>
      <c r="I3832" s="73"/>
      <c r="J3832" s="152">
        <v>0</v>
      </c>
    </row>
    <row r="3833" spans="1:10" ht="15.75" hidden="1" thickBot="1" x14ac:dyDescent="0.3">
      <c r="A3833" s="170" t="s">
        <v>985</v>
      </c>
      <c r="B3833" s="173" t="str">
        <f>INDEX(Orçamentária!A:B,MATCH(Composições!A3833,Orçamentária!A:A,0),2)</f>
        <v>Perfil de chapa de aço galvanizado para esquadria (Anexo 1)</v>
      </c>
      <c r="C3833" s="40"/>
      <c r="D3833" s="25" t="s">
        <v>69</v>
      </c>
      <c r="E3833" s="26"/>
      <c r="F3833" s="48" t="s">
        <v>416</v>
      </c>
      <c r="G3833" s="27" t="str">
        <f>IF(ISNUMBER(F3833),E3833*F3833,"")</f>
        <v/>
      </c>
      <c r="H3833" s="28"/>
      <c r="I3833" s="29"/>
      <c r="J3833" s="152">
        <v>0</v>
      </c>
    </row>
    <row r="3834" spans="1:10" ht="15.75" hidden="1" thickBot="1" x14ac:dyDescent="0.3">
      <c r="A3834" s="171"/>
      <c r="B3834" s="174"/>
      <c r="C3834" s="31"/>
      <c r="D3834" s="31"/>
      <c r="E3834" s="32"/>
      <c r="F3834" s="53" t="s">
        <v>416</v>
      </c>
      <c r="G3834" s="53" t="str">
        <f>IF(ISNUMBER(F3834),E3834*F3834,"")</f>
        <v/>
      </c>
      <c r="H3834" s="72"/>
      <c r="I3834" s="73"/>
      <c r="J3834" s="152">
        <v>0</v>
      </c>
    </row>
    <row r="3835" spans="1:10" ht="15.75" hidden="1" thickBot="1" x14ac:dyDescent="0.3">
      <c r="A3835" s="171"/>
      <c r="B3835" s="174"/>
      <c r="C3835" s="35" t="s">
        <v>591</v>
      </c>
      <c r="D3835" s="35" t="s">
        <v>583</v>
      </c>
      <c r="E3835" s="36">
        <v>0.5</v>
      </c>
      <c r="F3835" s="53">
        <v>27.160499999999999</v>
      </c>
      <c r="G3835" s="53">
        <f>IF(ISNUMBER(F3835),E3835*F3835,"")</f>
        <v>13.580249999999999</v>
      </c>
      <c r="H3835" s="38">
        <f>SUM(G3835:G3840)</f>
        <v>38.546369655602696</v>
      </c>
      <c r="I3835" s="39"/>
      <c r="J3835" s="152">
        <v>0</v>
      </c>
    </row>
    <row r="3836" spans="1:10" ht="15.75" hidden="1" thickBot="1" x14ac:dyDescent="0.3">
      <c r="A3836" s="171"/>
      <c r="B3836" s="174"/>
      <c r="C3836" s="35" t="s">
        <v>584</v>
      </c>
      <c r="D3836" s="35" t="s">
        <v>583</v>
      </c>
      <c r="E3836" s="36">
        <v>0.51</v>
      </c>
      <c r="F3836" s="53">
        <v>20.225499999999997</v>
      </c>
      <c r="G3836" s="53">
        <f>IF(ISNUMBER(F3836),E3836*F3836,"")</f>
        <v>10.315004999999999</v>
      </c>
      <c r="H3836" s="72"/>
      <c r="I3836" s="73"/>
      <c r="J3836" s="152">
        <v>0</v>
      </c>
    </row>
    <row r="3837" spans="1:10" ht="39" hidden="1" thickBot="1" x14ac:dyDescent="0.3">
      <c r="A3837" s="171"/>
      <c r="B3837" s="174"/>
      <c r="C3837" s="35" t="s">
        <v>120</v>
      </c>
      <c r="D3837" s="46" t="s">
        <v>80</v>
      </c>
      <c r="E3837" s="36">
        <v>3.0999999999999999E-3</v>
      </c>
      <c r="F3837" s="53">
        <v>738.08134051699983</v>
      </c>
      <c r="G3837" s="53">
        <f>IF(ISNUMBER(F3837),E3837*F3837,"")</f>
        <v>2.2880521556026996</v>
      </c>
      <c r="H3837" s="72"/>
      <c r="I3837" s="73"/>
      <c r="J3837" s="152">
        <v>0</v>
      </c>
    </row>
    <row r="3838" spans="1:10" ht="15.75" hidden="1" thickBot="1" x14ac:dyDescent="0.3">
      <c r="A3838" s="171"/>
      <c r="B3838" s="174"/>
      <c r="C3838" s="35" t="s">
        <v>986</v>
      </c>
      <c r="D3838" s="46" t="s">
        <v>69</v>
      </c>
      <c r="E3838" s="36">
        <v>1</v>
      </c>
      <c r="F3838" s="53" t="s">
        <v>416</v>
      </c>
      <c r="G3838" s="53" t="str">
        <f>IF(ISNUMBER(F3838),E3838*F3838,"")</f>
        <v/>
      </c>
      <c r="H3838" s="72"/>
      <c r="I3838" s="73"/>
      <c r="J3838" s="152">
        <v>0</v>
      </c>
    </row>
    <row r="3839" spans="1:10" ht="15.75" hidden="1" thickBot="1" x14ac:dyDescent="0.3">
      <c r="A3839" s="171"/>
      <c r="B3839" s="174"/>
      <c r="C3839" s="35" t="s">
        <v>584</v>
      </c>
      <c r="D3839" s="35" t="s">
        <v>583</v>
      </c>
      <c r="E3839" s="36">
        <v>0.15</v>
      </c>
      <c r="F3839" s="53">
        <v>20.225499999999997</v>
      </c>
      <c r="G3839" s="53">
        <f>IF(ISNUMBER(F3839),E3839*F3839,"")</f>
        <v>3.0338249999999993</v>
      </c>
      <c r="H3839" s="72"/>
      <c r="I3839" s="73"/>
      <c r="J3839" s="152">
        <v>0</v>
      </c>
    </row>
    <row r="3840" spans="1:10" ht="15.75" hidden="1" thickBot="1" x14ac:dyDescent="0.3">
      <c r="A3840" s="171"/>
      <c r="B3840" s="174"/>
      <c r="C3840" s="35" t="s">
        <v>8373</v>
      </c>
      <c r="D3840" s="35" t="s">
        <v>213</v>
      </c>
      <c r="E3840" s="36">
        <f>ROUND(0.1/0.28,4)</f>
        <v>0.35709999999999997</v>
      </c>
      <c r="F3840" s="53">
        <v>26.125</v>
      </c>
      <c r="G3840" s="53">
        <f>IF(ISNUMBER(F3840),E3840*F3840,"")</f>
        <v>9.3292374999999996</v>
      </c>
      <c r="H3840" s="72"/>
      <c r="I3840" s="73"/>
      <c r="J3840" s="152">
        <v>0</v>
      </c>
    </row>
    <row r="3841" spans="1:10" ht="15.75" hidden="1" thickBot="1" x14ac:dyDescent="0.3">
      <c r="A3841" s="171"/>
      <c r="B3841" s="174"/>
      <c r="C3841" s="35"/>
      <c r="D3841" s="46"/>
      <c r="E3841" s="36"/>
      <c r="F3841" s="53" t="s">
        <v>416</v>
      </c>
      <c r="G3841" s="53" t="str">
        <f>IF(ISNUMBER(F3841),E3841*F3841,"")</f>
        <v/>
      </c>
      <c r="H3841" s="72"/>
      <c r="I3841" s="73"/>
      <c r="J3841" s="152">
        <v>0</v>
      </c>
    </row>
    <row r="3842" spans="1:10" ht="15.75" hidden="1" thickBot="1" x14ac:dyDescent="0.3">
      <c r="A3842" s="171"/>
      <c r="B3842" s="174"/>
      <c r="C3842" s="149" t="s">
        <v>987</v>
      </c>
      <c r="D3842" s="46"/>
      <c r="E3842" s="36"/>
      <c r="F3842" s="53" t="s">
        <v>416</v>
      </c>
      <c r="G3842" s="53" t="str">
        <f>IF(ISNUMBER(F3842),E3842*F3842,"")</f>
        <v/>
      </c>
      <c r="H3842" s="72"/>
      <c r="I3842" s="73"/>
      <c r="J3842" s="152">
        <v>0</v>
      </c>
    </row>
    <row r="3843" spans="1:10" ht="15.75" hidden="1" thickBot="1" x14ac:dyDescent="0.3">
      <c r="A3843" s="171"/>
      <c r="B3843" s="174"/>
      <c r="C3843" s="54"/>
      <c r="D3843" s="54"/>
      <c r="E3843" s="65"/>
      <c r="F3843" s="75" t="s">
        <v>416</v>
      </c>
      <c r="G3843" s="75" t="str">
        <f>IF(ISNUMBER(F3843),E3843*F3843,"")</f>
        <v/>
      </c>
      <c r="H3843" s="76"/>
      <c r="I3843" s="73"/>
      <c r="J3843" s="152">
        <v>0</v>
      </c>
    </row>
    <row r="3844" spans="1:10" ht="15.75" hidden="1" thickBot="1" x14ac:dyDescent="0.3">
      <c r="A3844" s="170" t="s">
        <v>988</v>
      </c>
      <c r="B3844" s="173" t="str">
        <f>INDEX(Orçamentária!A:B,MATCH(Composições!A3844,Orçamentária!A:A,0),2)</f>
        <v>Granito Vermelho Brasília 20 mm para bancadas</v>
      </c>
      <c r="C3844" s="40"/>
      <c r="D3844" s="25" t="s">
        <v>70</v>
      </c>
      <c r="E3844" s="26"/>
      <c r="F3844" s="48" t="s">
        <v>416</v>
      </c>
      <c r="G3844" s="27" t="str">
        <f>IF(ISNUMBER(F3844),E3844*F3844,"")</f>
        <v/>
      </c>
      <c r="H3844" s="28"/>
      <c r="I3844" s="29"/>
      <c r="J3844" s="152">
        <v>0</v>
      </c>
    </row>
    <row r="3845" spans="1:10" ht="15.75" hidden="1" thickBot="1" x14ac:dyDescent="0.3">
      <c r="A3845" s="171"/>
      <c r="B3845" s="174"/>
      <c r="C3845" s="31"/>
      <c r="D3845" s="31"/>
      <c r="E3845" s="32"/>
      <c r="F3845" s="53" t="s">
        <v>416</v>
      </c>
      <c r="G3845" s="53" t="str">
        <f>IF(ISNUMBER(F3845),E3845*F3845,"")</f>
        <v/>
      </c>
      <c r="H3845" s="72"/>
      <c r="I3845" s="73"/>
      <c r="J3845" s="152">
        <v>0</v>
      </c>
    </row>
    <row r="3846" spans="1:10" ht="15.75" hidden="1" thickBot="1" x14ac:dyDescent="0.3">
      <c r="A3846" s="171"/>
      <c r="B3846" s="174"/>
      <c r="C3846" s="35" t="s">
        <v>2934</v>
      </c>
      <c r="D3846" s="35" t="s">
        <v>773</v>
      </c>
      <c r="E3846" s="36">
        <f>ROUND(0.5228/(1.5*0.6),4)</f>
        <v>0.58089999999999997</v>
      </c>
      <c r="F3846" s="53">
        <v>38.826499999999996</v>
      </c>
      <c r="G3846" s="53">
        <f>IF(ISNUMBER(F3846),E3846*F3846,"")</f>
        <v>22.554313849999996</v>
      </c>
      <c r="H3846" s="38">
        <f>SUM(G3846:G3852)</f>
        <v>155.11190929999998</v>
      </c>
      <c r="I3846" s="39"/>
      <c r="J3846" s="152">
        <v>0</v>
      </c>
    </row>
    <row r="3847" spans="1:10" ht="39" hidden="1" thickBot="1" x14ac:dyDescent="0.3">
      <c r="A3847" s="171"/>
      <c r="B3847" s="174"/>
      <c r="C3847" s="35" t="s">
        <v>991</v>
      </c>
      <c r="D3847" s="35" t="s">
        <v>213</v>
      </c>
      <c r="E3847" s="36">
        <f>ROUND(6/(1.5*0.6),4)</f>
        <v>6.6666999999999996</v>
      </c>
      <c r="F3847" s="53">
        <v>1.1019999999999999</v>
      </c>
      <c r="G3847" s="53">
        <f>IF(ISNUMBER(F3847),E3847*F3847,"")</f>
        <v>7.3467033999999991</v>
      </c>
      <c r="H3847" s="72"/>
      <c r="I3847" s="73"/>
      <c r="J3847" s="152">
        <v>0</v>
      </c>
    </row>
    <row r="3848" spans="1:10" ht="26.25" hidden="1" thickBot="1" x14ac:dyDescent="0.3">
      <c r="A3848" s="171"/>
      <c r="B3848" s="174"/>
      <c r="C3848" s="35" t="s">
        <v>989</v>
      </c>
      <c r="D3848" s="35" t="s">
        <v>861</v>
      </c>
      <c r="E3848" s="36">
        <f>ROUND(1.005/(1.5*0.6),4)</f>
        <v>1.1167</v>
      </c>
      <c r="F3848" s="53" t="s">
        <v>416</v>
      </c>
      <c r="G3848" s="53" t="str">
        <f>IF(ISNUMBER(F3848),E3848*F3848,"")</f>
        <v/>
      </c>
      <c r="H3848" s="72"/>
      <c r="I3848" s="73"/>
      <c r="J3848" s="152">
        <v>0</v>
      </c>
    </row>
    <row r="3849" spans="1:10" ht="15.75" hidden="1" thickBot="1" x14ac:dyDescent="0.3">
      <c r="A3849" s="171"/>
      <c r="B3849" s="174"/>
      <c r="C3849" s="35" t="s">
        <v>3061</v>
      </c>
      <c r="D3849" s="35" t="s">
        <v>773</v>
      </c>
      <c r="E3849" s="36">
        <f>ROUND(0.0211/(1.5*0.6),4)</f>
        <v>2.3400000000000001E-2</v>
      </c>
      <c r="F3849" s="53">
        <v>72.836500000000001</v>
      </c>
      <c r="G3849" s="53">
        <f>IF(ISNUMBER(F3849),E3849*F3849,"")</f>
        <v>1.7043741000000001</v>
      </c>
      <c r="H3849" s="72"/>
      <c r="I3849" s="73"/>
      <c r="J3849" s="152">
        <v>0</v>
      </c>
    </row>
    <row r="3850" spans="1:10" ht="26.25" hidden="1" thickBot="1" x14ac:dyDescent="0.3">
      <c r="A3850" s="171"/>
      <c r="B3850" s="174"/>
      <c r="C3850" s="35" t="s">
        <v>2941</v>
      </c>
      <c r="D3850" s="35" t="s">
        <v>213</v>
      </c>
      <c r="E3850" s="36">
        <f>ROUND(2/(1.5*0.6),4)</f>
        <v>2.2222</v>
      </c>
      <c r="F3850" s="53">
        <v>25.4315</v>
      </c>
      <c r="G3850" s="53">
        <f>IF(ISNUMBER(F3850),E3850*F3850,"")</f>
        <v>56.513879299999999</v>
      </c>
      <c r="H3850" s="72"/>
      <c r="I3850" s="73"/>
      <c r="J3850" s="152">
        <v>0</v>
      </c>
    </row>
    <row r="3851" spans="1:10" ht="15.75" hidden="1" thickBot="1" x14ac:dyDescent="0.3">
      <c r="A3851" s="171"/>
      <c r="B3851" s="174"/>
      <c r="C3851" s="35" t="s">
        <v>2906</v>
      </c>
      <c r="D3851" s="35" t="s">
        <v>583</v>
      </c>
      <c r="E3851" s="36">
        <f>ROUND(1.4944/(1.5*0.6),4)</f>
        <v>1.6604000000000001</v>
      </c>
      <c r="F3851" s="53">
        <v>27.036999999999999</v>
      </c>
      <c r="G3851" s="53">
        <f>IF(ISNUMBER(F3851),E3851*F3851,"")</f>
        <v>44.892234800000004</v>
      </c>
      <c r="H3851" s="72"/>
      <c r="I3851" s="73"/>
      <c r="J3851" s="152">
        <v>0</v>
      </c>
    </row>
    <row r="3852" spans="1:10" ht="15.75" hidden="1" thickBot="1" x14ac:dyDescent="0.3">
      <c r="A3852" s="171"/>
      <c r="B3852" s="174"/>
      <c r="C3852" s="35" t="s">
        <v>584</v>
      </c>
      <c r="D3852" s="35" t="s">
        <v>583</v>
      </c>
      <c r="E3852" s="36">
        <f>ROUND(0.9834/(1.5*0.6),4)</f>
        <v>1.0927</v>
      </c>
      <c r="F3852" s="53">
        <v>20.225499999999997</v>
      </c>
      <c r="G3852" s="53">
        <f>IF(ISNUMBER(F3852),E3852*F3852,"")</f>
        <v>22.100403849999996</v>
      </c>
      <c r="H3852" s="72"/>
      <c r="I3852" s="73"/>
      <c r="J3852" s="152">
        <v>0</v>
      </c>
    </row>
    <row r="3853" spans="1:10" ht="15.75" hidden="1" thickBot="1" x14ac:dyDescent="0.3">
      <c r="A3853" s="171"/>
      <c r="B3853" s="174"/>
      <c r="C3853" s="35"/>
      <c r="D3853" s="35"/>
      <c r="E3853" s="36"/>
      <c r="F3853" s="53" t="s">
        <v>416</v>
      </c>
      <c r="G3853" s="53" t="str">
        <f>IF(ISNUMBER(F3853),E3853*F3853,"")</f>
        <v/>
      </c>
      <c r="H3853" s="72"/>
      <c r="I3853" s="73"/>
      <c r="J3853" s="152">
        <v>0</v>
      </c>
    </row>
    <row r="3854" spans="1:10" ht="15.75" hidden="1" thickBot="1" x14ac:dyDescent="0.3">
      <c r="A3854" s="170" t="s">
        <v>990</v>
      </c>
      <c r="B3854" s="173" t="str">
        <f>INDEX(Orçamentária!A:B,MATCH(Composições!A3854,Orçamentária!A:A,0),2)</f>
        <v>Porta em alumínio tipo veneziana</v>
      </c>
      <c r="C3854" s="40"/>
      <c r="D3854" s="25" t="s">
        <v>70</v>
      </c>
      <c r="E3854" s="26"/>
      <c r="F3854" s="48" t="s">
        <v>416</v>
      </c>
      <c r="G3854" s="27" t="str">
        <f>IF(ISNUMBER(F3854),E3854*F3854,"")</f>
        <v/>
      </c>
      <c r="H3854" s="28"/>
      <c r="I3854" s="29"/>
      <c r="J3854" s="152">
        <v>0</v>
      </c>
    </row>
    <row r="3855" spans="1:10" ht="15.75" hidden="1" thickBot="1" x14ac:dyDescent="0.3">
      <c r="A3855" s="171"/>
      <c r="B3855" s="174"/>
      <c r="C3855" s="31"/>
      <c r="D3855" s="31"/>
      <c r="E3855" s="32"/>
      <c r="F3855" s="53" t="s">
        <v>416</v>
      </c>
      <c r="G3855" s="53" t="str">
        <f>IF(ISNUMBER(F3855),E3855*F3855,"")</f>
        <v/>
      </c>
      <c r="H3855" s="72"/>
      <c r="I3855" s="73"/>
      <c r="J3855" s="152">
        <v>0</v>
      </c>
    </row>
    <row r="3856" spans="1:10" ht="26.25" hidden="1" thickBot="1" x14ac:dyDescent="0.3">
      <c r="A3856" s="171"/>
      <c r="B3856" s="174"/>
      <c r="C3856" s="35" t="s">
        <v>928</v>
      </c>
      <c r="D3856" s="35" t="s">
        <v>8526</v>
      </c>
      <c r="E3856" s="36">
        <v>0.88290000000000002</v>
      </c>
      <c r="F3856" s="53">
        <v>39.548499999999997</v>
      </c>
      <c r="G3856" s="53">
        <f>IF(ISNUMBER(F3856),E3856*F3856,"")</f>
        <v>34.917370649999995</v>
      </c>
      <c r="H3856" s="38">
        <f>SUM(G3856:G3861)</f>
        <v>578.10560995000003</v>
      </c>
      <c r="I3856" s="39"/>
      <c r="J3856" s="152">
        <v>0</v>
      </c>
    </row>
    <row r="3857" spans="1:10" ht="39" hidden="1" thickBot="1" x14ac:dyDescent="0.3">
      <c r="A3857" s="171"/>
      <c r="B3857" s="174"/>
      <c r="C3857" s="35" t="s">
        <v>991</v>
      </c>
      <c r="D3857" s="35" t="s">
        <v>213</v>
      </c>
      <c r="E3857" s="36">
        <v>4.8166000000000002</v>
      </c>
      <c r="F3857" s="53">
        <v>1.1019999999999999</v>
      </c>
      <c r="G3857" s="53">
        <f>IF(ISNUMBER(F3857),E3857*F3857,"")</f>
        <v>5.3078931999999996</v>
      </c>
      <c r="H3857" s="72"/>
      <c r="I3857" s="73"/>
      <c r="J3857" s="152">
        <v>0</v>
      </c>
    </row>
    <row r="3858" spans="1:10" ht="39" hidden="1" thickBot="1" x14ac:dyDescent="0.3">
      <c r="A3858" s="171"/>
      <c r="B3858" s="174"/>
      <c r="C3858" s="35" t="s">
        <v>8175</v>
      </c>
      <c r="D3858" s="35" t="s">
        <v>385</v>
      </c>
      <c r="E3858" s="36">
        <v>6.8503999999999996</v>
      </c>
      <c r="F3858" s="53">
        <v>24.338999999999999</v>
      </c>
      <c r="G3858" s="53">
        <f>IF(ISNUMBER(F3858),E3858*F3858,"")</f>
        <v>166.73188559999997</v>
      </c>
      <c r="H3858" s="72"/>
      <c r="I3858" s="73"/>
      <c r="J3858" s="152">
        <v>0</v>
      </c>
    </row>
    <row r="3859" spans="1:10" ht="26.25" hidden="1" thickBot="1" x14ac:dyDescent="0.3">
      <c r="A3859" s="171"/>
      <c r="B3859" s="174"/>
      <c r="C3859" s="35" t="s">
        <v>992</v>
      </c>
      <c r="D3859" s="35" t="s">
        <v>213</v>
      </c>
      <c r="E3859" s="36">
        <v>0.54730000000000001</v>
      </c>
      <c r="F3859" s="53">
        <v>652.09899999999993</v>
      </c>
      <c r="G3859" s="53">
        <f>IF(ISNUMBER(F3859),E3859*F3859,"")</f>
        <v>356.89378269999997</v>
      </c>
      <c r="H3859" s="72"/>
      <c r="I3859" s="73"/>
      <c r="J3859" s="152">
        <v>0</v>
      </c>
    </row>
    <row r="3860" spans="1:10" ht="15.75" hidden="1" thickBot="1" x14ac:dyDescent="0.3">
      <c r="A3860" s="171"/>
      <c r="B3860" s="174"/>
      <c r="C3860" s="35" t="s">
        <v>591</v>
      </c>
      <c r="D3860" s="35" t="s">
        <v>583</v>
      </c>
      <c r="E3860" s="36">
        <v>0.3826</v>
      </c>
      <c r="F3860" s="53">
        <v>27.160499999999999</v>
      </c>
      <c r="G3860" s="53">
        <f>IF(ISNUMBER(F3860),E3860*F3860,"")</f>
        <v>10.391607299999999</v>
      </c>
      <c r="H3860" s="72"/>
      <c r="I3860" s="73"/>
      <c r="J3860" s="152">
        <v>0</v>
      </c>
    </row>
    <row r="3861" spans="1:10" ht="15.75" hidden="1" thickBot="1" x14ac:dyDescent="0.3">
      <c r="A3861" s="171"/>
      <c r="B3861" s="174"/>
      <c r="C3861" s="35" t="s">
        <v>584</v>
      </c>
      <c r="D3861" s="35" t="s">
        <v>583</v>
      </c>
      <c r="E3861" s="36">
        <v>0.191</v>
      </c>
      <c r="F3861" s="53">
        <v>20.225499999999997</v>
      </c>
      <c r="G3861" s="53">
        <f>IF(ISNUMBER(F3861),E3861*F3861,"")</f>
        <v>3.8630704999999996</v>
      </c>
      <c r="H3861" s="72"/>
      <c r="I3861" s="73"/>
      <c r="J3861" s="152">
        <v>0</v>
      </c>
    </row>
    <row r="3862" spans="1:10" ht="15.75" hidden="1" thickBot="1" x14ac:dyDescent="0.3">
      <c r="A3862" s="171"/>
      <c r="B3862" s="174"/>
      <c r="C3862" s="35"/>
      <c r="D3862" s="46"/>
      <c r="E3862" s="36"/>
      <c r="F3862" s="53" t="s">
        <v>416</v>
      </c>
      <c r="G3862" s="53" t="str">
        <f>IF(ISNUMBER(F3862),E3862*F3862,"")</f>
        <v/>
      </c>
      <c r="H3862" s="72"/>
      <c r="I3862" s="73"/>
      <c r="J3862" s="152">
        <v>0</v>
      </c>
    </row>
    <row r="3863" spans="1:10" ht="15.75" hidden="1" thickBot="1" x14ac:dyDescent="0.3">
      <c r="A3863" s="170" t="s">
        <v>993</v>
      </c>
      <c r="B3863" s="173" t="str">
        <f>INDEX(Orçamentária!A:B,MATCH(Composições!A3863,Orçamentária!A:A,0),2)</f>
        <v>Janela em alumínio</v>
      </c>
      <c r="C3863" s="40"/>
      <c r="D3863" s="25" t="s">
        <v>70</v>
      </c>
      <c r="E3863" s="26"/>
      <c r="F3863" s="48" t="s">
        <v>416</v>
      </c>
      <c r="G3863" s="27" t="str">
        <f>IF(ISNUMBER(F3863),E3863*F3863,"")</f>
        <v/>
      </c>
      <c r="H3863" s="28"/>
      <c r="I3863" s="29"/>
      <c r="J3863" s="152">
        <v>0</v>
      </c>
    </row>
    <row r="3864" spans="1:10" ht="15.75" hidden="1" thickBot="1" x14ac:dyDescent="0.3">
      <c r="A3864" s="171"/>
      <c r="B3864" s="174"/>
      <c r="C3864" s="31"/>
      <c r="D3864" s="31"/>
      <c r="E3864" s="32"/>
      <c r="F3864" s="53" t="s">
        <v>416</v>
      </c>
      <c r="G3864" s="53" t="str">
        <f>IF(ISNUMBER(F3864),E3864*F3864,"")</f>
        <v/>
      </c>
      <c r="H3864" s="72"/>
      <c r="I3864" s="73"/>
      <c r="J3864" s="152">
        <v>0</v>
      </c>
    </row>
    <row r="3865" spans="1:10" ht="39" hidden="1" thickBot="1" x14ac:dyDescent="0.3">
      <c r="A3865" s="171"/>
      <c r="B3865" s="174"/>
      <c r="C3865" s="35" t="s">
        <v>994</v>
      </c>
      <c r="D3865" s="35" t="s">
        <v>213</v>
      </c>
      <c r="E3865" s="36">
        <v>24.4</v>
      </c>
      <c r="F3865" s="53">
        <v>0.19</v>
      </c>
      <c r="G3865" s="53">
        <f>IF(ISNUMBER(F3865),E3865*F3865,"")</f>
        <v>4.6360000000000001</v>
      </c>
      <c r="H3865" s="38">
        <f>SUM(G3865:G3869)</f>
        <v>610.05279799999994</v>
      </c>
      <c r="I3865" s="39"/>
      <c r="J3865" s="152">
        <v>0</v>
      </c>
    </row>
    <row r="3866" spans="1:10" ht="39" hidden="1" thickBot="1" x14ac:dyDescent="0.3">
      <c r="A3866" s="171"/>
      <c r="B3866" s="174"/>
      <c r="C3866" s="35" t="s">
        <v>8574</v>
      </c>
      <c r="D3866" s="35" t="s">
        <v>213</v>
      </c>
      <c r="E3866" s="36">
        <v>2.0832999999999999</v>
      </c>
      <c r="F3866" s="53">
        <v>244.435</v>
      </c>
      <c r="G3866" s="53">
        <f>IF(ISNUMBER(F3866),E3866*F3866,"")</f>
        <v>509.23143549999998</v>
      </c>
      <c r="H3866" s="72"/>
      <c r="I3866" s="73"/>
      <c r="J3866" s="152">
        <v>0</v>
      </c>
    </row>
    <row r="3867" spans="1:10" ht="15.75" hidden="1" thickBot="1" x14ac:dyDescent="0.3">
      <c r="A3867" s="171"/>
      <c r="B3867" s="174"/>
      <c r="C3867" s="35" t="s">
        <v>8373</v>
      </c>
      <c r="D3867" s="35" t="s">
        <v>213</v>
      </c>
      <c r="E3867" s="36">
        <v>1.2466999999999999</v>
      </c>
      <c r="F3867" s="53">
        <v>26.125</v>
      </c>
      <c r="G3867" s="53">
        <f>IF(ISNUMBER(F3867),E3867*F3867,"")</f>
        <v>32.570037499999998</v>
      </c>
      <c r="H3867" s="72"/>
      <c r="I3867" s="73"/>
      <c r="J3867" s="152">
        <v>0</v>
      </c>
    </row>
    <row r="3868" spans="1:10" ht="15.75" hidden="1" thickBot="1" x14ac:dyDescent="0.3">
      <c r="A3868" s="171"/>
      <c r="B3868" s="174"/>
      <c r="C3868" s="35" t="s">
        <v>591</v>
      </c>
      <c r="D3868" s="35" t="s">
        <v>583</v>
      </c>
      <c r="E3868" s="36">
        <v>1.7070000000000001</v>
      </c>
      <c r="F3868" s="53">
        <v>27.160499999999999</v>
      </c>
      <c r="G3868" s="53">
        <f>IF(ISNUMBER(F3868),E3868*F3868,"")</f>
        <v>46.362973500000003</v>
      </c>
      <c r="H3868" s="72"/>
      <c r="I3868" s="73"/>
      <c r="J3868" s="152">
        <v>0</v>
      </c>
    </row>
    <row r="3869" spans="1:10" ht="15.75" hidden="1" thickBot="1" x14ac:dyDescent="0.3">
      <c r="A3869" s="171"/>
      <c r="B3869" s="174"/>
      <c r="C3869" s="35" t="s">
        <v>584</v>
      </c>
      <c r="D3869" s="35" t="s">
        <v>583</v>
      </c>
      <c r="E3869" s="36">
        <v>0.85299999999999998</v>
      </c>
      <c r="F3869" s="53">
        <v>20.225499999999997</v>
      </c>
      <c r="G3869" s="53">
        <f>IF(ISNUMBER(F3869),E3869*F3869,"")</f>
        <v>17.252351499999996</v>
      </c>
      <c r="H3869" s="72"/>
      <c r="I3869" s="73"/>
      <c r="J3869" s="152">
        <v>0</v>
      </c>
    </row>
    <row r="3870" spans="1:10" ht="15.75" hidden="1" thickBot="1" x14ac:dyDescent="0.3">
      <c r="A3870" s="171"/>
      <c r="B3870" s="174"/>
      <c r="C3870" s="35"/>
      <c r="D3870" s="46"/>
      <c r="E3870" s="36"/>
      <c r="F3870" s="53" t="s">
        <v>416</v>
      </c>
      <c r="G3870" s="53" t="str">
        <f>IF(ISNUMBER(F3870),E3870*F3870,"")</f>
        <v/>
      </c>
      <c r="H3870" s="72"/>
      <c r="I3870" s="73"/>
      <c r="J3870" s="152">
        <v>0</v>
      </c>
    </row>
    <row r="3871" spans="1:10" ht="15.75" hidden="1" thickBot="1" x14ac:dyDescent="0.3">
      <c r="A3871" s="170" t="s">
        <v>995</v>
      </c>
      <c r="B3871" s="173" t="str">
        <f>INDEX(Orçamentária!A:B,MATCH(Composições!A3871,Orçamentária!A:A,0),2)</f>
        <v>Porta metálica de enrolar</v>
      </c>
      <c r="C3871" s="40"/>
      <c r="D3871" s="25" t="s">
        <v>70</v>
      </c>
      <c r="E3871" s="26"/>
      <c r="F3871" s="48" t="s">
        <v>416</v>
      </c>
      <c r="G3871" s="27" t="str">
        <f>IF(ISNUMBER(F3871),E3871*F3871,"")</f>
        <v/>
      </c>
      <c r="H3871" s="28"/>
      <c r="I3871" s="29"/>
      <c r="J3871" s="152">
        <v>0</v>
      </c>
    </row>
    <row r="3872" spans="1:10" ht="15.75" hidden="1" thickBot="1" x14ac:dyDescent="0.3">
      <c r="A3872" s="171"/>
      <c r="B3872" s="174"/>
      <c r="C3872" s="31"/>
      <c r="D3872" s="31"/>
      <c r="E3872" s="32"/>
      <c r="F3872" s="53" t="s">
        <v>416</v>
      </c>
      <c r="G3872" s="53" t="str">
        <f>IF(ISNUMBER(F3872),E3872*F3872,"")</f>
        <v/>
      </c>
      <c r="H3872" s="72"/>
      <c r="I3872" s="73"/>
      <c r="J3872" s="152">
        <v>0</v>
      </c>
    </row>
    <row r="3873" spans="1:10" ht="39" hidden="1" thickBot="1" x14ac:dyDescent="0.3">
      <c r="A3873" s="171"/>
      <c r="B3873" s="174"/>
      <c r="C3873" s="35" t="s">
        <v>996</v>
      </c>
      <c r="D3873" s="35" t="s">
        <v>861</v>
      </c>
      <c r="E3873" s="36">
        <v>1</v>
      </c>
      <c r="F3873" s="53">
        <v>402.98999999999995</v>
      </c>
      <c r="G3873" s="53">
        <f>IF(ISNUMBER(F3873),E3873*F3873,"")</f>
        <v>402.98999999999995</v>
      </c>
      <c r="H3873" s="38">
        <f>SUM(G3873:G3879)</f>
        <v>458.69453555140001</v>
      </c>
      <c r="I3873" s="39"/>
      <c r="J3873" s="152">
        <v>0</v>
      </c>
    </row>
    <row r="3874" spans="1:10" ht="15.75" hidden="1" thickBot="1" x14ac:dyDescent="0.3">
      <c r="A3874" s="171"/>
      <c r="B3874" s="174"/>
      <c r="C3874" s="35" t="s">
        <v>591</v>
      </c>
      <c r="D3874" s="35" t="s">
        <v>583</v>
      </c>
      <c r="E3874" s="36">
        <v>1</v>
      </c>
      <c r="F3874" s="53">
        <v>27.160499999999999</v>
      </c>
      <c r="G3874" s="53">
        <f>IF(ISNUMBER(F3874),E3874*F3874,"")</f>
        <v>27.160499999999999</v>
      </c>
      <c r="H3874" s="72"/>
      <c r="I3874" s="73"/>
      <c r="J3874" s="152">
        <v>0</v>
      </c>
    </row>
    <row r="3875" spans="1:10" ht="15.75" hidden="1" thickBot="1" x14ac:dyDescent="0.3">
      <c r="A3875" s="171"/>
      <c r="B3875" s="174"/>
      <c r="C3875" s="35" t="s">
        <v>584</v>
      </c>
      <c r="D3875" s="35" t="s">
        <v>583</v>
      </c>
      <c r="E3875" s="36">
        <v>1.1000000000000001</v>
      </c>
      <c r="F3875" s="53">
        <v>20.225499999999997</v>
      </c>
      <c r="G3875" s="53">
        <f>IF(ISNUMBER(F3875),E3875*F3875,"")</f>
        <v>22.248049999999999</v>
      </c>
      <c r="H3875" s="72"/>
      <c r="I3875" s="73"/>
      <c r="J3875" s="152">
        <v>0</v>
      </c>
    </row>
    <row r="3876" spans="1:10" ht="26.25" hidden="1" thickBot="1" x14ac:dyDescent="0.3">
      <c r="A3876" s="171"/>
      <c r="B3876" s="174"/>
      <c r="C3876" s="35" t="s">
        <v>7985</v>
      </c>
      <c r="D3876" s="35" t="s">
        <v>87</v>
      </c>
      <c r="E3876" s="36">
        <v>1.2999999999999999E-2</v>
      </c>
      <c r="F3876" s="53">
        <v>202.33099999999999</v>
      </c>
      <c r="G3876" s="53">
        <f>IF(ISNUMBER(F3876),E3876*F3876,"")</f>
        <v>2.6303029999999996</v>
      </c>
      <c r="H3876" s="72"/>
      <c r="I3876" s="73"/>
      <c r="J3876" s="152">
        <v>0</v>
      </c>
    </row>
    <row r="3877" spans="1:10" ht="15.75" hidden="1" thickBot="1" x14ac:dyDescent="0.3">
      <c r="A3877" s="171"/>
      <c r="B3877" s="174"/>
      <c r="C3877" s="35" t="s">
        <v>8065</v>
      </c>
      <c r="D3877" s="35" t="s">
        <v>773</v>
      </c>
      <c r="E3877" s="36">
        <v>4.58</v>
      </c>
      <c r="F3877" s="53">
        <v>0.627</v>
      </c>
      <c r="G3877" s="53">
        <f>IF(ISNUMBER(F3877),E3877*F3877,"")</f>
        <v>2.8716599999999999</v>
      </c>
      <c r="H3877" s="72"/>
      <c r="I3877" s="73"/>
      <c r="J3877" s="152">
        <v>0</v>
      </c>
    </row>
    <row r="3878" spans="1:10" ht="51.75" hidden="1" thickBot="1" x14ac:dyDescent="0.3">
      <c r="A3878" s="171"/>
      <c r="B3878" s="174"/>
      <c r="C3878" s="35" t="s">
        <v>3071</v>
      </c>
      <c r="D3878" s="35" t="s">
        <v>80</v>
      </c>
      <c r="E3878" s="36">
        <f>1*E3876</f>
        <v>1.2999999999999999E-2</v>
      </c>
      <c r="F3878" s="33">
        <v>7.9257587999999988</v>
      </c>
      <c r="G3878" s="33">
        <f>IF(ISNUMBER(F3878),E3878*F3878,"")</f>
        <v>0.10303486439999998</v>
      </c>
      <c r="H3878" s="34"/>
      <c r="I3878" s="30"/>
      <c r="J3878" s="152">
        <v>0</v>
      </c>
    </row>
    <row r="3879" spans="1:10" ht="39" hidden="1" thickBot="1" x14ac:dyDescent="0.3">
      <c r="A3879" s="171"/>
      <c r="B3879" s="174"/>
      <c r="C3879" s="35" t="s">
        <v>88</v>
      </c>
      <c r="D3879" s="46" t="s">
        <v>89</v>
      </c>
      <c r="E3879" s="36">
        <f>E3876*20</f>
        <v>0.26</v>
      </c>
      <c r="F3879" s="53">
        <v>2.6576449499999995</v>
      </c>
      <c r="G3879" s="53">
        <f>IF(ISNUMBER(F3879),E3879*F3879,"")</f>
        <v>0.69098768699999991</v>
      </c>
      <c r="H3879" s="72"/>
      <c r="I3879" s="73"/>
      <c r="J3879" s="152">
        <v>0</v>
      </c>
    </row>
    <row r="3880" spans="1:10" ht="15.75" hidden="1" thickBot="1" x14ac:dyDescent="0.3">
      <c r="A3880" s="171"/>
      <c r="B3880" s="174"/>
      <c r="C3880" s="50"/>
      <c r="D3880" s="46"/>
      <c r="E3880" s="36"/>
      <c r="F3880" s="53" t="s">
        <v>416</v>
      </c>
      <c r="G3880" s="53" t="str">
        <f>IF(ISNUMBER(F3880),E3880*F3880,"")</f>
        <v/>
      </c>
      <c r="H3880" s="72"/>
      <c r="I3880" s="73"/>
      <c r="J3880" s="152">
        <v>0</v>
      </c>
    </row>
    <row r="3881" spans="1:10" ht="15.75" hidden="1" thickBot="1" x14ac:dyDescent="0.3">
      <c r="A3881" s="171"/>
      <c r="B3881" s="174"/>
      <c r="C3881" s="47" t="s">
        <v>631</v>
      </c>
      <c r="D3881" s="46"/>
      <c r="E3881" s="36"/>
      <c r="F3881" s="53" t="s">
        <v>416</v>
      </c>
      <c r="G3881" s="53" t="str">
        <f>IF(ISNUMBER(F3881),E3881*F3881,"")</f>
        <v/>
      </c>
      <c r="H3881" s="72"/>
      <c r="I3881" s="73"/>
      <c r="J3881" s="152">
        <v>0</v>
      </c>
    </row>
    <row r="3882" spans="1:10" ht="15.75" hidden="1" thickBot="1" x14ac:dyDescent="0.3">
      <c r="A3882" s="172"/>
      <c r="B3882" s="175"/>
      <c r="C3882" s="47"/>
      <c r="D3882" s="46"/>
      <c r="E3882" s="36"/>
      <c r="F3882" s="53" t="s">
        <v>416</v>
      </c>
      <c r="G3882" s="53" t="str">
        <f>IF(ISNUMBER(F3882),E3882*F3882,"")</f>
        <v/>
      </c>
      <c r="H3882" s="72"/>
      <c r="I3882" s="73"/>
      <c r="J3882" s="152">
        <v>0</v>
      </c>
    </row>
    <row r="3883" spans="1:10" ht="15.75" hidden="1" thickBot="1" x14ac:dyDescent="0.3">
      <c r="A3883" s="170" t="s">
        <v>997</v>
      </c>
      <c r="B3883" s="173" t="str">
        <f>INDEX(Orçamentária!A:B,MATCH(Composições!A3883,Orçamentária!A:A,0),2)</f>
        <v>Medidor de Gás</v>
      </c>
      <c r="C3883" s="40"/>
      <c r="D3883" s="25" t="s">
        <v>16</v>
      </c>
      <c r="E3883" s="26"/>
      <c r="F3883" s="48" t="s">
        <v>416</v>
      </c>
      <c r="G3883" s="27" t="str">
        <f>IF(ISNUMBER(F3883),E3883*F3883,"")</f>
        <v/>
      </c>
      <c r="H3883" s="28"/>
      <c r="I3883" s="29"/>
      <c r="J3883" s="152">
        <v>0</v>
      </c>
    </row>
    <row r="3884" spans="1:10" ht="15.75" hidden="1" thickBot="1" x14ac:dyDescent="0.3">
      <c r="A3884" s="171"/>
      <c r="B3884" s="174"/>
      <c r="C3884" s="31"/>
      <c r="D3884" s="31"/>
      <c r="E3884" s="32"/>
      <c r="F3884" s="53" t="s">
        <v>416</v>
      </c>
      <c r="G3884" s="53" t="str">
        <f>IF(ISNUMBER(F3884),E3884*F3884,"")</f>
        <v/>
      </c>
      <c r="H3884" s="72"/>
      <c r="I3884" s="73"/>
      <c r="J3884" s="152">
        <v>0</v>
      </c>
    </row>
    <row r="3885" spans="1:10" ht="15.75" hidden="1" thickBot="1" x14ac:dyDescent="0.3">
      <c r="A3885" s="171"/>
      <c r="B3885" s="174"/>
      <c r="C3885" s="35" t="s">
        <v>244</v>
      </c>
      <c r="D3885" s="35" t="s">
        <v>213</v>
      </c>
      <c r="E3885" s="36">
        <v>0.20519999999999999</v>
      </c>
      <c r="F3885" s="53">
        <v>14.8865</v>
      </c>
      <c r="G3885" s="53">
        <f>IF(ISNUMBER(F3885),E3885*F3885,"")</f>
        <v>3.0547097999999999</v>
      </c>
      <c r="H3885" s="38">
        <f>SUM(G3885:G3896)</f>
        <v>736.01603114999989</v>
      </c>
      <c r="I3885" s="39"/>
      <c r="J3885" s="152">
        <v>0</v>
      </c>
    </row>
    <row r="3886" spans="1:10" ht="26.25" hidden="1" thickBot="1" x14ac:dyDescent="0.3">
      <c r="A3886" s="171"/>
      <c r="B3886" s="174"/>
      <c r="C3886" s="35" t="s">
        <v>998</v>
      </c>
      <c r="D3886" s="35" t="s">
        <v>213</v>
      </c>
      <c r="E3886" s="36">
        <v>2</v>
      </c>
      <c r="F3886" s="53">
        <v>15.513499999999997</v>
      </c>
      <c r="G3886" s="53">
        <f>IF(ISNUMBER(F3886),E3886*F3886,"")</f>
        <v>31.026999999999994</v>
      </c>
      <c r="H3886" s="72"/>
      <c r="I3886" s="73"/>
      <c r="J3886" s="152">
        <v>0</v>
      </c>
    </row>
    <row r="3887" spans="1:10" ht="15.75" hidden="1" thickBot="1" x14ac:dyDescent="0.3">
      <c r="A3887" s="171"/>
      <c r="B3887" s="174"/>
      <c r="C3887" s="35" t="s">
        <v>999</v>
      </c>
      <c r="D3887" s="35" t="s">
        <v>213</v>
      </c>
      <c r="E3887" s="36">
        <v>4</v>
      </c>
      <c r="F3887" s="53">
        <v>11.504499999999998</v>
      </c>
      <c r="G3887" s="53">
        <f>IF(ISNUMBER(F3887),E3887*F3887,"")</f>
        <v>46.017999999999994</v>
      </c>
      <c r="H3887" s="72"/>
      <c r="I3887" s="73"/>
      <c r="J3887" s="152">
        <v>0</v>
      </c>
    </row>
    <row r="3888" spans="1:10" ht="15.75" hidden="1" thickBot="1" x14ac:dyDescent="0.3">
      <c r="A3888" s="171"/>
      <c r="B3888" s="174"/>
      <c r="C3888" s="35" t="s">
        <v>1000</v>
      </c>
      <c r="D3888" s="35" t="s">
        <v>213</v>
      </c>
      <c r="E3888" s="36">
        <v>2</v>
      </c>
      <c r="F3888" s="53">
        <v>4.1040000000000001</v>
      </c>
      <c r="G3888" s="53">
        <f>IF(ISNUMBER(F3888),E3888*F3888,"")</f>
        <v>8.2080000000000002</v>
      </c>
      <c r="H3888" s="72"/>
      <c r="I3888" s="73"/>
      <c r="J3888" s="152">
        <v>0</v>
      </c>
    </row>
    <row r="3889" spans="1:10" ht="26.25" hidden="1" thickBot="1" x14ac:dyDescent="0.3">
      <c r="A3889" s="171"/>
      <c r="B3889" s="174"/>
      <c r="C3889" s="35" t="s">
        <v>1001</v>
      </c>
      <c r="D3889" s="35" t="s">
        <v>213</v>
      </c>
      <c r="E3889" s="36">
        <v>2</v>
      </c>
      <c r="F3889" s="53">
        <v>25.231999999999999</v>
      </c>
      <c r="G3889" s="53">
        <f>IF(ISNUMBER(F3889),E3889*F3889,"")</f>
        <v>50.463999999999999</v>
      </c>
      <c r="H3889" s="72"/>
      <c r="I3889" s="73"/>
      <c r="J3889" s="152">
        <v>0</v>
      </c>
    </row>
    <row r="3890" spans="1:10" ht="26.25" hidden="1" thickBot="1" x14ac:dyDescent="0.3">
      <c r="A3890" s="171"/>
      <c r="B3890" s="174"/>
      <c r="C3890" s="35" t="s">
        <v>1002</v>
      </c>
      <c r="D3890" s="35" t="s">
        <v>213</v>
      </c>
      <c r="E3890" s="36">
        <v>1</v>
      </c>
      <c r="F3890" s="53">
        <v>33.126499999999993</v>
      </c>
      <c r="G3890" s="53">
        <f>IF(ISNUMBER(F3890),E3890*F3890,"")</f>
        <v>33.126499999999993</v>
      </c>
      <c r="H3890" s="72"/>
      <c r="I3890" s="73"/>
      <c r="J3890" s="152">
        <v>0</v>
      </c>
    </row>
    <row r="3891" spans="1:10" ht="15.75" hidden="1" thickBot="1" x14ac:dyDescent="0.3">
      <c r="A3891" s="171"/>
      <c r="B3891" s="174"/>
      <c r="C3891" s="35" t="s">
        <v>8492</v>
      </c>
      <c r="D3891" s="35" t="s">
        <v>213</v>
      </c>
      <c r="E3891" s="36">
        <v>3</v>
      </c>
      <c r="F3891" s="53">
        <v>83.219999999999985</v>
      </c>
      <c r="G3891" s="53">
        <f>IF(ISNUMBER(F3891),E3891*F3891,"")</f>
        <v>249.65999999999997</v>
      </c>
      <c r="H3891" s="72"/>
      <c r="I3891" s="73"/>
      <c r="J3891" s="152">
        <v>0</v>
      </c>
    </row>
    <row r="3892" spans="1:10" ht="15.75" hidden="1" thickBot="1" x14ac:dyDescent="0.3">
      <c r="A3892" s="171"/>
      <c r="B3892" s="174"/>
      <c r="C3892" s="35" t="s">
        <v>1003</v>
      </c>
      <c r="D3892" s="35" t="s">
        <v>213</v>
      </c>
      <c r="E3892" s="36">
        <v>2</v>
      </c>
      <c r="F3892" s="53">
        <v>53.399499999999996</v>
      </c>
      <c r="G3892" s="53">
        <f>IF(ISNUMBER(F3892),E3892*F3892,"")</f>
        <v>106.79899999999999</v>
      </c>
      <c r="H3892" s="72"/>
      <c r="I3892" s="73"/>
      <c r="J3892" s="152">
        <v>0</v>
      </c>
    </row>
    <row r="3893" spans="1:10" ht="26.25" hidden="1" thickBot="1" x14ac:dyDescent="0.3">
      <c r="A3893" s="171"/>
      <c r="B3893" s="174"/>
      <c r="C3893" s="35" t="s">
        <v>1004</v>
      </c>
      <c r="D3893" s="35" t="s">
        <v>385</v>
      </c>
      <c r="E3893" s="36">
        <v>0.72729999999999995</v>
      </c>
      <c r="F3893" s="53">
        <v>37.439499999999995</v>
      </c>
      <c r="G3893" s="53">
        <f>IF(ISNUMBER(F3893),E3893*F3893,"")</f>
        <v>27.229748349999994</v>
      </c>
      <c r="H3893" s="72"/>
      <c r="I3893" s="73"/>
      <c r="J3893" s="152">
        <v>0</v>
      </c>
    </row>
    <row r="3894" spans="1:10" ht="26.25" hidden="1" thickBot="1" x14ac:dyDescent="0.3">
      <c r="A3894" s="171"/>
      <c r="B3894" s="174"/>
      <c r="C3894" s="35" t="s">
        <v>824</v>
      </c>
      <c r="D3894" s="35" t="s">
        <v>583</v>
      </c>
      <c r="E3894" s="36">
        <v>1.6462000000000001</v>
      </c>
      <c r="F3894" s="53">
        <v>21.166</v>
      </c>
      <c r="G3894" s="53">
        <f>IF(ISNUMBER(F3894),E3894*F3894,"")</f>
        <v>34.843469200000001</v>
      </c>
      <c r="H3894" s="72"/>
      <c r="I3894" s="73"/>
      <c r="J3894" s="152">
        <v>0</v>
      </c>
    </row>
    <row r="3895" spans="1:10" ht="26.25" hidden="1" thickBot="1" x14ac:dyDescent="0.3">
      <c r="A3895" s="171"/>
      <c r="B3895" s="174"/>
      <c r="C3895" s="35" t="s">
        <v>825</v>
      </c>
      <c r="D3895" s="35" t="s">
        <v>583</v>
      </c>
      <c r="E3895" s="36">
        <v>5.4324000000000003</v>
      </c>
      <c r="F3895" s="53">
        <v>26.799499999999998</v>
      </c>
      <c r="G3895" s="53">
        <f>IF(ISNUMBER(F3895),E3895*F3895,"")</f>
        <v>145.5856038</v>
      </c>
      <c r="H3895" s="72"/>
      <c r="I3895" s="73"/>
      <c r="J3895" s="152">
        <v>0</v>
      </c>
    </row>
    <row r="3896" spans="1:10" ht="15.75" hidden="1" thickBot="1" x14ac:dyDescent="0.3">
      <c r="A3896" s="171"/>
      <c r="B3896" s="174"/>
      <c r="C3896" s="35" t="s">
        <v>1005</v>
      </c>
      <c r="D3896" s="46" t="s">
        <v>213</v>
      </c>
      <c r="E3896" s="36">
        <v>1</v>
      </c>
      <c r="F3896" s="53" t="s">
        <v>416</v>
      </c>
      <c r="G3896" s="53" t="str">
        <f>IF(ISNUMBER(F3896),E3896*F3896,"")</f>
        <v/>
      </c>
      <c r="H3896" s="72"/>
      <c r="I3896" s="73"/>
      <c r="J3896" s="152">
        <v>0</v>
      </c>
    </row>
    <row r="3897" spans="1:10" ht="15.75" hidden="1" thickBot="1" x14ac:dyDescent="0.3">
      <c r="A3897" s="171"/>
      <c r="B3897" s="174"/>
      <c r="C3897" s="54"/>
      <c r="D3897" s="54"/>
      <c r="E3897" s="65"/>
      <c r="F3897" s="75" t="s">
        <v>416</v>
      </c>
      <c r="G3897" s="75" t="str">
        <f>IF(ISNUMBER(F3897),E3897*F3897,"")</f>
        <v/>
      </c>
      <c r="H3897" s="76"/>
      <c r="I3897" s="73"/>
      <c r="J3897" s="152">
        <v>0</v>
      </c>
    </row>
    <row r="3898" spans="1:10" ht="15.75" hidden="1" thickBot="1" x14ac:dyDescent="0.3">
      <c r="A3898" s="170" t="s">
        <v>1006</v>
      </c>
      <c r="B3898" s="173" t="str">
        <f>INDEX(Orçamentária!A:B,MATCH(Composições!A3898,Orçamentária!A:A,0),2)</f>
        <v>Registro Esfera para Gás 3/4”</v>
      </c>
      <c r="C3898" s="40"/>
      <c r="D3898" s="25" t="s">
        <v>16</v>
      </c>
      <c r="E3898" s="26"/>
      <c r="F3898" s="48" t="s">
        <v>416</v>
      </c>
      <c r="G3898" s="27" t="str">
        <f>IF(ISNUMBER(F3898),E3898*F3898,"")</f>
        <v/>
      </c>
      <c r="H3898" s="28"/>
      <c r="I3898" s="29"/>
      <c r="J3898" s="152">
        <v>0</v>
      </c>
    </row>
    <row r="3899" spans="1:10" ht="15.75" hidden="1" thickBot="1" x14ac:dyDescent="0.3">
      <c r="A3899" s="171"/>
      <c r="B3899" s="174"/>
      <c r="C3899" s="31"/>
      <c r="D3899" s="31"/>
      <c r="E3899" s="32"/>
      <c r="F3899" s="53" t="s">
        <v>416</v>
      </c>
      <c r="G3899" s="53" t="str">
        <f>IF(ISNUMBER(F3899),E3899*F3899,"")</f>
        <v/>
      </c>
      <c r="H3899" s="72"/>
      <c r="I3899" s="73"/>
      <c r="J3899" s="152">
        <v>0</v>
      </c>
    </row>
    <row r="3900" spans="1:10" ht="15.75" hidden="1" thickBot="1" x14ac:dyDescent="0.3">
      <c r="A3900" s="171"/>
      <c r="B3900" s="174"/>
      <c r="C3900" s="35" t="s">
        <v>244</v>
      </c>
      <c r="D3900" s="35" t="s">
        <v>213</v>
      </c>
      <c r="E3900" s="36">
        <v>1.06E-2</v>
      </c>
      <c r="F3900" s="53">
        <v>14.8865</v>
      </c>
      <c r="G3900" s="53">
        <f>IF(ISNUMBER(F3900),E3900*F3900,"")</f>
        <v>0.15779689999999999</v>
      </c>
      <c r="H3900" s="38">
        <f>SUM(G3900:G3903)</f>
        <v>5.4435950000000002</v>
      </c>
      <c r="I3900" s="39"/>
      <c r="J3900" s="152">
        <v>0</v>
      </c>
    </row>
    <row r="3901" spans="1:10" ht="15.75" hidden="1" thickBot="1" x14ac:dyDescent="0.3">
      <c r="A3901" s="171"/>
      <c r="B3901" s="174"/>
      <c r="C3901" s="35" t="s">
        <v>1007</v>
      </c>
      <c r="D3901" s="35" t="s">
        <v>213</v>
      </c>
      <c r="E3901" s="36">
        <v>1</v>
      </c>
      <c r="F3901" s="53" t="s">
        <v>416</v>
      </c>
      <c r="G3901" s="53" t="str">
        <f>IF(ISNUMBER(F3901),E3901*F3901,"")</f>
        <v/>
      </c>
      <c r="H3901" s="72"/>
      <c r="I3901" s="73"/>
      <c r="J3901" s="152">
        <v>0</v>
      </c>
    </row>
    <row r="3902" spans="1:10" ht="26.25" hidden="1" thickBot="1" x14ac:dyDescent="0.3">
      <c r="A3902" s="171"/>
      <c r="B3902" s="174"/>
      <c r="C3902" s="35" t="s">
        <v>824</v>
      </c>
      <c r="D3902" s="35" t="s">
        <v>583</v>
      </c>
      <c r="E3902" s="36">
        <v>0.11020000000000001</v>
      </c>
      <c r="F3902" s="53">
        <v>21.166</v>
      </c>
      <c r="G3902" s="53">
        <f>IF(ISNUMBER(F3902),E3902*F3902,"")</f>
        <v>2.3324932</v>
      </c>
      <c r="H3902" s="72"/>
      <c r="I3902" s="73"/>
      <c r="J3902" s="152">
        <v>0</v>
      </c>
    </row>
    <row r="3903" spans="1:10" ht="26.25" hidden="1" thickBot="1" x14ac:dyDescent="0.3">
      <c r="A3903" s="171"/>
      <c r="B3903" s="174"/>
      <c r="C3903" s="35" t="s">
        <v>825</v>
      </c>
      <c r="D3903" s="35" t="s">
        <v>583</v>
      </c>
      <c r="E3903" s="36">
        <v>0.11020000000000001</v>
      </c>
      <c r="F3903" s="53">
        <v>26.799499999999998</v>
      </c>
      <c r="G3903" s="53">
        <f>IF(ISNUMBER(F3903),E3903*F3903,"")</f>
        <v>2.9533049</v>
      </c>
      <c r="H3903" s="72"/>
      <c r="I3903" s="73"/>
      <c r="J3903" s="152">
        <v>0</v>
      </c>
    </row>
    <row r="3904" spans="1:10" ht="15.75" hidden="1" thickBot="1" x14ac:dyDescent="0.3">
      <c r="A3904" s="171"/>
      <c r="B3904" s="174"/>
      <c r="C3904" s="54"/>
      <c r="D3904" s="54"/>
      <c r="E3904" s="65"/>
      <c r="F3904" s="75" t="s">
        <v>416</v>
      </c>
      <c r="G3904" s="75" t="str">
        <f>IF(ISNUMBER(F3904),E3904*F3904,"")</f>
        <v/>
      </c>
      <c r="H3904" s="76"/>
      <c r="I3904" s="73"/>
      <c r="J3904" s="152">
        <v>0</v>
      </c>
    </row>
    <row r="3905" spans="1:10" ht="15.75" thickBot="1" x14ac:dyDescent="0.3">
      <c r="A3905" s="170" t="s">
        <v>1008</v>
      </c>
      <c r="B3905" s="173" t="str">
        <f>INDEX(Orçamentária!A:B,MATCH(Composições!A3905,Orçamentária!A:A,0),2)</f>
        <v>Placa de Concreto Pré-Moldado 15 MPa</v>
      </c>
      <c r="C3905" s="40"/>
      <c r="D3905" s="25" t="s">
        <v>80</v>
      </c>
      <c r="E3905" s="26"/>
      <c r="F3905" s="48" t="s">
        <v>416</v>
      </c>
      <c r="G3905" s="27" t="str">
        <f>IF(ISNUMBER(F3905),E3905*F3905,"")</f>
        <v/>
      </c>
      <c r="H3905" s="28"/>
      <c r="I3905" s="29"/>
      <c r="J3905" s="152">
        <v>1.5</v>
      </c>
    </row>
    <row r="3906" spans="1:10" x14ac:dyDescent="0.25">
      <c r="A3906" s="171"/>
      <c r="B3906" s="174"/>
      <c r="C3906" s="31"/>
      <c r="D3906" s="31"/>
      <c r="E3906" s="32"/>
      <c r="F3906" s="53" t="s">
        <v>416</v>
      </c>
      <c r="G3906" s="53" t="str">
        <f>IF(ISNUMBER(F3906),E3906*F3906,"")</f>
        <v/>
      </c>
      <c r="H3906" s="72"/>
      <c r="I3906" s="73"/>
      <c r="J3906" s="152">
        <v>1.5</v>
      </c>
    </row>
    <row r="3907" spans="1:10" ht="38.25" x14ac:dyDescent="0.25">
      <c r="A3907" s="171"/>
      <c r="B3907" s="174"/>
      <c r="C3907" s="35" t="s">
        <v>8062</v>
      </c>
      <c r="D3907" s="35" t="s">
        <v>861</v>
      </c>
      <c r="E3907" s="36">
        <v>0.75829999999999997</v>
      </c>
      <c r="F3907" s="53">
        <v>55.745999999999995</v>
      </c>
      <c r="G3907" s="53">
        <f>IF(ISNUMBER(F3907),E3907*F3907,"")</f>
        <v>42.272191799999995</v>
      </c>
      <c r="H3907" s="38">
        <f>SUM(G3907:G3921)</f>
        <v>1696.9222716469956</v>
      </c>
      <c r="I3907" s="39"/>
      <c r="J3907" s="152">
        <v>1.5</v>
      </c>
    </row>
    <row r="3908" spans="1:10" ht="25.5" x14ac:dyDescent="0.25">
      <c r="A3908" s="171"/>
      <c r="B3908" s="174"/>
      <c r="C3908" s="35" t="s">
        <v>1009</v>
      </c>
      <c r="D3908" s="35" t="s">
        <v>75</v>
      </c>
      <c r="E3908" s="36">
        <v>3.3399999999999999E-2</v>
      </c>
      <c r="F3908" s="53">
        <v>7.9229999999999992</v>
      </c>
      <c r="G3908" s="53">
        <f>IF(ISNUMBER(F3908),E3908*F3908,"")</f>
        <v>0.26462819999999998</v>
      </c>
      <c r="H3908" s="72"/>
      <c r="I3908" s="73"/>
      <c r="J3908" s="152">
        <v>1.5</v>
      </c>
    </row>
    <row r="3909" spans="1:10" ht="25.5" x14ac:dyDescent="0.25">
      <c r="A3909" s="171"/>
      <c r="B3909" s="174"/>
      <c r="C3909" s="35" t="s">
        <v>3235</v>
      </c>
      <c r="D3909" s="35" t="s">
        <v>385</v>
      </c>
      <c r="E3909" s="36">
        <v>2.8315999999999999</v>
      </c>
      <c r="F3909" s="53">
        <v>2.8594999999999997</v>
      </c>
      <c r="G3909" s="53">
        <f>IF(ISNUMBER(F3909),E3909*F3909,"")</f>
        <v>8.0969601999999981</v>
      </c>
      <c r="H3909" s="72"/>
      <c r="I3909" s="73"/>
      <c r="J3909" s="152">
        <v>1.5</v>
      </c>
    </row>
    <row r="3910" spans="1:10" x14ac:dyDescent="0.25">
      <c r="A3910" s="171"/>
      <c r="B3910" s="174"/>
      <c r="C3910" s="35" t="s">
        <v>1010</v>
      </c>
      <c r="D3910" s="35" t="s">
        <v>773</v>
      </c>
      <c r="E3910" s="36">
        <v>6.0100000000000001E-2</v>
      </c>
      <c r="F3910" s="53">
        <v>23.9115</v>
      </c>
      <c r="G3910" s="53">
        <f>IF(ISNUMBER(F3910),E3910*F3910,"")</f>
        <v>1.43708115</v>
      </c>
      <c r="H3910" s="72"/>
      <c r="I3910" s="73"/>
      <c r="J3910" s="152">
        <v>1.5</v>
      </c>
    </row>
    <row r="3911" spans="1:10" x14ac:dyDescent="0.25">
      <c r="A3911" s="171"/>
      <c r="B3911" s="174"/>
      <c r="C3911" s="35" t="s">
        <v>8327</v>
      </c>
      <c r="D3911" s="35" t="s">
        <v>87</v>
      </c>
      <c r="E3911" s="36">
        <v>0.18540000000000001</v>
      </c>
      <c r="F3911" s="53">
        <v>608.96899999999994</v>
      </c>
      <c r="G3911" s="53">
        <f>IF(ISNUMBER(F3911),E3911*F3911,"")</f>
        <v>112.90285259999999</v>
      </c>
      <c r="H3911" s="72"/>
      <c r="I3911" s="73"/>
      <c r="J3911" s="152">
        <v>1.5</v>
      </c>
    </row>
    <row r="3912" spans="1:10" x14ac:dyDescent="0.25">
      <c r="A3912" s="171"/>
      <c r="B3912" s="174"/>
      <c r="C3912" s="35" t="s">
        <v>660</v>
      </c>
      <c r="D3912" s="35" t="s">
        <v>583</v>
      </c>
      <c r="E3912" s="36">
        <v>0.1865</v>
      </c>
      <c r="F3912" s="53">
        <v>21.337</v>
      </c>
      <c r="G3912" s="53">
        <f>IF(ISNUMBER(F3912),E3912*F3912,"")</f>
        <v>3.9793504999999998</v>
      </c>
      <c r="H3912" s="72"/>
      <c r="I3912" s="73"/>
      <c r="J3912" s="152">
        <v>1.5</v>
      </c>
    </row>
    <row r="3913" spans="1:10" x14ac:dyDescent="0.25">
      <c r="A3913" s="171"/>
      <c r="B3913" s="174"/>
      <c r="C3913" s="35" t="s">
        <v>582</v>
      </c>
      <c r="D3913" s="35" t="s">
        <v>583</v>
      </c>
      <c r="E3913" s="36">
        <v>0.93259999999999998</v>
      </c>
      <c r="F3913" s="53">
        <v>25.725999999999996</v>
      </c>
      <c r="G3913" s="53">
        <f>IF(ISNUMBER(F3913),E3913*F3913,"")</f>
        <v>23.992067599999995</v>
      </c>
      <c r="H3913" s="72"/>
      <c r="I3913" s="73"/>
      <c r="J3913" s="152">
        <v>1.5</v>
      </c>
    </row>
    <row r="3914" spans="1:10" x14ac:dyDescent="0.25">
      <c r="A3914" s="171"/>
      <c r="B3914" s="174"/>
      <c r="C3914" s="35" t="s">
        <v>591</v>
      </c>
      <c r="D3914" s="35" t="s">
        <v>583</v>
      </c>
      <c r="E3914" s="36">
        <v>6.7480000000000002</v>
      </c>
      <c r="F3914" s="53">
        <v>27.160499999999999</v>
      </c>
      <c r="G3914" s="53">
        <f>IF(ISNUMBER(F3914),E3914*F3914,"")</f>
        <v>183.279054</v>
      </c>
      <c r="H3914" s="72"/>
      <c r="I3914" s="73"/>
      <c r="J3914" s="152">
        <v>1.5</v>
      </c>
    </row>
    <row r="3915" spans="1:10" x14ac:dyDescent="0.25">
      <c r="A3915" s="171"/>
      <c r="B3915" s="174"/>
      <c r="C3915" s="35" t="s">
        <v>584</v>
      </c>
      <c r="D3915" s="35" t="s">
        <v>583</v>
      </c>
      <c r="E3915" s="36">
        <v>6.7480000000000002</v>
      </c>
      <c r="F3915" s="53">
        <v>20.225499999999997</v>
      </c>
      <c r="G3915" s="53">
        <f>IF(ISNUMBER(F3915),E3915*F3915,"")</f>
        <v>136.48167399999997</v>
      </c>
      <c r="H3915" s="72"/>
      <c r="I3915" s="73"/>
      <c r="J3915" s="152">
        <v>1.5</v>
      </c>
    </row>
    <row r="3916" spans="1:10" ht="25.5" x14ac:dyDescent="0.25">
      <c r="A3916" s="171"/>
      <c r="B3916" s="174"/>
      <c r="C3916" s="35" t="s">
        <v>1011</v>
      </c>
      <c r="D3916" s="35" t="s">
        <v>813</v>
      </c>
      <c r="E3916" s="36">
        <v>0.86770000000000003</v>
      </c>
      <c r="F3916" s="53">
        <v>1.1304999999999998</v>
      </c>
      <c r="G3916" s="53">
        <f>IF(ISNUMBER(F3916),E3916*F3916,"")</f>
        <v>0.98093484999999991</v>
      </c>
      <c r="H3916" s="72"/>
      <c r="I3916" s="73"/>
      <c r="J3916" s="152">
        <v>1.5</v>
      </c>
    </row>
    <row r="3917" spans="1:10" ht="25.5" x14ac:dyDescent="0.25">
      <c r="A3917" s="171"/>
      <c r="B3917" s="174"/>
      <c r="C3917" s="35" t="s">
        <v>1012</v>
      </c>
      <c r="D3917" s="35" t="s">
        <v>815</v>
      </c>
      <c r="E3917" s="36">
        <v>2.3860000000000001</v>
      </c>
      <c r="F3917" s="53">
        <v>0.47499999999999998</v>
      </c>
      <c r="G3917" s="53">
        <f>IF(ISNUMBER(F3917),E3917*F3917,"")</f>
        <v>1.1333500000000001</v>
      </c>
      <c r="H3917" s="72"/>
      <c r="I3917" s="73"/>
      <c r="J3917" s="152">
        <v>1.5</v>
      </c>
    </row>
    <row r="3918" spans="1:10" ht="25.5" x14ac:dyDescent="0.25">
      <c r="A3918" s="171"/>
      <c r="B3918" s="174"/>
      <c r="C3918" s="35" t="s">
        <v>1013</v>
      </c>
      <c r="D3918" s="35" t="s">
        <v>813</v>
      </c>
      <c r="E3918" s="36">
        <v>8.9399999999999993E-2</v>
      </c>
      <c r="F3918" s="53">
        <v>22.210999999999999</v>
      </c>
      <c r="G3918" s="53">
        <f>IF(ISNUMBER(F3918),E3918*F3918,"")</f>
        <v>1.9856633999999997</v>
      </c>
      <c r="H3918" s="72"/>
      <c r="I3918" s="73"/>
      <c r="J3918" s="152">
        <v>1.5</v>
      </c>
    </row>
    <row r="3919" spans="1:10" ht="25.5" x14ac:dyDescent="0.25">
      <c r="A3919" s="171"/>
      <c r="B3919" s="174"/>
      <c r="C3919" s="35" t="s">
        <v>1014</v>
      </c>
      <c r="D3919" s="35" t="s">
        <v>815</v>
      </c>
      <c r="E3919" s="36">
        <v>9.7100000000000006E-2</v>
      </c>
      <c r="F3919" s="53">
        <v>21.2895</v>
      </c>
      <c r="G3919" s="53">
        <f>IF(ISNUMBER(F3919),E3919*F3919,"")</f>
        <v>2.0672104500000001</v>
      </c>
      <c r="H3919" s="72"/>
      <c r="I3919" s="73"/>
      <c r="J3919" s="152">
        <v>1.5</v>
      </c>
    </row>
    <row r="3920" spans="1:10" ht="38.25" x14ac:dyDescent="0.25">
      <c r="A3920" s="171"/>
      <c r="B3920" s="174"/>
      <c r="C3920" s="35" t="s">
        <v>2880</v>
      </c>
      <c r="D3920" s="35" t="s">
        <v>773</v>
      </c>
      <c r="E3920" s="36">
        <v>31.7318</v>
      </c>
      <c r="F3920" s="53">
        <v>14.77567395</v>
      </c>
      <c r="G3920" s="53">
        <f>IF(ISNUMBER(F3920),E3920*F3920,"")</f>
        <v>468.85873064661001</v>
      </c>
      <c r="H3920" s="72"/>
      <c r="I3920" s="73"/>
      <c r="J3920" s="152">
        <v>1.5</v>
      </c>
    </row>
    <row r="3921" spans="1:10" ht="38.25" x14ac:dyDescent="0.25">
      <c r="A3921" s="171"/>
      <c r="B3921" s="174"/>
      <c r="C3921" s="35" t="s">
        <v>5739</v>
      </c>
      <c r="D3921" s="35" t="s">
        <v>87</v>
      </c>
      <c r="E3921" s="36">
        <v>1.103</v>
      </c>
      <c r="F3921" s="53">
        <v>642.96511536752996</v>
      </c>
      <c r="G3921" s="53">
        <f>IF(ISNUMBER(F3921),E3921*F3921,"")</f>
        <v>709.19052225038558</v>
      </c>
      <c r="H3921" s="72"/>
      <c r="I3921" s="73"/>
      <c r="J3921" s="152">
        <v>1.5</v>
      </c>
    </row>
    <row r="3922" spans="1:10" ht="15.75" thickBot="1" x14ac:dyDescent="0.3">
      <c r="A3922" s="172"/>
      <c r="B3922" s="175"/>
      <c r="C3922" s="54"/>
      <c r="D3922" s="54"/>
      <c r="E3922" s="65"/>
      <c r="F3922" s="75" t="s">
        <v>416</v>
      </c>
      <c r="G3922" s="75" t="str">
        <f>IF(ISNUMBER(F3922),E3922*F3922,"")</f>
        <v/>
      </c>
      <c r="H3922" s="76"/>
      <c r="I3922" s="73"/>
      <c r="J3922" s="152">
        <v>1.5</v>
      </c>
    </row>
    <row r="3923" spans="1:10" ht="15.75" hidden="1" thickBot="1" x14ac:dyDescent="0.3">
      <c r="A3923" s="170" t="s">
        <v>1016</v>
      </c>
      <c r="B3923" s="173" t="str">
        <f>INDEX(Orçamentária!A:B,MATCH(Composições!A3923,Orçamentária!A:A,0),2)</f>
        <v>Eletroduto PEAD 3”</v>
      </c>
      <c r="C3923" s="40"/>
      <c r="D3923" s="25" t="s">
        <v>69</v>
      </c>
      <c r="E3923" s="26"/>
      <c r="F3923" s="48" t="s">
        <v>416</v>
      </c>
      <c r="G3923" s="27" t="str">
        <f>IF(ISNUMBER(F3923),E3923*F3923,"")</f>
        <v/>
      </c>
      <c r="H3923" s="28"/>
      <c r="I3923" s="29"/>
      <c r="J3923" s="152">
        <v>0</v>
      </c>
    </row>
    <row r="3924" spans="1:10" ht="15.75" hidden="1" thickBot="1" x14ac:dyDescent="0.3">
      <c r="A3924" s="171"/>
      <c r="B3924" s="174"/>
      <c r="C3924" s="31"/>
      <c r="D3924" s="31"/>
      <c r="E3924" s="32"/>
      <c r="F3924" s="53" t="s">
        <v>416</v>
      </c>
      <c r="G3924" s="53" t="str">
        <f>IF(ISNUMBER(F3924),E3924*F3924,"")</f>
        <v/>
      </c>
      <c r="H3924" s="72"/>
      <c r="I3924" s="73"/>
      <c r="J3924" s="152">
        <v>0</v>
      </c>
    </row>
    <row r="3925" spans="1:10" ht="39" hidden="1" thickBot="1" x14ac:dyDescent="0.3">
      <c r="A3925" s="171"/>
      <c r="B3925" s="174"/>
      <c r="C3925" s="35" t="s">
        <v>8528</v>
      </c>
      <c r="D3925" s="35" t="s">
        <v>385</v>
      </c>
      <c r="E3925" s="36">
        <v>1.1000000000000001</v>
      </c>
      <c r="F3925" s="53">
        <v>7.6949999999999994</v>
      </c>
      <c r="G3925" s="53">
        <f>IF(ISNUMBER(F3925),E3925*F3925,"")</f>
        <v>8.4644999999999992</v>
      </c>
      <c r="H3925" s="38">
        <f>SUM(G3925:G3927)</f>
        <v>15.931710899999999</v>
      </c>
      <c r="I3925" s="39"/>
      <c r="J3925" s="152">
        <v>0</v>
      </c>
    </row>
    <row r="3926" spans="1:10" ht="15.75" hidden="1" thickBot="1" x14ac:dyDescent="0.3">
      <c r="A3926" s="171"/>
      <c r="B3926" s="174"/>
      <c r="C3926" s="35" t="s">
        <v>1017</v>
      </c>
      <c r="D3926" s="35" t="s">
        <v>583</v>
      </c>
      <c r="E3926" s="36">
        <v>0.15110000000000001</v>
      </c>
      <c r="F3926" s="53">
        <v>21.584</v>
      </c>
      <c r="G3926" s="53">
        <f>IF(ISNUMBER(F3926),E3926*F3926,"")</f>
        <v>3.2613424000000002</v>
      </c>
      <c r="H3926" s="72"/>
      <c r="I3926" s="73"/>
      <c r="J3926" s="152">
        <v>0</v>
      </c>
    </row>
    <row r="3927" spans="1:10" ht="15.75" hidden="1" thickBot="1" x14ac:dyDescent="0.3">
      <c r="A3927" s="171"/>
      <c r="B3927" s="174"/>
      <c r="C3927" s="35" t="s">
        <v>1018</v>
      </c>
      <c r="D3927" s="35" t="s">
        <v>583</v>
      </c>
      <c r="E3927" s="36">
        <v>0.15110000000000001</v>
      </c>
      <c r="F3927" s="53">
        <v>27.835000000000001</v>
      </c>
      <c r="G3927" s="53">
        <f>IF(ISNUMBER(F3927),E3927*F3927,"")</f>
        <v>4.2058685000000002</v>
      </c>
      <c r="H3927" s="72"/>
      <c r="I3927" s="73"/>
      <c r="J3927" s="152">
        <v>0</v>
      </c>
    </row>
    <row r="3928" spans="1:10" ht="15.75" hidden="1" thickBot="1" x14ac:dyDescent="0.3">
      <c r="A3928" s="171"/>
      <c r="B3928" s="174"/>
      <c r="C3928" s="54"/>
      <c r="D3928" s="54"/>
      <c r="E3928" s="65"/>
      <c r="F3928" s="75" t="s">
        <v>416</v>
      </c>
      <c r="G3928" s="75" t="str">
        <f>IF(ISNUMBER(F3928),E3928*F3928,"")</f>
        <v/>
      </c>
      <c r="H3928" s="76"/>
      <c r="I3928" s="73"/>
      <c r="J3928" s="152">
        <v>0</v>
      </c>
    </row>
    <row r="3929" spans="1:10" ht="15.75" hidden="1" thickBot="1" x14ac:dyDescent="0.3">
      <c r="A3929" s="170" t="s">
        <v>1019</v>
      </c>
      <c r="B3929" s="173" t="str">
        <f>INDEX(Orçamentária!A:B,MATCH(Composições!A3929,Orçamentária!A:A,0),2)</f>
        <v>Eletroduto de aço galvanizado de 3”</v>
      </c>
      <c r="C3929" s="40"/>
      <c r="D3929" s="25" t="s">
        <v>69</v>
      </c>
      <c r="E3929" s="26"/>
      <c r="F3929" s="48" t="s">
        <v>416</v>
      </c>
      <c r="G3929" s="27" t="str">
        <f>IF(ISNUMBER(F3929),E3929*F3929,"")</f>
        <v/>
      </c>
      <c r="H3929" s="28"/>
      <c r="I3929" s="29"/>
      <c r="J3929" s="152">
        <v>0</v>
      </c>
    </row>
    <row r="3930" spans="1:10" ht="15.75" hidden="1" thickBot="1" x14ac:dyDescent="0.3">
      <c r="A3930" s="171"/>
      <c r="B3930" s="174"/>
      <c r="C3930" s="31"/>
      <c r="D3930" s="31"/>
      <c r="E3930" s="32"/>
      <c r="F3930" s="53" t="s">
        <v>416</v>
      </c>
      <c r="G3930" s="53" t="str">
        <f>IF(ISNUMBER(F3930),E3930*F3930,"")</f>
        <v/>
      </c>
      <c r="H3930" s="72"/>
      <c r="I3930" s="73"/>
      <c r="J3930" s="152">
        <v>0</v>
      </c>
    </row>
    <row r="3931" spans="1:10" ht="15.75" hidden="1" thickBot="1" x14ac:dyDescent="0.3">
      <c r="A3931" s="171"/>
      <c r="B3931" s="174"/>
      <c r="C3931" s="35" t="s">
        <v>1020</v>
      </c>
      <c r="D3931" s="35" t="s">
        <v>69</v>
      </c>
      <c r="E3931" s="36">
        <v>1.05</v>
      </c>
      <c r="F3931" s="53">
        <v>0</v>
      </c>
      <c r="G3931" s="53">
        <f>IF(ISNUMBER(F3931),E3931*F3931,"")</f>
        <v>0</v>
      </c>
      <c r="H3931" s="38">
        <f>SUM(G3931:G3933)</f>
        <v>49.418999999999997</v>
      </c>
      <c r="I3931" s="39"/>
      <c r="J3931" s="152">
        <v>0</v>
      </c>
    </row>
    <row r="3932" spans="1:10" ht="15.75" hidden="1" thickBot="1" x14ac:dyDescent="0.3">
      <c r="A3932" s="171"/>
      <c r="B3932" s="174"/>
      <c r="C3932" s="35" t="s">
        <v>1018</v>
      </c>
      <c r="D3932" s="35" t="s">
        <v>583</v>
      </c>
      <c r="E3932" s="36">
        <v>1</v>
      </c>
      <c r="F3932" s="30">
        <v>27.835000000000001</v>
      </c>
      <c r="G3932" s="33">
        <f>IF(ISNUMBER(F3932),E3932*F3932,"")</f>
        <v>27.835000000000001</v>
      </c>
      <c r="H3932" s="72"/>
      <c r="I3932" s="73"/>
      <c r="J3932" s="152">
        <v>0</v>
      </c>
    </row>
    <row r="3933" spans="1:10" ht="15.75" hidden="1" thickBot="1" x14ac:dyDescent="0.3">
      <c r="A3933" s="171"/>
      <c r="B3933" s="174"/>
      <c r="C3933" s="35" t="s">
        <v>1017</v>
      </c>
      <c r="D3933" s="35" t="s">
        <v>583</v>
      </c>
      <c r="E3933" s="36">
        <v>1</v>
      </c>
      <c r="F3933" s="30">
        <v>21.584</v>
      </c>
      <c r="G3933" s="33">
        <f>IF(ISNUMBER(F3933),E3933*F3933,"")</f>
        <v>21.584</v>
      </c>
      <c r="H3933" s="72"/>
      <c r="I3933" s="73"/>
      <c r="J3933" s="152">
        <v>0</v>
      </c>
    </row>
    <row r="3934" spans="1:10" ht="15.75" hidden="1" thickBot="1" x14ac:dyDescent="0.3">
      <c r="A3934" s="171"/>
      <c r="B3934" s="174"/>
      <c r="C3934" s="54"/>
      <c r="D3934" s="54"/>
      <c r="E3934" s="65"/>
      <c r="F3934" s="75" t="s">
        <v>416</v>
      </c>
      <c r="G3934" s="75" t="str">
        <f>IF(ISNUMBER(F3934),E3934*F3934,"")</f>
        <v/>
      </c>
      <c r="H3934" s="76"/>
      <c r="I3934" s="73"/>
      <c r="J3934" s="152">
        <v>0</v>
      </c>
    </row>
    <row r="3935" spans="1:10" ht="15.75" hidden="1" thickBot="1" x14ac:dyDescent="0.3">
      <c r="A3935" s="170" t="s">
        <v>1021</v>
      </c>
      <c r="B3935" s="173" t="str">
        <f>INDEX(Orçamentária!A:B,MATCH(Composições!A3935,Orçamentária!A:A,0),2)</f>
        <v>Grelha reta para ralo</v>
      </c>
      <c r="C3935" s="40"/>
      <c r="D3935" s="25" t="s">
        <v>69</v>
      </c>
      <c r="E3935" s="26"/>
      <c r="F3935" s="48" t="s">
        <v>416</v>
      </c>
      <c r="G3935" s="27" t="str">
        <f>IF(ISNUMBER(F3935),E3935*F3935,"")</f>
        <v/>
      </c>
      <c r="H3935" s="28"/>
      <c r="I3935" s="29"/>
      <c r="J3935" s="152">
        <v>0</v>
      </c>
    </row>
    <row r="3936" spans="1:10" ht="15.75" hidden="1" thickBot="1" x14ac:dyDescent="0.3">
      <c r="A3936" s="171"/>
      <c r="B3936" s="174"/>
      <c r="C3936" s="31"/>
      <c r="D3936" s="31"/>
      <c r="E3936" s="32"/>
      <c r="F3936" s="53" t="s">
        <v>416</v>
      </c>
      <c r="G3936" s="53" t="str">
        <f>IF(ISNUMBER(F3936),E3936*F3936,"")</f>
        <v/>
      </c>
      <c r="H3936" s="72"/>
      <c r="I3936" s="73"/>
      <c r="J3936" s="152">
        <v>0</v>
      </c>
    </row>
    <row r="3937" spans="1:10" ht="26.25" hidden="1" thickBot="1" x14ac:dyDescent="0.3">
      <c r="A3937" s="171"/>
      <c r="B3937" s="174"/>
      <c r="C3937" s="35" t="s">
        <v>1022</v>
      </c>
      <c r="D3937" s="35" t="s">
        <v>69</v>
      </c>
      <c r="E3937" s="36">
        <v>1</v>
      </c>
      <c r="F3937" s="53">
        <v>0</v>
      </c>
      <c r="G3937" s="53">
        <f>IF(ISNUMBER(F3937),E3937*F3937,"")</f>
        <v>0</v>
      </c>
      <c r="H3937" s="38">
        <f>SUM(G3937:G3939)</f>
        <v>31.748620000000003</v>
      </c>
      <c r="I3937" s="39"/>
      <c r="J3937" s="152">
        <v>0</v>
      </c>
    </row>
    <row r="3938" spans="1:10" ht="15.75" hidden="1" thickBot="1" x14ac:dyDescent="0.3">
      <c r="A3938" s="171"/>
      <c r="B3938" s="174"/>
      <c r="C3938" s="35" t="s">
        <v>591</v>
      </c>
      <c r="D3938" s="35" t="s">
        <v>583</v>
      </c>
      <c r="E3938" s="36">
        <v>0.67</v>
      </c>
      <c r="F3938" s="53">
        <v>27.160499999999999</v>
      </c>
      <c r="G3938" s="53">
        <f>IF(ISNUMBER(F3938),E3938*F3938,"")</f>
        <v>18.197535000000002</v>
      </c>
      <c r="H3938" s="72"/>
      <c r="I3938" s="73"/>
      <c r="J3938" s="152">
        <v>0</v>
      </c>
    </row>
    <row r="3939" spans="1:10" ht="15.75" hidden="1" thickBot="1" x14ac:dyDescent="0.3">
      <c r="A3939" s="171"/>
      <c r="B3939" s="174"/>
      <c r="C3939" s="35" t="s">
        <v>584</v>
      </c>
      <c r="D3939" s="35" t="s">
        <v>583</v>
      </c>
      <c r="E3939" s="36">
        <v>0.67</v>
      </c>
      <c r="F3939" s="53">
        <v>20.225499999999997</v>
      </c>
      <c r="G3939" s="53">
        <f>IF(ISNUMBER(F3939),E3939*F3939,"")</f>
        <v>13.551084999999999</v>
      </c>
      <c r="H3939" s="72"/>
      <c r="I3939" s="73"/>
      <c r="J3939" s="152">
        <v>0</v>
      </c>
    </row>
    <row r="3940" spans="1:10" ht="15.75" hidden="1" thickBot="1" x14ac:dyDescent="0.3">
      <c r="A3940" s="171"/>
      <c r="B3940" s="174"/>
      <c r="C3940" s="54"/>
      <c r="D3940" s="54"/>
      <c r="E3940" s="65"/>
      <c r="F3940" s="75" t="s">
        <v>416</v>
      </c>
      <c r="G3940" s="75" t="str">
        <f>IF(ISNUMBER(F3940),E3940*F3940,"")</f>
        <v/>
      </c>
      <c r="H3940" s="76"/>
      <c r="I3940" s="73"/>
      <c r="J3940" s="152">
        <v>0</v>
      </c>
    </row>
    <row r="3941" spans="1:10" ht="15.75" hidden="1" thickBot="1" x14ac:dyDescent="0.3">
      <c r="A3941" s="170" t="s">
        <v>1023</v>
      </c>
      <c r="B3941" s="173" t="str">
        <f>INDEX(Orçamentária!A:B,MATCH(Composições!A3941,Orçamentária!A:A,0),2)</f>
        <v>Granito Vermelho Brasília para soleira e peitoril</v>
      </c>
      <c r="C3941" s="40"/>
      <c r="D3941" s="25" t="s">
        <v>70</v>
      </c>
      <c r="E3941" s="26"/>
      <c r="F3941" s="48" t="s">
        <v>416</v>
      </c>
      <c r="G3941" s="27" t="str">
        <f>IF(ISNUMBER(F3941),E3941*F3941,"")</f>
        <v/>
      </c>
      <c r="H3941" s="28"/>
      <c r="I3941" s="29"/>
      <c r="J3941" s="152">
        <v>0</v>
      </c>
    </row>
    <row r="3942" spans="1:10" ht="15.75" hidden="1" thickBot="1" x14ac:dyDescent="0.3">
      <c r="A3942" s="171"/>
      <c r="B3942" s="174"/>
      <c r="C3942" s="31"/>
      <c r="D3942" s="31"/>
      <c r="E3942" s="32"/>
      <c r="F3942" s="53" t="s">
        <v>416</v>
      </c>
      <c r="G3942" s="53" t="str">
        <f>IF(ISNUMBER(F3942),E3942*F3942,"")</f>
        <v/>
      </c>
      <c r="H3942" s="72"/>
      <c r="I3942" s="73"/>
      <c r="J3942" s="152">
        <v>0</v>
      </c>
    </row>
    <row r="3943" spans="1:10" ht="26.25" hidden="1" thickBot="1" x14ac:dyDescent="0.3">
      <c r="A3943" s="171"/>
      <c r="B3943" s="174"/>
      <c r="C3943" s="35" t="s">
        <v>1024</v>
      </c>
      <c r="D3943" s="35" t="s">
        <v>69</v>
      </c>
      <c r="E3943" s="36">
        <f>ROUND(1/0.15,4)</f>
        <v>6.6666999999999996</v>
      </c>
      <c r="F3943" s="53" t="s">
        <v>416</v>
      </c>
      <c r="G3943" s="53" t="str">
        <f>IF(ISNUMBER(F3943),E3943*F3943,"")</f>
        <v/>
      </c>
      <c r="H3943" s="38">
        <f>SUM(G3943:G3946)</f>
        <v>150.9292379</v>
      </c>
      <c r="I3943" s="39"/>
      <c r="J3943" s="152">
        <v>0</v>
      </c>
    </row>
    <row r="3944" spans="1:10" ht="15.75" hidden="1" thickBot="1" x14ac:dyDescent="0.3">
      <c r="A3944" s="171"/>
      <c r="B3944" s="174"/>
      <c r="C3944" s="35" t="s">
        <v>7987</v>
      </c>
      <c r="D3944" s="35" t="s">
        <v>773</v>
      </c>
      <c r="E3944" s="36">
        <f>1.29/0.15</f>
        <v>8.6000000000000014</v>
      </c>
      <c r="F3944" s="53">
        <v>1.8049999999999999</v>
      </c>
      <c r="G3944" s="53">
        <f>IF(ISNUMBER(F3944),E3944*F3944,"")</f>
        <v>15.523000000000001</v>
      </c>
      <c r="H3944" s="72"/>
      <c r="I3944" s="73"/>
      <c r="J3944" s="152">
        <v>0</v>
      </c>
    </row>
    <row r="3945" spans="1:10" ht="15.75" hidden="1" thickBot="1" x14ac:dyDescent="0.3">
      <c r="A3945" s="171"/>
      <c r="B3945" s="174"/>
      <c r="C3945" s="35" t="s">
        <v>2906</v>
      </c>
      <c r="D3945" s="35" t="s">
        <v>583</v>
      </c>
      <c r="E3945" s="36">
        <f>ROUND(0.547/0.15,4)</f>
        <v>3.6467000000000001</v>
      </c>
      <c r="F3945" s="53">
        <v>27.036999999999999</v>
      </c>
      <c r="G3945" s="53">
        <f>IF(ISNUMBER(F3945),E3945*F3945,"")</f>
        <v>98.595827900000003</v>
      </c>
      <c r="H3945" s="72"/>
      <c r="I3945" s="73"/>
      <c r="J3945" s="152">
        <v>0</v>
      </c>
    </row>
    <row r="3946" spans="1:10" ht="15.75" hidden="1" thickBot="1" x14ac:dyDescent="0.3">
      <c r="A3946" s="171"/>
      <c r="B3946" s="174"/>
      <c r="C3946" s="35" t="s">
        <v>584</v>
      </c>
      <c r="D3946" s="35" t="s">
        <v>583</v>
      </c>
      <c r="E3946" s="36">
        <f>0.273/0.15</f>
        <v>1.8200000000000003</v>
      </c>
      <c r="F3946" s="53">
        <v>20.225499999999997</v>
      </c>
      <c r="G3946" s="53">
        <f>IF(ISNUMBER(F3946),E3946*F3946,"")</f>
        <v>36.810409999999997</v>
      </c>
      <c r="H3946" s="72"/>
      <c r="I3946" s="73"/>
      <c r="J3946" s="152">
        <v>0</v>
      </c>
    </row>
    <row r="3947" spans="1:10" ht="15.75" hidden="1" thickBot="1" x14ac:dyDescent="0.3">
      <c r="A3947" s="171"/>
      <c r="B3947" s="174"/>
      <c r="C3947" s="35"/>
      <c r="D3947" s="35"/>
      <c r="E3947" s="36"/>
      <c r="F3947" s="53" t="s">
        <v>416</v>
      </c>
      <c r="G3947" s="53" t="str">
        <f>IF(ISNUMBER(F3947),E3947*F3947,"")</f>
        <v/>
      </c>
      <c r="H3947" s="72"/>
      <c r="I3947" s="73"/>
      <c r="J3947" s="152">
        <v>0</v>
      </c>
    </row>
    <row r="3948" spans="1:10" ht="15.75" hidden="1" thickBot="1" x14ac:dyDescent="0.3">
      <c r="A3948" s="170" t="s">
        <v>1025</v>
      </c>
      <c r="B3948" s="173" t="str">
        <f>INDEX(Orçamentária!A:B,MATCH(Composições!A3948,Orçamentária!A:A,0),2)</f>
        <v>Luminária LED redonda de embutir</v>
      </c>
      <c r="C3948" s="40"/>
      <c r="D3948" s="25" t="s">
        <v>16</v>
      </c>
      <c r="E3948" s="26"/>
      <c r="F3948" s="48" t="s">
        <v>416</v>
      </c>
      <c r="G3948" s="27" t="str">
        <f>IF(ISNUMBER(F3948),E3948*F3948,"")</f>
        <v/>
      </c>
      <c r="H3948" s="28"/>
      <c r="I3948" s="29"/>
      <c r="J3948" s="152">
        <v>0</v>
      </c>
    </row>
    <row r="3949" spans="1:10" ht="15.75" hidden="1" thickBot="1" x14ac:dyDescent="0.3">
      <c r="A3949" s="171"/>
      <c r="B3949" s="174"/>
      <c r="C3949" s="31"/>
      <c r="D3949" s="31"/>
      <c r="E3949" s="32"/>
      <c r="F3949" s="53" t="s">
        <v>416</v>
      </c>
      <c r="G3949" s="53" t="str">
        <f>IF(ISNUMBER(F3949),E3949*F3949,"")</f>
        <v/>
      </c>
      <c r="H3949" s="72"/>
      <c r="I3949" s="73"/>
      <c r="J3949" s="152">
        <v>0</v>
      </c>
    </row>
    <row r="3950" spans="1:10" ht="39" hidden="1" thickBot="1" x14ac:dyDescent="0.3">
      <c r="A3950" s="171"/>
      <c r="B3950" s="174"/>
      <c r="C3950" s="35" t="s">
        <v>1026</v>
      </c>
      <c r="D3950" s="35" t="s">
        <v>107</v>
      </c>
      <c r="E3950" s="36">
        <v>1</v>
      </c>
      <c r="F3950" s="53" t="s">
        <v>416</v>
      </c>
      <c r="G3950" s="53" t="str">
        <f>IF(ISNUMBER(F3950),E3950*F3950,"")</f>
        <v/>
      </c>
      <c r="H3950" s="38">
        <f>SUM(G3950:G3955)</f>
        <v>13.078640500000002</v>
      </c>
      <c r="I3950" s="39"/>
      <c r="J3950" s="152">
        <v>0</v>
      </c>
    </row>
    <row r="3951" spans="1:10" ht="26.25" hidden="1" thickBot="1" x14ac:dyDescent="0.3">
      <c r="A3951" s="171"/>
      <c r="B3951" s="174"/>
      <c r="C3951" s="35" t="s">
        <v>433</v>
      </c>
      <c r="D3951" s="35" t="s">
        <v>69</v>
      </c>
      <c r="E3951" s="36">
        <v>1.5</v>
      </c>
      <c r="F3951" s="53" t="s">
        <v>416</v>
      </c>
      <c r="G3951" s="53" t="str">
        <f>IF(ISNUMBER(F3951),E3951*F3951,"")</f>
        <v/>
      </c>
      <c r="H3951" s="72"/>
      <c r="I3951" s="73"/>
      <c r="J3951" s="152">
        <v>0</v>
      </c>
    </row>
    <row r="3952" spans="1:10" ht="15.75" hidden="1" thickBot="1" x14ac:dyDescent="0.3">
      <c r="A3952" s="171"/>
      <c r="B3952" s="174"/>
      <c r="C3952" s="35" t="s">
        <v>434</v>
      </c>
      <c r="D3952" s="35" t="s">
        <v>107</v>
      </c>
      <c r="E3952" s="36">
        <v>1</v>
      </c>
      <c r="F3952" s="53" t="s">
        <v>416</v>
      </c>
      <c r="G3952" s="53" t="str">
        <f>IF(ISNUMBER(F3952),E3952*F3952,"")</f>
        <v/>
      </c>
      <c r="H3952" s="72"/>
      <c r="I3952" s="73"/>
      <c r="J3952" s="152">
        <v>0</v>
      </c>
    </row>
    <row r="3953" spans="1:10" ht="15.75" hidden="1" thickBot="1" x14ac:dyDescent="0.3">
      <c r="A3953" s="171"/>
      <c r="B3953" s="174"/>
      <c r="C3953" s="35" t="s">
        <v>435</v>
      </c>
      <c r="D3953" s="35" t="s">
        <v>107</v>
      </c>
      <c r="E3953" s="36">
        <v>1</v>
      </c>
      <c r="F3953" s="53" t="s">
        <v>416</v>
      </c>
      <c r="G3953" s="53" t="str">
        <f>IF(ISNUMBER(F3953),E3953*F3953,"")</f>
        <v/>
      </c>
      <c r="H3953" s="72"/>
      <c r="I3953" s="73"/>
      <c r="J3953" s="152">
        <v>0</v>
      </c>
    </row>
    <row r="3954" spans="1:10" ht="15.75" hidden="1" thickBot="1" x14ac:dyDescent="0.3">
      <c r="A3954" s="171"/>
      <c r="B3954" s="174"/>
      <c r="C3954" s="35" t="s">
        <v>1017</v>
      </c>
      <c r="D3954" s="35" t="s">
        <v>583</v>
      </c>
      <c r="E3954" s="36">
        <v>0.14799999999999999</v>
      </c>
      <c r="F3954" s="53">
        <v>21.584</v>
      </c>
      <c r="G3954" s="53">
        <f>IF(ISNUMBER(F3954),E3954*F3954,"")</f>
        <v>3.1944319999999999</v>
      </c>
      <c r="H3954" s="72"/>
      <c r="I3954" s="73"/>
      <c r="J3954" s="152">
        <v>0</v>
      </c>
    </row>
    <row r="3955" spans="1:10" ht="15.75" hidden="1" thickBot="1" x14ac:dyDescent="0.3">
      <c r="A3955" s="171"/>
      <c r="B3955" s="174"/>
      <c r="C3955" s="35" t="s">
        <v>1018</v>
      </c>
      <c r="D3955" s="35" t="s">
        <v>583</v>
      </c>
      <c r="E3955" s="36">
        <v>0.35510000000000003</v>
      </c>
      <c r="F3955" s="53">
        <v>27.835000000000001</v>
      </c>
      <c r="G3955" s="53">
        <f>IF(ISNUMBER(F3955),E3955*F3955,"")</f>
        <v>9.8842085000000015</v>
      </c>
      <c r="H3955" s="72"/>
      <c r="I3955" s="73"/>
      <c r="J3955" s="152">
        <v>0</v>
      </c>
    </row>
    <row r="3956" spans="1:10" ht="15.75" hidden="1" thickBot="1" x14ac:dyDescent="0.3">
      <c r="A3956" s="171"/>
      <c r="B3956" s="174"/>
      <c r="C3956" s="35"/>
      <c r="D3956" s="46"/>
      <c r="E3956" s="36"/>
      <c r="F3956" s="53" t="s">
        <v>416</v>
      </c>
      <c r="G3956" s="53" t="str">
        <f>IF(ISNUMBER(F3956),E3956*F3956,"")</f>
        <v/>
      </c>
      <c r="H3956" s="72"/>
      <c r="I3956" s="73"/>
      <c r="J3956" s="152">
        <v>0</v>
      </c>
    </row>
    <row r="3957" spans="1:10" ht="15.75" hidden="1" thickBot="1" x14ac:dyDescent="0.3">
      <c r="A3957" s="170" t="s">
        <v>1027</v>
      </c>
      <c r="B3957" s="173" t="str">
        <f>INDEX(Orçamentária!A:B,MATCH(Composições!A3957,Orçamentária!A:A,0),2)</f>
        <v>Piso tátil de borracha</v>
      </c>
      <c r="C3957" s="40"/>
      <c r="D3957" s="25" t="s">
        <v>69</v>
      </c>
      <c r="E3957" s="26"/>
      <c r="F3957" s="48" t="s">
        <v>416</v>
      </c>
      <c r="G3957" s="27" t="str">
        <f>IF(ISNUMBER(F3957),E3957*F3957,"")</f>
        <v/>
      </c>
      <c r="H3957" s="28"/>
      <c r="I3957" s="29"/>
      <c r="J3957" s="152">
        <v>0</v>
      </c>
    </row>
    <row r="3958" spans="1:10" ht="15.75" hidden="1" thickBot="1" x14ac:dyDescent="0.3">
      <c r="A3958" s="171"/>
      <c r="B3958" s="174"/>
      <c r="C3958" s="31"/>
      <c r="D3958" s="31"/>
      <c r="E3958" s="32"/>
      <c r="F3958" s="53" t="s">
        <v>416</v>
      </c>
      <c r="G3958" s="53" t="str">
        <f>IF(ISNUMBER(F3958),E3958*F3958,"")</f>
        <v/>
      </c>
      <c r="H3958" s="72"/>
      <c r="I3958" s="73"/>
      <c r="J3958" s="152">
        <v>0</v>
      </c>
    </row>
    <row r="3959" spans="1:10" ht="15.75" hidden="1" thickBot="1" x14ac:dyDescent="0.3">
      <c r="A3959" s="171"/>
      <c r="B3959" s="174"/>
      <c r="C3959" s="35" t="s">
        <v>8065</v>
      </c>
      <c r="D3959" s="35" t="s">
        <v>773</v>
      </c>
      <c r="E3959" s="36">
        <v>0.24</v>
      </c>
      <c r="F3959" s="53">
        <v>0.627</v>
      </c>
      <c r="G3959" s="53">
        <f>IF(ISNUMBER(F3959),E3959*F3959,"")</f>
        <v>0.15048</v>
      </c>
      <c r="H3959" s="38">
        <f>SUM(G3959:G3963)</f>
        <v>125.02422749999999</v>
      </c>
      <c r="I3959" s="39"/>
      <c r="J3959" s="152">
        <v>0</v>
      </c>
    </row>
    <row r="3960" spans="1:10" ht="15.75" hidden="1" thickBot="1" x14ac:dyDescent="0.3">
      <c r="A3960" s="171"/>
      <c r="B3960" s="174"/>
      <c r="C3960" s="35" t="s">
        <v>7987</v>
      </c>
      <c r="D3960" s="35" t="s">
        <v>773</v>
      </c>
      <c r="E3960" s="36">
        <v>1.2150000000000001</v>
      </c>
      <c r="F3960" s="53">
        <v>1.8049999999999999</v>
      </c>
      <c r="G3960" s="53">
        <f>IF(ISNUMBER(F3960),E3960*F3960,"")</f>
        <v>2.1930749999999999</v>
      </c>
      <c r="H3960" s="72"/>
      <c r="I3960" s="73"/>
      <c r="J3960" s="152">
        <v>0</v>
      </c>
    </row>
    <row r="3961" spans="1:10" ht="26.25" hidden="1" thickBot="1" x14ac:dyDescent="0.3">
      <c r="A3961" s="171"/>
      <c r="B3961" s="174"/>
      <c r="C3961" s="35" t="s">
        <v>8321</v>
      </c>
      <c r="D3961" s="35" t="s">
        <v>861</v>
      </c>
      <c r="E3961" s="36">
        <v>0.25</v>
      </c>
      <c r="F3961" s="53">
        <v>425.60949999999997</v>
      </c>
      <c r="G3961" s="53">
        <f>IF(ISNUMBER(F3961),E3961*F3961,"")</f>
        <v>106.40237499999999</v>
      </c>
      <c r="H3961" s="72"/>
      <c r="I3961" s="73"/>
      <c r="J3961" s="152">
        <v>0</v>
      </c>
    </row>
    <row r="3962" spans="1:10" ht="15.75" hidden="1" thickBot="1" x14ac:dyDescent="0.3">
      <c r="A3962" s="171"/>
      <c r="B3962" s="174"/>
      <c r="C3962" s="35" t="s">
        <v>591</v>
      </c>
      <c r="D3962" s="35" t="s">
        <v>583</v>
      </c>
      <c r="E3962" s="36">
        <v>0.437</v>
      </c>
      <c r="F3962" s="53">
        <v>27.160499999999999</v>
      </c>
      <c r="G3962" s="53">
        <f>IF(ISNUMBER(F3962),E3962*F3962,"")</f>
        <v>11.8691385</v>
      </c>
      <c r="H3962" s="72"/>
      <c r="I3962" s="73"/>
      <c r="J3962" s="152">
        <v>0</v>
      </c>
    </row>
    <row r="3963" spans="1:10" ht="15.75" hidden="1" thickBot="1" x14ac:dyDescent="0.3">
      <c r="A3963" s="171"/>
      <c r="B3963" s="174"/>
      <c r="C3963" s="35" t="s">
        <v>584</v>
      </c>
      <c r="D3963" s="35" t="s">
        <v>583</v>
      </c>
      <c r="E3963" s="36">
        <v>0.218</v>
      </c>
      <c r="F3963" s="53">
        <v>20.225499999999997</v>
      </c>
      <c r="G3963" s="53">
        <f>IF(ISNUMBER(F3963),E3963*F3963,"")</f>
        <v>4.4091589999999989</v>
      </c>
      <c r="H3963" s="72"/>
      <c r="I3963" s="73"/>
      <c r="J3963" s="152">
        <v>0</v>
      </c>
    </row>
    <row r="3964" spans="1:10" ht="15.75" hidden="1" thickBot="1" x14ac:dyDescent="0.3">
      <c r="A3964" s="171"/>
      <c r="B3964" s="174"/>
      <c r="C3964" s="54"/>
      <c r="D3964" s="54"/>
      <c r="E3964" s="65"/>
      <c r="F3964" s="75" t="s">
        <v>416</v>
      </c>
      <c r="G3964" s="75" t="str">
        <f>IF(ISNUMBER(F3964),E3964*F3964,"")</f>
        <v/>
      </c>
      <c r="H3964" s="76"/>
      <c r="I3964" s="73"/>
      <c r="J3964" s="152">
        <v>0</v>
      </c>
    </row>
    <row r="3965" spans="1:10" ht="15.75" hidden="1" thickBot="1" x14ac:dyDescent="0.3">
      <c r="A3965" s="170" t="s">
        <v>1028</v>
      </c>
      <c r="B3965" s="173" t="str">
        <f>INDEX(Orçamentária!A:B,MATCH(Composições!A3965,Orçamentária!A:A,0),2)</f>
        <v>Granito Vermelho Brasília 20 mm para divisória</v>
      </c>
      <c r="C3965" s="40"/>
      <c r="D3965" s="25" t="s">
        <v>70</v>
      </c>
      <c r="E3965" s="26"/>
      <c r="F3965" s="48" t="s">
        <v>416</v>
      </c>
      <c r="G3965" s="27" t="str">
        <f>IF(ISNUMBER(F3965),E3965*F3965,"")</f>
        <v/>
      </c>
      <c r="H3965" s="28"/>
      <c r="I3965" s="29"/>
      <c r="J3965" s="152">
        <v>0</v>
      </c>
    </row>
    <row r="3966" spans="1:10" ht="15.75" hidden="1" thickBot="1" x14ac:dyDescent="0.3">
      <c r="A3966" s="171"/>
      <c r="B3966" s="174"/>
      <c r="C3966" s="31"/>
      <c r="D3966" s="31"/>
      <c r="E3966" s="32"/>
      <c r="F3966" s="53" t="s">
        <v>416</v>
      </c>
      <c r="G3966" s="53" t="str">
        <f>IF(ISNUMBER(F3966),E3966*F3966,"")</f>
        <v/>
      </c>
      <c r="H3966" s="72"/>
      <c r="I3966" s="73"/>
      <c r="J3966" s="152">
        <v>0</v>
      </c>
    </row>
    <row r="3967" spans="1:10" ht="26.25" hidden="1" thickBot="1" x14ac:dyDescent="0.3">
      <c r="A3967" s="171"/>
      <c r="B3967" s="174"/>
      <c r="C3967" s="35" t="s">
        <v>650</v>
      </c>
      <c r="D3967" s="35" t="s">
        <v>773</v>
      </c>
      <c r="E3967" s="36">
        <v>0.53</v>
      </c>
      <c r="F3967" s="53">
        <v>52.259499999999996</v>
      </c>
      <c r="G3967" s="53">
        <f>IF(ISNUMBER(F3967),E3967*F3967,"")</f>
        <v>27.697534999999998</v>
      </c>
      <c r="H3967" s="38">
        <f>SUM(G3967:G3973)</f>
        <v>111.88545199999999</v>
      </c>
      <c r="I3967" s="39"/>
      <c r="J3967" s="152">
        <v>0</v>
      </c>
    </row>
    <row r="3968" spans="1:10" ht="39" hidden="1" thickBot="1" x14ac:dyDescent="0.3">
      <c r="A3968" s="171"/>
      <c r="B3968" s="174"/>
      <c r="C3968" s="35" t="s">
        <v>5548</v>
      </c>
      <c r="D3968" s="35" t="s">
        <v>861</v>
      </c>
      <c r="E3968" s="36">
        <v>1.05</v>
      </c>
      <c r="F3968" s="53" t="s">
        <v>416</v>
      </c>
      <c r="G3968" s="53" t="str">
        <f>IF(ISNUMBER(F3968),E3968*F3968,"")</f>
        <v/>
      </c>
      <c r="H3968" s="72"/>
      <c r="I3968" s="73"/>
      <c r="J3968" s="152">
        <v>0</v>
      </c>
    </row>
    <row r="3969" spans="1:10" ht="15.75" hidden="1" thickBot="1" x14ac:dyDescent="0.3">
      <c r="A3969" s="171"/>
      <c r="B3969" s="174"/>
      <c r="C3969" s="35" t="s">
        <v>7988</v>
      </c>
      <c r="D3969" s="35" t="s">
        <v>773</v>
      </c>
      <c r="E3969" s="36">
        <v>0.97</v>
      </c>
      <c r="F3969" s="53">
        <v>2.0710000000000002</v>
      </c>
      <c r="G3969" s="53">
        <f>IF(ISNUMBER(F3969),E3969*F3969,"")</f>
        <v>2.0088699999999999</v>
      </c>
      <c r="H3969" s="72"/>
      <c r="I3969" s="73"/>
      <c r="J3969" s="152">
        <v>0</v>
      </c>
    </row>
    <row r="3970" spans="1:10" ht="15.75" hidden="1" thickBot="1" x14ac:dyDescent="0.3">
      <c r="A3970" s="171"/>
      <c r="B3970" s="174"/>
      <c r="C3970" s="35" t="s">
        <v>2906</v>
      </c>
      <c r="D3970" s="35" t="s">
        <v>583</v>
      </c>
      <c r="E3970" s="36">
        <v>1.405</v>
      </c>
      <c r="F3970" s="53">
        <v>27.036999999999999</v>
      </c>
      <c r="G3970" s="53">
        <f>IF(ISNUMBER(F3970),E3970*F3970,"")</f>
        <v>37.986984999999997</v>
      </c>
      <c r="H3970" s="72"/>
      <c r="I3970" s="73"/>
      <c r="J3970" s="152">
        <v>0</v>
      </c>
    </row>
    <row r="3971" spans="1:10" ht="15.75" hidden="1" thickBot="1" x14ac:dyDescent="0.3">
      <c r="A3971" s="171"/>
      <c r="B3971" s="174"/>
      <c r="C3971" s="35" t="s">
        <v>584</v>
      </c>
      <c r="D3971" s="35" t="s">
        <v>583</v>
      </c>
      <c r="E3971" s="36">
        <v>0.70199999999999996</v>
      </c>
      <c r="F3971" s="53">
        <v>20.225499999999997</v>
      </c>
      <c r="G3971" s="53">
        <f>IF(ISNUMBER(F3971),E3971*F3971,"")</f>
        <v>14.198300999999997</v>
      </c>
      <c r="H3971" s="72"/>
      <c r="I3971" s="73"/>
      <c r="J3971" s="152">
        <v>0</v>
      </c>
    </row>
    <row r="3972" spans="1:10" ht="26.25" hidden="1" thickBot="1" x14ac:dyDescent="0.3">
      <c r="A3972" s="171"/>
      <c r="B3972" s="174"/>
      <c r="C3972" s="35" t="s">
        <v>1013</v>
      </c>
      <c r="D3972" s="35" t="s">
        <v>813</v>
      </c>
      <c r="E3972" s="36">
        <v>8.8999999999999996E-2</v>
      </c>
      <c r="F3972" s="53">
        <v>22.210999999999999</v>
      </c>
      <c r="G3972" s="53">
        <f>IF(ISNUMBER(F3972),E3972*F3972,"")</f>
        <v>1.9767789999999998</v>
      </c>
      <c r="H3972" s="72"/>
      <c r="I3972" s="73"/>
      <c r="J3972" s="152">
        <v>0</v>
      </c>
    </row>
    <row r="3973" spans="1:10" ht="26.25" hidden="1" thickBot="1" x14ac:dyDescent="0.3">
      <c r="A3973" s="171"/>
      <c r="B3973" s="174"/>
      <c r="C3973" s="35" t="s">
        <v>1014</v>
      </c>
      <c r="D3973" s="35" t="s">
        <v>815</v>
      </c>
      <c r="E3973" s="36">
        <v>1.3160000000000001</v>
      </c>
      <c r="F3973" s="53">
        <v>21.2895</v>
      </c>
      <c r="G3973" s="53">
        <f>IF(ISNUMBER(F3973),E3973*F3973,"")</f>
        <v>28.016982000000002</v>
      </c>
      <c r="H3973" s="72"/>
      <c r="I3973" s="73"/>
      <c r="J3973" s="152">
        <v>0</v>
      </c>
    </row>
    <row r="3974" spans="1:10" ht="15.75" hidden="1" thickBot="1" x14ac:dyDescent="0.3">
      <c r="A3974" s="171"/>
      <c r="B3974" s="174"/>
      <c r="C3974" s="35"/>
      <c r="D3974" s="35"/>
      <c r="E3974" s="36"/>
      <c r="F3974" s="53" t="s">
        <v>416</v>
      </c>
      <c r="G3974" s="53" t="str">
        <f>IF(ISNUMBER(F3974),E3974*F3974,"")</f>
        <v/>
      </c>
      <c r="H3974" s="72"/>
      <c r="I3974" s="73"/>
      <c r="J3974" s="152">
        <v>0</v>
      </c>
    </row>
    <row r="3975" spans="1:10" ht="15.75" hidden="1" thickBot="1" x14ac:dyDescent="0.3">
      <c r="A3975" s="170" t="s">
        <v>1029</v>
      </c>
      <c r="B3975" s="173" t="str">
        <f>INDEX(Orçamentária!A:B,MATCH(Composições!A3975,Orçamentária!A:A,0),2)</f>
        <v>Tampa em ferro fundido 20x20 cm</v>
      </c>
      <c r="C3975" s="40"/>
      <c r="D3975" s="25" t="s">
        <v>16</v>
      </c>
      <c r="E3975" s="26"/>
      <c r="F3975" s="48" t="s">
        <v>416</v>
      </c>
      <c r="G3975" s="27" t="str">
        <f>IF(ISNUMBER(F3975),E3975*F3975,"")</f>
        <v/>
      </c>
      <c r="H3975" s="28"/>
      <c r="I3975" s="29"/>
      <c r="J3975" s="152">
        <v>0</v>
      </c>
    </row>
    <row r="3976" spans="1:10" ht="15.75" hidden="1" thickBot="1" x14ac:dyDescent="0.3">
      <c r="A3976" s="171"/>
      <c r="B3976" s="174"/>
      <c r="C3976" s="31"/>
      <c r="D3976" s="31"/>
      <c r="E3976" s="32"/>
      <c r="F3976" s="53" t="s">
        <v>416</v>
      </c>
      <c r="G3976" s="53" t="str">
        <f>IF(ISNUMBER(F3976),E3976*F3976,"")</f>
        <v/>
      </c>
      <c r="H3976" s="72"/>
      <c r="I3976" s="73"/>
      <c r="J3976" s="152">
        <v>0</v>
      </c>
    </row>
    <row r="3977" spans="1:10" ht="26.25" hidden="1" thickBot="1" x14ac:dyDescent="0.3">
      <c r="A3977" s="171"/>
      <c r="B3977" s="174"/>
      <c r="C3977" s="35" t="s">
        <v>1030</v>
      </c>
      <c r="D3977" s="35" t="s">
        <v>213</v>
      </c>
      <c r="E3977" s="36">
        <v>1</v>
      </c>
      <c r="F3977" s="53">
        <v>94.847999999999999</v>
      </c>
      <c r="G3977" s="53">
        <f>IF(ISNUMBER(F3977),E3977*F3977,"")</f>
        <v>94.847999999999999</v>
      </c>
      <c r="H3977" s="38">
        <f>SUM(G3977:G3980)</f>
        <v>141.17421341458939</v>
      </c>
      <c r="I3977" s="39"/>
      <c r="J3977" s="152">
        <v>0</v>
      </c>
    </row>
    <row r="3978" spans="1:10" ht="26.25" hidden="1" thickBot="1" x14ac:dyDescent="0.3">
      <c r="A3978" s="171"/>
      <c r="B3978" s="174"/>
      <c r="C3978" s="35" t="s">
        <v>2898</v>
      </c>
      <c r="D3978" s="46" t="s">
        <v>87</v>
      </c>
      <c r="E3978" s="36">
        <v>4.4000000000000003E-3</v>
      </c>
      <c r="F3978" s="53">
        <v>657.09798058849992</v>
      </c>
      <c r="G3978" s="53">
        <f>IF(ISNUMBER(F3978),E3978*F3978,"")</f>
        <v>2.8912311145893996</v>
      </c>
      <c r="H3978" s="72"/>
      <c r="I3978" s="73"/>
      <c r="J3978" s="152">
        <v>0</v>
      </c>
    </row>
    <row r="3979" spans="1:10" ht="15.75" hidden="1" thickBot="1" x14ac:dyDescent="0.3">
      <c r="A3979" s="171"/>
      <c r="B3979" s="174"/>
      <c r="C3979" s="35" t="s">
        <v>591</v>
      </c>
      <c r="D3979" s="35" t="s">
        <v>583</v>
      </c>
      <c r="E3979" s="36">
        <v>1.0088999999999999</v>
      </c>
      <c r="F3979" s="53">
        <v>27.160499999999999</v>
      </c>
      <c r="G3979" s="53">
        <f>IF(ISNUMBER(F3979),E3979*F3979,"")</f>
        <v>27.402228449999996</v>
      </c>
      <c r="H3979" s="72"/>
      <c r="I3979" s="73"/>
      <c r="J3979" s="152">
        <v>0</v>
      </c>
    </row>
    <row r="3980" spans="1:10" ht="15.75" hidden="1" thickBot="1" x14ac:dyDescent="0.3">
      <c r="A3980" s="171"/>
      <c r="B3980" s="174"/>
      <c r="C3980" s="35" t="s">
        <v>584</v>
      </c>
      <c r="D3980" s="35" t="s">
        <v>583</v>
      </c>
      <c r="E3980" s="36">
        <v>0.79269999999999996</v>
      </c>
      <c r="F3980" s="53">
        <v>20.225499999999997</v>
      </c>
      <c r="G3980" s="53">
        <f>IF(ISNUMBER(F3980),E3980*F3980,"")</f>
        <v>16.032753849999995</v>
      </c>
      <c r="H3980" s="72"/>
      <c r="I3980" s="73"/>
      <c r="J3980" s="152">
        <v>0</v>
      </c>
    </row>
    <row r="3981" spans="1:10" ht="15.75" hidden="1" thickBot="1" x14ac:dyDescent="0.3">
      <c r="A3981" s="171"/>
      <c r="B3981" s="174"/>
      <c r="C3981" s="54"/>
      <c r="D3981" s="54"/>
      <c r="E3981" s="65"/>
      <c r="F3981" s="75" t="s">
        <v>416</v>
      </c>
      <c r="G3981" s="75" t="str">
        <f>IF(ISNUMBER(F3981),E3981*F3981,"")</f>
        <v/>
      </c>
      <c r="H3981" s="76"/>
      <c r="I3981" s="73"/>
      <c r="J3981" s="152">
        <v>0</v>
      </c>
    </row>
    <row r="3982" spans="1:10" ht="15.75" hidden="1" thickBot="1" x14ac:dyDescent="0.3">
      <c r="A3982" s="170" t="s">
        <v>1031</v>
      </c>
      <c r="B3982" s="173" t="str">
        <f>INDEX(Orçamentária!A:B,MATCH(Composições!A3982,Orçamentária!A:A,0),2)</f>
        <v>Cerâmica para revestimento de superfícies internas ou externas – Linha GAIL</v>
      </c>
      <c r="C3982" s="40"/>
      <c r="D3982" s="25" t="s">
        <v>70</v>
      </c>
      <c r="E3982" s="26"/>
      <c r="F3982" s="48" t="s">
        <v>416</v>
      </c>
      <c r="G3982" s="27" t="str">
        <f>IF(ISNUMBER(F3982),E3982*F3982,"")</f>
        <v/>
      </c>
      <c r="H3982" s="28"/>
      <c r="I3982" s="29"/>
      <c r="J3982" s="152">
        <v>0</v>
      </c>
    </row>
    <row r="3983" spans="1:10" ht="15.75" hidden="1" thickBot="1" x14ac:dyDescent="0.3">
      <c r="A3983" s="171"/>
      <c r="B3983" s="174"/>
      <c r="C3983" s="31"/>
      <c r="D3983" s="31"/>
      <c r="E3983" s="32"/>
      <c r="F3983" s="53" t="s">
        <v>416</v>
      </c>
      <c r="G3983" s="53" t="str">
        <f>IF(ISNUMBER(F3983),E3983*F3983,"")</f>
        <v/>
      </c>
      <c r="H3983" s="72"/>
      <c r="I3983" s="73"/>
      <c r="J3983" s="152">
        <v>0</v>
      </c>
    </row>
    <row r="3984" spans="1:10" ht="26.25" hidden="1" thickBot="1" x14ac:dyDescent="0.3">
      <c r="A3984" s="171"/>
      <c r="B3984" s="174"/>
      <c r="C3984" s="35" t="s">
        <v>1032</v>
      </c>
      <c r="D3984" s="35" t="s">
        <v>70</v>
      </c>
      <c r="E3984" s="36">
        <v>1.08</v>
      </c>
      <c r="F3984" s="53" t="s">
        <v>416</v>
      </c>
      <c r="G3984" s="53" t="str">
        <f>IF(ISNUMBER(F3984),E3984*F3984,"")</f>
        <v/>
      </c>
      <c r="H3984" s="38">
        <f>SUM(G3984:G3988)</f>
        <v>32.594309999999993</v>
      </c>
      <c r="I3984" s="39"/>
      <c r="J3984" s="152">
        <v>0</v>
      </c>
    </row>
    <row r="3985" spans="1:10" ht="15.75" hidden="1" thickBot="1" x14ac:dyDescent="0.3">
      <c r="A3985" s="171"/>
      <c r="B3985" s="174"/>
      <c r="C3985" s="35" t="s">
        <v>7986</v>
      </c>
      <c r="D3985" s="35" t="s">
        <v>773</v>
      </c>
      <c r="E3985" s="36">
        <v>6.14</v>
      </c>
      <c r="F3985" s="53">
        <v>1.0924999999999998</v>
      </c>
      <c r="G3985" s="53">
        <f>IF(ISNUMBER(F3985),E3985*F3985,"")</f>
        <v>6.7079499999999985</v>
      </c>
      <c r="H3985" s="72"/>
      <c r="I3985" s="73"/>
      <c r="J3985" s="152">
        <v>0</v>
      </c>
    </row>
    <row r="3986" spans="1:10" ht="15.75" hidden="1" thickBot="1" x14ac:dyDescent="0.3">
      <c r="A3986" s="171"/>
      <c r="B3986" s="174"/>
      <c r="C3986" s="35" t="s">
        <v>8367</v>
      </c>
      <c r="D3986" s="35" t="s">
        <v>773</v>
      </c>
      <c r="E3986" s="36">
        <v>0.22</v>
      </c>
      <c r="F3986" s="53">
        <v>3.4579999999999997</v>
      </c>
      <c r="G3986" s="53">
        <f>IF(ISNUMBER(F3986),E3986*F3986,"")</f>
        <v>0.76075999999999999</v>
      </c>
      <c r="H3986" s="72"/>
      <c r="I3986" s="73"/>
      <c r="J3986" s="152">
        <v>0</v>
      </c>
    </row>
    <row r="3987" spans="1:10" ht="15.75" hidden="1" thickBot="1" x14ac:dyDescent="0.3">
      <c r="A3987" s="171"/>
      <c r="B3987" s="174"/>
      <c r="C3987" s="35" t="s">
        <v>1079</v>
      </c>
      <c r="D3987" s="35" t="s">
        <v>583</v>
      </c>
      <c r="E3987" s="36">
        <v>0.66</v>
      </c>
      <c r="F3987" s="53">
        <v>27.036999999999999</v>
      </c>
      <c r="G3987" s="53">
        <f>IF(ISNUMBER(F3987),E3987*F3987,"")</f>
        <v>17.84442</v>
      </c>
      <c r="H3987" s="72"/>
      <c r="I3987" s="73"/>
      <c r="J3987" s="152">
        <v>0</v>
      </c>
    </row>
    <row r="3988" spans="1:10" ht="15.75" hidden="1" thickBot="1" x14ac:dyDescent="0.3">
      <c r="A3988" s="171"/>
      <c r="B3988" s="174"/>
      <c r="C3988" s="35" t="s">
        <v>584</v>
      </c>
      <c r="D3988" s="35" t="s">
        <v>583</v>
      </c>
      <c r="E3988" s="36">
        <v>0.36</v>
      </c>
      <c r="F3988" s="53">
        <v>20.225499999999997</v>
      </c>
      <c r="G3988" s="53">
        <f>IF(ISNUMBER(F3988),E3988*F3988,"")</f>
        <v>7.2811799999999982</v>
      </c>
      <c r="H3988" s="72"/>
      <c r="I3988" s="73"/>
      <c r="J3988" s="152">
        <v>0</v>
      </c>
    </row>
    <row r="3989" spans="1:10" ht="15.75" hidden="1" thickBot="1" x14ac:dyDescent="0.3">
      <c r="A3989" s="171"/>
      <c r="B3989" s="174"/>
      <c r="C3989" s="35"/>
      <c r="D3989" s="46"/>
      <c r="E3989" s="36"/>
      <c r="F3989" s="53" t="s">
        <v>416</v>
      </c>
      <c r="G3989" s="53" t="str">
        <f>IF(ISNUMBER(F3989),E3989*F3989,"")</f>
        <v/>
      </c>
      <c r="H3989" s="72"/>
      <c r="I3989" s="73"/>
      <c r="J3989" s="152">
        <v>0</v>
      </c>
    </row>
    <row r="3990" spans="1:10" ht="15.75" thickBot="1" x14ac:dyDescent="0.3">
      <c r="A3990" s="170" t="s">
        <v>1033</v>
      </c>
      <c r="B3990" s="173" t="str">
        <f>INDEX(Orçamentária!A:B,MATCH(Composições!A3990,Orçamentária!A:A,0),2)</f>
        <v>Aterro de vala com areia média e compactação mecanizada</v>
      </c>
      <c r="C3990" s="40"/>
      <c r="D3990" s="25" t="s">
        <v>80</v>
      </c>
      <c r="E3990" s="26"/>
      <c r="F3990" s="48" t="s">
        <v>416</v>
      </c>
      <c r="G3990" s="27" t="str">
        <f>IF(ISNUMBER(F3990),E3990*F3990,"")</f>
        <v/>
      </c>
      <c r="H3990" s="28"/>
      <c r="I3990" s="29"/>
      <c r="J3990" s="152">
        <v>12</v>
      </c>
    </row>
    <row r="3991" spans="1:10" x14ac:dyDescent="0.25">
      <c r="A3991" s="171"/>
      <c r="B3991" s="174"/>
      <c r="C3991" s="31"/>
      <c r="D3991" s="31"/>
      <c r="E3991" s="32"/>
      <c r="F3991" s="53" t="s">
        <v>416</v>
      </c>
      <c r="G3991" s="53" t="str">
        <f>IF(ISNUMBER(F3991),E3991*F3991,"")</f>
        <v/>
      </c>
      <c r="H3991" s="72"/>
      <c r="I3991" s="73"/>
      <c r="J3991" s="152">
        <v>12</v>
      </c>
    </row>
    <row r="3992" spans="1:10" ht="25.5" x14ac:dyDescent="0.25">
      <c r="A3992" s="171"/>
      <c r="B3992" s="174"/>
      <c r="C3992" s="35" t="s">
        <v>1034</v>
      </c>
      <c r="D3992" s="35" t="s">
        <v>87</v>
      </c>
      <c r="E3992" s="36">
        <v>1.25</v>
      </c>
      <c r="F3992" s="53">
        <v>101.16549999999999</v>
      </c>
      <c r="G3992" s="53">
        <f>IF(ISNUMBER(F3992),E3992*F3992,"")</f>
        <v>126.456875</v>
      </c>
      <c r="H3992" s="38">
        <f>SUM(G3992:G3999)</f>
        <v>231.20914274999996</v>
      </c>
      <c r="I3992" s="39"/>
      <c r="J3992" s="152">
        <v>12</v>
      </c>
    </row>
    <row r="3993" spans="1:10" ht="51" x14ac:dyDescent="0.25">
      <c r="A3993" s="171"/>
      <c r="B3993" s="174"/>
      <c r="C3993" s="35" t="s">
        <v>818</v>
      </c>
      <c r="D3993" s="35" t="s">
        <v>813</v>
      </c>
      <c r="E3993" s="36">
        <v>6.0000000000000001E-3</v>
      </c>
      <c r="F3993" s="53">
        <v>294.57599999999996</v>
      </c>
      <c r="G3993" s="53">
        <f>IF(ISNUMBER(F3993),E3993*F3993,"")</f>
        <v>1.7674559999999999</v>
      </c>
      <c r="H3993" s="72"/>
      <c r="I3993" s="73"/>
      <c r="J3993" s="152">
        <v>12</v>
      </c>
    </row>
    <row r="3994" spans="1:10" ht="51" x14ac:dyDescent="0.25">
      <c r="A3994" s="171"/>
      <c r="B3994" s="174"/>
      <c r="C3994" s="35" t="s">
        <v>819</v>
      </c>
      <c r="D3994" s="35" t="s">
        <v>815</v>
      </c>
      <c r="E3994" s="36">
        <v>3.0000000000000001E-3</v>
      </c>
      <c r="F3994" s="53">
        <v>60.363</v>
      </c>
      <c r="G3994" s="53">
        <f>IF(ISNUMBER(F3994),E3994*F3994,"")</f>
        <v>0.181089</v>
      </c>
      <c r="H3994" s="72"/>
      <c r="I3994" s="73"/>
      <c r="J3994" s="152">
        <v>12</v>
      </c>
    </row>
    <row r="3995" spans="1:10" x14ac:dyDescent="0.25">
      <c r="A3995" s="171"/>
      <c r="B3995" s="174"/>
      <c r="C3995" s="35" t="s">
        <v>584</v>
      </c>
      <c r="D3995" s="35" t="s">
        <v>583</v>
      </c>
      <c r="E3995" s="36">
        <v>0.65900000000000003</v>
      </c>
      <c r="F3995" s="53">
        <v>20.225499999999997</v>
      </c>
      <c r="G3995" s="53">
        <f>IF(ISNUMBER(F3995),E3995*F3995,"")</f>
        <v>13.328604499999999</v>
      </c>
      <c r="H3995" s="72"/>
      <c r="I3995" s="73"/>
      <c r="J3995" s="152">
        <v>12</v>
      </c>
    </row>
    <row r="3996" spans="1:10" ht="38.25" x14ac:dyDescent="0.25">
      <c r="A3996" s="171"/>
      <c r="B3996" s="174"/>
      <c r="C3996" s="35" t="s">
        <v>812</v>
      </c>
      <c r="D3996" s="35" t="s">
        <v>813</v>
      </c>
      <c r="E3996" s="36">
        <v>0.27400000000000002</v>
      </c>
      <c r="F3996" s="53">
        <v>27.512</v>
      </c>
      <c r="G3996" s="53">
        <f>IF(ISNUMBER(F3996),E3996*F3996,"")</f>
        <v>7.5382880000000005</v>
      </c>
      <c r="H3996" s="72"/>
      <c r="I3996" s="73"/>
      <c r="J3996" s="152">
        <v>12</v>
      </c>
    </row>
    <row r="3997" spans="1:10" ht="38.25" x14ac:dyDescent="0.25">
      <c r="A3997" s="171"/>
      <c r="B3997" s="174"/>
      <c r="C3997" s="35" t="s">
        <v>814</v>
      </c>
      <c r="D3997" s="35" t="s">
        <v>815</v>
      </c>
      <c r="E3997" s="36">
        <v>0.254</v>
      </c>
      <c r="F3997" s="53">
        <v>22.001999999999999</v>
      </c>
      <c r="G3997" s="53">
        <f>IF(ISNUMBER(F3997),E3997*F3997,"")</f>
        <v>5.588508</v>
      </c>
      <c r="H3997" s="72"/>
      <c r="I3997" s="73"/>
      <c r="J3997" s="152">
        <v>12</v>
      </c>
    </row>
    <row r="3998" spans="1:10" ht="51" x14ac:dyDescent="0.25">
      <c r="A3998" s="171"/>
      <c r="B3998" s="174"/>
      <c r="C3998" s="35" t="s">
        <v>3071</v>
      </c>
      <c r="D3998" s="35" t="s">
        <v>80</v>
      </c>
      <c r="E3998" s="36">
        <f>1*E3992</f>
        <v>1.25</v>
      </c>
      <c r="F3998" s="33">
        <v>7.9257587999999988</v>
      </c>
      <c r="G3998" s="33">
        <f>IF(ISNUMBER(F3998),E3998*F3998,"")</f>
        <v>9.907198499999998</v>
      </c>
      <c r="H3998" s="34"/>
      <c r="I3998" s="30"/>
      <c r="J3998" s="152">
        <v>12</v>
      </c>
    </row>
    <row r="3999" spans="1:10" ht="38.25" x14ac:dyDescent="0.25">
      <c r="A3999" s="171"/>
      <c r="B3999" s="174"/>
      <c r="C3999" s="35" t="s">
        <v>88</v>
      </c>
      <c r="D3999" s="46" t="s">
        <v>89</v>
      </c>
      <c r="E3999" s="36">
        <f>E3992*20</f>
        <v>25</v>
      </c>
      <c r="F3999" s="53">
        <v>2.6576449499999995</v>
      </c>
      <c r="G3999" s="53">
        <f>IF(ISNUMBER(F3999),E3999*F3999,"")</f>
        <v>66.441123749999988</v>
      </c>
      <c r="H3999" s="72"/>
      <c r="I3999" s="73"/>
      <c r="J3999" s="152">
        <v>12</v>
      </c>
    </row>
    <row r="4000" spans="1:10" x14ac:dyDescent="0.25">
      <c r="A4000" s="171"/>
      <c r="B4000" s="174"/>
      <c r="C4000" s="50"/>
      <c r="D4000" s="46"/>
      <c r="E4000" s="36"/>
      <c r="F4000" s="53" t="s">
        <v>416</v>
      </c>
      <c r="G4000" s="53" t="str">
        <f>IF(ISNUMBER(F4000),E4000*F4000,"")</f>
        <v/>
      </c>
      <c r="H4000" s="72"/>
      <c r="I4000" s="73"/>
      <c r="J4000" s="152">
        <v>12</v>
      </c>
    </row>
    <row r="4001" spans="1:10" x14ac:dyDescent="0.25">
      <c r="A4001" s="171"/>
      <c r="B4001" s="174"/>
      <c r="C4001" s="47" t="s">
        <v>631</v>
      </c>
      <c r="D4001" s="46"/>
      <c r="E4001" s="36"/>
      <c r="F4001" s="53" t="s">
        <v>416</v>
      </c>
      <c r="G4001" s="53" t="str">
        <f>IF(ISNUMBER(F4001),E4001*F4001,"")</f>
        <v/>
      </c>
      <c r="H4001" s="72"/>
      <c r="I4001" s="73"/>
      <c r="J4001" s="152">
        <v>12</v>
      </c>
    </row>
    <row r="4002" spans="1:10" ht="15.75" thickBot="1" x14ac:dyDescent="0.3">
      <c r="A4002" s="171"/>
      <c r="B4002" s="174"/>
      <c r="C4002" s="54"/>
      <c r="D4002" s="54"/>
      <c r="E4002" s="65"/>
      <c r="F4002" s="75" t="s">
        <v>416</v>
      </c>
      <c r="G4002" s="75" t="str">
        <f>IF(ISNUMBER(F4002),E4002*F4002,"")</f>
        <v/>
      </c>
      <c r="H4002" s="76"/>
      <c r="I4002" s="73"/>
      <c r="J4002" s="152">
        <v>12</v>
      </c>
    </row>
    <row r="4003" spans="1:10" ht="15.75" hidden="1" thickBot="1" x14ac:dyDescent="0.3">
      <c r="A4003" s="170" t="s">
        <v>1035</v>
      </c>
      <c r="B4003" s="173" t="str">
        <f>INDEX(Orçamentária!A:B,MATCH(Composições!A4003,Orçamentária!A:A,0),2)</f>
        <v>Guarda-corpo panorâmico</v>
      </c>
      <c r="C4003" s="40"/>
      <c r="D4003" s="25" t="s">
        <v>69</v>
      </c>
      <c r="E4003" s="26"/>
      <c r="F4003" s="48" t="s">
        <v>416</v>
      </c>
      <c r="G4003" s="27" t="str">
        <f>IF(ISNUMBER(F4003),E4003*F4003,"")</f>
        <v/>
      </c>
      <c r="H4003" s="28"/>
      <c r="I4003" s="29"/>
      <c r="J4003" s="152">
        <v>0</v>
      </c>
    </row>
    <row r="4004" spans="1:10" ht="15.75" hidden="1" thickBot="1" x14ac:dyDescent="0.3">
      <c r="A4004" s="171"/>
      <c r="B4004" s="174"/>
      <c r="C4004" s="31"/>
      <c r="D4004" s="31"/>
      <c r="E4004" s="32"/>
      <c r="F4004" s="53" t="s">
        <v>416</v>
      </c>
      <c r="G4004" s="53" t="str">
        <f>IF(ISNUMBER(F4004),E4004*F4004,"")</f>
        <v/>
      </c>
      <c r="H4004" s="72"/>
      <c r="I4004" s="73"/>
      <c r="J4004" s="152">
        <v>0</v>
      </c>
    </row>
    <row r="4005" spans="1:10" ht="15.75" hidden="1" thickBot="1" x14ac:dyDescent="0.3">
      <c r="A4005" s="171"/>
      <c r="B4005" s="174"/>
      <c r="C4005" s="35" t="s">
        <v>1036</v>
      </c>
      <c r="D4005" s="35" t="s">
        <v>773</v>
      </c>
      <c r="E4005" s="36">
        <v>1.4</v>
      </c>
      <c r="F4005" s="53">
        <v>11.153</v>
      </c>
      <c r="G4005" s="53">
        <f>IF(ISNUMBER(F4005),E4005*F4005,"")</f>
        <v>15.6142</v>
      </c>
      <c r="H4005" s="38">
        <f>SUM(G4005:G4014)</f>
        <v>715.18923149999989</v>
      </c>
      <c r="I4005" s="39"/>
      <c r="J4005" s="152">
        <v>0</v>
      </c>
    </row>
    <row r="4006" spans="1:10" ht="15.75" hidden="1" thickBot="1" x14ac:dyDescent="0.3">
      <c r="A4006" s="171"/>
      <c r="B4006" s="174"/>
      <c r="C4006" s="35" t="s">
        <v>1037</v>
      </c>
      <c r="D4006" s="35" t="s">
        <v>773</v>
      </c>
      <c r="E4006" s="36">
        <v>3.0000000000000001E-3</v>
      </c>
      <c r="F4006" s="53">
        <v>36.489499999999992</v>
      </c>
      <c r="G4006" s="53">
        <f>IF(ISNUMBER(F4006),E4006*F4006,"")</f>
        <v>0.10946849999999998</v>
      </c>
      <c r="H4006" s="72"/>
      <c r="I4006" s="73"/>
      <c r="J4006" s="152">
        <v>0</v>
      </c>
    </row>
    <row r="4007" spans="1:10" ht="26.25" hidden="1" thickBot="1" x14ac:dyDescent="0.3">
      <c r="A4007" s="171"/>
      <c r="B4007" s="174"/>
      <c r="C4007" s="35" t="s">
        <v>903</v>
      </c>
      <c r="D4007" s="35" t="s">
        <v>213</v>
      </c>
      <c r="E4007" s="36">
        <v>3.3330000000000002</v>
      </c>
      <c r="F4007" s="53">
        <v>2.4224999999999999</v>
      </c>
      <c r="G4007" s="53">
        <f>IF(ISNUMBER(F4007),E4007*F4007,"")</f>
        <v>8.0741925000000005</v>
      </c>
      <c r="H4007" s="72"/>
      <c r="I4007" s="73"/>
      <c r="J4007" s="152">
        <v>0</v>
      </c>
    </row>
    <row r="4008" spans="1:10" ht="39" hidden="1" thickBot="1" x14ac:dyDescent="0.3">
      <c r="A4008" s="171"/>
      <c r="B4008" s="174"/>
      <c r="C4008" s="35" t="s">
        <v>1038</v>
      </c>
      <c r="D4008" s="35" t="s">
        <v>213</v>
      </c>
      <c r="E4008" s="36">
        <v>5</v>
      </c>
      <c r="F4008" s="53">
        <v>0.45599999999999996</v>
      </c>
      <c r="G4008" s="53">
        <f>IF(ISNUMBER(F4008),E4008*F4008,"")</f>
        <v>2.2799999999999998</v>
      </c>
      <c r="H4008" s="72"/>
      <c r="I4008" s="73"/>
      <c r="J4008" s="152">
        <v>0</v>
      </c>
    </row>
    <row r="4009" spans="1:10" ht="26.25" hidden="1" thickBot="1" x14ac:dyDescent="0.3">
      <c r="A4009" s="171"/>
      <c r="B4009" s="174"/>
      <c r="C4009" s="35" t="s">
        <v>1039</v>
      </c>
      <c r="D4009" s="35" t="s">
        <v>385</v>
      </c>
      <c r="E4009" s="36">
        <v>3.149</v>
      </c>
      <c r="F4009" s="53">
        <v>16.149999999999999</v>
      </c>
      <c r="G4009" s="53">
        <f>IF(ISNUMBER(F4009),E4009*F4009,"")</f>
        <v>50.856349999999999</v>
      </c>
      <c r="H4009" s="72"/>
      <c r="I4009" s="73"/>
      <c r="J4009" s="152">
        <v>0</v>
      </c>
    </row>
    <row r="4010" spans="1:10" ht="15.75" hidden="1" thickBot="1" x14ac:dyDescent="0.3">
      <c r="A4010" s="171"/>
      <c r="B4010" s="174"/>
      <c r="C4010" s="35" t="s">
        <v>709</v>
      </c>
      <c r="D4010" s="35" t="s">
        <v>773</v>
      </c>
      <c r="E4010" s="36">
        <v>3.4089999999999998</v>
      </c>
      <c r="F4010" s="53">
        <v>39.063999999999993</v>
      </c>
      <c r="G4010" s="53">
        <f>IF(ISNUMBER(F4010),E4010*F4010,"")</f>
        <v>133.16917599999996</v>
      </c>
      <c r="H4010" s="72"/>
      <c r="I4010" s="73"/>
      <c r="J4010" s="152">
        <v>0</v>
      </c>
    </row>
    <row r="4011" spans="1:10" ht="26.25" hidden="1" thickBot="1" x14ac:dyDescent="0.3">
      <c r="A4011" s="171"/>
      <c r="B4011" s="174"/>
      <c r="C4011" s="35" t="s">
        <v>1040</v>
      </c>
      <c r="D4011" s="35" t="s">
        <v>861</v>
      </c>
      <c r="E4011" s="36">
        <v>0.998</v>
      </c>
      <c r="F4011" s="53">
        <v>333.83</v>
      </c>
      <c r="G4011" s="53">
        <f>IF(ISNUMBER(F4011),E4011*F4011,"")</f>
        <v>333.16233999999997</v>
      </c>
      <c r="H4011" s="72"/>
      <c r="I4011" s="73"/>
      <c r="J4011" s="152">
        <v>0</v>
      </c>
    </row>
    <row r="4012" spans="1:10" ht="15.75" hidden="1" thickBot="1" x14ac:dyDescent="0.3">
      <c r="A4012" s="171"/>
      <c r="B4012" s="174"/>
      <c r="C4012" s="35" t="s">
        <v>8373</v>
      </c>
      <c r="D4012" s="35" t="s">
        <v>213</v>
      </c>
      <c r="E4012" s="36">
        <v>0.85499999999999998</v>
      </c>
      <c r="F4012" s="53">
        <v>26.125</v>
      </c>
      <c r="G4012" s="53">
        <f>IF(ISNUMBER(F4012),E4012*F4012,"")</f>
        <v>22.336874999999999</v>
      </c>
      <c r="H4012" s="72"/>
      <c r="I4012" s="73"/>
      <c r="J4012" s="152">
        <v>0</v>
      </c>
    </row>
    <row r="4013" spans="1:10" ht="15.75" hidden="1" thickBot="1" x14ac:dyDescent="0.3">
      <c r="A4013" s="171"/>
      <c r="B4013" s="174"/>
      <c r="C4013" s="35" t="s">
        <v>662</v>
      </c>
      <c r="D4013" s="35" t="s">
        <v>583</v>
      </c>
      <c r="E4013" s="36">
        <v>2.754</v>
      </c>
      <c r="F4013" s="53">
        <v>21.479499999999998</v>
      </c>
      <c r="G4013" s="53">
        <f>IF(ISNUMBER(F4013),E4013*F4013,"")</f>
        <v>59.154542999999997</v>
      </c>
      <c r="H4013" s="72"/>
      <c r="I4013" s="73"/>
      <c r="J4013" s="152">
        <v>0</v>
      </c>
    </row>
    <row r="4014" spans="1:10" ht="15.75" hidden="1" thickBot="1" x14ac:dyDescent="0.3">
      <c r="A4014" s="171"/>
      <c r="B4014" s="174"/>
      <c r="C4014" s="35" t="s">
        <v>1041</v>
      </c>
      <c r="D4014" s="35" t="s">
        <v>583</v>
      </c>
      <c r="E4014" s="36">
        <v>3.3530000000000002</v>
      </c>
      <c r="F4014" s="53">
        <v>26.970499999999998</v>
      </c>
      <c r="G4014" s="53">
        <f>IF(ISNUMBER(F4014),E4014*F4014,"")</f>
        <v>90.432086499999997</v>
      </c>
      <c r="H4014" s="72"/>
      <c r="I4014" s="73"/>
      <c r="J4014" s="152">
        <v>0</v>
      </c>
    </row>
    <row r="4015" spans="1:10" ht="15.75" hidden="1" thickBot="1" x14ac:dyDescent="0.3">
      <c r="A4015" s="172"/>
      <c r="B4015" s="175"/>
      <c r="C4015" s="54"/>
      <c r="D4015" s="54"/>
      <c r="E4015" s="65"/>
      <c r="F4015" s="75" t="s">
        <v>416</v>
      </c>
      <c r="G4015" s="75" t="str">
        <f>IF(ISNUMBER(F4015),E4015*F4015,"")</f>
        <v/>
      </c>
      <c r="H4015" s="76"/>
      <c r="I4015" s="73"/>
      <c r="J4015" s="152">
        <v>0</v>
      </c>
    </row>
    <row r="4016" spans="1:10" ht="15.75" hidden="1" thickBot="1" x14ac:dyDescent="0.3">
      <c r="A4016" s="170" t="s">
        <v>1042</v>
      </c>
      <c r="B4016" s="173" t="str">
        <f>INDEX(Orçamentária!A:B,MATCH(Composições!A4016,Orçamentária!A:A,0),2)</f>
        <v>Perfil “U” em aço 25 x 25 mm</v>
      </c>
      <c r="C4016" s="40"/>
      <c r="D4016" s="25" t="s">
        <v>69</v>
      </c>
      <c r="E4016" s="26"/>
      <c r="F4016" s="41" t="s">
        <v>416</v>
      </c>
      <c r="G4016" s="27" t="str">
        <f>IF(ISNUMBER(F4016),E4016*F4016,"")</f>
        <v/>
      </c>
      <c r="H4016" s="28"/>
      <c r="I4016" s="29"/>
      <c r="J4016" s="152">
        <v>0</v>
      </c>
    </row>
    <row r="4017" spans="1:10" ht="15.75" hidden="1" thickBot="1" x14ac:dyDescent="0.3">
      <c r="A4017" s="171"/>
      <c r="B4017" s="174"/>
      <c r="C4017" s="31"/>
      <c r="D4017" s="31"/>
      <c r="E4017" s="32"/>
      <c r="F4017" s="42" t="s">
        <v>416</v>
      </c>
      <c r="G4017" s="30" t="str">
        <f>IF(ISNUMBER(F4017),E4017*F4017,"")</f>
        <v/>
      </c>
      <c r="H4017" s="34"/>
      <c r="I4017" s="30"/>
      <c r="J4017" s="152">
        <v>0</v>
      </c>
    </row>
    <row r="4018" spans="1:10" ht="15.75" hidden="1" thickBot="1" x14ac:dyDescent="0.3">
      <c r="A4018" s="171"/>
      <c r="B4018" s="174"/>
      <c r="C4018" s="35" t="s">
        <v>2909</v>
      </c>
      <c r="D4018" s="35" t="s">
        <v>583</v>
      </c>
      <c r="E4018" s="36">
        <f>1/10</f>
        <v>0.1</v>
      </c>
      <c r="F4018" s="30">
        <v>25.060999999999996</v>
      </c>
      <c r="G4018" s="33">
        <f>IF(ISNUMBER(F4018),E4018*F4018,"")</f>
        <v>2.5061</v>
      </c>
      <c r="H4018" s="38">
        <f>SUM(G4018:G4019)</f>
        <v>2.5061</v>
      </c>
      <c r="I4018" s="39"/>
      <c r="J4018" s="152">
        <v>0</v>
      </c>
    </row>
    <row r="4019" spans="1:10" ht="15.75" hidden="1" thickBot="1" x14ac:dyDescent="0.3">
      <c r="A4019" s="171"/>
      <c r="B4019" s="174"/>
      <c r="C4019" s="35" t="s">
        <v>1043</v>
      </c>
      <c r="D4019" s="46" t="s">
        <v>69</v>
      </c>
      <c r="E4019" s="36">
        <v>1.05</v>
      </c>
      <c r="F4019" s="33" t="s">
        <v>416</v>
      </c>
      <c r="G4019" s="33" t="str">
        <f>IF(ISNUMBER(F4019),E4019*F4019,"")</f>
        <v/>
      </c>
      <c r="H4019" s="34"/>
      <c r="I4019" s="30"/>
      <c r="J4019" s="152">
        <v>0</v>
      </c>
    </row>
    <row r="4020" spans="1:10" ht="15.75" hidden="1" thickBot="1" x14ac:dyDescent="0.3">
      <c r="A4020" s="172"/>
      <c r="B4020" s="175"/>
      <c r="C4020" s="35"/>
      <c r="D4020" s="46"/>
      <c r="E4020" s="36"/>
      <c r="F4020" s="33" t="s">
        <v>416</v>
      </c>
      <c r="G4020" s="33" t="str">
        <f>IF(ISNUMBER(F4020),E4020*F4020,"")</f>
        <v/>
      </c>
      <c r="H4020" s="34"/>
      <c r="I4020" s="30"/>
      <c r="J4020" s="152">
        <v>0</v>
      </c>
    </row>
    <row r="4021" spans="1:10" ht="15.75" hidden="1" thickBot="1" x14ac:dyDescent="0.3">
      <c r="A4021" s="170" t="s">
        <v>1044</v>
      </c>
      <c r="B4021" s="173" t="str">
        <f>INDEX(Orçamentária!A:B,MATCH(Composições!A4021,Orçamentária!A:A,0),2)</f>
        <v>Alimentação para mão-de-obra indireta</v>
      </c>
      <c r="C4021" s="40"/>
      <c r="D4021" s="25" t="s">
        <v>11</v>
      </c>
      <c r="E4021" s="26"/>
      <c r="F4021" s="48" t="s">
        <v>416</v>
      </c>
      <c r="G4021" s="27" t="str">
        <f>IF(ISNUMBER(F4021),E4021*F4021,"")</f>
        <v/>
      </c>
      <c r="H4021" s="28"/>
      <c r="I4021" s="29"/>
      <c r="J4021" s="152">
        <v>0</v>
      </c>
    </row>
    <row r="4022" spans="1:10" ht="15.75" hidden="1" thickBot="1" x14ac:dyDescent="0.3">
      <c r="A4022" s="171"/>
      <c r="B4022" s="174"/>
      <c r="C4022" s="31"/>
      <c r="D4022" s="31"/>
      <c r="E4022" s="32"/>
      <c r="F4022" s="53" t="s">
        <v>416</v>
      </c>
      <c r="G4022" s="53" t="str">
        <f>IF(ISNUMBER(F4022),E4022*F4022,"")</f>
        <v/>
      </c>
      <c r="H4022" s="72"/>
      <c r="I4022" s="73"/>
      <c r="J4022" s="152">
        <v>0</v>
      </c>
    </row>
    <row r="4023" spans="1:10" ht="26.25" hidden="1" thickBot="1" x14ac:dyDescent="0.3">
      <c r="A4023" s="171"/>
      <c r="B4023" s="174"/>
      <c r="C4023" s="35" t="s">
        <v>7979</v>
      </c>
      <c r="D4023" s="35" t="s">
        <v>583</v>
      </c>
      <c r="E4023" s="36">
        <v>1</v>
      </c>
      <c r="F4023" s="53">
        <v>3.1254999999999997</v>
      </c>
      <c r="G4023" s="53">
        <f>IF(ISNUMBER(F4023),E4023*F4023,"")</f>
        <v>3.1254999999999997</v>
      </c>
      <c r="H4023" s="38">
        <f>SUM(G4023:G4023)</f>
        <v>3.1254999999999997</v>
      </c>
      <c r="I4023" s="39"/>
      <c r="J4023" s="152">
        <v>0</v>
      </c>
    </row>
    <row r="4024" spans="1:10" ht="15.75" hidden="1" thickBot="1" x14ac:dyDescent="0.3">
      <c r="A4024" s="171"/>
      <c r="B4024" s="174"/>
      <c r="C4024" s="54"/>
      <c r="D4024" s="54"/>
      <c r="E4024" s="65"/>
      <c r="F4024" s="75" t="s">
        <v>416</v>
      </c>
      <c r="G4024" s="75" t="str">
        <f>IF(ISNUMBER(F4024),E4024*F4024,"")</f>
        <v/>
      </c>
      <c r="H4024" s="76"/>
      <c r="I4024" s="73"/>
      <c r="J4024" s="152">
        <v>0</v>
      </c>
    </row>
    <row r="4025" spans="1:10" ht="15.75" hidden="1" thickBot="1" x14ac:dyDescent="0.3">
      <c r="A4025" s="170" t="s">
        <v>1045</v>
      </c>
      <c r="B4025" s="173" t="str">
        <f>INDEX(Orçamentária!A:B,MATCH(Composições!A4025,Orçamentária!A:A,0),2)</f>
        <v>Transporte para mão-de-obra indireta</v>
      </c>
      <c r="C4025" s="40"/>
      <c r="D4025" s="25" t="s">
        <v>11</v>
      </c>
      <c r="E4025" s="26"/>
      <c r="F4025" s="48" t="s">
        <v>416</v>
      </c>
      <c r="G4025" s="27" t="str">
        <f>IF(ISNUMBER(F4025),E4025*F4025,"")</f>
        <v/>
      </c>
      <c r="H4025" s="28"/>
      <c r="I4025" s="29"/>
      <c r="J4025" s="152">
        <v>0</v>
      </c>
    </row>
    <row r="4026" spans="1:10" ht="15.75" hidden="1" thickBot="1" x14ac:dyDescent="0.3">
      <c r="A4026" s="171"/>
      <c r="B4026" s="174"/>
      <c r="C4026" s="31"/>
      <c r="D4026" s="31"/>
      <c r="E4026" s="32"/>
      <c r="F4026" s="53" t="s">
        <v>416</v>
      </c>
      <c r="G4026" s="53" t="str">
        <f>IF(ISNUMBER(F4026),E4026*F4026,"")</f>
        <v/>
      </c>
      <c r="H4026" s="72"/>
      <c r="I4026" s="73"/>
      <c r="J4026" s="152">
        <v>0</v>
      </c>
    </row>
    <row r="4027" spans="1:10" ht="26.25" hidden="1" thickBot="1" x14ac:dyDescent="0.3">
      <c r="A4027" s="171"/>
      <c r="B4027" s="174"/>
      <c r="C4027" s="35" t="s">
        <v>8451</v>
      </c>
      <c r="D4027" s="35" t="s">
        <v>583</v>
      </c>
      <c r="E4027" s="36">
        <v>1.05</v>
      </c>
      <c r="F4027" s="53">
        <v>1.4249999999999998</v>
      </c>
      <c r="G4027" s="53">
        <f>IF(ISNUMBER(F4027),E4027*F4027,"")</f>
        <v>1.4962499999999999</v>
      </c>
      <c r="H4027" s="38">
        <f>SUM(G4027:G4027)</f>
        <v>1.4962499999999999</v>
      </c>
      <c r="I4027" s="39"/>
      <c r="J4027" s="152">
        <v>0</v>
      </c>
    </row>
    <row r="4028" spans="1:10" ht="15.75" hidden="1" thickBot="1" x14ac:dyDescent="0.3">
      <c r="A4028" s="172"/>
      <c r="B4028" s="175"/>
      <c r="C4028" s="54"/>
      <c r="D4028" s="54"/>
      <c r="E4028" s="65"/>
      <c r="F4028" s="75" t="s">
        <v>416</v>
      </c>
      <c r="G4028" s="75" t="str">
        <f>IF(ISNUMBER(F4028),E4028*F4028,"")</f>
        <v/>
      </c>
      <c r="H4028" s="76"/>
      <c r="I4028" s="73"/>
      <c r="J4028" s="152">
        <v>0</v>
      </c>
    </row>
    <row r="4029" spans="1:10" ht="15.75" hidden="1" thickBot="1" x14ac:dyDescent="0.3">
      <c r="A4029" s="170" t="s">
        <v>1046</v>
      </c>
      <c r="B4029" s="173" t="str">
        <f>INDEX(Orçamentária!A:B,MATCH(Composições!A4029,Orçamentária!A:A,0),2)</f>
        <v>Cotovelo de cobre de 1 3/8”</v>
      </c>
      <c r="C4029" s="40"/>
      <c r="D4029" s="25" t="s">
        <v>16</v>
      </c>
      <c r="E4029" s="26"/>
      <c r="F4029" s="48" t="s">
        <v>416</v>
      </c>
      <c r="G4029" s="27" t="str">
        <f>IF(ISNUMBER(F4029),E4029*F4029,"")</f>
        <v/>
      </c>
      <c r="H4029" s="28"/>
      <c r="I4029" s="29"/>
      <c r="J4029" s="152">
        <v>0</v>
      </c>
    </row>
    <row r="4030" spans="1:10" ht="15.75" hidden="1" thickBot="1" x14ac:dyDescent="0.3">
      <c r="A4030" s="171"/>
      <c r="B4030" s="174"/>
      <c r="C4030" s="31"/>
      <c r="D4030" s="31"/>
      <c r="E4030" s="32"/>
      <c r="F4030" s="53" t="s">
        <v>416</v>
      </c>
      <c r="G4030" s="53" t="str">
        <f>IF(ISNUMBER(F4030),E4030*F4030,"")</f>
        <v/>
      </c>
      <c r="H4030" s="72"/>
      <c r="I4030" s="73"/>
      <c r="J4030" s="152">
        <v>0</v>
      </c>
    </row>
    <row r="4031" spans="1:10" ht="26.25" hidden="1" thickBot="1" x14ac:dyDescent="0.3">
      <c r="A4031" s="171"/>
      <c r="B4031" s="174"/>
      <c r="C4031" s="35" t="s">
        <v>1047</v>
      </c>
      <c r="D4031" s="35" t="s">
        <v>213</v>
      </c>
      <c r="E4031" s="36">
        <v>1</v>
      </c>
      <c r="F4031" s="53">
        <v>41.742999999999995</v>
      </c>
      <c r="G4031" s="53">
        <f>IF(ISNUMBER(F4031),E4031*F4031,"")</f>
        <v>41.742999999999995</v>
      </c>
      <c r="H4031" s="38">
        <f>SUM(G4031:G4036)</f>
        <v>51.496834299999989</v>
      </c>
      <c r="I4031" s="39"/>
      <c r="J4031" s="152">
        <v>0</v>
      </c>
    </row>
    <row r="4032" spans="1:10" ht="26.25" hidden="1" thickBot="1" x14ac:dyDescent="0.3">
      <c r="A4032" s="171"/>
      <c r="B4032" s="174"/>
      <c r="C4032" s="35" t="s">
        <v>1048</v>
      </c>
      <c r="D4032" s="35" t="s">
        <v>213</v>
      </c>
      <c r="E4032" s="36">
        <v>8.3999999999999995E-3</v>
      </c>
      <c r="F4032" s="53">
        <v>308.35099999999994</v>
      </c>
      <c r="G4032" s="53">
        <f>IF(ISNUMBER(F4032),E4032*F4032,"")</f>
        <v>2.5901483999999995</v>
      </c>
      <c r="H4032" s="72"/>
      <c r="I4032" s="73"/>
      <c r="J4032" s="152">
        <v>0</v>
      </c>
    </row>
    <row r="4033" spans="1:10" ht="15.75" hidden="1" thickBot="1" x14ac:dyDescent="0.3">
      <c r="A4033" s="171"/>
      <c r="B4033" s="174"/>
      <c r="C4033" s="35" t="s">
        <v>8220</v>
      </c>
      <c r="D4033" s="35" t="s">
        <v>213</v>
      </c>
      <c r="E4033" s="36">
        <v>5.9400000000000001E-2</v>
      </c>
      <c r="F4033" s="53">
        <v>2.1185</v>
      </c>
      <c r="G4033" s="53">
        <f>IF(ISNUMBER(F4033),E4033*F4033,"")</f>
        <v>0.1258389</v>
      </c>
      <c r="H4033" s="72"/>
      <c r="I4033" s="73"/>
      <c r="J4033" s="152">
        <v>0</v>
      </c>
    </row>
    <row r="4034" spans="1:10" ht="26.25" hidden="1" thickBot="1" x14ac:dyDescent="0.3">
      <c r="A4034" s="171"/>
      <c r="B4034" s="174"/>
      <c r="C4034" s="35" t="s">
        <v>1049</v>
      </c>
      <c r="D4034" s="35" t="s">
        <v>213</v>
      </c>
      <c r="E4034" s="36">
        <v>1.0800000000000001E-2</v>
      </c>
      <c r="F4034" s="53">
        <v>56.524999999999999</v>
      </c>
      <c r="G4034" s="53">
        <f>IF(ISNUMBER(F4034),E4034*F4034,"")</f>
        <v>0.61047000000000007</v>
      </c>
      <c r="H4034" s="72"/>
      <c r="I4034" s="73"/>
      <c r="J4034" s="152">
        <v>0</v>
      </c>
    </row>
    <row r="4035" spans="1:10" ht="26.25" hidden="1" thickBot="1" x14ac:dyDescent="0.3">
      <c r="A4035" s="171"/>
      <c r="B4035" s="174"/>
      <c r="C4035" s="35" t="s">
        <v>824</v>
      </c>
      <c r="D4035" s="35" t="s">
        <v>583</v>
      </c>
      <c r="E4035" s="36">
        <v>0.13400000000000001</v>
      </c>
      <c r="F4035" s="53">
        <v>21.166</v>
      </c>
      <c r="G4035" s="53">
        <f>IF(ISNUMBER(F4035),E4035*F4035,"")</f>
        <v>2.8362440000000002</v>
      </c>
      <c r="H4035" s="72"/>
      <c r="I4035" s="73"/>
      <c r="J4035" s="152">
        <v>0</v>
      </c>
    </row>
    <row r="4036" spans="1:10" ht="26.25" hidden="1" thickBot="1" x14ac:dyDescent="0.3">
      <c r="A4036" s="171"/>
      <c r="B4036" s="174"/>
      <c r="C4036" s="35" t="s">
        <v>825</v>
      </c>
      <c r="D4036" s="35" t="s">
        <v>583</v>
      </c>
      <c r="E4036" s="36">
        <v>0.13400000000000001</v>
      </c>
      <c r="F4036" s="53">
        <v>26.799499999999998</v>
      </c>
      <c r="G4036" s="53">
        <f>IF(ISNUMBER(F4036),E4036*F4036,"")</f>
        <v>3.5911330000000001</v>
      </c>
      <c r="H4036" s="72"/>
      <c r="I4036" s="73"/>
      <c r="J4036" s="152">
        <v>0</v>
      </c>
    </row>
    <row r="4037" spans="1:10" ht="15.75" hidden="1" thickBot="1" x14ac:dyDescent="0.3">
      <c r="A4037" s="172"/>
      <c r="B4037" s="175"/>
      <c r="C4037" s="54"/>
      <c r="D4037" s="54"/>
      <c r="E4037" s="65"/>
      <c r="F4037" s="75" t="s">
        <v>416</v>
      </c>
      <c r="G4037" s="75" t="str">
        <f>IF(ISNUMBER(F4037),E4037*F4037,"")</f>
        <v/>
      </c>
      <c r="H4037" s="76"/>
      <c r="I4037" s="73"/>
      <c r="J4037" s="152">
        <v>0</v>
      </c>
    </row>
    <row r="4038" spans="1:10" ht="15.75" hidden="1" thickBot="1" x14ac:dyDescent="0.3">
      <c r="A4038" s="170" t="s">
        <v>1050</v>
      </c>
      <c r="B4038" s="173" t="str">
        <f>INDEX(Orçamentária!A:B,MATCH(Composições!A4038,Orçamentária!A:A,0),2)</f>
        <v>Cotovelo de cobre de 1 5/8”</v>
      </c>
      <c r="C4038" s="40"/>
      <c r="D4038" s="25" t="s">
        <v>16</v>
      </c>
      <c r="E4038" s="26"/>
      <c r="F4038" s="48" t="s">
        <v>416</v>
      </c>
      <c r="G4038" s="27" t="str">
        <f>IF(ISNUMBER(F4038),E4038*F4038,"")</f>
        <v/>
      </c>
      <c r="H4038" s="28"/>
      <c r="I4038" s="29"/>
      <c r="J4038" s="152">
        <v>0</v>
      </c>
    </row>
    <row r="4039" spans="1:10" ht="15.75" hidden="1" thickBot="1" x14ac:dyDescent="0.3">
      <c r="A4039" s="171"/>
      <c r="B4039" s="174"/>
      <c r="C4039" s="31"/>
      <c r="D4039" s="31"/>
      <c r="E4039" s="32"/>
      <c r="F4039" s="53" t="s">
        <v>416</v>
      </c>
      <c r="G4039" s="53" t="str">
        <f>IF(ISNUMBER(F4039),E4039*F4039,"")</f>
        <v/>
      </c>
      <c r="H4039" s="72"/>
      <c r="I4039" s="73"/>
      <c r="J4039" s="152">
        <v>0</v>
      </c>
    </row>
    <row r="4040" spans="1:10" ht="26.25" hidden="1" thickBot="1" x14ac:dyDescent="0.3">
      <c r="A4040" s="171"/>
      <c r="B4040" s="174"/>
      <c r="C4040" s="35" t="s">
        <v>1051</v>
      </c>
      <c r="D4040" s="35" t="s">
        <v>213</v>
      </c>
      <c r="E4040" s="36">
        <v>1</v>
      </c>
      <c r="F4040" s="53">
        <v>64.067999999999998</v>
      </c>
      <c r="G4040" s="53">
        <f>IF(ISNUMBER(F4040),E4040*F4040,"")</f>
        <v>64.067999999999998</v>
      </c>
      <c r="H4040" s="38">
        <f>SUM(G4040:G4045)</f>
        <v>78.370864649999987</v>
      </c>
      <c r="I4040" s="39"/>
      <c r="J4040" s="152">
        <v>0</v>
      </c>
    </row>
    <row r="4041" spans="1:10" ht="26.25" hidden="1" thickBot="1" x14ac:dyDescent="0.3">
      <c r="A4041" s="171"/>
      <c r="B4041" s="174"/>
      <c r="C4041" s="35" t="s">
        <v>1048</v>
      </c>
      <c r="D4041" s="35" t="s">
        <v>213</v>
      </c>
      <c r="E4041" s="36">
        <v>1.7600000000000001E-2</v>
      </c>
      <c r="F4041" s="53">
        <v>308.35099999999994</v>
      </c>
      <c r="G4041" s="53">
        <f>IF(ISNUMBER(F4041),E4041*F4041,"")</f>
        <v>5.426977599999999</v>
      </c>
      <c r="H4041" s="72"/>
      <c r="I4041" s="73"/>
      <c r="J4041" s="152">
        <v>0</v>
      </c>
    </row>
    <row r="4042" spans="1:10" ht="15.75" hidden="1" thickBot="1" x14ac:dyDescent="0.3">
      <c r="A4042" s="171"/>
      <c r="B4042" s="174"/>
      <c r="C4042" s="35" t="s">
        <v>8220</v>
      </c>
      <c r="D4042" s="35" t="s">
        <v>213</v>
      </c>
      <c r="E4042" s="36">
        <v>6.93E-2</v>
      </c>
      <c r="F4042" s="53">
        <v>2.1185</v>
      </c>
      <c r="G4042" s="53">
        <f>IF(ISNUMBER(F4042),E4042*F4042,"")</f>
        <v>0.14681205</v>
      </c>
      <c r="H4042" s="72"/>
      <c r="I4042" s="73"/>
      <c r="J4042" s="152">
        <v>0</v>
      </c>
    </row>
    <row r="4043" spans="1:10" ht="26.25" hidden="1" thickBot="1" x14ac:dyDescent="0.3">
      <c r="A4043" s="171"/>
      <c r="B4043" s="174"/>
      <c r="C4043" s="35" t="s">
        <v>1049</v>
      </c>
      <c r="D4043" s="35" t="s">
        <v>213</v>
      </c>
      <c r="E4043" s="36">
        <v>2.29E-2</v>
      </c>
      <c r="F4043" s="53">
        <v>56.524999999999999</v>
      </c>
      <c r="G4043" s="53">
        <f>IF(ISNUMBER(F4043),E4043*F4043,"")</f>
        <v>1.2944225</v>
      </c>
      <c r="H4043" s="72"/>
      <c r="I4043" s="73"/>
      <c r="J4043" s="152">
        <v>0</v>
      </c>
    </row>
    <row r="4044" spans="1:10" ht="26.25" hidden="1" thickBot="1" x14ac:dyDescent="0.3">
      <c r="A4044" s="171"/>
      <c r="B4044" s="174"/>
      <c r="C4044" s="35" t="s">
        <v>824</v>
      </c>
      <c r="D4044" s="35" t="s">
        <v>583</v>
      </c>
      <c r="E4044" s="36">
        <v>0.155</v>
      </c>
      <c r="F4044" s="53">
        <v>21.166</v>
      </c>
      <c r="G4044" s="53">
        <f>IF(ISNUMBER(F4044),E4044*F4044,"")</f>
        <v>3.2807300000000001</v>
      </c>
      <c r="H4044" s="72"/>
      <c r="I4044" s="73"/>
      <c r="J4044" s="152">
        <v>0</v>
      </c>
    </row>
    <row r="4045" spans="1:10" ht="26.25" hidden="1" thickBot="1" x14ac:dyDescent="0.3">
      <c r="A4045" s="171"/>
      <c r="B4045" s="174"/>
      <c r="C4045" s="35" t="s">
        <v>825</v>
      </c>
      <c r="D4045" s="35" t="s">
        <v>583</v>
      </c>
      <c r="E4045" s="36">
        <v>0.155</v>
      </c>
      <c r="F4045" s="53">
        <v>26.799499999999998</v>
      </c>
      <c r="G4045" s="53">
        <f>IF(ISNUMBER(F4045),E4045*F4045,"")</f>
        <v>4.1539224999999993</v>
      </c>
      <c r="H4045" s="72"/>
      <c r="I4045" s="73"/>
      <c r="J4045" s="152">
        <v>0</v>
      </c>
    </row>
    <row r="4046" spans="1:10" ht="15.75" hidden="1" thickBot="1" x14ac:dyDescent="0.3">
      <c r="A4046" s="172"/>
      <c r="B4046" s="175"/>
      <c r="C4046" s="54"/>
      <c r="D4046" s="54"/>
      <c r="E4046" s="65"/>
      <c r="F4046" s="75" t="s">
        <v>416</v>
      </c>
      <c r="G4046" s="75" t="str">
        <f>IF(ISNUMBER(F4046),E4046*F4046,"")</f>
        <v/>
      </c>
      <c r="H4046" s="76"/>
      <c r="I4046" s="73"/>
      <c r="J4046" s="152">
        <v>0</v>
      </c>
    </row>
    <row r="4047" spans="1:10" ht="15.75" hidden="1" thickBot="1" x14ac:dyDescent="0.3">
      <c r="A4047" s="170" t="s">
        <v>1052</v>
      </c>
      <c r="B4047" s="173" t="str">
        <f>INDEX(Orçamentária!A:B,MATCH(Composições!A4047,Orçamentária!A:A,0),2)</f>
        <v>Cotovelo de cobre de 7/8”</v>
      </c>
      <c r="C4047" s="40"/>
      <c r="D4047" s="25" t="s">
        <v>16</v>
      </c>
      <c r="E4047" s="26"/>
      <c r="F4047" s="48" t="s">
        <v>416</v>
      </c>
      <c r="G4047" s="27" t="str">
        <f>IF(ISNUMBER(F4047),E4047*F4047,"")</f>
        <v/>
      </c>
      <c r="H4047" s="28"/>
      <c r="I4047" s="29"/>
      <c r="J4047" s="152">
        <v>0</v>
      </c>
    </row>
    <row r="4048" spans="1:10" ht="15.75" hidden="1" thickBot="1" x14ac:dyDescent="0.3">
      <c r="A4048" s="171"/>
      <c r="B4048" s="174"/>
      <c r="C4048" s="31"/>
      <c r="D4048" s="31"/>
      <c r="E4048" s="32"/>
      <c r="F4048" s="53" t="s">
        <v>416</v>
      </c>
      <c r="G4048" s="53" t="str">
        <f>IF(ISNUMBER(F4048),E4048*F4048,"")</f>
        <v/>
      </c>
      <c r="H4048" s="72"/>
      <c r="I4048" s="73"/>
      <c r="J4048" s="152">
        <v>0</v>
      </c>
    </row>
    <row r="4049" spans="1:10" ht="26.25" hidden="1" thickBot="1" x14ac:dyDescent="0.3">
      <c r="A4049" s="171"/>
      <c r="B4049" s="174"/>
      <c r="C4049" s="35" t="s">
        <v>1053</v>
      </c>
      <c r="D4049" s="35" t="s">
        <v>213</v>
      </c>
      <c r="E4049" s="36">
        <v>1</v>
      </c>
      <c r="F4049" s="53">
        <v>12.359499999999999</v>
      </c>
      <c r="G4049" s="53">
        <f>IF(ISNUMBER(F4049),E4049*F4049,"")</f>
        <v>12.359499999999999</v>
      </c>
      <c r="H4049" s="38">
        <f>SUM(G4049:G4054)</f>
        <v>18.891899500000001</v>
      </c>
      <c r="I4049" s="39"/>
      <c r="J4049" s="152">
        <v>0</v>
      </c>
    </row>
    <row r="4050" spans="1:10" ht="26.25" hidden="1" thickBot="1" x14ac:dyDescent="0.3">
      <c r="A4050" s="171"/>
      <c r="B4050" s="174"/>
      <c r="C4050" s="35" t="s">
        <v>1048</v>
      </c>
      <c r="D4050" s="35" t="s">
        <v>213</v>
      </c>
      <c r="E4050" s="36">
        <v>4.7999999999999996E-3</v>
      </c>
      <c r="F4050" s="53">
        <v>308.35099999999994</v>
      </c>
      <c r="G4050" s="53">
        <f>IF(ISNUMBER(F4050),E4050*F4050,"")</f>
        <v>1.4800847999999995</v>
      </c>
      <c r="H4050" s="72"/>
      <c r="I4050" s="73"/>
      <c r="J4050" s="152">
        <v>0</v>
      </c>
    </row>
    <row r="4051" spans="1:10" ht="15.75" hidden="1" thickBot="1" x14ac:dyDescent="0.3">
      <c r="A4051" s="171"/>
      <c r="B4051" s="174"/>
      <c r="C4051" s="35" t="s">
        <v>8220</v>
      </c>
      <c r="D4051" s="35" t="s">
        <v>213</v>
      </c>
      <c r="E4051" s="36">
        <v>4.3200000000000002E-2</v>
      </c>
      <c r="F4051" s="53">
        <v>2.1185</v>
      </c>
      <c r="G4051" s="53">
        <f>IF(ISNUMBER(F4051),E4051*F4051,"")</f>
        <v>9.1519200000000009E-2</v>
      </c>
      <c r="H4051" s="72"/>
      <c r="I4051" s="73"/>
      <c r="J4051" s="152">
        <v>0</v>
      </c>
    </row>
    <row r="4052" spans="1:10" ht="26.25" hidden="1" thickBot="1" x14ac:dyDescent="0.3">
      <c r="A4052" s="171"/>
      <c r="B4052" s="174"/>
      <c r="C4052" s="35" t="s">
        <v>1049</v>
      </c>
      <c r="D4052" s="35" t="s">
        <v>213</v>
      </c>
      <c r="E4052" s="36">
        <v>6.3E-3</v>
      </c>
      <c r="F4052" s="53">
        <v>56.524999999999999</v>
      </c>
      <c r="G4052" s="53">
        <f>IF(ISNUMBER(F4052),E4052*F4052,"")</f>
        <v>0.35610750000000002</v>
      </c>
      <c r="H4052" s="72"/>
      <c r="I4052" s="73"/>
      <c r="J4052" s="152">
        <v>0</v>
      </c>
    </row>
    <row r="4053" spans="1:10" ht="26.25" hidden="1" thickBot="1" x14ac:dyDescent="0.3">
      <c r="A4053" s="171"/>
      <c r="B4053" s="174"/>
      <c r="C4053" s="35" t="s">
        <v>824</v>
      </c>
      <c r="D4053" s="35" t="s">
        <v>583</v>
      </c>
      <c r="E4053" s="36">
        <v>9.6000000000000002E-2</v>
      </c>
      <c r="F4053" s="53">
        <v>21.166</v>
      </c>
      <c r="G4053" s="53">
        <f>IF(ISNUMBER(F4053),E4053*F4053,"")</f>
        <v>2.031936</v>
      </c>
      <c r="H4053" s="72"/>
      <c r="I4053" s="73"/>
      <c r="J4053" s="152">
        <v>0</v>
      </c>
    </row>
    <row r="4054" spans="1:10" ht="26.25" hidden="1" thickBot="1" x14ac:dyDescent="0.3">
      <c r="A4054" s="171"/>
      <c r="B4054" s="174"/>
      <c r="C4054" s="35" t="s">
        <v>825</v>
      </c>
      <c r="D4054" s="35" t="s">
        <v>583</v>
      </c>
      <c r="E4054" s="36">
        <v>9.6000000000000002E-2</v>
      </c>
      <c r="F4054" s="53">
        <v>26.799499999999998</v>
      </c>
      <c r="G4054" s="53">
        <f>IF(ISNUMBER(F4054),E4054*F4054,"")</f>
        <v>2.5727519999999999</v>
      </c>
      <c r="H4054" s="72"/>
      <c r="I4054" s="73"/>
      <c r="J4054" s="152">
        <v>0</v>
      </c>
    </row>
    <row r="4055" spans="1:10" ht="15.75" hidden="1" thickBot="1" x14ac:dyDescent="0.3">
      <c r="A4055" s="172"/>
      <c r="B4055" s="175"/>
      <c r="C4055" s="54"/>
      <c r="D4055" s="54"/>
      <c r="E4055" s="65"/>
      <c r="F4055" s="75" t="s">
        <v>416</v>
      </c>
      <c r="G4055" s="75" t="str">
        <f>IF(ISNUMBER(F4055),E4055*F4055,"")</f>
        <v/>
      </c>
      <c r="H4055" s="76"/>
      <c r="I4055" s="73"/>
      <c r="J4055" s="152">
        <v>0</v>
      </c>
    </row>
    <row r="4056" spans="1:10" ht="15.75" hidden="1" thickBot="1" x14ac:dyDescent="0.3">
      <c r="A4056" s="170" t="s">
        <v>1054</v>
      </c>
      <c r="B4056" s="173" t="str">
        <f>INDEX(Orçamentária!A:B,MATCH(Composições!A4056,Orçamentária!A:A,0),2)</f>
        <v>Luva de cobre de 1 3/8”</v>
      </c>
      <c r="C4056" s="40"/>
      <c r="D4056" s="25" t="s">
        <v>16</v>
      </c>
      <c r="E4056" s="26"/>
      <c r="F4056" s="48" t="s">
        <v>416</v>
      </c>
      <c r="G4056" s="27" t="str">
        <f>IF(ISNUMBER(F4056),E4056*F4056,"")</f>
        <v/>
      </c>
      <c r="H4056" s="28"/>
      <c r="I4056" s="29"/>
      <c r="J4056" s="152">
        <v>0</v>
      </c>
    </row>
    <row r="4057" spans="1:10" ht="15.75" hidden="1" thickBot="1" x14ac:dyDescent="0.3">
      <c r="A4057" s="171"/>
      <c r="B4057" s="174"/>
      <c r="C4057" s="31"/>
      <c r="D4057" s="31"/>
      <c r="E4057" s="32"/>
      <c r="F4057" s="53" t="s">
        <v>416</v>
      </c>
      <c r="G4057" s="53" t="str">
        <f>IF(ISNUMBER(F4057),E4057*F4057,"")</f>
        <v/>
      </c>
      <c r="H4057" s="72"/>
      <c r="I4057" s="73"/>
      <c r="J4057" s="152">
        <v>0</v>
      </c>
    </row>
    <row r="4058" spans="1:10" ht="26.25" hidden="1" thickBot="1" x14ac:dyDescent="0.3">
      <c r="A4058" s="171"/>
      <c r="B4058" s="174"/>
      <c r="C4058" s="35" t="s">
        <v>1055</v>
      </c>
      <c r="D4058" s="35" t="s">
        <v>213</v>
      </c>
      <c r="E4058" s="36">
        <v>1</v>
      </c>
      <c r="F4058" s="53">
        <v>25.934999999999999</v>
      </c>
      <c r="G4058" s="53">
        <f>IF(ISNUMBER(F4058),E4058*F4058,"")</f>
        <v>25.934999999999999</v>
      </c>
      <c r="H4058" s="38">
        <f>SUM(G4058:G4063)</f>
        <v>33.530386800000002</v>
      </c>
      <c r="I4058" s="39"/>
      <c r="J4058" s="152">
        <v>0</v>
      </c>
    </row>
    <row r="4059" spans="1:10" ht="26.25" hidden="1" thickBot="1" x14ac:dyDescent="0.3">
      <c r="A4059" s="171"/>
      <c r="B4059" s="174"/>
      <c r="C4059" s="35" t="s">
        <v>1048</v>
      </c>
      <c r="D4059" s="35" t="s">
        <v>213</v>
      </c>
      <c r="E4059" s="36">
        <v>8.3999999999999995E-3</v>
      </c>
      <c r="F4059" s="53">
        <v>308.35099999999994</v>
      </c>
      <c r="G4059" s="53">
        <f>IF(ISNUMBER(F4059),E4059*F4059,"")</f>
        <v>2.5901483999999995</v>
      </c>
      <c r="H4059" s="72"/>
      <c r="I4059" s="73"/>
      <c r="J4059" s="152">
        <v>0</v>
      </c>
    </row>
    <row r="4060" spans="1:10" ht="15.75" hidden="1" thickBot="1" x14ac:dyDescent="0.3">
      <c r="A4060" s="171"/>
      <c r="B4060" s="174"/>
      <c r="C4060" s="35" t="s">
        <v>8220</v>
      </c>
      <c r="D4060" s="35" t="s">
        <v>213</v>
      </c>
      <c r="E4060" s="36">
        <v>5.9400000000000001E-2</v>
      </c>
      <c r="F4060" s="53">
        <v>2.1185</v>
      </c>
      <c r="G4060" s="53">
        <f>IF(ISNUMBER(F4060),E4060*F4060,"")</f>
        <v>0.1258389</v>
      </c>
      <c r="H4060" s="72"/>
      <c r="I4060" s="73"/>
      <c r="J4060" s="152">
        <v>0</v>
      </c>
    </row>
    <row r="4061" spans="1:10" ht="26.25" hidden="1" thickBot="1" x14ac:dyDescent="0.3">
      <c r="A4061" s="171"/>
      <c r="B4061" s="174"/>
      <c r="C4061" s="35" t="s">
        <v>1049</v>
      </c>
      <c r="D4061" s="35" t="s">
        <v>213</v>
      </c>
      <c r="E4061" s="36">
        <v>1.0800000000000001E-2</v>
      </c>
      <c r="F4061" s="53">
        <v>56.524999999999999</v>
      </c>
      <c r="G4061" s="53">
        <f>IF(ISNUMBER(F4061),E4061*F4061,"")</f>
        <v>0.61047000000000007</v>
      </c>
      <c r="H4061" s="72"/>
      <c r="I4061" s="73"/>
      <c r="J4061" s="152">
        <v>0</v>
      </c>
    </row>
    <row r="4062" spans="1:10" ht="26.25" hidden="1" thickBot="1" x14ac:dyDescent="0.3">
      <c r="A4062" s="171"/>
      <c r="B4062" s="174"/>
      <c r="C4062" s="35" t="s">
        <v>824</v>
      </c>
      <c r="D4062" s="35" t="s">
        <v>583</v>
      </c>
      <c r="E4062" s="36">
        <v>8.8999999999999996E-2</v>
      </c>
      <c r="F4062" s="53">
        <v>21.166</v>
      </c>
      <c r="G4062" s="53">
        <f>IF(ISNUMBER(F4062),E4062*F4062,"")</f>
        <v>1.8837739999999998</v>
      </c>
      <c r="H4062" s="72"/>
      <c r="I4062" s="73"/>
      <c r="J4062" s="152">
        <v>0</v>
      </c>
    </row>
    <row r="4063" spans="1:10" ht="26.25" hidden="1" thickBot="1" x14ac:dyDescent="0.3">
      <c r="A4063" s="171"/>
      <c r="B4063" s="174"/>
      <c r="C4063" s="35" t="s">
        <v>825</v>
      </c>
      <c r="D4063" s="35" t="s">
        <v>583</v>
      </c>
      <c r="E4063" s="36">
        <v>8.8999999999999996E-2</v>
      </c>
      <c r="F4063" s="53">
        <v>26.799499999999998</v>
      </c>
      <c r="G4063" s="53">
        <f>IF(ISNUMBER(F4063),E4063*F4063,"")</f>
        <v>2.3851554999999998</v>
      </c>
      <c r="H4063" s="72"/>
      <c r="I4063" s="73"/>
      <c r="J4063" s="152">
        <v>0</v>
      </c>
    </row>
    <row r="4064" spans="1:10" ht="15.75" hidden="1" thickBot="1" x14ac:dyDescent="0.3">
      <c r="A4064" s="172"/>
      <c r="B4064" s="175"/>
      <c r="C4064" s="54"/>
      <c r="D4064" s="54"/>
      <c r="E4064" s="65"/>
      <c r="F4064" s="75" t="s">
        <v>416</v>
      </c>
      <c r="G4064" s="75" t="str">
        <f>IF(ISNUMBER(F4064),E4064*F4064,"")</f>
        <v/>
      </c>
      <c r="H4064" s="76"/>
      <c r="I4064" s="73"/>
      <c r="J4064" s="152">
        <v>0</v>
      </c>
    </row>
    <row r="4065" spans="1:10" ht="15.75" hidden="1" thickBot="1" x14ac:dyDescent="0.3">
      <c r="A4065" s="170" t="s">
        <v>1056</v>
      </c>
      <c r="B4065" s="173" t="str">
        <f>INDEX(Orçamentária!A:B,MATCH(Composições!A4065,Orçamentária!A:A,0),2)</f>
        <v>Luva de cobre de 1 5/8”</v>
      </c>
      <c r="C4065" s="40"/>
      <c r="D4065" s="25" t="s">
        <v>16</v>
      </c>
      <c r="E4065" s="26"/>
      <c r="F4065" s="48" t="s">
        <v>416</v>
      </c>
      <c r="G4065" s="27" t="str">
        <f>IF(ISNUMBER(F4065),E4065*F4065,"")</f>
        <v/>
      </c>
      <c r="H4065" s="28"/>
      <c r="I4065" s="29"/>
      <c r="J4065" s="152">
        <v>0</v>
      </c>
    </row>
    <row r="4066" spans="1:10" ht="15.75" hidden="1" thickBot="1" x14ac:dyDescent="0.3">
      <c r="A4066" s="171"/>
      <c r="B4066" s="174"/>
      <c r="C4066" s="31"/>
      <c r="D4066" s="31"/>
      <c r="E4066" s="32"/>
      <c r="F4066" s="53" t="s">
        <v>416</v>
      </c>
      <c r="G4066" s="53" t="str">
        <f>IF(ISNUMBER(F4066),E4066*F4066,"")</f>
        <v/>
      </c>
      <c r="H4066" s="72"/>
      <c r="I4066" s="73"/>
      <c r="J4066" s="152">
        <v>0</v>
      </c>
    </row>
    <row r="4067" spans="1:10" ht="26.25" hidden="1" thickBot="1" x14ac:dyDescent="0.3">
      <c r="A4067" s="171"/>
      <c r="B4067" s="174"/>
      <c r="C4067" s="35" t="s">
        <v>1057</v>
      </c>
      <c r="D4067" s="35" t="s">
        <v>213</v>
      </c>
      <c r="E4067" s="36">
        <v>1</v>
      </c>
      <c r="F4067" s="53">
        <v>32.888999999999996</v>
      </c>
      <c r="G4067" s="53">
        <f>IF(ISNUMBER(F4067),E4067*F4067,"")</f>
        <v>32.888999999999996</v>
      </c>
      <c r="H4067" s="38">
        <f>SUM(G4067:G4072)</f>
        <v>44.697658650000001</v>
      </c>
      <c r="I4067" s="39"/>
      <c r="J4067" s="152">
        <v>0</v>
      </c>
    </row>
    <row r="4068" spans="1:10" ht="26.25" hidden="1" thickBot="1" x14ac:dyDescent="0.3">
      <c r="A4068" s="171"/>
      <c r="B4068" s="174"/>
      <c r="C4068" s="35" t="s">
        <v>1048</v>
      </c>
      <c r="D4068" s="35" t="s">
        <v>213</v>
      </c>
      <c r="E4068" s="36">
        <v>1.7600000000000001E-2</v>
      </c>
      <c r="F4068" s="53">
        <v>308.35099999999994</v>
      </c>
      <c r="G4068" s="53">
        <f>IF(ISNUMBER(F4068),E4068*F4068,"")</f>
        <v>5.426977599999999</v>
      </c>
      <c r="H4068" s="72"/>
      <c r="I4068" s="73"/>
      <c r="J4068" s="152">
        <v>0</v>
      </c>
    </row>
    <row r="4069" spans="1:10" ht="15.75" hidden="1" thickBot="1" x14ac:dyDescent="0.3">
      <c r="A4069" s="171"/>
      <c r="B4069" s="174"/>
      <c r="C4069" s="35" t="s">
        <v>8220</v>
      </c>
      <c r="D4069" s="35" t="s">
        <v>213</v>
      </c>
      <c r="E4069" s="36">
        <v>6.93E-2</v>
      </c>
      <c r="F4069" s="53">
        <v>2.1185</v>
      </c>
      <c r="G4069" s="53">
        <f>IF(ISNUMBER(F4069),E4069*F4069,"")</f>
        <v>0.14681205</v>
      </c>
      <c r="H4069" s="72"/>
      <c r="I4069" s="73"/>
      <c r="J4069" s="152">
        <v>0</v>
      </c>
    </row>
    <row r="4070" spans="1:10" ht="26.25" hidden="1" thickBot="1" x14ac:dyDescent="0.3">
      <c r="A4070" s="171"/>
      <c r="B4070" s="174"/>
      <c r="C4070" s="35" t="s">
        <v>1049</v>
      </c>
      <c r="D4070" s="35" t="s">
        <v>213</v>
      </c>
      <c r="E4070" s="36">
        <v>2.29E-2</v>
      </c>
      <c r="F4070" s="53">
        <v>56.524999999999999</v>
      </c>
      <c r="G4070" s="53">
        <f>IF(ISNUMBER(F4070),E4070*F4070,"")</f>
        <v>1.2944225</v>
      </c>
      <c r="H4070" s="72"/>
      <c r="I4070" s="73"/>
      <c r="J4070" s="152">
        <v>0</v>
      </c>
    </row>
    <row r="4071" spans="1:10" ht="26.25" hidden="1" thickBot="1" x14ac:dyDescent="0.3">
      <c r="A4071" s="171"/>
      <c r="B4071" s="174"/>
      <c r="C4071" s="35" t="s">
        <v>824</v>
      </c>
      <c r="D4071" s="35" t="s">
        <v>583</v>
      </c>
      <c r="E4071" s="36">
        <v>0.10299999999999999</v>
      </c>
      <c r="F4071" s="53">
        <v>21.166</v>
      </c>
      <c r="G4071" s="53">
        <f>IF(ISNUMBER(F4071),E4071*F4071,"")</f>
        <v>2.1800980000000001</v>
      </c>
      <c r="H4071" s="72"/>
      <c r="I4071" s="73"/>
      <c r="J4071" s="152">
        <v>0</v>
      </c>
    </row>
    <row r="4072" spans="1:10" ht="26.25" hidden="1" thickBot="1" x14ac:dyDescent="0.3">
      <c r="A4072" s="171"/>
      <c r="B4072" s="174"/>
      <c r="C4072" s="35" t="s">
        <v>825</v>
      </c>
      <c r="D4072" s="35" t="s">
        <v>583</v>
      </c>
      <c r="E4072" s="36">
        <v>0.10299999999999999</v>
      </c>
      <c r="F4072" s="53">
        <v>26.799499999999998</v>
      </c>
      <c r="G4072" s="53">
        <f>IF(ISNUMBER(F4072),E4072*F4072,"")</f>
        <v>2.7603484999999996</v>
      </c>
      <c r="H4072" s="72"/>
      <c r="I4072" s="73"/>
      <c r="J4072" s="152">
        <v>0</v>
      </c>
    </row>
    <row r="4073" spans="1:10" ht="15.75" hidden="1" thickBot="1" x14ac:dyDescent="0.3">
      <c r="A4073" s="172"/>
      <c r="B4073" s="175"/>
      <c r="C4073" s="54"/>
      <c r="D4073" s="54"/>
      <c r="E4073" s="65"/>
      <c r="F4073" s="75" t="s">
        <v>416</v>
      </c>
      <c r="G4073" s="75" t="str">
        <f>IF(ISNUMBER(F4073),E4073*F4073,"")</f>
        <v/>
      </c>
      <c r="H4073" s="76"/>
      <c r="I4073" s="73"/>
      <c r="J4073" s="152">
        <v>0</v>
      </c>
    </row>
    <row r="4074" spans="1:10" ht="15.75" hidden="1" thickBot="1" x14ac:dyDescent="0.3">
      <c r="A4074" s="170" t="s">
        <v>1058</v>
      </c>
      <c r="B4074" s="173" t="str">
        <f>INDEX(Orçamentária!A:B,MATCH(Composições!A4074,Orçamentária!A:A,0),2)</f>
        <v>Luva de cobre de 7/8”</v>
      </c>
      <c r="C4074" s="40"/>
      <c r="D4074" s="25" t="s">
        <v>16</v>
      </c>
      <c r="E4074" s="26"/>
      <c r="F4074" s="48" t="s">
        <v>416</v>
      </c>
      <c r="G4074" s="27" t="str">
        <f>IF(ISNUMBER(F4074),E4074*F4074,"")</f>
        <v/>
      </c>
      <c r="H4074" s="28"/>
      <c r="I4074" s="29"/>
      <c r="J4074" s="152">
        <v>0</v>
      </c>
    </row>
    <row r="4075" spans="1:10" ht="15.75" hidden="1" thickBot="1" x14ac:dyDescent="0.3">
      <c r="A4075" s="171"/>
      <c r="B4075" s="174"/>
      <c r="C4075" s="31"/>
      <c r="D4075" s="31"/>
      <c r="E4075" s="32"/>
      <c r="F4075" s="53" t="s">
        <v>416</v>
      </c>
      <c r="G4075" s="53" t="str">
        <f>IF(ISNUMBER(F4075),E4075*F4075,"")</f>
        <v/>
      </c>
      <c r="H4075" s="72"/>
      <c r="I4075" s="73"/>
      <c r="J4075" s="152">
        <v>0</v>
      </c>
    </row>
    <row r="4076" spans="1:10" ht="26.25" hidden="1" thickBot="1" x14ac:dyDescent="0.3">
      <c r="A4076" s="171"/>
      <c r="B4076" s="174"/>
      <c r="C4076" s="35" t="s">
        <v>1059</v>
      </c>
      <c r="D4076" s="35" t="s">
        <v>213</v>
      </c>
      <c r="E4076" s="36">
        <v>1</v>
      </c>
      <c r="F4076" s="53">
        <v>5.8519999999999994</v>
      </c>
      <c r="G4076" s="53">
        <f>IF(ISNUMBER(F4076),E4076*F4076,"")</f>
        <v>5.8519999999999994</v>
      </c>
      <c r="H4076" s="38">
        <f>SUM(G4076:G4081)</f>
        <v>10.849503499999999</v>
      </c>
      <c r="I4076" s="39"/>
      <c r="J4076" s="152">
        <v>0</v>
      </c>
    </row>
    <row r="4077" spans="1:10" ht="26.25" hidden="1" thickBot="1" x14ac:dyDescent="0.3">
      <c r="A4077" s="171"/>
      <c r="B4077" s="174"/>
      <c r="C4077" s="35" t="s">
        <v>1048</v>
      </c>
      <c r="D4077" s="35" t="s">
        <v>213</v>
      </c>
      <c r="E4077" s="36">
        <v>4.7999999999999996E-3</v>
      </c>
      <c r="F4077" s="53">
        <v>308.35099999999994</v>
      </c>
      <c r="G4077" s="53">
        <f>IF(ISNUMBER(F4077),E4077*F4077,"")</f>
        <v>1.4800847999999995</v>
      </c>
      <c r="H4077" s="72"/>
      <c r="I4077" s="73"/>
      <c r="J4077" s="152">
        <v>0</v>
      </c>
    </row>
    <row r="4078" spans="1:10" ht="15.75" hidden="1" thickBot="1" x14ac:dyDescent="0.3">
      <c r="A4078" s="171"/>
      <c r="B4078" s="174"/>
      <c r="C4078" s="35" t="s">
        <v>8220</v>
      </c>
      <c r="D4078" s="35" t="s">
        <v>213</v>
      </c>
      <c r="E4078" s="36">
        <v>4.3200000000000002E-2</v>
      </c>
      <c r="F4078" s="53">
        <v>2.1185</v>
      </c>
      <c r="G4078" s="53">
        <f>IF(ISNUMBER(F4078),E4078*F4078,"")</f>
        <v>9.1519200000000009E-2</v>
      </c>
      <c r="H4078" s="72"/>
      <c r="I4078" s="73"/>
      <c r="J4078" s="152">
        <v>0</v>
      </c>
    </row>
    <row r="4079" spans="1:10" ht="26.25" hidden="1" thickBot="1" x14ac:dyDescent="0.3">
      <c r="A4079" s="171"/>
      <c r="B4079" s="174"/>
      <c r="C4079" s="35" t="s">
        <v>1049</v>
      </c>
      <c r="D4079" s="35" t="s">
        <v>213</v>
      </c>
      <c r="E4079" s="36">
        <v>6.3E-3</v>
      </c>
      <c r="F4079" s="53">
        <v>56.524999999999999</v>
      </c>
      <c r="G4079" s="53">
        <f>IF(ISNUMBER(F4079),E4079*F4079,"")</f>
        <v>0.35610750000000002</v>
      </c>
      <c r="H4079" s="72"/>
      <c r="I4079" s="73"/>
      <c r="J4079" s="152">
        <v>0</v>
      </c>
    </row>
    <row r="4080" spans="1:10" ht="26.25" hidden="1" thickBot="1" x14ac:dyDescent="0.3">
      <c r="A4080" s="171"/>
      <c r="B4080" s="174"/>
      <c r="C4080" s="35" t="s">
        <v>824</v>
      </c>
      <c r="D4080" s="35" t="s">
        <v>583</v>
      </c>
      <c r="E4080" s="36">
        <v>6.4000000000000001E-2</v>
      </c>
      <c r="F4080" s="53">
        <v>21.166</v>
      </c>
      <c r="G4080" s="53">
        <f>IF(ISNUMBER(F4080),E4080*F4080,"")</f>
        <v>1.3546240000000001</v>
      </c>
      <c r="H4080" s="72"/>
      <c r="I4080" s="73"/>
      <c r="J4080" s="152">
        <v>0</v>
      </c>
    </row>
    <row r="4081" spans="1:10" ht="26.25" hidden="1" thickBot="1" x14ac:dyDescent="0.3">
      <c r="A4081" s="171"/>
      <c r="B4081" s="174"/>
      <c r="C4081" s="35" t="s">
        <v>825</v>
      </c>
      <c r="D4081" s="35" t="s">
        <v>583</v>
      </c>
      <c r="E4081" s="36">
        <v>6.4000000000000001E-2</v>
      </c>
      <c r="F4081" s="53">
        <v>26.799499999999998</v>
      </c>
      <c r="G4081" s="53">
        <f>IF(ISNUMBER(F4081),E4081*F4081,"")</f>
        <v>1.715168</v>
      </c>
      <c r="H4081" s="72"/>
      <c r="I4081" s="73"/>
      <c r="J4081" s="152">
        <v>0</v>
      </c>
    </row>
    <row r="4082" spans="1:10" ht="15.75" hidden="1" thickBot="1" x14ac:dyDescent="0.3">
      <c r="A4082" s="172"/>
      <c r="B4082" s="175"/>
      <c r="C4082" s="54"/>
      <c r="D4082" s="54"/>
      <c r="E4082" s="65"/>
      <c r="F4082" s="75" t="s">
        <v>416</v>
      </c>
      <c r="G4082" s="75" t="str">
        <f>IF(ISNUMBER(F4082),E4082*F4082,"")</f>
        <v/>
      </c>
      <c r="H4082" s="76"/>
      <c r="I4082" s="73"/>
      <c r="J4082" s="152">
        <v>0</v>
      </c>
    </row>
    <row r="4083" spans="1:10" ht="15.75" hidden="1" thickBot="1" x14ac:dyDescent="0.3">
      <c r="A4083" s="170" t="s">
        <v>1060</v>
      </c>
      <c r="B4083" s="173" t="str">
        <f>INDEX(Orçamentária!A:B,MATCH(Composições!A4083,Orçamentária!A:A,0),2)</f>
        <v>Tubo de cobre de 1 3/8”</v>
      </c>
      <c r="C4083" s="40"/>
      <c r="D4083" s="25" t="s">
        <v>69</v>
      </c>
      <c r="E4083" s="26"/>
      <c r="F4083" s="48" t="s">
        <v>416</v>
      </c>
      <c r="G4083" s="27" t="str">
        <f>IF(ISNUMBER(F4083),E4083*F4083,"")</f>
        <v/>
      </c>
      <c r="H4083" s="28"/>
      <c r="I4083" s="29"/>
      <c r="J4083" s="152">
        <v>0</v>
      </c>
    </row>
    <row r="4084" spans="1:10" ht="15.75" hidden="1" thickBot="1" x14ac:dyDescent="0.3">
      <c r="A4084" s="171"/>
      <c r="B4084" s="174"/>
      <c r="C4084" s="31"/>
      <c r="D4084" s="31"/>
      <c r="E4084" s="32"/>
      <c r="F4084" s="53" t="s">
        <v>416</v>
      </c>
      <c r="G4084" s="53" t="str">
        <f>IF(ISNUMBER(F4084),E4084*F4084,"")</f>
        <v/>
      </c>
      <c r="H4084" s="72"/>
      <c r="I4084" s="73"/>
      <c r="J4084" s="152">
        <v>0</v>
      </c>
    </row>
    <row r="4085" spans="1:10" ht="39" hidden="1" thickBot="1" x14ac:dyDescent="0.3">
      <c r="A4085" s="171"/>
      <c r="B4085" s="174"/>
      <c r="C4085" s="35" t="s">
        <v>1061</v>
      </c>
      <c r="D4085" s="35" t="s">
        <v>385</v>
      </c>
      <c r="E4085" s="36">
        <v>1.0210999999999999</v>
      </c>
      <c r="F4085" s="53">
        <v>156.97800000000001</v>
      </c>
      <c r="G4085" s="53">
        <f>IF(ISNUMBER(F4085),E4085*F4085,"")</f>
        <v>160.2902358</v>
      </c>
      <c r="H4085" s="38">
        <f>SUM(G4085:G4087)</f>
        <v>163.45595879999999</v>
      </c>
      <c r="I4085" s="39"/>
      <c r="J4085" s="152">
        <v>0</v>
      </c>
    </row>
    <row r="4086" spans="1:10" ht="26.25" hidden="1" thickBot="1" x14ac:dyDescent="0.3">
      <c r="A4086" s="171"/>
      <c r="B4086" s="174"/>
      <c r="C4086" s="35" t="s">
        <v>824</v>
      </c>
      <c r="D4086" s="35" t="s">
        <v>583</v>
      </c>
      <c r="E4086" s="36">
        <v>6.6000000000000003E-2</v>
      </c>
      <c r="F4086" s="53">
        <v>21.166</v>
      </c>
      <c r="G4086" s="53">
        <f>IF(ISNUMBER(F4086),E4086*F4086,"")</f>
        <v>1.3969560000000001</v>
      </c>
      <c r="H4086" s="72"/>
      <c r="I4086" s="73"/>
      <c r="J4086" s="152">
        <v>0</v>
      </c>
    </row>
    <row r="4087" spans="1:10" ht="26.25" hidden="1" thickBot="1" x14ac:dyDescent="0.3">
      <c r="A4087" s="171"/>
      <c r="B4087" s="174"/>
      <c r="C4087" s="35" t="s">
        <v>825</v>
      </c>
      <c r="D4087" s="35" t="s">
        <v>583</v>
      </c>
      <c r="E4087" s="36">
        <v>6.6000000000000003E-2</v>
      </c>
      <c r="F4087" s="53">
        <v>26.799499999999998</v>
      </c>
      <c r="G4087" s="53">
        <f>IF(ISNUMBER(F4087),E4087*F4087,"")</f>
        <v>1.768767</v>
      </c>
      <c r="H4087" s="72"/>
      <c r="I4087" s="73"/>
      <c r="J4087" s="152">
        <v>0</v>
      </c>
    </row>
    <row r="4088" spans="1:10" ht="15.75" hidden="1" thickBot="1" x14ac:dyDescent="0.3">
      <c r="A4088" s="171"/>
      <c r="B4088" s="174"/>
      <c r="C4088" s="54"/>
      <c r="D4088" s="54"/>
      <c r="E4088" s="65"/>
      <c r="F4088" s="75" t="s">
        <v>416</v>
      </c>
      <c r="G4088" s="75" t="str">
        <f>IF(ISNUMBER(F4088),E4088*F4088,"")</f>
        <v/>
      </c>
      <c r="H4088" s="76"/>
      <c r="I4088" s="73"/>
      <c r="J4088" s="152">
        <v>0</v>
      </c>
    </row>
    <row r="4089" spans="1:10" ht="15.75" hidden="1" thickBot="1" x14ac:dyDescent="0.3">
      <c r="A4089" s="170" t="s">
        <v>1062</v>
      </c>
      <c r="B4089" s="173" t="str">
        <f>INDEX(Orçamentária!A:B,MATCH(Composições!A4089,Orçamentária!A:A,0),2)</f>
        <v>Tubo de cobre de 1 5/8”</v>
      </c>
      <c r="C4089" s="40"/>
      <c r="D4089" s="25" t="s">
        <v>69</v>
      </c>
      <c r="E4089" s="26"/>
      <c r="F4089" s="48" t="s">
        <v>416</v>
      </c>
      <c r="G4089" s="27" t="str">
        <f>IF(ISNUMBER(F4089),E4089*F4089,"")</f>
        <v/>
      </c>
      <c r="H4089" s="28"/>
      <c r="I4089" s="29"/>
      <c r="J4089" s="152">
        <v>0</v>
      </c>
    </row>
    <row r="4090" spans="1:10" ht="15.75" hidden="1" thickBot="1" x14ac:dyDescent="0.3">
      <c r="A4090" s="171"/>
      <c r="B4090" s="174"/>
      <c r="C4090" s="31"/>
      <c r="D4090" s="31"/>
      <c r="E4090" s="32"/>
      <c r="F4090" s="53" t="s">
        <v>416</v>
      </c>
      <c r="G4090" s="53" t="str">
        <f>IF(ISNUMBER(F4090),E4090*F4090,"")</f>
        <v/>
      </c>
      <c r="H4090" s="72"/>
      <c r="I4090" s="73"/>
      <c r="J4090" s="152">
        <v>0</v>
      </c>
    </row>
    <row r="4091" spans="1:10" ht="39" hidden="1" thickBot="1" x14ac:dyDescent="0.3">
      <c r="A4091" s="171"/>
      <c r="B4091" s="174"/>
      <c r="C4091" s="35" t="s">
        <v>1063</v>
      </c>
      <c r="D4091" s="35" t="s">
        <v>385</v>
      </c>
      <c r="E4091" s="36">
        <v>1.0210999999999999</v>
      </c>
      <c r="F4091" s="53">
        <v>188.86949999999999</v>
      </c>
      <c r="G4091" s="53">
        <f>IF(ISNUMBER(F4091),E4091*F4091,"")</f>
        <v>192.85464644999996</v>
      </c>
      <c r="H4091" s="38">
        <f>SUM(G4091:G4093)</f>
        <v>196.50002444999998</v>
      </c>
      <c r="I4091" s="39"/>
      <c r="J4091" s="152">
        <v>0</v>
      </c>
    </row>
    <row r="4092" spans="1:10" ht="26.25" hidden="1" thickBot="1" x14ac:dyDescent="0.3">
      <c r="A4092" s="171"/>
      <c r="B4092" s="174"/>
      <c r="C4092" s="35" t="s">
        <v>824</v>
      </c>
      <c r="D4092" s="35" t="s">
        <v>583</v>
      </c>
      <c r="E4092" s="36">
        <v>7.5999999999999998E-2</v>
      </c>
      <c r="F4092" s="53">
        <v>21.166</v>
      </c>
      <c r="G4092" s="53">
        <f>IF(ISNUMBER(F4092),E4092*F4092,"")</f>
        <v>1.608616</v>
      </c>
      <c r="H4092" s="72"/>
      <c r="I4092" s="73"/>
      <c r="J4092" s="152">
        <v>0</v>
      </c>
    </row>
    <row r="4093" spans="1:10" ht="26.25" hidden="1" thickBot="1" x14ac:dyDescent="0.3">
      <c r="A4093" s="171"/>
      <c r="B4093" s="174"/>
      <c r="C4093" s="35" t="s">
        <v>825</v>
      </c>
      <c r="D4093" s="35" t="s">
        <v>583</v>
      </c>
      <c r="E4093" s="36">
        <v>7.5999999999999998E-2</v>
      </c>
      <c r="F4093" s="53">
        <v>26.799499999999998</v>
      </c>
      <c r="G4093" s="53">
        <f>IF(ISNUMBER(F4093),E4093*F4093,"")</f>
        <v>2.036762</v>
      </c>
      <c r="H4093" s="72"/>
      <c r="I4093" s="73"/>
      <c r="J4093" s="152">
        <v>0</v>
      </c>
    </row>
    <row r="4094" spans="1:10" ht="15.75" hidden="1" thickBot="1" x14ac:dyDescent="0.3">
      <c r="A4094" s="171"/>
      <c r="B4094" s="174"/>
      <c r="C4094" s="54"/>
      <c r="D4094" s="54"/>
      <c r="E4094" s="65"/>
      <c r="F4094" s="75" t="s">
        <v>416</v>
      </c>
      <c r="G4094" s="75" t="str">
        <f>IF(ISNUMBER(F4094),E4094*F4094,"")</f>
        <v/>
      </c>
      <c r="H4094" s="76"/>
      <c r="I4094" s="73"/>
      <c r="J4094" s="152">
        <v>0</v>
      </c>
    </row>
    <row r="4095" spans="1:10" ht="15.75" thickBot="1" x14ac:dyDescent="0.3">
      <c r="A4095" s="170" t="s">
        <v>1064</v>
      </c>
      <c r="B4095" s="173" t="str">
        <f>INDEX(Orçamentária!A:B,MATCH(Composições!A4095,Orçamentária!A:A,0),2)</f>
        <v>Eletroduto flexível metálico com capa de PVC 1 1/2"</v>
      </c>
      <c r="C4095" s="40"/>
      <c r="D4095" s="25" t="s">
        <v>69</v>
      </c>
      <c r="E4095" s="26"/>
      <c r="F4095" s="48" t="s">
        <v>416</v>
      </c>
      <c r="G4095" s="27" t="str">
        <f>IF(ISNUMBER(F4095),E4095*F4095,"")</f>
        <v/>
      </c>
      <c r="H4095" s="28"/>
      <c r="I4095" s="29"/>
      <c r="J4095" s="152">
        <v>4</v>
      </c>
    </row>
    <row r="4096" spans="1:10" x14ac:dyDescent="0.25">
      <c r="A4096" s="171"/>
      <c r="B4096" s="174"/>
      <c r="C4096" s="31"/>
      <c r="D4096" s="31"/>
      <c r="E4096" s="32"/>
      <c r="F4096" s="53" t="s">
        <v>416</v>
      </c>
      <c r="G4096" s="53" t="str">
        <f>IF(ISNUMBER(F4096),E4096*F4096,"")</f>
        <v/>
      </c>
      <c r="H4096" s="72"/>
      <c r="I4096" s="73"/>
      <c r="J4096" s="152">
        <v>4</v>
      </c>
    </row>
    <row r="4097" spans="1:10" ht="38.25" x14ac:dyDescent="0.25">
      <c r="A4097" s="171"/>
      <c r="B4097" s="174"/>
      <c r="C4097" s="35" t="s">
        <v>1065</v>
      </c>
      <c r="D4097" s="35" t="s">
        <v>385</v>
      </c>
      <c r="E4097" s="36">
        <v>1.1000000000000001</v>
      </c>
      <c r="F4097" s="53">
        <v>26.847000000000001</v>
      </c>
      <c r="G4097" s="53">
        <f>IF(ISNUMBER(F4097),E4097*F4097,"")</f>
        <v>29.531700000000004</v>
      </c>
      <c r="H4097" s="38">
        <f>SUM(G4097:G4100)</f>
        <v>36.053986750000007</v>
      </c>
      <c r="I4097" s="39"/>
      <c r="J4097" s="152">
        <v>4</v>
      </c>
    </row>
    <row r="4098" spans="1:10" ht="25.5" x14ac:dyDescent="0.25">
      <c r="A4098" s="171"/>
      <c r="B4098" s="174"/>
      <c r="C4098" s="35" t="s">
        <v>3060</v>
      </c>
      <c r="D4098" s="35" t="s">
        <v>773</v>
      </c>
      <c r="E4098" s="36">
        <v>2.3E-3</v>
      </c>
      <c r="F4098" s="53">
        <v>21.042499999999997</v>
      </c>
      <c r="G4098" s="53">
        <f>IF(ISNUMBER(F4098),E4098*F4098,"")</f>
        <v>4.8397749999999989E-2</v>
      </c>
      <c r="H4098" s="72"/>
      <c r="I4098" s="73"/>
      <c r="J4098" s="152">
        <v>4</v>
      </c>
    </row>
    <row r="4099" spans="1:10" x14ac:dyDescent="0.25">
      <c r="A4099" s="171"/>
      <c r="B4099" s="174"/>
      <c r="C4099" s="35" t="s">
        <v>1017</v>
      </c>
      <c r="D4099" s="35" t="s">
        <v>583</v>
      </c>
      <c r="E4099" s="36">
        <v>0.13100000000000001</v>
      </c>
      <c r="F4099" s="53">
        <v>21.584</v>
      </c>
      <c r="G4099" s="53">
        <f>IF(ISNUMBER(F4099),E4099*F4099,"")</f>
        <v>2.8275040000000002</v>
      </c>
      <c r="H4099" s="72"/>
      <c r="I4099" s="73"/>
      <c r="J4099" s="152">
        <v>4</v>
      </c>
    </row>
    <row r="4100" spans="1:10" x14ac:dyDescent="0.25">
      <c r="A4100" s="171"/>
      <c r="B4100" s="174"/>
      <c r="C4100" s="35" t="s">
        <v>1018</v>
      </c>
      <c r="D4100" s="35" t="s">
        <v>583</v>
      </c>
      <c r="E4100" s="36">
        <v>0.13100000000000001</v>
      </c>
      <c r="F4100" s="53">
        <v>27.835000000000001</v>
      </c>
      <c r="G4100" s="53">
        <f>IF(ISNUMBER(F4100),E4100*F4100,"")</f>
        <v>3.6463850000000004</v>
      </c>
      <c r="H4100" s="72"/>
      <c r="I4100" s="73"/>
      <c r="J4100" s="152">
        <v>4</v>
      </c>
    </row>
    <row r="4101" spans="1:10" ht="15.75" thickBot="1" x14ac:dyDescent="0.3">
      <c r="A4101" s="171"/>
      <c r="B4101" s="174"/>
      <c r="C4101" s="54"/>
      <c r="D4101" s="54"/>
      <c r="E4101" s="65"/>
      <c r="F4101" s="75" t="s">
        <v>416</v>
      </c>
      <c r="G4101" s="75" t="str">
        <f>IF(ISNUMBER(F4101),E4101*F4101,"")</f>
        <v/>
      </c>
      <c r="H4101" s="76"/>
      <c r="I4101" s="73"/>
      <c r="J4101" s="152">
        <v>4</v>
      </c>
    </row>
    <row r="4102" spans="1:10" ht="15.75" hidden="1" thickBot="1" x14ac:dyDescent="0.3">
      <c r="A4102" s="170" t="s">
        <v>1066</v>
      </c>
      <c r="B4102" s="173" t="str">
        <f>INDEX(Orçamentária!A:B,MATCH(Composições!A4102,Orçamentária!A:A,0),2)</f>
        <v>Técnico(a) em Edificações - Planejamento de Manutenção</v>
      </c>
      <c r="C4102" s="40"/>
      <c r="D4102" s="25" t="s">
        <v>2177</v>
      </c>
      <c r="E4102" s="26"/>
      <c r="F4102" s="48" t="s">
        <v>416</v>
      </c>
      <c r="G4102" s="27" t="str">
        <f>IF(ISNUMBER(F4102),E4102*F4102,"")</f>
        <v/>
      </c>
      <c r="H4102" s="28"/>
      <c r="I4102" s="29"/>
      <c r="J4102" s="152">
        <v>0</v>
      </c>
    </row>
    <row r="4103" spans="1:10" ht="15.75" hidden="1" thickBot="1" x14ac:dyDescent="0.3">
      <c r="A4103" s="171"/>
      <c r="B4103" s="174"/>
      <c r="C4103" s="31"/>
      <c r="D4103" s="31"/>
      <c r="E4103" s="32"/>
      <c r="F4103" s="53" t="s">
        <v>416</v>
      </c>
      <c r="G4103" s="53" t="str">
        <f>IF(ISNUMBER(F4103),E4103*F4103,"")</f>
        <v/>
      </c>
      <c r="H4103" s="72"/>
      <c r="I4103" s="73"/>
      <c r="J4103" s="152">
        <v>0</v>
      </c>
    </row>
    <row r="4104" spans="1:10" ht="15.75" hidden="1" thickBot="1" x14ac:dyDescent="0.3">
      <c r="A4104" s="171"/>
      <c r="B4104" s="174"/>
      <c r="C4104" s="35" t="s">
        <v>1067</v>
      </c>
      <c r="D4104" s="35" t="s">
        <v>93</v>
      </c>
      <c r="E4104" s="36">
        <f>ROUND(1/(1+70.03%),2)</f>
        <v>0.59</v>
      </c>
      <c r="F4104" s="53">
        <v>3089.0484999999999</v>
      </c>
      <c r="G4104" s="53">
        <f>IF(ISNUMBER(F4104),E4104*F4104,"")</f>
        <v>1822.5386149999999</v>
      </c>
      <c r="H4104" s="38">
        <f>SUM(G4104:G4104)</f>
        <v>1822.5386149999999</v>
      </c>
      <c r="I4104" s="39"/>
      <c r="J4104" s="152">
        <v>0</v>
      </c>
    </row>
    <row r="4105" spans="1:10" ht="15.75" hidden="1" thickBot="1" x14ac:dyDescent="0.3">
      <c r="A4105" s="171"/>
      <c r="B4105" s="174"/>
      <c r="C4105" s="35"/>
      <c r="D4105" s="46"/>
      <c r="E4105" s="36"/>
      <c r="F4105" s="53" t="s">
        <v>416</v>
      </c>
      <c r="G4105" s="53" t="str">
        <f>IF(ISNUMBER(F4105),E4105*F4105,"")</f>
        <v/>
      </c>
      <c r="H4105" s="72"/>
      <c r="I4105" s="73"/>
      <c r="J4105" s="152">
        <v>0</v>
      </c>
    </row>
    <row r="4106" spans="1:10" ht="26.25" hidden="1" thickBot="1" x14ac:dyDescent="0.3">
      <c r="A4106" s="171"/>
      <c r="B4106" s="174"/>
      <c r="C4106" s="47" t="s">
        <v>655</v>
      </c>
      <c r="D4106" s="46"/>
      <c r="E4106" s="36"/>
      <c r="F4106" s="53" t="s">
        <v>416</v>
      </c>
      <c r="G4106" s="53" t="str">
        <f>IF(ISNUMBER(F4106),E4106*F4106,"")</f>
        <v/>
      </c>
      <c r="H4106" s="72"/>
      <c r="I4106" s="73"/>
      <c r="J4106" s="152">
        <v>0</v>
      </c>
    </row>
    <row r="4107" spans="1:10" ht="15.75" hidden="1" thickBot="1" x14ac:dyDescent="0.3">
      <c r="A4107" s="171"/>
      <c r="B4107" s="174"/>
      <c r="C4107" s="54"/>
      <c r="D4107" s="54"/>
      <c r="E4107" s="65"/>
      <c r="F4107" s="75" t="s">
        <v>416</v>
      </c>
      <c r="G4107" s="75" t="str">
        <f>IF(ISNUMBER(F4107),E4107*F4107,"")</f>
        <v/>
      </c>
      <c r="H4107" s="76"/>
      <c r="I4107" s="73"/>
      <c r="J4107" s="152">
        <v>0</v>
      </c>
    </row>
    <row r="4108" spans="1:10" ht="15.75" hidden="1" thickBot="1" x14ac:dyDescent="0.3">
      <c r="A4108" s="170" t="s">
        <v>1068</v>
      </c>
      <c r="B4108" s="173" t="str">
        <f>INDEX(Orçamentária!A:B,MATCH(Composições!A4108,Orçamentária!A:A,0),2)</f>
        <v>Projeto de Impermeabilização</v>
      </c>
      <c r="C4108" s="40"/>
      <c r="D4108" s="25" t="s">
        <v>70</v>
      </c>
      <c r="E4108" s="26"/>
      <c r="F4108" s="48" t="s">
        <v>416</v>
      </c>
      <c r="G4108" s="27" t="str">
        <f>IF(ISNUMBER(F4108),E4108*F4108,"")</f>
        <v/>
      </c>
      <c r="H4108" s="28"/>
      <c r="I4108" s="29"/>
      <c r="J4108" s="152">
        <v>0</v>
      </c>
    </row>
    <row r="4109" spans="1:10" ht="15.75" hidden="1" thickBot="1" x14ac:dyDescent="0.3">
      <c r="A4109" s="171"/>
      <c r="B4109" s="174"/>
      <c r="C4109" s="31"/>
      <c r="D4109" s="31"/>
      <c r="E4109" s="32"/>
      <c r="F4109" s="53" t="s">
        <v>416</v>
      </c>
      <c r="G4109" s="53" t="str">
        <f>IF(ISNUMBER(F4109),E4109*F4109,"")</f>
        <v/>
      </c>
      <c r="H4109" s="72"/>
      <c r="I4109" s="73"/>
      <c r="J4109" s="152">
        <v>0</v>
      </c>
    </row>
    <row r="4110" spans="1:10" ht="15.75" hidden="1" thickBot="1" x14ac:dyDescent="0.3">
      <c r="A4110" s="171"/>
      <c r="B4110" s="174"/>
      <c r="C4110" s="35" t="s">
        <v>1069</v>
      </c>
      <c r="D4110" s="35" t="s">
        <v>583</v>
      </c>
      <c r="E4110" s="36">
        <f>ROUND(1/10,4)</f>
        <v>0.1</v>
      </c>
      <c r="F4110" s="53">
        <v>118.465</v>
      </c>
      <c r="G4110" s="53">
        <f>IF(ISNUMBER(F4110),E4110*F4110,"")</f>
        <v>11.846500000000001</v>
      </c>
      <c r="H4110" s="38">
        <f>SUM(G4110:G4110)</f>
        <v>11.846500000000001</v>
      </c>
      <c r="I4110" s="39"/>
      <c r="J4110" s="152">
        <v>0</v>
      </c>
    </row>
    <row r="4111" spans="1:10" ht="15.75" hidden="1" thickBot="1" x14ac:dyDescent="0.3">
      <c r="A4111" s="171"/>
      <c r="B4111" s="174"/>
      <c r="C4111" s="35"/>
      <c r="D4111" s="46"/>
      <c r="E4111" s="36"/>
      <c r="F4111" s="53" t="s">
        <v>416</v>
      </c>
      <c r="G4111" s="53" t="str">
        <f>IF(ISNUMBER(F4111),E4111*F4111,"")</f>
        <v/>
      </c>
      <c r="H4111" s="72"/>
      <c r="I4111" s="73"/>
      <c r="J4111" s="152">
        <v>0</v>
      </c>
    </row>
    <row r="4112" spans="1:10" ht="15.75" hidden="1" thickBot="1" x14ac:dyDescent="0.3">
      <c r="A4112" s="170" t="s">
        <v>1070</v>
      </c>
      <c r="B4112" s="173" t="str">
        <f>INDEX(Orçamentária!A:B,MATCH(Composições!A4112,Orçamentária!A:A,0),2)</f>
        <v>Laminado decorativo de alta pressão (LDAP)</v>
      </c>
      <c r="C4112" s="40"/>
      <c r="D4112" s="25" t="s">
        <v>70</v>
      </c>
      <c r="E4112" s="26"/>
      <c r="F4112" s="48" t="s">
        <v>416</v>
      </c>
      <c r="G4112" s="27" t="str">
        <f>IF(ISNUMBER(F4112),E4112*F4112,"")</f>
        <v/>
      </c>
      <c r="H4112" s="28"/>
      <c r="I4112" s="29"/>
      <c r="J4112" s="152">
        <v>0</v>
      </c>
    </row>
    <row r="4113" spans="1:10" ht="15.75" hidden="1" thickBot="1" x14ac:dyDescent="0.3">
      <c r="A4113" s="171"/>
      <c r="B4113" s="174"/>
      <c r="C4113" s="31"/>
      <c r="D4113" s="31"/>
      <c r="E4113" s="32"/>
      <c r="F4113" s="53" t="s">
        <v>416</v>
      </c>
      <c r="G4113" s="53" t="str">
        <f>IF(ISNUMBER(F4113),E4113*F4113,"")</f>
        <v/>
      </c>
      <c r="H4113" s="72"/>
      <c r="I4113" s="73"/>
      <c r="J4113" s="152">
        <v>0</v>
      </c>
    </row>
    <row r="4114" spans="1:10" ht="15.75" hidden="1" thickBot="1" x14ac:dyDescent="0.3">
      <c r="A4114" s="171"/>
      <c r="B4114" s="174"/>
      <c r="C4114" s="35" t="s">
        <v>584</v>
      </c>
      <c r="D4114" s="35" t="s">
        <v>583</v>
      </c>
      <c r="E4114" s="36">
        <v>0.18</v>
      </c>
      <c r="F4114" s="53">
        <v>20.225499999999997</v>
      </c>
      <c r="G4114" s="53">
        <f>IF(ISNUMBER(F4114),E4114*F4114,"")</f>
        <v>3.6405899999999991</v>
      </c>
      <c r="H4114" s="38">
        <f>SUM(G4114:G4117)</f>
        <v>54.38655</v>
      </c>
      <c r="I4114" s="39"/>
      <c r="J4114" s="152">
        <v>0</v>
      </c>
    </row>
    <row r="4115" spans="1:10" ht="15.75" hidden="1" thickBot="1" x14ac:dyDescent="0.3">
      <c r="A4115" s="171"/>
      <c r="B4115" s="174"/>
      <c r="C4115" s="35" t="s">
        <v>1071</v>
      </c>
      <c r="D4115" s="35" t="s">
        <v>583</v>
      </c>
      <c r="E4115" s="36">
        <v>0.18</v>
      </c>
      <c r="F4115" s="53">
        <v>26.799499999999998</v>
      </c>
      <c r="G4115" s="53">
        <f>IF(ISNUMBER(F4115),E4115*F4115,"")</f>
        <v>4.8239099999999997</v>
      </c>
      <c r="H4115" s="72"/>
      <c r="I4115" s="73"/>
      <c r="J4115" s="152">
        <v>0</v>
      </c>
    </row>
    <row r="4116" spans="1:10" ht="26.25" hidden="1" thickBot="1" x14ac:dyDescent="0.3">
      <c r="A4116" s="171"/>
      <c r="B4116" s="174"/>
      <c r="C4116" s="35" t="s">
        <v>8066</v>
      </c>
      <c r="D4116" s="35" t="s">
        <v>773</v>
      </c>
      <c r="E4116" s="36">
        <v>0.9</v>
      </c>
      <c r="F4116" s="53">
        <v>51.024499999999996</v>
      </c>
      <c r="G4116" s="53">
        <f>IF(ISNUMBER(F4116),E4116*F4116,"")</f>
        <v>45.922049999999999</v>
      </c>
      <c r="H4116" s="72"/>
      <c r="I4116" s="73"/>
      <c r="J4116" s="152">
        <v>0</v>
      </c>
    </row>
    <row r="4117" spans="1:10" ht="15.75" hidden="1" thickBot="1" x14ac:dyDescent="0.3">
      <c r="A4117" s="171"/>
      <c r="B4117" s="174"/>
      <c r="C4117" s="35" t="s">
        <v>1072</v>
      </c>
      <c r="D4117" s="35" t="s">
        <v>70</v>
      </c>
      <c r="E4117" s="36">
        <v>1.05</v>
      </c>
      <c r="F4117" s="53">
        <v>0</v>
      </c>
      <c r="G4117" s="53">
        <f>IF(ISNUMBER(F4117),E4117*F4117,"")</f>
        <v>0</v>
      </c>
      <c r="H4117" s="72"/>
      <c r="I4117" s="73"/>
      <c r="J4117" s="152">
        <v>0</v>
      </c>
    </row>
    <row r="4118" spans="1:10" ht="15.75" hidden="1" thickBot="1" x14ac:dyDescent="0.3">
      <c r="A4118" s="171"/>
      <c r="B4118" s="174"/>
      <c r="C4118" s="54"/>
      <c r="D4118" s="54"/>
      <c r="E4118" s="65"/>
      <c r="F4118" s="75" t="s">
        <v>416</v>
      </c>
      <c r="G4118" s="75" t="str">
        <f>IF(ISNUMBER(F4118),E4118*F4118,"")</f>
        <v/>
      </c>
      <c r="H4118" s="76"/>
      <c r="I4118" s="73"/>
      <c r="J4118" s="152">
        <v>0</v>
      </c>
    </row>
    <row r="4119" spans="1:10" ht="15.75" hidden="1" thickBot="1" x14ac:dyDescent="0.3">
      <c r="A4119" s="170" t="s">
        <v>1073</v>
      </c>
      <c r="B4119" s="173" t="str">
        <f>INDEX(Orçamentária!A:B,MATCH(Composições!A4119,Orçamentária!A:A,0),2)</f>
        <v>Granito Preto Absoluto para revestimento de superfícies internas e externas – Linha Administrativa</v>
      </c>
      <c r="C4119" s="40"/>
      <c r="D4119" s="25" t="s">
        <v>70</v>
      </c>
      <c r="E4119" s="26"/>
      <c r="F4119" s="41" t="s">
        <v>416</v>
      </c>
      <c r="G4119" s="27" t="str">
        <f>IF(ISNUMBER(F4119),E4119*F4119,"")</f>
        <v/>
      </c>
      <c r="H4119" s="28"/>
      <c r="I4119" s="29"/>
      <c r="J4119" s="152">
        <v>0</v>
      </c>
    </row>
    <row r="4120" spans="1:10" ht="15.75" hidden="1" thickBot="1" x14ac:dyDescent="0.3">
      <c r="A4120" s="176"/>
      <c r="B4120" s="174"/>
      <c r="C4120" s="31"/>
      <c r="D4120" s="31"/>
      <c r="E4120" s="32"/>
      <c r="F4120" s="42" t="s">
        <v>416</v>
      </c>
      <c r="G4120" s="30" t="str">
        <f>IF(ISNUMBER(F4120),E4120*F4120,"")</f>
        <v/>
      </c>
      <c r="H4120" s="34"/>
      <c r="I4120" s="30"/>
      <c r="J4120" s="152">
        <v>0</v>
      </c>
    </row>
    <row r="4121" spans="1:10" ht="15.75" hidden="1" thickBot="1" x14ac:dyDescent="0.3">
      <c r="A4121" s="176"/>
      <c r="B4121" s="174"/>
      <c r="C4121" s="35" t="s">
        <v>7987</v>
      </c>
      <c r="D4121" s="35" t="s">
        <v>773</v>
      </c>
      <c r="E4121" s="36">
        <v>8.6199999999999992</v>
      </c>
      <c r="F4121" s="33">
        <v>1.8049999999999999</v>
      </c>
      <c r="G4121" s="33">
        <f>IF(ISNUMBER(F4121),E4121*F4121,"")</f>
        <v>15.559099999999997</v>
      </c>
      <c r="H4121" s="38">
        <f>SUM(G4121:G4125)</f>
        <v>60.177122999999987</v>
      </c>
      <c r="I4121" s="39"/>
      <c r="J4121" s="152">
        <v>0</v>
      </c>
    </row>
    <row r="4122" spans="1:10" ht="15.75" hidden="1" thickBot="1" x14ac:dyDescent="0.3">
      <c r="A4122" s="176"/>
      <c r="B4122" s="174"/>
      <c r="C4122" s="35" t="s">
        <v>2906</v>
      </c>
      <c r="D4122" s="35" t="s">
        <v>583</v>
      </c>
      <c r="E4122" s="36">
        <v>1.1879999999999999</v>
      </c>
      <c r="F4122" s="30">
        <v>27.036999999999999</v>
      </c>
      <c r="G4122" s="33">
        <f>IF(ISNUMBER(F4122),E4122*F4122,"")</f>
        <v>32.119955999999995</v>
      </c>
      <c r="H4122" s="34"/>
      <c r="I4122" s="30"/>
      <c r="J4122" s="152">
        <v>0</v>
      </c>
    </row>
    <row r="4123" spans="1:10" ht="15.75" hidden="1" thickBot="1" x14ac:dyDescent="0.3">
      <c r="A4123" s="176"/>
      <c r="B4123" s="174"/>
      <c r="C4123" s="35" t="s">
        <v>584</v>
      </c>
      <c r="D4123" s="35" t="s">
        <v>583</v>
      </c>
      <c r="E4123" s="36">
        <v>0.59399999999999997</v>
      </c>
      <c r="F4123" s="30">
        <v>20.225499999999997</v>
      </c>
      <c r="G4123" s="33">
        <f>IF(ISNUMBER(F4123),E4123*F4123,"")</f>
        <v>12.013946999999998</v>
      </c>
      <c r="H4123" s="34"/>
      <c r="I4123" s="30"/>
      <c r="J4123" s="152">
        <v>0</v>
      </c>
    </row>
    <row r="4124" spans="1:10" ht="15.75" hidden="1" thickBot="1" x14ac:dyDescent="0.3">
      <c r="A4124" s="176"/>
      <c r="B4124" s="174"/>
      <c r="C4124" s="35" t="s">
        <v>8367</v>
      </c>
      <c r="D4124" s="35" t="s">
        <v>773</v>
      </c>
      <c r="E4124" s="36">
        <v>0.14000000000000001</v>
      </c>
      <c r="F4124" s="33">
        <v>3.4579999999999997</v>
      </c>
      <c r="G4124" s="33">
        <f>IF(ISNUMBER(F4124),E4124*F4124,"")</f>
        <v>0.48411999999999999</v>
      </c>
      <c r="H4124" s="34"/>
      <c r="I4124" s="30"/>
      <c r="J4124" s="152">
        <v>0</v>
      </c>
    </row>
    <row r="4125" spans="1:10" ht="15.75" hidden="1" thickBot="1" x14ac:dyDescent="0.3">
      <c r="A4125" s="176"/>
      <c r="B4125" s="174"/>
      <c r="C4125" s="35" t="s">
        <v>1074</v>
      </c>
      <c r="D4125" s="35" t="s">
        <v>70</v>
      </c>
      <c r="E4125" s="36">
        <v>1.1599999999999999</v>
      </c>
      <c r="F4125" s="33" t="s">
        <v>416</v>
      </c>
      <c r="G4125" s="53" t="str">
        <f>IF(ISNUMBER(F4125),E4125*F4125,"")</f>
        <v/>
      </c>
      <c r="H4125" s="34"/>
      <c r="I4125" s="30"/>
      <c r="J4125" s="152">
        <v>0</v>
      </c>
    </row>
    <row r="4126" spans="1:10" ht="15.75" hidden="1" thickBot="1" x14ac:dyDescent="0.3">
      <c r="A4126" s="177"/>
      <c r="B4126" s="175"/>
      <c r="C4126" s="35"/>
      <c r="D4126" s="35"/>
      <c r="E4126" s="36"/>
      <c r="F4126" s="30" t="s">
        <v>416</v>
      </c>
      <c r="G4126" s="30" t="str">
        <f>IF(ISNUMBER(F4126),E4126*F4126,"")</f>
        <v/>
      </c>
      <c r="H4126" s="34"/>
      <c r="I4126" s="30"/>
      <c r="J4126" s="152">
        <v>0</v>
      </c>
    </row>
    <row r="4127" spans="1:10" ht="15.75" hidden="1" thickBot="1" x14ac:dyDescent="0.3">
      <c r="A4127" s="170" t="s">
        <v>1075</v>
      </c>
      <c r="B4127" s="173" t="str">
        <f>INDEX(Orçamentária!A:B,MATCH(Composições!A4127,Orçamentária!A:A,0),2)</f>
        <v>Granito Arabesco para revestimento de superfícies internas e externas – Linha Administrativa</v>
      </c>
      <c r="C4127" s="40"/>
      <c r="D4127" s="25" t="s">
        <v>70</v>
      </c>
      <c r="E4127" s="26"/>
      <c r="F4127" s="41" t="s">
        <v>416</v>
      </c>
      <c r="G4127" s="27" t="str">
        <f>IF(ISNUMBER(F4127),E4127*F4127,"")</f>
        <v/>
      </c>
      <c r="H4127" s="28"/>
      <c r="I4127" s="29"/>
      <c r="J4127" s="152">
        <v>0</v>
      </c>
    </row>
    <row r="4128" spans="1:10" ht="15.75" hidden="1" thickBot="1" x14ac:dyDescent="0.3">
      <c r="A4128" s="176"/>
      <c r="B4128" s="174"/>
      <c r="C4128" s="31"/>
      <c r="D4128" s="31"/>
      <c r="E4128" s="32"/>
      <c r="F4128" s="42" t="s">
        <v>416</v>
      </c>
      <c r="G4128" s="30" t="str">
        <f>IF(ISNUMBER(F4128),E4128*F4128,"")</f>
        <v/>
      </c>
      <c r="H4128" s="34"/>
      <c r="I4128" s="30"/>
      <c r="J4128" s="152">
        <v>0</v>
      </c>
    </row>
    <row r="4129" spans="1:10" ht="15.75" hidden="1" thickBot="1" x14ac:dyDescent="0.3">
      <c r="A4129" s="176"/>
      <c r="B4129" s="174"/>
      <c r="C4129" s="35" t="s">
        <v>7987</v>
      </c>
      <c r="D4129" s="35" t="s">
        <v>773</v>
      </c>
      <c r="E4129" s="36">
        <v>8.6199999999999992</v>
      </c>
      <c r="F4129" s="33">
        <v>1.8049999999999999</v>
      </c>
      <c r="G4129" s="33">
        <f>IF(ISNUMBER(F4129),E4129*F4129,"")</f>
        <v>15.559099999999997</v>
      </c>
      <c r="H4129" s="38">
        <f>SUM(G4129:G4133)</f>
        <v>60.177122999999987</v>
      </c>
      <c r="I4129" s="39"/>
      <c r="J4129" s="152">
        <v>0</v>
      </c>
    </row>
    <row r="4130" spans="1:10" ht="15.75" hidden="1" thickBot="1" x14ac:dyDescent="0.3">
      <c r="A4130" s="176"/>
      <c r="B4130" s="174"/>
      <c r="C4130" s="35" t="s">
        <v>2906</v>
      </c>
      <c r="D4130" s="35" t="s">
        <v>583</v>
      </c>
      <c r="E4130" s="36">
        <v>1.1879999999999999</v>
      </c>
      <c r="F4130" s="30">
        <v>27.036999999999999</v>
      </c>
      <c r="G4130" s="33">
        <f>IF(ISNUMBER(F4130),E4130*F4130,"")</f>
        <v>32.119955999999995</v>
      </c>
      <c r="H4130" s="34"/>
      <c r="I4130" s="30"/>
      <c r="J4130" s="152">
        <v>0</v>
      </c>
    </row>
    <row r="4131" spans="1:10" ht="15.75" hidden="1" thickBot="1" x14ac:dyDescent="0.3">
      <c r="A4131" s="176"/>
      <c r="B4131" s="174"/>
      <c r="C4131" s="35" t="s">
        <v>584</v>
      </c>
      <c r="D4131" s="35" t="s">
        <v>583</v>
      </c>
      <c r="E4131" s="36">
        <v>0.59399999999999997</v>
      </c>
      <c r="F4131" s="30">
        <v>20.225499999999997</v>
      </c>
      <c r="G4131" s="33">
        <f>IF(ISNUMBER(F4131),E4131*F4131,"")</f>
        <v>12.013946999999998</v>
      </c>
      <c r="H4131" s="34"/>
      <c r="I4131" s="30"/>
      <c r="J4131" s="152">
        <v>0</v>
      </c>
    </row>
    <row r="4132" spans="1:10" ht="15.75" hidden="1" thickBot="1" x14ac:dyDescent="0.3">
      <c r="A4132" s="176"/>
      <c r="B4132" s="174"/>
      <c r="C4132" s="35" t="s">
        <v>8367</v>
      </c>
      <c r="D4132" s="35" t="s">
        <v>773</v>
      </c>
      <c r="E4132" s="36">
        <v>0.14000000000000001</v>
      </c>
      <c r="F4132" s="33">
        <v>3.4579999999999997</v>
      </c>
      <c r="G4132" s="33">
        <f>IF(ISNUMBER(F4132),E4132*F4132,"")</f>
        <v>0.48411999999999999</v>
      </c>
      <c r="H4132" s="34"/>
      <c r="I4132" s="30"/>
      <c r="J4132" s="152">
        <v>0</v>
      </c>
    </row>
    <row r="4133" spans="1:10" ht="15.75" hidden="1" thickBot="1" x14ac:dyDescent="0.3">
      <c r="A4133" s="176"/>
      <c r="B4133" s="174"/>
      <c r="C4133" s="35" t="s">
        <v>1076</v>
      </c>
      <c r="D4133" s="35" t="s">
        <v>70</v>
      </c>
      <c r="E4133" s="36">
        <v>1.1599999999999999</v>
      </c>
      <c r="F4133" s="33" t="s">
        <v>416</v>
      </c>
      <c r="G4133" s="53" t="str">
        <f>IF(ISNUMBER(F4133),E4133*F4133,"")</f>
        <v/>
      </c>
      <c r="H4133" s="34"/>
      <c r="I4133" s="30"/>
      <c r="J4133" s="152">
        <v>0</v>
      </c>
    </row>
    <row r="4134" spans="1:10" ht="15.75" hidden="1" thickBot="1" x14ac:dyDescent="0.3">
      <c r="A4134" s="177"/>
      <c r="B4134" s="175"/>
      <c r="C4134" s="35"/>
      <c r="D4134" s="35"/>
      <c r="E4134" s="36"/>
      <c r="F4134" s="30" t="s">
        <v>416</v>
      </c>
      <c r="G4134" s="30" t="str">
        <f>IF(ISNUMBER(F4134),E4134*F4134,"")</f>
        <v/>
      </c>
      <c r="H4134" s="34"/>
      <c r="I4134" s="30"/>
      <c r="J4134" s="152">
        <v>0</v>
      </c>
    </row>
    <row r="4135" spans="1:10" ht="15.75" hidden="1" thickBot="1" x14ac:dyDescent="0.3">
      <c r="A4135" s="170" t="s">
        <v>1077</v>
      </c>
      <c r="B4135" s="173" t="str">
        <f>INDEX(Orçamentária!A:B,MATCH(Composições!A4135,Orçamentária!A:A,0),2)</f>
        <v>Porcelanato para revestimento de superfícies internas e externas – Linha Residencial</v>
      </c>
      <c r="C4135" s="40"/>
      <c r="D4135" s="25" t="s">
        <v>70</v>
      </c>
      <c r="E4135" s="26"/>
      <c r="F4135" s="48" t="s">
        <v>416</v>
      </c>
      <c r="G4135" s="27" t="str">
        <f>IF(ISNUMBER(F4135),E4135*F4135,"")</f>
        <v/>
      </c>
      <c r="H4135" s="28"/>
      <c r="I4135" s="29"/>
      <c r="J4135" s="152">
        <v>0</v>
      </c>
    </row>
    <row r="4136" spans="1:10" ht="15.75" hidden="1" thickBot="1" x14ac:dyDescent="0.3">
      <c r="A4136" s="171"/>
      <c r="B4136" s="174"/>
      <c r="C4136" s="31"/>
      <c r="D4136" s="31"/>
      <c r="E4136" s="32"/>
      <c r="F4136" s="53" t="s">
        <v>416</v>
      </c>
      <c r="G4136" s="53" t="str">
        <f>IF(ISNUMBER(F4136),E4136*F4136,"")</f>
        <v/>
      </c>
      <c r="H4136" s="72"/>
      <c r="I4136" s="73"/>
      <c r="J4136" s="152">
        <v>0</v>
      </c>
    </row>
    <row r="4137" spans="1:10" ht="26.25" hidden="1" thickBot="1" x14ac:dyDescent="0.3">
      <c r="A4137" s="171"/>
      <c r="B4137" s="174"/>
      <c r="C4137" s="35" t="s">
        <v>1078</v>
      </c>
      <c r="D4137" s="35" t="s">
        <v>861</v>
      </c>
      <c r="E4137" s="36">
        <v>1.07</v>
      </c>
      <c r="F4137" s="53">
        <v>75.885999999999996</v>
      </c>
      <c r="G4137" s="53">
        <f>IF(ISNUMBER(F4137),E4137*F4137,"")</f>
        <v>81.19802</v>
      </c>
      <c r="H4137" s="38">
        <f>SUM(G4137:G4141)</f>
        <v>119.13598500000001</v>
      </c>
      <c r="I4137" s="39"/>
      <c r="J4137" s="152">
        <v>0</v>
      </c>
    </row>
    <row r="4138" spans="1:10" ht="15.75" hidden="1" thickBot="1" x14ac:dyDescent="0.3">
      <c r="A4138" s="171"/>
      <c r="B4138" s="174"/>
      <c r="C4138" s="35" t="s">
        <v>8367</v>
      </c>
      <c r="D4138" s="35" t="s">
        <v>773</v>
      </c>
      <c r="E4138" s="36">
        <v>0.24</v>
      </c>
      <c r="F4138" s="53">
        <v>3.4579999999999997</v>
      </c>
      <c r="G4138" s="53">
        <f>IF(ISNUMBER(F4138),E4138*F4138,"")</f>
        <v>0.82991999999999988</v>
      </c>
      <c r="H4138" s="72"/>
      <c r="I4138" s="73"/>
      <c r="J4138" s="152">
        <v>0</v>
      </c>
    </row>
    <row r="4139" spans="1:10" ht="15.75" hidden="1" thickBot="1" x14ac:dyDescent="0.3">
      <c r="A4139" s="171"/>
      <c r="B4139" s="174"/>
      <c r="C4139" s="35" t="s">
        <v>7987</v>
      </c>
      <c r="D4139" s="35" t="s">
        <v>773</v>
      </c>
      <c r="E4139" s="36">
        <v>8.6199999999999992</v>
      </c>
      <c r="F4139" s="53">
        <v>1.8049999999999999</v>
      </c>
      <c r="G4139" s="53">
        <f>IF(ISNUMBER(F4139),E4139*F4139,"")</f>
        <v>15.559099999999997</v>
      </c>
      <c r="H4139" s="72"/>
      <c r="I4139" s="73"/>
      <c r="J4139" s="152">
        <v>0</v>
      </c>
    </row>
    <row r="4140" spans="1:10" ht="15.75" hidden="1" thickBot="1" x14ac:dyDescent="0.3">
      <c r="A4140" s="171"/>
      <c r="B4140" s="174"/>
      <c r="C4140" s="35" t="s">
        <v>1079</v>
      </c>
      <c r="D4140" s="35" t="s">
        <v>583</v>
      </c>
      <c r="E4140" s="36">
        <v>0.61</v>
      </c>
      <c r="F4140" s="53">
        <v>27.036999999999999</v>
      </c>
      <c r="G4140" s="53">
        <f>IF(ISNUMBER(F4140),E4140*F4140,"")</f>
        <v>16.492570000000001</v>
      </c>
      <c r="H4140" s="72"/>
      <c r="I4140" s="73"/>
      <c r="J4140" s="152">
        <v>0</v>
      </c>
    </row>
    <row r="4141" spans="1:10" ht="15.75" hidden="1" thickBot="1" x14ac:dyDescent="0.3">
      <c r="A4141" s="171"/>
      <c r="B4141" s="174"/>
      <c r="C4141" s="35" t="s">
        <v>584</v>
      </c>
      <c r="D4141" s="35" t="s">
        <v>583</v>
      </c>
      <c r="E4141" s="36">
        <v>0.25</v>
      </c>
      <c r="F4141" s="53">
        <v>20.225499999999997</v>
      </c>
      <c r="G4141" s="53">
        <f>IF(ISNUMBER(F4141),E4141*F4141,"")</f>
        <v>5.0563749999999992</v>
      </c>
      <c r="H4141" s="72"/>
      <c r="I4141" s="73"/>
      <c r="J4141" s="152">
        <v>0</v>
      </c>
    </row>
    <row r="4142" spans="1:10" ht="15.75" hidden="1" thickBot="1" x14ac:dyDescent="0.3">
      <c r="A4142" s="171"/>
      <c r="B4142" s="174"/>
      <c r="C4142" s="35"/>
      <c r="D4142" s="46"/>
      <c r="E4142" s="36"/>
      <c r="F4142" s="53" t="s">
        <v>416</v>
      </c>
      <c r="G4142" s="53" t="str">
        <f>IF(ISNUMBER(F4142),E4142*F4142,"")</f>
        <v/>
      </c>
      <c r="H4142" s="72"/>
      <c r="I4142" s="73"/>
      <c r="J4142" s="152">
        <v>0</v>
      </c>
    </row>
    <row r="4143" spans="1:10" ht="15.75" hidden="1" thickBot="1" x14ac:dyDescent="0.3">
      <c r="A4143" s="170" t="s">
        <v>1080</v>
      </c>
      <c r="B4143" s="173" t="str">
        <f>INDEX(Orçamentária!A:B,MATCH(Composições!A4143,Orçamentária!A:A,0),2)</f>
        <v>Granitina para revestimento de pisos</v>
      </c>
      <c r="C4143" s="40"/>
      <c r="D4143" s="25" t="s">
        <v>70</v>
      </c>
      <c r="E4143" s="26"/>
      <c r="F4143" s="48" t="s">
        <v>416</v>
      </c>
      <c r="G4143" s="27" t="str">
        <f>IF(ISNUMBER(F4143),E4143*F4143,"")</f>
        <v/>
      </c>
      <c r="H4143" s="28"/>
      <c r="I4143" s="29"/>
      <c r="J4143" s="152">
        <v>0</v>
      </c>
    </row>
    <row r="4144" spans="1:10" ht="15.75" hidden="1" thickBot="1" x14ac:dyDescent="0.3">
      <c r="A4144" s="171"/>
      <c r="B4144" s="174"/>
      <c r="C4144" s="31"/>
      <c r="D4144" s="31"/>
      <c r="E4144" s="32"/>
      <c r="F4144" s="53" t="s">
        <v>416</v>
      </c>
      <c r="G4144" s="53" t="str">
        <f>IF(ISNUMBER(F4144),E4144*F4144,"")</f>
        <v/>
      </c>
      <c r="H4144" s="72"/>
      <c r="I4144" s="73"/>
      <c r="J4144" s="152">
        <v>0</v>
      </c>
    </row>
    <row r="4145" spans="1:10" ht="26.25" hidden="1" thickBot="1" x14ac:dyDescent="0.3">
      <c r="A4145" s="171"/>
      <c r="B4145" s="174"/>
      <c r="C4145" s="35" t="s">
        <v>8529</v>
      </c>
      <c r="D4145" s="35" t="s">
        <v>861</v>
      </c>
      <c r="E4145" s="36">
        <v>1</v>
      </c>
      <c r="F4145" s="53">
        <v>103.07499999999999</v>
      </c>
      <c r="G4145" s="53">
        <f>IF(ISNUMBER(F4145),E4145*F4145,"")</f>
        <v>103.07499999999999</v>
      </c>
      <c r="H4145" s="38">
        <f>SUM(G4145:G4145)</f>
        <v>103.07499999999999</v>
      </c>
      <c r="I4145" s="39"/>
      <c r="J4145" s="152">
        <v>0</v>
      </c>
    </row>
    <row r="4146" spans="1:10" ht="15.75" hidden="1" thickBot="1" x14ac:dyDescent="0.3">
      <c r="A4146" s="171"/>
      <c r="B4146" s="174"/>
      <c r="C4146" s="35"/>
      <c r="D4146" s="46"/>
      <c r="E4146" s="36"/>
      <c r="F4146" s="53" t="s">
        <v>416</v>
      </c>
      <c r="G4146" s="53" t="str">
        <f>IF(ISNUMBER(F4146),E4146*F4146,"")</f>
        <v/>
      </c>
      <c r="H4146" s="72"/>
      <c r="I4146" s="73"/>
      <c r="J4146" s="152">
        <v>0</v>
      </c>
    </row>
    <row r="4147" spans="1:10" ht="15.75" hidden="1" thickBot="1" x14ac:dyDescent="0.3">
      <c r="A4147" s="170" t="s">
        <v>1081</v>
      </c>
      <c r="B4147" s="173" t="str">
        <f>INDEX(Orçamentária!A:B,MATCH(Composições!A4147,Orçamentária!A:A,0),2)</f>
        <v>Piso vinílico flexível em manta</v>
      </c>
      <c r="C4147" s="40"/>
      <c r="D4147" s="25" t="s">
        <v>70</v>
      </c>
      <c r="E4147" s="26"/>
      <c r="F4147" s="48" t="s">
        <v>416</v>
      </c>
      <c r="G4147" s="27" t="str">
        <f>IF(ISNUMBER(F4147),E4147*F4147,"")</f>
        <v/>
      </c>
      <c r="H4147" s="28"/>
      <c r="I4147" s="29"/>
      <c r="J4147" s="152">
        <v>0</v>
      </c>
    </row>
    <row r="4148" spans="1:10" ht="15.75" hidden="1" thickBot="1" x14ac:dyDescent="0.3">
      <c r="A4148" s="171"/>
      <c r="B4148" s="174"/>
      <c r="C4148" s="31"/>
      <c r="D4148" s="31"/>
      <c r="E4148" s="32"/>
      <c r="F4148" s="53" t="s">
        <v>416</v>
      </c>
      <c r="G4148" s="53" t="str">
        <f>IF(ISNUMBER(F4148),E4148*F4148,"")</f>
        <v/>
      </c>
      <c r="H4148" s="72"/>
      <c r="I4148" s="73"/>
      <c r="J4148" s="152">
        <v>0</v>
      </c>
    </row>
    <row r="4149" spans="1:10" ht="15.75" hidden="1" thickBot="1" x14ac:dyDescent="0.3">
      <c r="A4149" s="171"/>
      <c r="B4149" s="174"/>
      <c r="C4149" s="35" t="s">
        <v>1082</v>
      </c>
      <c r="D4149" s="46" t="s">
        <v>70</v>
      </c>
      <c r="E4149" s="36">
        <v>1.05</v>
      </c>
      <c r="F4149" s="53" t="s">
        <v>416</v>
      </c>
      <c r="G4149" s="53" t="str">
        <f>IF(ISNUMBER(F4149),E4149*F4149,"")</f>
        <v/>
      </c>
      <c r="H4149" s="38">
        <f>SUM(G4149:G4153)</f>
        <v>27.727174999999995</v>
      </c>
      <c r="I4149" s="39"/>
      <c r="J4149" s="152">
        <v>0</v>
      </c>
    </row>
    <row r="4150" spans="1:10" ht="15.75" hidden="1" thickBot="1" x14ac:dyDescent="0.3">
      <c r="A4150" s="171"/>
      <c r="B4150" s="174"/>
      <c r="C4150" s="35" t="s">
        <v>6970</v>
      </c>
      <c r="D4150" s="46" t="s">
        <v>28</v>
      </c>
      <c r="E4150" s="36">
        <v>1.7</v>
      </c>
      <c r="F4150" s="53" t="s">
        <v>416</v>
      </c>
      <c r="G4150" s="53" t="str">
        <f>IF(ISNUMBER(F4150),E4150*F4150,"")</f>
        <v/>
      </c>
      <c r="H4150" s="72"/>
      <c r="I4150" s="73"/>
      <c r="J4150" s="152">
        <v>0</v>
      </c>
    </row>
    <row r="4151" spans="1:10" ht="15.75" hidden="1" thickBot="1" x14ac:dyDescent="0.3">
      <c r="A4151" s="171"/>
      <c r="B4151" s="174"/>
      <c r="C4151" s="35" t="s">
        <v>7974</v>
      </c>
      <c r="D4151" s="35" t="s">
        <v>773</v>
      </c>
      <c r="E4151" s="36">
        <v>0.35</v>
      </c>
      <c r="F4151" s="53">
        <v>47.271999999999998</v>
      </c>
      <c r="G4151" s="53">
        <f>IF(ISNUMBER(F4151),E4151*F4151,"")</f>
        <v>16.545199999999998</v>
      </c>
      <c r="H4151" s="72"/>
      <c r="I4151" s="73"/>
      <c r="J4151" s="152">
        <v>0</v>
      </c>
    </row>
    <row r="4152" spans="1:10" ht="15.75" hidden="1" thickBot="1" x14ac:dyDescent="0.3">
      <c r="A4152" s="171"/>
      <c r="B4152" s="174"/>
      <c r="C4152" s="35" t="s">
        <v>591</v>
      </c>
      <c r="D4152" s="35" t="s">
        <v>583</v>
      </c>
      <c r="E4152" s="36">
        <f>0.15*2</f>
        <v>0.3</v>
      </c>
      <c r="F4152" s="53">
        <v>27.160499999999999</v>
      </c>
      <c r="G4152" s="53">
        <f>IF(ISNUMBER(F4152),E4152*F4152,"")</f>
        <v>8.1481499999999993</v>
      </c>
      <c r="H4152" s="72"/>
      <c r="I4152" s="73"/>
      <c r="J4152" s="152">
        <v>0</v>
      </c>
    </row>
    <row r="4153" spans="1:10" ht="15.75" hidden="1" thickBot="1" x14ac:dyDescent="0.3">
      <c r="A4153" s="171"/>
      <c r="B4153" s="174"/>
      <c r="C4153" s="35" t="s">
        <v>584</v>
      </c>
      <c r="D4153" s="35" t="s">
        <v>583</v>
      </c>
      <c r="E4153" s="36">
        <v>0.15</v>
      </c>
      <c r="F4153" s="53">
        <v>20.225499999999997</v>
      </c>
      <c r="G4153" s="53">
        <f>IF(ISNUMBER(F4153),E4153*F4153,"")</f>
        <v>3.0338249999999993</v>
      </c>
      <c r="H4153" s="72"/>
      <c r="I4153" s="73"/>
      <c r="J4153" s="152">
        <v>0</v>
      </c>
    </row>
    <row r="4154" spans="1:10" ht="15.75" hidden="1" thickBot="1" x14ac:dyDescent="0.3">
      <c r="A4154" s="171"/>
      <c r="B4154" s="174"/>
      <c r="C4154" s="54"/>
      <c r="D4154" s="54"/>
      <c r="E4154" s="65"/>
      <c r="F4154" s="75" t="s">
        <v>416</v>
      </c>
      <c r="G4154" s="75" t="str">
        <f>IF(ISNUMBER(F4154),E4154*F4154,"")</f>
        <v/>
      </c>
      <c r="H4154" s="76"/>
      <c r="I4154" s="73"/>
      <c r="J4154" s="152">
        <v>0</v>
      </c>
    </row>
    <row r="4155" spans="1:10" ht="15.75" hidden="1" thickBot="1" x14ac:dyDescent="0.3">
      <c r="A4155" s="170" t="s">
        <v>1083</v>
      </c>
      <c r="B4155" s="173" t="str">
        <f>INDEX(Orçamentária!A:B,MATCH(Composições!A4155,Orçamentária!A:A,0),2)</f>
        <v>Tratamento de juntas de dilatação ou movimentação</v>
      </c>
      <c r="C4155" s="40"/>
      <c r="D4155" s="25" t="s">
        <v>69</v>
      </c>
      <c r="E4155" s="26"/>
      <c r="F4155" s="48" t="s">
        <v>416</v>
      </c>
      <c r="G4155" s="27" t="str">
        <f>IF(ISNUMBER(F4155),E4155*F4155,"")</f>
        <v/>
      </c>
      <c r="H4155" s="28"/>
      <c r="I4155" s="29"/>
      <c r="J4155" s="152">
        <v>0</v>
      </c>
    </row>
    <row r="4156" spans="1:10" ht="15.75" hidden="1" thickBot="1" x14ac:dyDescent="0.3">
      <c r="A4156" s="171"/>
      <c r="B4156" s="174"/>
      <c r="C4156" s="31"/>
      <c r="D4156" s="31"/>
      <c r="E4156" s="32"/>
      <c r="F4156" s="53" t="s">
        <v>416</v>
      </c>
      <c r="G4156" s="53" t="str">
        <f>IF(ISNUMBER(F4156),E4156*F4156,"")</f>
        <v/>
      </c>
      <c r="H4156" s="72"/>
      <c r="I4156" s="73"/>
      <c r="J4156" s="152">
        <v>0</v>
      </c>
    </row>
    <row r="4157" spans="1:10" ht="15.75" hidden="1" thickBot="1" x14ac:dyDescent="0.3">
      <c r="A4157" s="171"/>
      <c r="B4157" s="174"/>
      <c r="C4157" s="35" t="s">
        <v>591</v>
      </c>
      <c r="D4157" s="35" t="s">
        <v>583</v>
      </c>
      <c r="E4157" s="36">
        <v>0.35</v>
      </c>
      <c r="F4157" s="53">
        <v>27.160499999999999</v>
      </c>
      <c r="G4157" s="53">
        <f>IF(ISNUMBER(F4157),E4157*F4157,"")</f>
        <v>9.5061749999999989</v>
      </c>
      <c r="H4157" s="38">
        <f>SUM(G4157:G4161)</f>
        <v>72.275620000000004</v>
      </c>
      <c r="I4157" s="39"/>
      <c r="J4157" s="152">
        <v>0</v>
      </c>
    </row>
    <row r="4158" spans="1:10" ht="15.75" hidden="1" thickBot="1" x14ac:dyDescent="0.3">
      <c r="A4158" s="171"/>
      <c r="B4158" s="174"/>
      <c r="C4158" s="35" t="s">
        <v>584</v>
      </c>
      <c r="D4158" s="35" t="s">
        <v>583</v>
      </c>
      <c r="E4158" s="36">
        <v>0.35</v>
      </c>
      <c r="F4158" s="53">
        <v>20.225499999999997</v>
      </c>
      <c r="G4158" s="53">
        <f>IF(ISNUMBER(F4158),E4158*F4158,"")</f>
        <v>7.0789249999999981</v>
      </c>
      <c r="H4158" s="72"/>
      <c r="I4158" s="73"/>
      <c r="J4158" s="152">
        <v>0</v>
      </c>
    </row>
    <row r="4159" spans="1:10" ht="26.25" hidden="1" thickBot="1" x14ac:dyDescent="0.3">
      <c r="A4159" s="171"/>
      <c r="B4159" s="174"/>
      <c r="C4159" s="35" t="s">
        <v>1084</v>
      </c>
      <c r="D4159" s="35" t="s">
        <v>75</v>
      </c>
      <c r="E4159" s="36">
        <v>0.2</v>
      </c>
      <c r="F4159" s="53">
        <v>179.63550000000001</v>
      </c>
      <c r="G4159" s="53">
        <f>IF(ISNUMBER(F4159),E4159*F4159,"")</f>
        <v>35.927100000000003</v>
      </c>
      <c r="H4159" s="72"/>
      <c r="I4159" s="73"/>
      <c r="J4159" s="152">
        <v>0</v>
      </c>
    </row>
    <row r="4160" spans="1:10" ht="15.75" hidden="1" thickBot="1" x14ac:dyDescent="0.3">
      <c r="A4160" s="171"/>
      <c r="B4160" s="174"/>
      <c r="C4160" s="35" t="s">
        <v>927</v>
      </c>
      <c r="D4160" s="35" t="s">
        <v>69</v>
      </c>
      <c r="E4160" s="36">
        <v>1</v>
      </c>
      <c r="F4160" s="53">
        <v>0.95</v>
      </c>
      <c r="G4160" s="53">
        <f>IF(ISNUMBER(F4160),E4160*F4160,"")</f>
        <v>0.95</v>
      </c>
      <c r="H4160" s="72"/>
      <c r="I4160" s="73"/>
      <c r="J4160" s="152">
        <v>0</v>
      </c>
    </row>
    <row r="4161" spans="1:10" ht="26.25" hidden="1" thickBot="1" x14ac:dyDescent="0.3">
      <c r="A4161" s="171"/>
      <c r="B4161" s="174"/>
      <c r="C4161" s="35" t="s">
        <v>650</v>
      </c>
      <c r="D4161" s="35" t="s">
        <v>773</v>
      </c>
      <c r="E4161" s="36">
        <f>1.8*1*(0.01+0.01)*10</f>
        <v>0.36000000000000004</v>
      </c>
      <c r="F4161" s="53">
        <v>52.259499999999996</v>
      </c>
      <c r="G4161" s="53">
        <f>IF(ISNUMBER(F4161),E4161*F4161,"")</f>
        <v>18.813420000000001</v>
      </c>
      <c r="H4161" s="72"/>
      <c r="I4161" s="73"/>
      <c r="J4161" s="152">
        <v>0</v>
      </c>
    </row>
    <row r="4162" spans="1:10" ht="15.75" hidden="1" thickBot="1" x14ac:dyDescent="0.3">
      <c r="A4162" s="171"/>
      <c r="B4162" s="174"/>
      <c r="C4162" s="35"/>
      <c r="D4162" s="35"/>
      <c r="E4162" s="36"/>
      <c r="F4162" s="53" t="s">
        <v>416</v>
      </c>
      <c r="G4162" s="53"/>
      <c r="H4162" s="72"/>
      <c r="I4162" s="73"/>
      <c r="J4162" s="152">
        <v>0</v>
      </c>
    </row>
    <row r="4163" spans="1:10" ht="26.25" hidden="1" thickBot="1" x14ac:dyDescent="0.3">
      <c r="A4163" s="171"/>
      <c r="B4163" s="174"/>
      <c r="C4163" s="47" t="s">
        <v>3082</v>
      </c>
      <c r="D4163" s="35"/>
      <c r="E4163" s="36"/>
      <c r="F4163" s="53" t="s">
        <v>416</v>
      </c>
      <c r="G4163" s="53"/>
      <c r="H4163" s="72"/>
      <c r="I4163" s="73"/>
      <c r="J4163" s="152">
        <v>0</v>
      </c>
    </row>
    <row r="4164" spans="1:10" ht="15.75" hidden="1" thickBot="1" x14ac:dyDescent="0.3">
      <c r="A4164" s="171"/>
      <c r="B4164" s="174"/>
      <c r="C4164" s="47" t="s">
        <v>3083</v>
      </c>
      <c r="D4164" s="35"/>
      <c r="E4164" s="36"/>
      <c r="F4164" s="53" t="s">
        <v>416</v>
      </c>
      <c r="G4164" s="53"/>
      <c r="H4164" s="72"/>
      <c r="I4164" s="73"/>
      <c r="J4164" s="152">
        <v>0</v>
      </c>
    </row>
    <row r="4165" spans="1:10" ht="15.75" hidden="1" thickBot="1" x14ac:dyDescent="0.3">
      <c r="A4165" s="172"/>
      <c r="B4165" s="175"/>
      <c r="C4165" s="54"/>
      <c r="D4165" s="54"/>
      <c r="E4165" s="65"/>
      <c r="F4165" s="75" t="s">
        <v>416</v>
      </c>
      <c r="G4165" s="75" t="str">
        <f>IF(ISNUMBER(F4165),E4165*F4165,"")</f>
        <v/>
      </c>
      <c r="H4165" s="76"/>
      <c r="I4165" s="73"/>
      <c r="J4165" s="152">
        <v>0</v>
      </c>
    </row>
    <row r="4166" spans="1:10" ht="15.75" hidden="1" thickBot="1" x14ac:dyDescent="0.3">
      <c r="A4166" s="170" t="s">
        <v>1085</v>
      </c>
      <c r="B4166" s="173" t="str">
        <f>INDEX(Orçamentária!A:B,MATCH(Composições!A4166,Orçamentária!A:A,0),2)</f>
        <v>Recuperação superficial de preparação para pintura epóxi de alto desempenho</v>
      </c>
      <c r="C4166" s="40"/>
      <c r="D4166" s="25" t="s">
        <v>70</v>
      </c>
      <c r="E4166" s="26"/>
      <c r="F4166" s="48" t="s">
        <v>416</v>
      </c>
      <c r="G4166" s="27" t="str">
        <f>IF(ISNUMBER(F4166),E4166*F4166,"")</f>
        <v/>
      </c>
      <c r="H4166" s="28"/>
      <c r="I4166" s="29"/>
      <c r="J4166" s="152">
        <v>0</v>
      </c>
    </row>
    <row r="4167" spans="1:10" ht="15.75" hidden="1" thickBot="1" x14ac:dyDescent="0.3">
      <c r="A4167" s="171"/>
      <c r="B4167" s="174"/>
      <c r="C4167" s="31"/>
      <c r="D4167" s="31"/>
      <c r="E4167" s="32"/>
      <c r="F4167" s="53" t="s">
        <v>416</v>
      </c>
      <c r="G4167" s="53" t="str">
        <f>IF(ISNUMBER(F4167),E4167*F4167,"")</f>
        <v/>
      </c>
      <c r="H4167" s="72"/>
      <c r="I4167" s="73"/>
      <c r="J4167" s="152">
        <v>0</v>
      </c>
    </row>
    <row r="4168" spans="1:10" ht="15.75" hidden="1" thickBot="1" x14ac:dyDescent="0.3">
      <c r="A4168" s="171"/>
      <c r="B4168" s="174"/>
      <c r="C4168" s="35" t="s">
        <v>591</v>
      </c>
      <c r="D4168" s="35" t="s">
        <v>583</v>
      </c>
      <c r="E4168" s="36">
        <v>0.3</v>
      </c>
      <c r="F4168" s="53">
        <v>27.160499999999999</v>
      </c>
      <c r="G4168" s="53">
        <f>IF(ISNUMBER(F4168),E4168*F4168,"")</f>
        <v>8.1481499999999993</v>
      </c>
      <c r="H4168" s="38">
        <f>SUM(G4168:G4173)</f>
        <v>19.272174999999997</v>
      </c>
      <c r="I4168" s="39"/>
      <c r="J4168" s="152">
        <v>0</v>
      </c>
    </row>
    <row r="4169" spans="1:10" ht="15.75" hidden="1" thickBot="1" x14ac:dyDescent="0.3">
      <c r="A4169" s="171"/>
      <c r="B4169" s="174"/>
      <c r="C4169" s="35" t="s">
        <v>584</v>
      </c>
      <c r="D4169" s="35" t="s">
        <v>583</v>
      </c>
      <c r="E4169" s="36">
        <f>0.3+0.25</f>
        <v>0.55000000000000004</v>
      </c>
      <c r="F4169" s="53">
        <v>20.225499999999997</v>
      </c>
      <c r="G4169" s="53">
        <f>IF(ISNUMBER(F4169),E4169*F4169,"")</f>
        <v>11.124025</v>
      </c>
      <c r="H4169" s="72"/>
      <c r="I4169" s="73"/>
      <c r="J4169" s="152">
        <v>0</v>
      </c>
    </row>
    <row r="4170" spans="1:10" ht="15.75" hidden="1" thickBot="1" x14ac:dyDescent="0.3">
      <c r="A4170" s="171"/>
      <c r="B4170" s="174"/>
      <c r="C4170" s="35" t="s">
        <v>3076</v>
      </c>
      <c r="D4170" s="35" t="s">
        <v>28</v>
      </c>
      <c r="E4170" s="36">
        <v>5</v>
      </c>
      <c r="F4170" s="53" t="s">
        <v>416</v>
      </c>
      <c r="G4170" s="53" t="str">
        <f>IF(ISNUMBER(F4170),E4170*F4170,"")</f>
        <v/>
      </c>
      <c r="H4170" s="72"/>
      <c r="I4170" s="73"/>
      <c r="J4170" s="152">
        <v>0</v>
      </c>
    </row>
    <row r="4171" spans="1:10" ht="15.75" hidden="1" thickBot="1" x14ac:dyDescent="0.3">
      <c r="A4171" s="171"/>
      <c r="B4171" s="174"/>
      <c r="C4171" s="35" t="s">
        <v>3077</v>
      </c>
      <c r="D4171" s="35" t="s">
        <v>28</v>
      </c>
      <c r="E4171" s="36">
        <v>0.5</v>
      </c>
      <c r="F4171" s="53" t="s">
        <v>416</v>
      </c>
      <c r="G4171" s="53" t="str">
        <f>IF(ISNUMBER(F4171),E4171*F4171,"")</f>
        <v/>
      </c>
      <c r="H4171" s="72"/>
      <c r="I4171" s="73"/>
      <c r="J4171" s="152">
        <v>0</v>
      </c>
    </row>
    <row r="4172" spans="1:10" ht="15.75" hidden="1" thickBot="1" x14ac:dyDescent="0.3">
      <c r="A4172" s="171"/>
      <c r="B4172" s="174"/>
      <c r="C4172" s="35" t="s">
        <v>3078</v>
      </c>
      <c r="D4172" s="35" t="s">
        <v>28</v>
      </c>
      <c r="E4172" s="36">
        <v>0.1</v>
      </c>
      <c r="F4172" s="53" t="s">
        <v>416</v>
      </c>
      <c r="G4172" s="53" t="str">
        <f>IF(ISNUMBER(F4172),E4172*F4172,"")</f>
        <v/>
      </c>
      <c r="H4172" s="72"/>
      <c r="I4172" s="73"/>
      <c r="J4172" s="152">
        <v>0</v>
      </c>
    </row>
    <row r="4173" spans="1:10" ht="15.75" hidden="1" thickBot="1" x14ac:dyDescent="0.3">
      <c r="A4173" s="171"/>
      <c r="B4173" s="174"/>
      <c r="C4173" s="35" t="s">
        <v>1086</v>
      </c>
      <c r="D4173" s="35" t="s">
        <v>213</v>
      </c>
      <c r="E4173" s="36">
        <v>0.5</v>
      </c>
      <c r="F4173" s="53">
        <v>0</v>
      </c>
      <c r="G4173" s="53">
        <f>IF(ISNUMBER(F4173),E4173*F4173,"")</f>
        <v>0</v>
      </c>
      <c r="H4173" s="72"/>
      <c r="I4173" s="73"/>
      <c r="J4173" s="152">
        <v>0</v>
      </c>
    </row>
    <row r="4174" spans="1:10" ht="15.75" hidden="1" thickBot="1" x14ac:dyDescent="0.3">
      <c r="A4174" s="171"/>
      <c r="B4174" s="174"/>
      <c r="C4174" s="35"/>
      <c r="D4174" s="35"/>
      <c r="E4174" s="36"/>
      <c r="F4174" s="53" t="s">
        <v>416</v>
      </c>
      <c r="G4174" s="53" t="str">
        <f>IF(ISNUMBER(F4174),E4174*F4174,"")</f>
        <v/>
      </c>
      <c r="H4174" s="72"/>
      <c r="I4174" s="73"/>
      <c r="J4174" s="152">
        <v>0</v>
      </c>
    </row>
    <row r="4175" spans="1:10" ht="15.75" hidden="1" thickBot="1" x14ac:dyDescent="0.3">
      <c r="A4175" s="171"/>
      <c r="B4175" s="174"/>
      <c r="C4175" s="47" t="s">
        <v>1087</v>
      </c>
      <c r="D4175" s="35"/>
      <c r="E4175" s="36"/>
      <c r="F4175" s="53" t="s">
        <v>416</v>
      </c>
      <c r="G4175" s="53" t="str">
        <f>IF(ISNUMBER(F4175),E4175*F4175,"")</f>
        <v/>
      </c>
      <c r="H4175" s="72"/>
      <c r="I4175" s="73"/>
      <c r="J4175" s="152">
        <v>0</v>
      </c>
    </row>
    <row r="4176" spans="1:10" ht="15.75" hidden="1" thickBot="1" x14ac:dyDescent="0.3">
      <c r="A4176" s="172"/>
      <c r="B4176" s="175"/>
      <c r="C4176" s="54"/>
      <c r="D4176" s="54"/>
      <c r="E4176" s="65"/>
      <c r="F4176" s="53" t="s">
        <v>416</v>
      </c>
      <c r="G4176" s="53" t="str">
        <f>IF(ISNUMBER(F4176),E4176*F4176,"")</f>
        <v/>
      </c>
      <c r="H4176" s="76"/>
      <c r="I4176" s="73"/>
      <c r="J4176" s="152">
        <v>0</v>
      </c>
    </row>
    <row r="4177" spans="1:10" ht="15.75" hidden="1" thickBot="1" x14ac:dyDescent="0.3">
      <c r="A4177" s="170" t="s">
        <v>1088</v>
      </c>
      <c r="B4177" s="173" t="str">
        <f>INDEX(Orçamentária!A:B,MATCH(Composições!A4177,Orçamentária!A:A,0),2)</f>
        <v>Lixamento, calafetação e aplicação de sinteco em piso de madeira – Linha Residencial</v>
      </c>
      <c r="C4177" s="40"/>
      <c r="D4177" s="25" t="s">
        <v>70</v>
      </c>
      <c r="E4177" s="26"/>
      <c r="F4177" s="48" t="s">
        <v>416</v>
      </c>
      <c r="G4177" s="27" t="str">
        <f>IF(ISNUMBER(F4177),E4177*F4177,"")</f>
        <v/>
      </c>
      <c r="H4177" s="28"/>
      <c r="I4177" s="29"/>
      <c r="J4177" s="152">
        <v>0</v>
      </c>
    </row>
    <row r="4178" spans="1:10" ht="15.75" hidden="1" thickBot="1" x14ac:dyDescent="0.3">
      <c r="A4178" s="171"/>
      <c r="B4178" s="174"/>
      <c r="C4178" s="31"/>
      <c r="D4178" s="31"/>
      <c r="E4178" s="32"/>
      <c r="F4178" s="53" t="s">
        <v>416</v>
      </c>
      <c r="G4178" s="53" t="str">
        <f>IF(ISNUMBER(F4178),E4178*F4178,"")</f>
        <v/>
      </c>
      <c r="H4178" s="72"/>
      <c r="I4178" s="73"/>
      <c r="J4178" s="152">
        <v>0</v>
      </c>
    </row>
    <row r="4179" spans="1:10" ht="26.25" hidden="1" thickBot="1" x14ac:dyDescent="0.3">
      <c r="A4179" s="171"/>
      <c r="B4179" s="174"/>
      <c r="C4179" s="35" t="s">
        <v>1089</v>
      </c>
      <c r="D4179" s="35" t="s">
        <v>70</v>
      </c>
      <c r="E4179" s="36">
        <v>1</v>
      </c>
      <c r="F4179" s="53">
        <v>0</v>
      </c>
      <c r="G4179" s="53">
        <f>IF(ISNUMBER(F4179),E4179*F4179,"")</f>
        <v>0</v>
      </c>
      <c r="H4179" s="38">
        <f>SUM(G4179:G4179)</f>
        <v>0</v>
      </c>
      <c r="I4179" s="39"/>
      <c r="J4179" s="152">
        <v>0</v>
      </c>
    </row>
    <row r="4180" spans="1:10" ht="15.75" hidden="1" thickBot="1" x14ac:dyDescent="0.3">
      <c r="A4180" s="172"/>
      <c r="B4180" s="175"/>
      <c r="C4180" s="54"/>
      <c r="D4180" s="54"/>
      <c r="E4180" s="65"/>
      <c r="F4180" s="75" t="s">
        <v>416</v>
      </c>
      <c r="G4180" s="75" t="str">
        <f>IF(ISNUMBER(F4180),E4180*F4180,"")</f>
        <v/>
      </c>
      <c r="H4180" s="76"/>
      <c r="I4180" s="73"/>
      <c r="J4180" s="152">
        <v>0</v>
      </c>
    </row>
    <row r="4181" spans="1:10" ht="15.75" hidden="1" thickBot="1" x14ac:dyDescent="0.3">
      <c r="A4181" s="170" t="s">
        <v>1090</v>
      </c>
      <c r="B4181" s="173" t="str">
        <f>INDEX(Orçamentária!A:B,MATCH(Composições!A4181,Orçamentária!A:A,0),2)</f>
        <v>Piso em taco de madeira – Linha Residencial</v>
      </c>
      <c r="C4181" s="40"/>
      <c r="D4181" s="25" t="s">
        <v>70</v>
      </c>
      <c r="E4181" s="26"/>
      <c r="F4181" s="48" t="s">
        <v>416</v>
      </c>
      <c r="G4181" s="27" t="str">
        <f>IF(ISNUMBER(F4181),E4181*F4181,"")</f>
        <v/>
      </c>
      <c r="H4181" s="28"/>
      <c r="I4181" s="29"/>
      <c r="J4181" s="152">
        <v>0</v>
      </c>
    </row>
    <row r="4182" spans="1:10" ht="15.75" hidden="1" thickBot="1" x14ac:dyDescent="0.3">
      <c r="A4182" s="171"/>
      <c r="B4182" s="174"/>
      <c r="C4182" s="31"/>
      <c r="D4182" s="31"/>
      <c r="E4182" s="32"/>
      <c r="F4182" s="53" t="s">
        <v>416</v>
      </c>
      <c r="G4182" s="53" t="str">
        <f>IF(ISNUMBER(F4182),E4182*F4182,"")</f>
        <v/>
      </c>
      <c r="H4182" s="72"/>
      <c r="I4182" s="73"/>
      <c r="J4182" s="152">
        <v>0</v>
      </c>
    </row>
    <row r="4183" spans="1:10" ht="26.25" hidden="1" thickBot="1" x14ac:dyDescent="0.3">
      <c r="A4183" s="171"/>
      <c r="B4183" s="174"/>
      <c r="C4183" s="35" t="s">
        <v>1091</v>
      </c>
      <c r="D4183" s="35" t="s">
        <v>861</v>
      </c>
      <c r="E4183" s="36">
        <v>1.05</v>
      </c>
      <c r="F4183" s="53">
        <v>176.44349999999997</v>
      </c>
      <c r="G4183" s="53">
        <f>IF(ISNUMBER(F4183),E4183*F4183,"")</f>
        <v>185.26567499999999</v>
      </c>
      <c r="H4183" s="38">
        <f>SUM(G4183:G4186)</f>
        <v>230.12192949999999</v>
      </c>
      <c r="I4183" s="39"/>
      <c r="J4183" s="152">
        <v>0</v>
      </c>
    </row>
    <row r="4184" spans="1:10" ht="15.75" hidden="1" thickBot="1" x14ac:dyDescent="0.3">
      <c r="A4184" s="171"/>
      <c r="B4184" s="174"/>
      <c r="C4184" s="35" t="s">
        <v>1092</v>
      </c>
      <c r="D4184" s="35" t="s">
        <v>773</v>
      </c>
      <c r="E4184" s="36">
        <v>0.57499999999999996</v>
      </c>
      <c r="F4184" s="53">
        <v>42.730999999999995</v>
      </c>
      <c r="G4184" s="53">
        <f>IF(ISNUMBER(F4184),E4184*F4184,"")</f>
        <v>24.570324999999993</v>
      </c>
      <c r="H4184" s="72"/>
      <c r="I4184" s="73"/>
      <c r="J4184" s="152">
        <v>0</v>
      </c>
    </row>
    <row r="4185" spans="1:10" ht="15.75" hidden="1" thickBot="1" x14ac:dyDescent="0.3">
      <c r="A4185" s="171"/>
      <c r="B4185" s="174"/>
      <c r="C4185" s="35" t="s">
        <v>584</v>
      </c>
      <c r="D4185" s="35" t="s">
        <v>583</v>
      </c>
      <c r="E4185" s="36">
        <v>0.2399</v>
      </c>
      <c r="F4185" s="53">
        <v>20.225499999999997</v>
      </c>
      <c r="G4185" s="53">
        <f>IF(ISNUMBER(F4185),E4185*F4185,"")</f>
        <v>4.8520974499999996</v>
      </c>
      <c r="H4185" s="72"/>
      <c r="I4185" s="73"/>
      <c r="J4185" s="152">
        <v>0</v>
      </c>
    </row>
    <row r="4186" spans="1:10" ht="15.75" hidden="1" thickBot="1" x14ac:dyDescent="0.3">
      <c r="A4186" s="171"/>
      <c r="B4186" s="174"/>
      <c r="C4186" s="35" t="s">
        <v>1071</v>
      </c>
      <c r="D4186" s="35" t="s">
        <v>583</v>
      </c>
      <c r="E4186" s="36">
        <v>0.57589999999999997</v>
      </c>
      <c r="F4186" s="53">
        <v>26.799499999999998</v>
      </c>
      <c r="G4186" s="53">
        <f>IF(ISNUMBER(F4186),E4186*F4186,"")</f>
        <v>15.433832049999998</v>
      </c>
      <c r="H4186" s="72"/>
      <c r="I4186" s="73"/>
      <c r="J4186" s="152">
        <v>0</v>
      </c>
    </row>
    <row r="4187" spans="1:10" ht="15.75" hidden="1" thickBot="1" x14ac:dyDescent="0.3">
      <c r="A4187" s="171"/>
      <c r="B4187" s="174"/>
      <c r="C4187" s="54"/>
      <c r="D4187" s="54"/>
      <c r="E4187" s="65"/>
      <c r="F4187" s="75" t="s">
        <v>416</v>
      </c>
      <c r="G4187" s="75" t="str">
        <f>IF(ISNUMBER(F4187),E4187*F4187,"")</f>
        <v/>
      </c>
      <c r="H4187" s="76"/>
      <c r="I4187" s="73"/>
      <c r="J4187" s="152">
        <v>0</v>
      </c>
    </row>
    <row r="4188" spans="1:10" ht="15.75" hidden="1" thickBot="1" x14ac:dyDescent="0.3">
      <c r="A4188" s="170" t="s">
        <v>1093</v>
      </c>
      <c r="B4188" s="173" t="str">
        <f>INDEX(Orçamentária!A:B,MATCH(Composições!A4188,Orçamentária!A:A,0),2)</f>
        <v>Piso de borracha antiderrapante tipo moeda</v>
      </c>
      <c r="C4188" s="40"/>
      <c r="D4188" s="25" t="s">
        <v>70</v>
      </c>
      <c r="E4188" s="26"/>
      <c r="F4188" s="48" t="s">
        <v>416</v>
      </c>
      <c r="G4188" s="27" t="str">
        <f>IF(ISNUMBER(F4188),E4188*F4188,"")</f>
        <v/>
      </c>
      <c r="H4188" s="28"/>
      <c r="I4188" s="29"/>
      <c r="J4188" s="152">
        <v>0</v>
      </c>
    </row>
    <row r="4189" spans="1:10" ht="15.75" hidden="1" thickBot="1" x14ac:dyDescent="0.3">
      <c r="A4189" s="171"/>
      <c r="B4189" s="174"/>
      <c r="C4189" s="31"/>
      <c r="D4189" s="31"/>
      <c r="E4189" s="32"/>
      <c r="F4189" s="53" t="s">
        <v>416</v>
      </c>
      <c r="G4189" s="53" t="str">
        <f>IF(ISNUMBER(F4189),E4189*F4189,"")</f>
        <v/>
      </c>
      <c r="H4189" s="72"/>
      <c r="I4189" s="73"/>
      <c r="J4189" s="152">
        <v>0</v>
      </c>
    </row>
    <row r="4190" spans="1:10" ht="15.75" hidden="1" thickBot="1" x14ac:dyDescent="0.3">
      <c r="A4190" s="171"/>
      <c r="B4190" s="174"/>
      <c r="C4190" s="35" t="s">
        <v>7974</v>
      </c>
      <c r="D4190" s="35" t="s">
        <v>773</v>
      </c>
      <c r="E4190" s="36">
        <v>0.56369999999999998</v>
      </c>
      <c r="F4190" s="53">
        <v>47.271999999999998</v>
      </c>
      <c r="G4190" s="53">
        <f>IF(ISNUMBER(F4190),E4190*F4190,"")</f>
        <v>26.647226399999997</v>
      </c>
      <c r="H4190" s="38">
        <f>SUM(G4190:G4193)</f>
        <v>89.444372450000003</v>
      </c>
      <c r="I4190" s="39"/>
      <c r="J4190" s="152">
        <v>0</v>
      </c>
    </row>
    <row r="4191" spans="1:10" ht="26.25" hidden="1" thickBot="1" x14ac:dyDescent="0.3">
      <c r="A4191" s="171"/>
      <c r="B4191" s="174"/>
      <c r="C4191" s="35" t="s">
        <v>2935</v>
      </c>
      <c r="D4191" s="35" t="s">
        <v>861</v>
      </c>
      <c r="E4191" s="36">
        <v>1.06</v>
      </c>
      <c r="F4191" s="53">
        <v>43.006500000000003</v>
      </c>
      <c r="G4191" s="53">
        <f>IF(ISNUMBER(F4191),E4191*F4191,"")</f>
        <v>45.586890000000004</v>
      </c>
      <c r="H4191" s="72"/>
      <c r="I4191" s="73"/>
      <c r="J4191" s="152">
        <v>0</v>
      </c>
    </row>
    <row r="4192" spans="1:10" ht="15.75" hidden="1" thickBot="1" x14ac:dyDescent="0.3">
      <c r="A4192" s="171"/>
      <c r="B4192" s="174"/>
      <c r="C4192" s="35" t="s">
        <v>591</v>
      </c>
      <c r="D4192" s="35" t="s">
        <v>583</v>
      </c>
      <c r="E4192" s="36">
        <v>0.48359999999999997</v>
      </c>
      <c r="F4192" s="53">
        <v>27.160499999999999</v>
      </c>
      <c r="G4192" s="53">
        <f>IF(ISNUMBER(F4192),E4192*F4192,"")</f>
        <v>13.134817799999999</v>
      </c>
      <c r="H4192" s="72"/>
      <c r="I4192" s="73"/>
      <c r="J4192" s="152">
        <v>0</v>
      </c>
    </row>
    <row r="4193" spans="1:10" ht="15.75" hidden="1" thickBot="1" x14ac:dyDescent="0.3">
      <c r="A4193" s="171"/>
      <c r="B4193" s="174"/>
      <c r="C4193" s="35" t="s">
        <v>584</v>
      </c>
      <c r="D4193" s="35" t="s">
        <v>583</v>
      </c>
      <c r="E4193" s="36">
        <v>0.20150000000000001</v>
      </c>
      <c r="F4193" s="53">
        <v>20.225499999999997</v>
      </c>
      <c r="G4193" s="53">
        <f>IF(ISNUMBER(F4193),E4193*F4193,"")</f>
        <v>4.0754382499999995</v>
      </c>
      <c r="H4193" s="72"/>
      <c r="I4193" s="73"/>
      <c r="J4193" s="152">
        <v>0</v>
      </c>
    </row>
    <row r="4194" spans="1:10" ht="15.75" hidden="1" thickBot="1" x14ac:dyDescent="0.3">
      <c r="A4194" s="171"/>
      <c r="B4194" s="174"/>
      <c r="C4194" s="54"/>
      <c r="D4194" s="54"/>
      <c r="E4194" s="65"/>
      <c r="F4194" s="75" t="s">
        <v>416</v>
      </c>
      <c r="G4194" s="75" t="str">
        <f>IF(ISNUMBER(F4194),E4194*F4194,"")</f>
        <v/>
      </c>
      <c r="H4194" s="76"/>
      <c r="I4194" s="73"/>
      <c r="J4194" s="152">
        <v>0</v>
      </c>
    </row>
    <row r="4195" spans="1:10" ht="15.75" hidden="1" thickBot="1" x14ac:dyDescent="0.3">
      <c r="A4195" s="170" t="s">
        <v>1094</v>
      </c>
      <c r="B4195" s="173" t="str">
        <f>INDEX(Orçamentária!A:B,MATCH(Composições!A4195,Orçamentária!A:A,0),2)</f>
        <v>Piso sintético flutuante – Linha Residencial</v>
      </c>
      <c r="C4195" s="40"/>
      <c r="D4195" s="25" t="s">
        <v>70</v>
      </c>
      <c r="E4195" s="26"/>
      <c r="F4195" s="48" t="s">
        <v>416</v>
      </c>
      <c r="G4195" s="27" t="str">
        <f>IF(ISNUMBER(F4195),E4195*F4195,"")</f>
        <v/>
      </c>
      <c r="H4195" s="28"/>
      <c r="I4195" s="29"/>
      <c r="J4195" s="152">
        <v>0</v>
      </c>
    </row>
    <row r="4196" spans="1:10" ht="15.75" hidden="1" thickBot="1" x14ac:dyDescent="0.3">
      <c r="A4196" s="171"/>
      <c r="B4196" s="174"/>
      <c r="C4196" s="31"/>
      <c r="D4196" s="31"/>
      <c r="E4196" s="32"/>
      <c r="F4196" s="53" t="s">
        <v>416</v>
      </c>
      <c r="G4196" s="53" t="str">
        <f>IF(ISNUMBER(F4196),E4196*F4196,"")</f>
        <v/>
      </c>
      <c r="H4196" s="72"/>
      <c r="I4196" s="73"/>
      <c r="J4196" s="152">
        <v>0</v>
      </c>
    </row>
    <row r="4197" spans="1:10" ht="39" hidden="1" thickBot="1" x14ac:dyDescent="0.3">
      <c r="A4197" s="171"/>
      <c r="B4197" s="174"/>
      <c r="C4197" s="35" t="s">
        <v>1095</v>
      </c>
      <c r="D4197" s="46" t="s">
        <v>861</v>
      </c>
      <c r="E4197" s="36">
        <v>1.05</v>
      </c>
      <c r="F4197" s="53" t="s">
        <v>416</v>
      </c>
      <c r="G4197" s="53" t="str">
        <f>IF(ISNUMBER(F4197),E4197*F4197,"")</f>
        <v/>
      </c>
      <c r="H4197" s="38">
        <f>SUM(G4197:G4199)</f>
        <v>15.655779884999998</v>
      </c>
      <c r="I4197" s="39"/>
      <c r="J4197" s="152">
        <v>0</v>
      </c>
    </row>
    <row r="4198" spans="1:10" ht="15.75" hidden="1" thickBot="1" x14ac:dyDescent="0.3">
      <c r="A4198" s="171"/>
      <c r="B4198" s="174"/>
      <c r="C4198" s="35" t="s">
        <v>584</v>
      </c>
      <c r="D4198" s="35" t="s">
        <v>583</v>
      </c>
      <c r="E4198" s="36">
        <v>0.2399</v>
      </c>
      <c r="F4198" s="53">
        <v>20.225499999999997</v>
      </c>
      <c r="G4198" s="53">
        <f>IF(ISNUMBER(F4198),E4198*F4198,"")</f>
        <v>4.8520974499999996</v>
      </c>
      <c r="H4198" s="72"/>
      <c r="I4198" s="73"/>
      <c r="J4198" s="152">
        <v>0</v>
      </c>
    </row>
    <row r="4199" spans="1:10" ht="15.75" hidden="1" thickBot="1" x14ac:dyDescent="0.3">
      <c r="A4199" s="171"/>
      <c r="B4199" s="174"/>
      <c r="C4199" s="35" t="s">
        <v>1071</v>
      </c>
      <c r="D4199" s="35" t="s">
        <v>583</v>
      </c>
      <c r="E4199" s="36">
        <f>0.5759*0.7</f>
        <v>0.40312999999999993</v>
      </c>
      <c r="F4199" s="53">
        <v>26.799499999999998</v>
      </c>
      <c r="G4199" s="53">
        <f>IF(ISNUMBER(F4199),E4199*F4199,"")</f>
        <v>10.803682434999997</v>
      </c>
      <c r="H4199" s="72"/>
      <c r="I4199" s="73"/>
      <c r="J4199" s="152">
        <v>0</v>
      </c>
    </row>
    <row r="4200" spans="1:10" ht="15.75" hidden="1" thickBot="1" x14ac:dyDescent="0.3">
      <c r="A4200" s="171"/>
      <c r="B4200" s="174"/>
      <c r="C4200" s="54"/>
      <c r="D4200" s="54"/>
      <c r="E4200" s="65"/>
      <c r="F4200" s="75" t="s">
        <v>416</v>
      </c>
      <c r="G4200" s="75" t="str">
        <f>IF(ISNUMBER(F4200),E4200*F4200,"")</f>
        <v/>
      </c>
      <c r="H4200" s="76"/>
      <c r="I4200" s="73"/>
      <c r="J4200" s="152">
        <v>0</v>
      </c>
    </row>
    <row r="4201" spans="1:10" ht="15.75" hidden="1" thickBot="1" x14ac:dyDescent="0.3">
      <c r="A4201" s="170" t="s">
        <v>1096</v>
      </c>
      <c r="B4201" s="173" t="str">
        <f>INDEX(Orçamentária!A:B,MATCH(Composições!A4201,Orçamentária!A:A,0),2)</f>
        <v>Revestimento acústico perfilado – Linha Administrativa</v>
      </c>
      <c r="C4201" s="40"/>
      <c r="D4201" s="25" t="s">
        <v>70</v>
      </c>
      <c r="E4201" s="26"/>
      <c r="F4201" s="48" t="s">
        <v>416</v>
      </c>
      <c r="G4201" s="27" t="str">
        <f>IF(ISNUMBER(F4201),E4201*F4201,"")</f>
        <v/>
      </c>
      <c r="H4201" s="28"/>
      <c r="I4201" s="29"/>
      <c r="J4201" s="152">
        <v>0</v>
      </c>
    </row>
    <row r="4202" spans="1:10" ht="15.75" hidden="1" thickBot="1" x14ac:dyDescent="0.3">
      <c r="A4202" s="171"/>
      <c r="B4202" s="174"/>
      <c r="C4202" s="31"/>
      <c r="D4202" s="31"/>
      <c r="E4202" s="32"/>
      <c r="F4202" s="53" t="s">
        <v>416</v>
      </c>
      <c r="G4202" s="53" t="str">
        <f>IF(ISNUMBER(F4202),E4202*F4202,"")</f>
        <v/>
      </c>
      <c r="H4202" s="72"/>
      <c r="I4202" s="73"/>
      <c r="J4202" s="152">
        <v>0</v>
      </c>
    </row>
    <row r="4203" spans="1:10" ht="26.25" hidden="1" thickBot="1" x14ac:dyDescent="0.3">
      <c r="A4203" s="171"/>
      <c r="B4203" s="174"/>
      <c r="C4203" s="35" t="s">
        <v>1097</v>
      </c>
      <c r="D4203" s="35" t="s">
        <v>70</v>
      </c>
      <c r="E4203" s="36">
        <v>1.05</v>
      </c>
      <c r="F4203" s="53" t="s">
        <v>416</v>
      </c>
      <c r="G4203" s="53" t="str">
        <f>IF(ISNUMBER(F4203),E4203*F4203,"")</f>
        <v/>
      </c>
      <c r="H4203" s="38">
        <f>SUM(G4203:G4205)</f>
        <v>12.056165</v>
      </c>
      <c r="I4203" s="39"/>
      <c r="J4203" s="152">
        <v>0</v>
      </c>
    </row>
    <row r="4204" spans="1:10" ht="15.75" hidden="1" thickBot="1" x14ac:dyDescent="0.3">
      <c r="A4204" s="171"/>
      <c r="B4204" s="174"/>
      <c r="C4204" s="35" t="s">
        <v>1071</v>
      </c>
      <c r="D4204" s="35" t="s">
        <v>583</v>
      </c>
      <c r="E4204" s="36">
        <v>0.15</v>
      </c>
      <c r="F4204" s="53">
        <v>26.799499999999998</v>
      </c>
      <c r="G4204" s="53">
        <f>IF(ISNUMBER(F4204),E4204*F4204,"")</f>
        <v>4.0199249999999997</v>
      </c>
      <c r="H4204" s="72"/>
      <c r="I4204" s="73"/>
      <c r="J4204" s="152">
        <v>0</v>
      </c>
    </row>
    <row r="4205" spans="1:10" ht="15.75" hidden="1" thickBot="1" x14ac:dyDescent="0.3">
      <c r="A4205" s="171"/>
      <c r="B4205" s="174"/>
      <c r="C4205" s="35" t="s">
        <v>7974</v>
      </c>
      <c r="D4205" s="35" t="s">
        <v>773</v>
      </c>
      <c r="E4205" s="36">
        <v>0.17</v>
      </c>
      <c r="F4205" s="53">
        <v>47.271999999999998</v>
      </c>
      <c r="G4205" s="53">
        <f>IF(ISNUMBER(F4205),E4205*F4205,"")</f>
        <v>8.0362400000000012</v>
      </c>
      <c r="H4205" s="72"/>
      <c r="I4205" s="73"/>
      <c r="J4205" s="152">
        <v>0</v>
      </c>
    </row>
    <row r="4206" spans="1:10" ht="15.75" hidden="1" thickBot="1" x14ac:dyDescent="0.3">
      <c r="A4206" s="171"/>
      <c r="B4206" s="174"/>
      <c r="C4206" s="54"/>
      <c r="D4206" s="54"/>
      <c r="E4206" s="65"/>
      <c r="F4206" s="75" t="s">
        <v>416</v>
      </c>
      <c r="G4206" s="75" t="str">
        <f>IF(ISNUMBER(F4206),E4206*F4206,"")</f>
        <v/>
      </c>
      <c r="H4206" s="76"/>
      <c r="I4206" s="73"/>
      <c r="J4206" s="152">
        <v>0</v>
      </c>
    </row>
    <row r="4207" spans="1:10" ht="15.75" hidden="1" thickBot="1" x14ac:dyDescent="0.3">
      <c r="A4207" s="170" t="s">
        <v>1098</v>
      </c>
      <c r="B4207" s="173" t="str">
        <f>INDEX(Orçamentária!A:B,MATCH(Composições!A4207,Orçamentária!A:A,0),2)</f>
        <v>Revestimento acústico plano – Linha Administrativa</v>
      </c>
      <c r="C4207" s="40"/>
      <c r="D4207" s="25" t="s">
        <v>70</v>
      </c>
      <c r="E4207" s="26"/>
      <c r="F4207" s="48" t="s">
        <v>416</v>
      </c>
      <c r="G4207" s="27" t="str">
        <f>IF(ISNUMBER(F4207),E4207*F4207,"")</f>
        <v/>
      </c>
      <c r="H4207" s="28"/>
      <c r="I4207" s="29"/>
      <c r="J4207" s="152">
        <v>0</v>
      </c>
    </row>
    <row r="4208" spans="1:10" ht="15.75" hidden="1" thickBot="1" x14ac:dyDescent="0.3">
      <c r="A4208" s="171"/>
      <c r="B4208" s="174"/>
      <c r="C4208" s="31"/>
      <c r="D4208" s="31"/>
      <c r="E4208" s="32"/>
      <c r="F4208" s="53" t="s">
        <v>416</v>
      </c>
      <c r="G4208" s="53" t="str">
        <f>IF(ISNUMBER(F4208),E4208*F4208,"")</f>
        <v/>
      </c>
      <c r="H4208" s="72"/>
      <c r="I4208" s="73"/>
      <c r="J4208" s="152">
        <v>0</v>
      </c>
    </row>
    <row r="4209" spans="1:10" ht="26.25" hidden="1" thickBot="1" x14ac:dyDescent="0.3">
      <c r="A4209" s="171"/>
      <c r="B4209" s="174"/>
      <c r="C4209" s="35" t="s">
        <v>1099</v>
      </c>
      <c r="D4209" s="35" t="s">
        <v>70</v>
      </c>
      <c r="E4209" s="36">
        <v>1.05</v>
      </c>
      <c r="F4209" s="53" t="s">
        <v>416</v>
      </c>
      <c r="G4209" s="53" t="str">
        <f>IF(ISNUMBER(F4209),E4209*F4209,"")</f>
        <v/>
      </c>
      <c r="H4209" s="38">
        <f>SUM(G4209:G4211)</f>
        <v>12.056165</v>
      </c>
      <c r="I4209" s="39"/>
      <c r="J4209" s="152">
        <v>0</v>
      </c>
    </row>
    <row r="4210" spans="1:10" ht="15.75" hidden="1" thickBot="1" x14ac:dyDescent="0.3">
      <c r="A4210" s="171"/>
      <c r="B4210" s="174"/>
      <c r="C4210" s="35" t="s">
        <v>1071</v>
      </c>
      <c r="D4210" s="35" t="s">
        <v>583</v>
      </c>
      <c r="E4210" s="36">
        <v>0.15</v>
      </c>
      <c r="F4210" s="53">
        <v>26.799499999999998</v>
      </c>
      <c r="G4210" s="53">
        <f>IF(ISNUMBER(F4210),E4210*F4210,"")</f>
        <v>4.0199249999999997</v>
      </c>
      <c r="H4210" s="72"/>
      <c r="I4210" s="73"/>
      <c r="J4210" s="152">
        <v>0</v>
      </c>
    </row>
    <row r="4211" spans="1:10" ht="15.75" hidden="1" thickBot="1" x14ac:dyDescent="0.3">
      <c r="A4211" s="171"/>
      <c r="B4211" s="174"/>
      <c r="C4211" s="35" t="s">
        <v>7974</v>
      </c>
      <c r="D4211" s="35" t="s">
        <v>773</v>
      </c>
      <c r="E4211" s="36">
        <v>0.17</v>
      </c>
      <c r="F4211" s="53">
        <v>47.271999999999998</v>
      </c>
      <c r="G4211" s="53">
        <f>IF(ISNUMBER(F4211),E4211*F4211,"")</f>
        <v>8.0362400000000012</v>
      </c>
      <c r="H4211" s="72"/>
      <c r="I4211" s="73"/>
      <c r="J4211" s="152">
        <v>0</v>
      </c>
    </row>
    <row r="4212" spans="1:10" ht="15.75" hidden="1" thickBot="1" x14ac:dyDescent="0.3">
      <c r="A4212" s="171"/>
      <c r="B4212" s="174"/>
      <c r="C4212" s="54"/>
      <c r="D4212" s="54"/>
      <c r="E4212" s="65"/>
      <c r="F4212" s="75" t="s">
        <v>416</v>
      </c>
      <c r="G4212" s="75" t="str">
        <f>IF(ISNUMBER(F4212),E4212*F4212,"")</f>
        <v/>
      </c>
      <c r="H4212" s="76"/>
      <c r="I4212" s="73"/>
      <c r="J4212" s="152">
        <v>0</v>
      </c>
    </row>
    <row r="4213" spans="1:10" ht="15.75" hidden="1" thickBot="1" x14ac:dyDescent="0.3">
      <c r="A4213" s="170" t="s">
        <v>1100</v>
      </c>
      <c r="B4213" s="173" t="str">
        <f>INDEX(Orçamentária!A:B,MATCH(Composições!A4213,Orçamentária!A:A,0),2)</f>
        <v>Forro monolítico de gesso em placas</v>
      </c>
      <c r="C4213" s="40"/>
      <c r="D4213" s="25" t="s">
        <v>70</v>
      </c>
      <c r="E4213" s="26"/>
      <c r="F4213" s="48" t="s">
        <v>416</v>
      </c>
      <c r="G4213" s="27" t="str">
        <f>IF(ISNUMBER(F4213),E4213*F4213,"")</f>
        <v/>
      </c>
      <c r="H4213" s="28"/>
      <c r="I4213" s="29"/>
      <c r="J4213" s="152">
        <v>0</v>
      </c>
    </row>
    <row r="4214" spans="1:10" ht="15.75" hidden="1" thickBot="1" x14ac:dyDescent="0.3">
      <c r="A4214" s="171"/>
      <c r="B4214" s="174"/>
      <c r="C4214" s="31"/>
      <c r="D4214" s="31"/>
      <c r="E4214" s="32"/>
      <c r="F4214" s="53" t="s">
        <v>416</v>
      </c>
      <c r="G4214" s="53" t="str">
        <f>IF(ISNUMBER(F4214),E4214*F4214,"")</f>
        <v/>
      </c>
      <c r="H4214" s="72"/>
      <c r="I4214" s="73"/>
      <c r="J4214" s="152">
        <v>0</v>
      </c>
    </row>
    <row r="4215" spans="1:10" ht="15.75" hidden="1" thickBot="1" x14ac:dyDescent="0.3">
      <c r="A4215" s="171"/>
      <c r="B4215" s="174"/>
      <c r="C4215" s="35" t="s">
        <v>1101</v>
      </c>
      <c r="D4215" s="35" t="s">
        <v>773</v>
      </c>
      <c r="E4215" s="36">
        <v>2.5000000000000001E-2</v>
      </c>
      <c r="F4215" s="53">
        <v>30.010499999999997</v>
      </c>
      <c r="G4215" s="53">
        <f>IF(ISNUMBER(F4215),E4215*F4215,"")</f>
        <v>0.75026249999999994</v>
      </c>
      <c r="H4215" s="38">
        <f>SUM(G4215:G4221)</f>
        <v>42.045458149999988</v>
      </c>
      <c r="I4215" s="39"/>
      <c r="J4215" s="152">
        <v>0</v>
      </c>
    </row>
    <row r="4216" spans="1:10" ht="26.25" hidden="1" thickBot="1" x14ac:dyDescent="0.3">
      <c r="A4216" s="171"/>
      <c r="B4216" s="174"/>
      <c r="C4216" s="35" t="s">
        <v>3227</v>
      </c>
      <c r="D4216" s="35" t="s">
        <v>773</v>
      </c>
      <c r="E4216" s="36">
        <v>0.99639999999999995</v>
      </c>
      <c r="F4216" s="53">
        <v>0.69350000000000001</v>
      </c>
      <c r="G4216" s="53">
        <f>IF(ISNUMBER(F4216),E4216*F4216,"")</f>
        <v>0.69100339999999993</v>
      </c>
      <c r="H4216" s="72"/>
      <c r="I4216" s="73"/>
      <c r="J4216" s="152">
        <v>0</v>
      </c>
    </row>
    <row r="4217" spans="1:10" ht="26.25" hidden="1" thickBot="1" x14ac:dyDescent="0.3">
      <c r="A4217" s="171"/>
      <c r="B4217" s="174"/>
      <c r="C4217" s="35" t="s">
        <v>3232</v>
      </c>
      <c r="D4217" s="35" t="s">
        <v>861</v>
      </c>
      <c r="E4217" s="36">
        <v>1.0293000000000001</v>
      </c>
      <c r="F4217" s="53">
        <v>9.7469999999999999</v>
      </c>
      <c r="G4217" s="53">
        <f>IF(ISNUMBER(F4217),E4217*F4217,"")</f>
        <v>10.032587100000001</v>
      </c>
      <c r="H4217" s="72"/>
      <c r="I4217" s="73"/>
      <c r="J4217" s="152">
        <v>0</v>
      </c>
    </row>
    <row r="4218" spans="1:10" ht="15.75" hidden="1" thickBot="1" x14ac:dyDescent="0.3">
      <c r="A4218" s="171"/>
      <c r="B4218" s="174"/>
      <c r="C4218" s="35" t="s">
        <v>8374</v>
      </c>
      <c r="D4218" s="35" t="s">
        <v>773</v>
      </c>
      <c r="E4218" s="36">
        <v>7.7999999999999996E-3</v>
      </c>
      <c r="F4218" s="53">
        <v>19</v>
      </c>
      <c r="G4218" s="53">
        <f>IF(ISNUMBER(F4218),E4218*F4218,"")</f>
        <v>0.1482</v>
      </c>
      <c r="H4218" s="72"/>
      <c r="I4218" s="73"/>
      <c r="J4218" s="152">
        <v>0</v>
      </c>
    </row>
    <row r="4219" spans="1:10" ht="26.25" hidden="1" thickBot="1" x14ac:dyDescent="0.3">
      <c r="A4219" s="171"/>
      <c r="B4219" s="174"/>
      <c r="C4219" s="35" t="s">
        <v>200</v>
      </c>
      <c r="D4219" s="35" t="s">
        <v>1102</v>
      </c>
      <c r="E4219" s="36">
        <v>3.0800000000000001E-2</v>
      </c>
      <c r="F4219" s="53">
        <v>27.701999999999998</v>
      </c>
      <c r="G4219" s="53">
        <f>IF(ISNUMBER(F4219),E4219*F4219,"")</f>
        <v>0.85322160000000002</v>
      </c>
      <c r="H4219" s="72"/>
      <c r="I4219" s="73"/>
      <c r="J4219" s="152">
        <v>0</v>
      </c>
    </row>
    <row r="4220" spans="1:10" ht="15.75" hidden="1" thickBot="1" x14ac:dyDescent="0.3">
      <c r="A4220" s="171"/>
      <c r="B4220" s="174"/>
      <c r="C4220" s="35" t="s">
        <v>1103</v>
      </c>
      <c r="D4220" s="35" t="s">
        <v>583</v>
      </c>
      <c r="E4220" s="36">
        <v>0.7974</v>
      </c>
      <c r="F4220" s="53">
        <v>26.970499999999998</v>
      </c>
      <c r="G4220" s="53">
        <f>IF(ISNUMBER(F4220),E4220*F4220,"")</f>
        <v>21.506276699999997</v>
      </c>
      <c r="H4220" s="72"/>
      <c r="I4220" s="73"/>
      <c r="J4220" s="152">
        <v>0</v>
      </c>
    </row>
    <row r="4221" spans="1:10" ht="15.75" hidden="1" thickBot="1" x14ac:dyDescent="0.3">
      <c r="A4221" s="171"/>
      <c r="B4221" s="174"/>
      <c r="C4221" s="35" t="s">
        <v>584</v>
      </c>
      <c r="D4221" s="35" t="s">
        <v>583</v>
      </c>
      <c r="E4221" s="36">
        <v>0.3987</v>
      </c>
      <c r="F4221" s="53">
        <v>20.225499999999997</v>
      </c>
      <c r="G4221" s="53">
        <f>IF(ISNUMBER(F4221),E4221*F4221,"")</f>
        <v>8.0639068499999986</v>
      </c>
      <c r="H4221" s="72"/>
      <c r="I4221" s="73"/>
      <c r="J4221" s="152">
        <v>0</v>
      </c>
    </row>
    <row r="4222" spans="1:10" ht="15.75" hidden="1" thickBot="1" x14ac:dyDescent="0.3">
      <c r="A4222" s="171"/>
      <c r="B4222" s="174"/>
      <c r="C4222" s="54"/>
      <c r="D4222" s="54"/>
      <c r="E4222" s="65"/>
      <c r="F4222" s="75" t="s">
        <v>416</v>
      </c>
      <c r="G4222" s="75" t="str">
        <f>IF(ISNUMBER(F4222),E4222*F4222,"")</f>
        <v/>
      </c>
      <c r="H4222" s="76"/>
      <c r="I4222" s="73"/>
      <c r="J4222" s="152">
        <v>0</v>
      </c>
    </row>
    <row r="4223" spans="1:10" ht="15.75" hidden="1" thickBot="1" x14ac:dyDescent="0.3">
      <c r="A4223" s="170" t="s">
        <v>1104</v>
      </c>
      <c r="B4223" s="173" t="str">
        <f>INDEX(Orçamentária!A:B,MATCH(Composições!A4223,Orçamentária!A:A,0),2)</f>
        <v>Textura acrílica – Linha Administrativa</v>
      </c>
      <c r="C4223" s="40"/>
      <c r="D4223" s="25" t="s">
        <v>70</v>
      </c>
      <c r="E4223" s="26"/>
      <c r="F4223" s="48" t="s">
        <v>416</v>
      </c>
      <c r="G4223" s="27" t="str">
        <f>IF(ISNUMBER(F4223),E4223*F4223,"")</f>
        <v/>
      </c>
      <c r="H4223" s="28"/>
      <c r="I4223" s="29"/>
      <c r="J4223" s="152">
        <v>0</v>
      </c>
    </row>
    <row r="4224" spans="1:10" ht="15.75" hidden="1" thickBot="1" x14ac:dyDescent="0.3">
      <c r="A4224" s="171"/>
      <c r="B4224" s="174"/>
      <c r="C4224" s="31"/>
      <c r="D4224" s="31"/>
      <c r="E4224" s="32"/>
      <c r="F4224" s="53" t="s">
        <v>416</v>
      </c>
      <c r="G4224" s="53" t="str">
        <f>IF(ISNUMBER(F4224),E4224*F4224,"")</f>
        <v/>
      </c>
      <c r="H4224" s="72"/>
      <c r="I4224" s="73"/>
      <c r="J4224" s="152">
        <v>0</v>
      </c>
    </row>
    <row r="4225" spans="1:10" ht="26.25" hidden="1" thickBot="1" x14ac:dyDescent="0.3">
      <c r="A4225" s="171"/>
      <c r="B4225" s="174"/>
      <c r="C4225" s="35" t="s">
        <v>8291</v>
      </c>
      <c r="D4225" s="35" t="s">
        <v>773</v>
      </c>
      <c r="E4225" s="36">
        <v>1.1399999999999999</v>
      </c>
      <c r="F4225" s="53">
        <v>6.5359999999999996</v>
      </c>
      <c r="G4225" s="53">
        <f>IF(ISNUMBER(F4225),E4225*F4225,"")</f>
        <v>7.451039999999999</v>
      </c>
      <c r="H4225" s="38">
        <f>SUM(G4225:G4227)</f>
        <v>14.234961499999999</v>
      </c>
      <c r="I4225" s="39"/>
      <c r="J4225" s="152">
        <v>0</v>
      </c>
    </row>
    <row r="4226" spans="1:10" ht="15.75" hidden="1" thickBot="1" x14ac:dyDescent="0.3">
      <c r="A4226" s="171"/>
      <c r="B4226" s="174"/>
      <c r="C4226" s="35" t="s">
        <v>956</v>
      </c>
      <c r="D4226" s="35" t="s">
        <v>583</v>
      </c>
      <c r="E4226" s="36">
        <v>0.188</v>
      </c>
      <c r="F4226" s="53">
        <v>28.6615</v>
      </c>
      <c r="G4226" s="53">
        <f>IF(ISNUMBER(F4226),E4226*F4226,"")</f>
        <v>5.3883619999999999</v>
      </c>
      <c r="H4226" s="72"/>
      <c r="I4226" s="73"/>
      <c r="J4226" s="152">
        <v>0</v>
      </c>
    </row>
    <row r="4227" spans="1:10" ht="15.75" hidden="1" thickBot="1" x14ac:dyDescent="0.3">
      <c r="A4227" s="171"/>
      <c r="B4227" s="174"/>
      <c r="C4227" s="35" t="s">
        <v>584</v>
      </c>
      <c r="D4227" s="35" t="s">
        <v>583</v>
      </c>
      <c r="E4227" s="36">
        <v>6.9000000000000006E-2</v>
      </c>
      <c r="F4227" s="53">
        <v>20.225499999999997</v>
      </c>
      <c r="G4227" s="53">
        <f>IF(ISNUMBER(F4227),E4227*F4227,"")</f>
        <v>1.3955594999999998</v>
      </c>
      <c r="H4227" s="72"/>
      <c r="I4227" s="73"/>
      <c r="J4227" s="152">
        <v>0</v>
      </c>
    </row>
    <row r="4228" spans="1:10" ht="15.75" hidden="1" thickBot="1" x14ac:dyDescent="0.3">
      <c r="A4228" s="171"/>
      <c r="B4228" s="174"/>
      <c r="C4228" s="54"/>
      <c r="D4228" s="54"/>
      <c r="E4228" s="65"/>
      <c r="F4228" s="75" t="s">
        <v>416</v>
      </c>
      <c r="G4228" s="75" t="str">
        <f>IF(ISNUMBER(F4228),E4228*F4228,"")</f>
        <v/>
      </c>
      <c r="H4228" s="76"/>
      <c r="I4228" s="73"/>
      <c r="J4228" s="152">
        <v>0</v>
      </c>
    </row>
    <row r="4229" spans="1:10" ht="15.75" hidden="1" thickBot="1" x14ac:dyDescent="0.3">
      <c r="A4229" s="170" t="s">
        <v>1105</v>
      </c>
      <c r="B4229" s="173" t="str">
        <f>INDEX(Orçamentária!A:B,MATCH(Composições!A4229,Orçamentária!A:A,0),2)</f>
        <v>Pintura com tinta látex acrílica Premium – cores especiais (sistema tintométrico)</v>
      </c>
      <c r="C4229" s="40"/>
      <c r="D4229" s="25" t="s">
        <v>70</v>
      </c>
      <c r="E4229" s="26"/>
      <c r="F4229" s="48" t="s">
        <v>416</v>
      </c>
      <c r="G4229" s="27" t="str">
        <f>IF(ISNUMBER(F4229),E4229*F4229,"")</f>
        <v/>
      </c>
      <c r="H4229" s="28"/>
      <c r="I4229" s="29"/>
      <c r="J4229" s="152">
        <v>0</v>
      </c>
    </row>
    <row r="4230" spans="1:10" ht="15.75" hidden="1" thickBot="1" x14ac:dyDescent="0.3">
      <c r="A4230" s="171"/>
      <c r="B4230" s="174"/>
      <c r="C4230" s="31"/>
      <c r="D4230" s="31"/>
      <c r="E4230" s="32"/>
      <c r="F4230" s="53" t="s">
        <v>416</v>
      </c>
      <c r="G4230" s="53" t="str">
        <f>IF(ISNUMBER(F4230),E4230*F4230,"")</f>
        <v/>
      </c>
      <c r="H4230" s="72"/>
      <c r="I4230" s="73"/>
      <c r="J4230" s="152">
        <v>0</v>
      </c>
    </row>
    <row r="4231" spans="1:10" ht="15.75" hidden="1" thickBot="1" x14ac:dyDescent="0.3">
      <c r="A4231" s="171"/>
      <c r="B4231" s="174"/>
      <c r="C4231" s="35" t="s">
        <v>8442</v>
      </c>
      <c r="D4231" s="35" t="s">
        <v>75</v>
      </c>
      <c r="E4231" s="36">
        <f>ROUND(0.33*1.15,4)</f>
        <v>0.3795</v>
      </c>
      <c r="F4231" s="53">
        <v>27.388499999999997</v>
      </c>
      <c r="G4231" s="53">
        <f>IF(ISNUMBER(F4231),E4231*F4231,"")</f>
        <v>10.393935749999999</v>
      </c>
      <c r="H4231" s="38">
        <f>SUM(G4231:G4233)</f>
        <v>17.149195750000001</v>
      </c>
      <c r="I4231" s="39"/>
      <c r="J4231" s="152">
        <v>0</v>
      </c>
    </row>
    <row r="4232" spans="1:10" ht="15.75" hidden="1" thickBot="1" x14ac:dyDescent="0.3">
      <c r="A4232" s="171"/>
      <c r="B4232" s="174"/>
      <c r="C4232" s="35" t="s">
        <v>956</v>
      </c>
      <c r="D4232" s="35" t="s">
        <v>583</v>
      </c>
      <c r="E4232" s="36">
        <v>0.187</v>
      </c>
      <c r="F4232" s="53">
        <v>28.6615</v>
      </c>
      <c r="G4232" s="53">
        <f>IF(ISNUMBER(F4232),E4232*F4232,"")</f>
        <v>5.3597004999999998</v>
      </c>
      <c r="H4232" s="72"/>
      <c r="I4232" s="73"/>
      <c r="J4232" s="152">
        <v>0</v>
      </c>
    </row>
    <row r="4233" spans="1:10" ht="15.75" hidden="1" thickBot="1" x14ac:dyDescent="0.3">
      <c r="A4233" s="171"/>
      <c r="B4233" s="174"/>
      <c r="C4233" s="35" t="s">
        <v>584</v>
      </c>
      <c r="D4233" s="35" t="s">
        <v>583</v>
      </c>
      <c r="E4233" s="36">
        <v>6.9000000000000006E-2</v>
      </c>
      <c r="F4233" s="53">
        <v>20.225499999999997</v>
      </c>
      <c r="G4233" s="53">
        <f>IF(ISNUMBER(F4233),E4233*F4233,"")</f>
        <v>1.3955594999999998</v>
      </c>
      <c r="H4233" s="72"/>
      <c r="I4233" s="73"/>
      <c r="J4233" s="152">
        <v>0</v>
      </c>
    </row>
    <row r="4234" spans="1:10" ht="15.75" hidden="1" thickBot="1" x14ac:dyDescent="0.3">
      <c r="A4234" s="171"/>
      <c r="B4234" s="174"/>
      <c r="C4234" s="35"/>
      <c r="D4234" s="35"/>
      <c r="E4234" s="36"/>
      <c r="F4234" s="53" t="s">
        <v>416</v>
      </c>
      <c r="G4234" s="53" t="str">
        <f>IF(ISNUMBER(F4234),E4234*F4234,"")</f>
        <v/>
      </c>
      <c r="H4234" s="72"/>
      <c r="I4234" s="73"/>
      <c r="J4234" s="152">
        <v>0</v>
      </c>
    </row>
    <row r="4235" spans="1:10" ht="26.25" hidden="1" thickBot="1" x14ac:dyDescent="0.3">
      <c r="A4235" s="171"/>
      <c r="B4235" s="174"/>
      <c r="C4235" s="35" t="s">
        <v>1106</v>
      </c>
      <c r="D4235" s="35"/>
      <c r="E4235" s="36"/>
      <c r="F4235" s="53" t="s">
        <v>416</v>
      </c>
      <c r="G4235" s="53" t="str">
        <f>IF(ISNUMBER(F4235),E4235*F4235,"")</f>
        <v/>
      </c>
      <c r="H4235" s="72"/>
      <c r="I4235" s="73"/>
      <c r="J4235" s="152">
        <v>0</v>
      </c>
    </row>
    <row r="4236" spans="1:10" ht="15.75" hidden="1" thickBot="1" x14ac:dyDescent="0.3">
      <c r="A4236" s="171"/>
      <c r="B4236" s="174"/>
      <c r="C4236" s="54"/>
      <c r="D4236" s="54"/>
      <c r="E4236" s="65"/>
      <c r="F4236" s="75" t="s">
        <v>416</v>
      </c>
      <c r="G4236" s="75" t="str">
        <f>IF(ISNUMBER(F4236),E4236*F4236,"")</f>
        <v/>
      </c>
      <c r="H4236" s="76"/>
      <c r="I4236" s="73"/>
      <c r="J4236" s="152">
        <v>0</v>
      </c>
    </row>
    <row r="4237" spans="1:10" ht="15.75" hidden="1" thickBot="1" x14ac:dyDescent="0.3">
      <c r="A4237" s="170" t="s">
        <v>1108</v>
      </c>
      <c r="B4237" s="173" t="str">
        <f>INDEX(Orçamentária!A:B,MATCH(Composições!A4237,Orçamentária!A:A,0),2)</f>
        <v>Pintura com tinta acrílica (pisos)</v>
      </c>
      <c r="C4237" s="40"/>
      <c r="D4237" s="25" t="s">
        <v>70</v>
      </c>
      <c r="E4237" s="26"/>
      <c r="F4237" s="48" t="s">
        <v>416</v>
      </c>
      <c r="G4237" s="27" t="str">
        <f>IF(ISNUMBER(F4237),E4237*F4237,"")</f>
        <v/>
      </c>
      <c r="H4237" s="28"/>
      <c r="I4237" s="29"/>
      <c r="J4237" s="152">
        <v>0</v>
      </c>
    </row>
    <row r="4238" spans="1:10" ht="15.75" hidden="1" thickBot="1" x14ac:dyDescent="0.3">
      <c r="A4238" s="171"/>
      <c r="B4238" s="174"/>
      <c r="C4238" s="31"/>
      <c r="D4238" s="31"/>
      <c r="E4238" s="32"/>
      <c r="F4238" s="53" t="s">
        <v>416</v>
      </c>
      <c r="G4238" s="53" t="str">
        <f>IF(ISNUMBER(F4238),E4238*F4238,"")</f>
        <v/>
      </c>
      <c r="H4238" s="72"/>
      <c r="I4238" s="73"/>
      <c r="J4238" s="152">
        <v>0</v>
      </c>
    </row>
    <row r="4239" spans="1:10" ht="15.75" hidden="1" thickBot="1" x14ac:dyDescent="0.3">
      <c r="A4239" s="171"/>
      <c r="B4239" s="174"/>
      <c r="C4239" s="35" t="s">
        <v>8369</v>
      </c>
      <c r="D4239" s="35" t="s">
        <v>75</v>
      </c>
      <c r="E4239" s="36">
        <v>0.16</v>
      </c>
      <c r="F4239" s="53">
        <v>10.9725</v>
      </c>
      <c r="G4239" s="53">
        <f>IF(ISNUMBER(F4239),E4239*F4239,"")</f>
        <v>1.7556</v>
      </c>
      <c r="H4239" s="38">
        <f>SUM(G4239:G4243)</f>
        <v>19.891489499999999</v>
      </c>
      <c r="I4239" s="39"/>
      <c r="J4239" s="152">
        <v>0</v>
      </c>
    </row>
    <row r="4240" spans="1:10" ht="15.75" hidden="1" thickBot="1" x14ac:dyDescent="0.3">
      <c r="A4240" s="171"/>
      <c r="B4240" s="174"/>
      <c r="C4240" s="35" t="s">
        <v>955</v>
      </c>
      <c r="D4240" s="35" t="s">
        <v>75</v>
      </c>
      <c r="E4240" s="36">
        <v>0.42699999999999999</v>
      </c>
      <c r="F4240" s="53">
        <v>18.363499999999998</v>
      </c>
      <c r="G4240" s="53">
        <f>IF(ISNUMBER(F4240),E4240*F4240,"")</f>
        <v>7.8412144999999995</v>
      </c>
      <c r="H4240" s="72"/>
      <c r="I4240" s="73"/>
      <c r="J4240" s="152">
        <v>0</v>
      </c>
    </row>
    <row r="4241" spans="1:10" ht="15.75" hidden="1" thickBot="1" x14ac:dyDescent="0.3">
      <c r="A4241" s="171"/>
      <c r="B4241" s="174"/>
      <c r="C4241" s="35" t="s">
        <v>8166</v>
      </c>
      <c r="D4241" s="35" t="s">
        <v>213</v>
      </c>
      <c r="E4241" s="36">
        <v>0.01</v>
      </c>
      <c r="F4241" s="53">
        <v>8.6829999999999998</v>
      </c>
      <c r="G4241" s="53">
        <f>IF(ISNUMBER(F4241),E4241*F4241,"")</f>
        <v>8.6830000000000004E-2</v>
      </c>
      <c r="H4241" s="72"/>
      <c r="I4241" s="73"/>
      <c r="J4241" s="152">
        <v>0</v>
      </c>
    </row>
    <row r="4242" spans="1:10" ht="15.75" hidden="1" thickBot="1" x14ac:dyDescent="0.3">
      <c r="A4242" s="171"/>
      <c r="B4242" s="174"/>
      <c r="C4242" s="35" t="s">
        <v>956</v>
      </c>
      <c r="D4242" s="35" t="s">
        <v>583</v>
      </c>
      <c r="E4242" s="36">
        <v>0.27500000000000002</v>
      </c>
      <c r="F4242" s="53">
        <v>28.6615</v>
      </c>
      <c r="G4242" s="53">
        <f>IF(ISNUMBER(F4242),E4242*F4242,"")</f>
        <v>7.8819125000000003</v>
      </c>
      <c r="H4242" s="72"/>
      <c r="I4242" s="73"/>
      <c r="J4242" s="152">
        <v>0</v>
      </c>
    </row>
    <row r="4243" spans="1:10" ht="15.75" hidden="1" thickBot="1" x14ac:dyDescent="0.3">
      <c r="A4243" s="171"/>
      <c r="B4243" s="174"/>
      <c r="C4243" s="35" t="s">
        <v>584</v>
      </c>
      <c r="D4243" s="35" t="s">
        <v>583</v>
      </c>
      <c r="E4243" s="36">
        <v>0.115</v>
      </c>
      <c r="F4243" s="53">
        <v>20.225499999999997</v>
      </c>
      <c r="G4243" s="53">
        <f>IF(ISNUMBER(F4243),E4243*F4243,"")</f>
        <v>2.3259324999999995</v>
      </c>
      <c r="H4243" s="72"/>
      <c r="I4243" s="73"/>
      <c r="J4243" s="152">
        <v>0</v>
      </c>
    </row>
    <row r="4244" spans="1:10" ht="15.75" hidden="1" thickBot="1" x14ac:dyDescent="0.3">
      <c r="A4244" s="171"/>
      <c r="B4244" s="174"/>
      <c r="C4244" s="54"/>
      <c r="D4244" s="54"/>
      <c r="E4244" s="65"/>
      <c r="F4244" s="75" t="s">
        <v>416</v>
      </c>
      <c r="G4244" s="75" t="str">
        <f>IF(ISNUMBER(F4244),E4244*F4244,"")</f>
        <v/>
      </c>
      <c r="H4244" s="76"/>
      <c r="I4244" s="73"/>
      <c r="J4244" s="152">
        <v>0</v>
      </c>
    </row>
    <row r="4245" spans="1:10" ht="15.75" hidden="1" thickBot="1" x14ac:dyDescent="0.3">
      <c r="A4245" s="170" t="s">
        <v>1109</v>
      </c>
      <c r="B4245" s="173" t="str">
        <f>INDEX(Orçamentária!A:B,MATCH(Composições!A4245,Orçamentária!A:A,0),2)</f>
        <v>Pintura com tinta epóxi de alto desempenho (pisos)</v>
      </c>
      <c r="C4245" s="40"/>
      <c r="D4245" s="25" t="s">
        <v>70</v>
      </c>
      <c r="E4245" s="26"/>
      <c r="F4245" s="48" t="s">
        <v>416</v>
      </c>
      <c r="G4245" s="27" t="str">
        <f>IF(ISNUMBER(F4245),E4245*F4245,"")</f>
        <v/>
      </c>
      <c r="H4245" s="28"/>
      <c r="I4245" s="29"/>
      <c r="J4245" s="152">
        <v>0</v>
      </c>
    </row>
    <row r="4246" spans="1:10" ht="15.75" hidden="1" thickBot="1" x14ac:dyDescent="0.3">
      <c r="A4246" s="171"/>
      <c r="B4246" s="174"/>
      <c r="C4246" s="31"/>
      <c r="D4246" s="31"/>
      <c r="E4246" s="32"/>
      <c r="F4246" s="53" t="s">
        <v>416</v>
      </c>
      <c r="G4246" s="53" t="str">
        <f>IF(ISNUMBER(F4246),E4246*F4246,"")</f>
        <v/>
      </c>
      <c r="H4246" s="72"/>
      <c r="I4246" s="73"/>
      <c r="J4246" s="152">
        <v>0</v>
      </c>
    </row>
    <row r="4247" spans="1:10" ht="15.75" hidden="1" thickBot="1" x14ac:dyDescent="0.3">
      <c r="A4247" s="171"/>
      <c r="B4247" s="174"/>
      <c r="C4247" s="35" t="s">
        <v>8137</v>
      </c>
      <c r="D4247" s="35" t="s">
        <v>75</v>
      </c>
      <c r="E4247" s="36">
        <v>6.4000000000000001E-2</v>
      </c>
      <c r="F4247" s="53">
        <v>40.336999999999996</v>
      </c>
      <c r="G4247" s="53">
        <f>IF(ISNUMBER(F4247),E4247*F4247,"")</f>
        <v>2.5815679999999999</v>
      </c>
      <c r="H4247" s="38">
        <f>SUM(G4247:G4252)</f>
        <v>60.518625199999995</v>
      </c>
      <c r="I4247" s="39"/>
      <c r="J4247" s="152">
        <v>0</v>
      </c>
    </row>
    <row r="4248" spans="1:10" ht="15.75" hidden="1" thickBot="1" x14ac:dyDescent="0.3">
      <c r="A4248" s="171"/>
      <c r="B4248" s="174"/>
      <c r="C4248" s="35" t="s">
        <v>8441</v>
      </c>
      <c r="D4248" s="35" t="s">
        <v>75</v>
      </c>
      <c r="E4248" s="36">
        <v>0.32200000000000001</v>
      </c>
      <c r="F4248" s="53">
        <v>76.161500000000004</v>
      </c>
      <c r="G4248" s="53">
        <f>IF(ISNUMBER(F4248),E4248*F4248,"")</f>
        <v>24.524003</v>
      </c>
      <c r="H4248" s="72"/>
      <c r="I4248" s="73"/>
      <c r="J4248" s="152">
        <v>0</v>
      </c>
    </row>
    <row r="4249" spans="1:10" ht="15.75" hidden="1" thickBot="1" x14ac:dyDescent="0.3">
      <c r="A4249" s="171"/>
      <c r="B4249" s="174"/>
      <c r="C4249" s="35" t="s">
        <v>8166</v>
      </c>
      <c r="D4249" s="35" t="s">
        <v>213</v>
      </c>
      <c r="E4249" s="36">
        <v>0.01</v>
      </c>
      <c r="F4249" s="53">
        <v>8.6829999999999998</v>
      </c>
      <c r="G4249" s="53">
        <f>IF(ISNUMBER(F4249),E4249*F4249,"")</f>
        <v>8.6830000000000004E-2</v>
      </c>
      <c r="H4249" s="72"/>
      <c r="I4249" s="73"/>
      <c r="J4249" s="152">
        <v>0</v>
      </c>
    </row>
    <row r="4250" spans="1:10" ht="15.75" hidden="1" thickBot="1" x14ac:dyDescent="0.3">
      <c r="A4250" s="171"/>
      <c r="B4250" s="174"/>
      <c r="C4250" s="35" t="s">
        <v>8340</v>
      </c>
      <c r="D4250" s="35" t="s">
        <v>75</v>
      </c>
      <c r="E4250" s="36">
        <v>0.2016</v>
      </c>
      <c r="F4250" s="53">
        <v>114.67449999999999</v>
      </c>
      <c r="G4250" s="53">
        <f>IF(ISNUMBER(F4250),E4250*F4250,"")</f>
        <v>23.1183792</v>
      </c>
      <c r="H4250" s="72"/>
      <c r="I4250" s="73"/>
      <c r="J4250" s="152">
        <v>0</v>
      </c>
    </row>
    <row r="4251" spans="1:10" ht="15.75" hidden="1" thickBot="1" x14ac:dyDescent="0.3">
      <c r="A4251" s="171"/>
      <c r="B4251" s="174"/>
      <c r="C4251" s="35" t="s">
        <v>956</v>
      </c>
      <c r="D4251" s="35" t="s">
        <v>583</v>
      </c>
      <c r="E4251" s="36">
        <v>0.27500000000000002</v>
      </c>
      <c r="F4251" s="53">
        <v>28.6615</v>
      </c>
      <c r="G4251" s="53">
        <f>IF(ISNUMBER(F4251),E4251*F4251,"")</f>
        <v>7.8819125000000003</v>
      </c>
      <c r="H4251" s="72"/>
      <c r="I4251" s="73"/>
      <c r="J4251" s="152">
        <v>0</v>
      </c>
    </row>
    <row r="4252" spans="1:10" ht="15.75" hidden="1" thickBot="1" x14ac:dyDescent="0.3">
      <c r="A4252" s="171"/>
      <c r="B4252" s="174"/>
      <c r="C4252" s="35" t="s">
        <v>584</v>
      </c>
      <c r="D4252" s="35" t="s">
        <v>583</v>
      </c>
      <c r="E4252" s="36">
        <v>0.115</v>
      </c>
      <c r="F4252" s="53">
        <v>20.225499999999997</v>
      </c>
      <c r="G4252" s="53">
        <f>IF(ISNUMBER(F4252),E4252*F4252,"")</f>
        <v>2.3259324999999995</v>
      </c>
      <c r="H4252" s="72"/>
      <c r="I4252" s="73"/>
      <c r="J4252" s="152">
        <v>0</v>
      </c>
    </row>
    <row r="4253" spans="1:10" ht="15.75" hidden="1" thickBot="1" x14ac:dyDescent="0.3">
      <c r="A4253" s="171"/>
      <c r="B4253" s="174"/>
      <c r="C4253" s="54"/>
      <c r="D4253" s="54"/>
      <c r="E4253" s="65"/>
      <c r="F4253" s="75" t="s">
        <v>416</v>
      </c>
      <c r="G4253" s="75" t="str">
        <f>IF(ISNUMBER(F4253),E4253*F4253,"")</f>
        <v/>
      </c>
      <c r="H4253" s="76"/>
      <c r="I4253" s="73"/>
      <c r="J4253" s="152">
        <v>0</v>
      </c>
    </row>
    <row r="4254" spans="1:10" ht="15.75" hidden="1" thickBot="1" x14ac:dyDescent="0.3">
      <c r="A4254" s="170" t="s">
        <v>1110</v>
      </c>
      <c r="B4254" s="173" t="str">
        <f>INDEX(Orçamentária!A:B,MATCH(Composições!A4254,Orçamentária!A:A,0),2)</f>
        <v>Verniz de poliuretano sobre pintura epóxi de alto desempenho</v>
      </c>
      <c r="C4254" s="40"/>
      <c r="D4254" s="25" t="s">
        <v>70</v>
      </c>
      <c r="E4254" s="26"/>
      <c r="F4254" s="48" t="s">
        <v>416</v>
      </c>
      <c r="G4254" s="27" t="str">
        <f>IF(ISNUMBER(F4254),E4254*F4254,"")</f>
        <v/>
      </c>
      <c r="H4254" s="28"/>
      <c r="I4254" s="29"/>
      <c r="J4254" s="152">
        <v>0</v>
      </c>
    </row>
    <row r="4255" spans="1:10" ht="15.75" hidden="1" thickBot="1" x14ac:dyDescent="0.3">
      <c r="A4255" s="171"/>
      <c r="B4255" s="174"/>
      <c r="C4255" s="31"/>
      <c r="D4255" s="31"/>
      <c r="E4255" s="32"/>
      <c r="F4255" s="53" t="s">
        <v>416</v>
      </c>
      <c r="G4255" s="53" t="str">
        <f>IF(ISNUMBER(F4255),E4255*F4255,"")</f>
        <v/>
      </c>
      <c r="H4255" s="72"/>
      <c r="I4255" s="73"/>
      <c r="J4255" s="152">
        <v>0</v>
      </c>
    </row>
    <row r="4256" spans="1:10" ht="15.75" hidden="1" thickBot="1" x14ac:dyDescent="0.3">
      <c r="A4256" s="171"/>
      <c r="B4256" s="174"/>
      <c r="C4256" s="35" t="s">
        <v>5546</v>
      </c>
      <c r="D4256" s="35" t="s">
        <v>75</v>
      </c>
      <c r="E4256" s="36">
        <v>0.04</v>
      </c>
      <c r="F4256" s="53">
        <v>0</v>
      </c>
      <c r="G4256" s="53">
        <f>IF(ISNUMBER(F4256),E4256*F4256,"")</f>
        <v>0</v>
      </c>
      <c r="H4256" s="38">
        <f>SUM(G4256:G4259)</f>
        <v>23.366199999999999</v>
      </c>
      <c r="I4256" s="39"/>
      <c r="J4256" s="152">
        <v>0</v>
      </c>
    </row>
    <row r="4257" spans="1:10" ht="15.75" hidden="1" thickBot="1" x14ac:dyDescent="0.3">
      <c r="A4257" s="171"/>
      <c r="B4257" s="174"/>
      <c r="C4257" s="35" t="s">
        <v>5547</v>
      </c>
      <c r="D4257" s="35" t="s">
        <v>773</v>
      </c>
      <c r="E4257" s="36">
        <v>0.36</v>
      </c>
      <c r="F4257" s="53">
        <v>0</v>
      </c>
      <c r="G4257" s="53">
        <f>IF(ISNUMBER(F4257),E4257*F4257,"")</f>
        <v>0</v>
      </c>
      <c r="H4257" s="72"/>
      <c r="I4257" s="73"/>
      <c r="J4257" s="152">
        <v>0</v>
      </c>
    </row>
    <row r="4258" spans="1:10" ht="15.75" hidden="1" thickBot="1" x14ac:dyDescent="0.3">
      <c r="A4258" s="171"/>
      <c r="B4258" s="174"/>
      <c r="C4258" s="35" t="s">
        <v>956</v>
      </c>
      <c r="D4258" s="35" t="s">
        <v>583</v>
      </c>
      <c r="E4258" s="36">
        <v>0.66</v>
      </c>
      <c r="F4258" s="53">
        <v>28.6615</v>
      </c>
      <c r="G4258" s="53">
        <f>IF(ISNUMBER(F4258),E4258*F4258,"")</f>
        <v>18.916589999999999</v>
      </c>
      <c r="H4258" s="72"/>
      <c r="I4258" s="73"/>
      <c r="J4258" s="152">
        <v>0</v>
      </c>
    </row>
    <row r="4259" spans="1:10" ht="15.75" hidden="1" thickBot="1" x14ac:dyDescent="0.3">
      <c r="A4259" s="171"/>
      <c r="B4259" s="174"/>
      <c r="C4259" s="35" t="s">
        <v>584</v>
      </c>
      <c r="D4259" s="35" t="s">
        <v>583</v>
      </c>
      <c r="E4259" s="36">
        <v>0.22</v>
      </c>
      <c r="F4259" s="53">
        <v>20.225499999999997</v>
      </c>
      <c r="G4259" s="53">
        <f>IF(ISNUMBER(F4259),E4259*F4259,"")</f>
        <v>4.449609999999999</v>
      </c>
      <c r="H4259" s="72"/>
      <c r="I4259" s="73"/>
      <c r="J4259" s="152">
        <v>0</v>
      </c>
    </row>
    <row r="4260" spans="1:10" ht="15.75" hidden="1" thickBot="1" x14ac:dyDescent="0.3">
      <c r="A4260" s="172"/>
      <c r="B4260" s="175"/>
      <c r="C4260" s="54"/>
      <c r="D4260" s="54"/>
      <c r="E4260" s="65"/>
      <c r="F4260" s="75" t="s">
        <v>416</v>
      </c>
      <c r="G4260" s="75" t="str">
        <f>IF(ISNUMBER(F4260),E4260*F4260,"")</f>
        <v/>
      </c>
      <c r="H4260" s="76"/>
      <c r="I4260" s="73"/>
      <c r="J4260" s="152">
        <v>0</v>
      </c>
    </row>
    <row r="4261" spans="1:10" ht="15.75" hidden="1" thickBot="1" x14ac:dyDescent="0.3">
      <c r="A4261" s="170" t="s">
        <v>1111</v>
      </c>
      <c r="B4261" s="173" t="str">
        <f>INDEX(Orçamentária!A:B,MATCH(Composições!A4261,Orçamentária!A:A,0),2)</f>
        <v>Tratamento antiderrapante em verniz de poliuretano sobre pintura epóxi</v>
      </c>
      <c r="C4261" s="40"/>
      <c r="D4261" s="25" t="s">
        <v>70</v>
      </c>
      <c r="E4261" s="26"/>
      <c r="F4261" s="48" t="s">
        <v>416</v>
      </c>
      <c r="G4261" s="27" t="str">
        <f>IF(ISNUMBER(F4261),E4261*F4261,"")</f>
        <v/>
      </c>
      <c r="H4261" s="28"/>
      <c r="I4261" s="29"/>
      <c r="J4261" s="152">
        <v>0</v>
      </c>
    </row>
    <row r="4262" spans="1:10" ht="15.75" hidden="1" thickBot="1" x14ac:dyDescent="0.3">
      <c r="A4262" s="171"/>
      <c r="B4262" s="174"/>
      <c r="C4262" s="31"/>
      <c r="D4262" s="31"/>
      <c r="E4262" s="32"/>
      <c r="F4262" s="53" t="s">
        <v>416</v>
      </c>
      <c r="G4262" s="53" t="str">
        <f>IF(ISNUMBER(F4262),E4262*F4262,"")</f>
        <v/>
      </c>
      <c r="H4262" s="72"/>
      <c r="I4262" s="73"/>
      <c r="J4262" s="152">
        <v>0</v>
      </c>
    </row>
    <row r="4263" spans="1:10" ht="26.25" hidden="1" thickBot="1" x14ac:dyDescent="0.3">
      <c r="A4263" s="171"/>
      <c r="B4263" s="174"/>
      <c r="C4263" s="35" t="s">
        <v>1112</v>
      </c>
      <c r="D4263" s="35" t="s">
        <v>773</v>
      </c>
      <c r="E4263" s="36">
        <v>2</v>
      </c>
      <c r="F4263" s="53" t="s">
        <v>416</v>
      </c>
      <c r="G4263" s="53" t="str">
        <f>IF(ISNUMBER(F4263),E4263*F4263,"")</f>
        <v/>
      </c>
      <c r="H4263" s="38">
        <f>SUM(G4263:G4264)</f>
        <v>1.3955594999999998</v>
      </c>
      <c r="I4263" s="39"/>
      <c r="J4263" s="152">
        <v>0</v>
      </c>
    </row>
    <row r="4264" spans="1:10" ht="15.75" hidden="1" thickBot="1" x14ac:dyDescent="0.3">
      <c r="A4264" s="171"/>
      <c r="B4264" s="174"/>
      <c r="C4264" s="35" t="s">
        <v>584</v>
      </c>
      <c r="D4264" s="35" t="s">
        <v>583</v>
      </c>
      <c r="E4264" s="36">
        <v>6.9000000000000006E-2</v>
      </c>
      <c r="F4264" s="53">
        <v>20.225499999999997</v>
      </c>
      <c r="G4264" s="53">
        <f>IF(ISNUMBER(F4264),E4264*F4264,"")</f>
        <v>1.3955594999999998</v>
      </c>
      <c r="H4264" s="72"/>
      <c r="I4264" s="73"/>
      <c r="J4264" s="152">
        <v>0</v>
      </c>
    </row>
    <row r="4265" spans="1:10" ht="15.75" hidden="1" thickBot="1" x14ac:dyDescent="0.3">
      <c r="A4265" s="171"/>
      <c r="B4265" s="174"/>
      <c r="C4265" s="54"/>
      <c r="D4265" s="54"/>
      <c r="E4265" s="65"/>
      <c r="F4265" s="75" t="s">
        <v>416</v>
      </c>
      <c r="G4265" s="75" t="str">
        <f>IF(ISNUMBER(F4265),E4265*F4265,"")</f>
        <v/>
      </c>
      <c r="H4265" s="76"/>
      <c r="I4265" s="73"/>
      <c r="J4265" s="152">
        <v>0</v>
      </c>
    </row>
    <row r="4266" spans="1:10" ht="15.75" hidden="1" thickBot="1" x14ac:dyDescent="0.3">
      <c r="A4266" s="170" t="s">
        <v>1113</v>
      </c>
      <c r="B4266" s="173" t="str">
        <f>INDEX(Orçamentária!A:B,MATCH(Composições!A4266,Orçamentária!A:A,0),2)</f>
        <v>Pintura para superfícies galvanizadas</v>
      </c>
      <c r="C4266" s="40"/>
      <c r="D4266" s="25" t="s">
        <v>70</v>
      </c>
      <c r="E4266" s="26"/>
      <c r="F4266" s="48" t="s">
        <v>416</v>
      </c>
      <c r="G4266" s="27" t="str">
        <f>IF(ISNUMBER(F4266),E4266*F4266,"")</f>
        <v/>
      </c>
      <c r="H4266" s="28"/>
      <c r="I4266" s="29"/>
      <c r="J4266" s="152">
        <v>0</v>
      </c>
    </row>
    <row r="4267" spans="1:10" ht="15.75" hidden="1" thickBot="1" x14ac:dyDescent="0.3">
      <c r="A4267" s="171"/>
      <c r="B4267" s="174"/>
      <c r="C4267" s="31"/>
      <c r="D4267" s="31"/>
      <c r="E4267" s="32"/>
      <c r="F4267" s="53" t="s">
        <v>416</v>
      </c>
      <c r="G4267" s="53" t="str">
        <f>IF(ISNUMBER(F4267),E4267*F4267,"")</f>
        <v/>
      </c>
      <c r="H4267" s="72"/>
      <c r="I4267" s="73"/>
      <c r="J4267" s="152">
        <v>0</v>
      </c>
    </row>
    <row r="4268" spans="1:10" ht="15.75" hidden="1" thickBot="1" x14ac:dyDescent="0.3">
      <c r="A4268" s="171"/>
      <c r="B4268" s="174"/>
      <c r="C4268" s="35" t="s">
        <v>8136</v>
      </c>
      <c r="D4268" s="35" t="s">
        <v>75</v>
      </c>
      <c r="E4268" s="36">
        <v>6.1899999999999997E-2</v>
      </c>
      <c r="F4268" s="53">
        <v>17.698499999999999</v>
      </c>
      <c r="G4268" s="53">
        <f>IF(ISNUMBER(F4268),E4268*F4268,"")</f>
        <v>1.09553715</v>
      </c>
      <c r="H4268" s="38">
        <f>SUM(G4268:G4272)</f>
        <v>34.151408449999998</v>
      </c>
      <c r="I4268" s="39"/>
      <c r="J4268" s="152">
        <v>0</v>
      </c>
    </row>
    <row r="4269" spans="1:10" ht="15.75" hidden="1" thickBot="1" x14ac:dyDescent="0.3">
      <c r="A4269" s="171"/>
      <c r="B4269" s="174"/>
      <c r="C4269" s="35" t="s">
        <v>1184</v>
      </c>
      <c r="D4269" s="35" t="s">
        <v>75</v>
      </c>
      <c r="E4269" s="36">
        <v>0.20699999999999999</v>
      </c>
      <c r="F4269" s="53">
        <v>39.814499999999995</v>
      </c>
      <c r="G4269" s="53">
        <f>IF(ISNUMBER(F4269),E4269*F4269,"")</f>
        <v>8.241601499999998</v>
      </c>
      <c r="H4269" s="72"/>
      <c r="I4269" s="73"/>
      <c r="J4269" s="152">
        <v>0</v>
      </c>
    </row>
    <row r="4270" spans="1:10" ht="15.75" hidden="1" thickBot="1" x14ac:dyDescent="0.3">
      <c r="A4270" s="171"/>
      <c r="B4270" s="174"/>
      <c r="C4270" s="35" t="s">
        <v>956</v>
      </c>
      <c r="D4270" s="35" t="s">
        <v>583</v>
      </c>
      <c r="E4270" s="36">
        <v>0.52659999999999996</v>
      </c>
      <c r="F4270" s="53">
        <v>28.6615</v>
      </c>
      <c r="G4270" s="53">
        <f>IF(ISNUMBER(F4270),E4270*F4270,"")</f>
        <v>15.0931459</v>
      </c>
      <c r="H4270" s="72"/>
      <c r="I4270" s="73"/>
      <c r="J4270" s="152">
        <v>0</v>
      </c>
    </row>
    <row r="4271" spans="1:10" ht="15.75" hidden="1" thickBot="1" x14ac:dyDescent="0.3">
      <c r="A4271" s="171"/>
      <c r="B4271" s="174"/>
      <c r="C4271" s="35" t="s">
        <v>1114</v>
      </c>
      <c r="D4271" s="35" t="s">
        <v>213</v>
      </c>
      <c r="E4271" s="36">
        <v>0.3</v>
      </c>
      <c r="F4271" s="53">
        <v>3.8759999999999999</v>
      </c>
      <c r="G4271" s="53">
        <f>IF(ISNUMBER(F4271),E4271*F4271,"")</f>
        <v>1.1627999999999998</v>
      </c>
      <c r="H4271" s="72"/>
      <c r="I4271" s="73"/>
      <c r="J4271" s="152">
        <v>0</v>
      </c>
    </row>
    <row r="4272" spans="1:10" ht="15.75" hidden="1" thickBot="1" x14ac:dyDescent="0.3">
      <c r="A4272" s="171"/>
      <c r="B4272" s="174"/>
      <c r="C4272" s="35" t="s">
        <v>956</v>
      </c>
      <c r="D4272" s="35" t="s">
        <v>583</v>
      </c>
      <c r="E4272" s="36">
        <v>0.29859999999999998</v>
      </c>
      <c r="F4272" s="53">
        <v>28.6615</v>
      </c>
      <c r="G4272" s="53">
        <f>IF(ISNUMBER(F4272),E4272*F4272,"")</f>
        <v>8.5583238999999995</v>
      </c>
      <c r="H4272" s="72"/>
      <c r="I4272" s="73"/>
      <c r="J4272" s="152">
        <v>0</v>
      </c>
    </row>
    <row r="4273" spans="1:10" ht="15.75" hidden="1" thickBot="1" x14ac:dyDescent="0.3">
      <c r="A4273" s="172"/>
      <c r="B4273" s="175"/>
      <c r="C4273" s="54"/>
      <c r="D4273" s="54"/>
      <c r="E4273" s="65"/>
      <c r="F4273" s="75" t="s">
        <v>416</v>
      </c>
      <c r="G4273" s="75" t="str">
        <f>IF(ISNUMBER(F4273),E4273*F4273,"")</f>
        <v/>
      </c>
      <c r="H4273" s="76"/>
      <c r="I4273" s="73"/>
      <c r="J4273" s="152">
        <v>0</v>
      </c>
    </row>
    <row r="4274" spans="1:10" ht="15.75" hidden="1" thickBot="1" x14ac:dyDescent="0.3">
      <c r="A4274" s="170" t="s">
        <v>1115</v>
      </c>
      <c r="B4274" s="173" t="str">
        <f>INDEX(Orçamentária!A:B,MATCH(Composições!A4274,Orçamentária!A:A,0),2)</f>
        <v>Selagem ou resselagem de juntas em pavimentação de concreto armado</v>
      </c>
      <c r="C4274" s="40"/>
      <c r="D4274" s="25" t="s">
        <v>69</v>
      </c>
      <c r="E4274" s="26"/>
      <c r="F4274" s="48" t="s">
        <v>416</v>
      </c>
      <c r="G4274" s="27" t="str">
        <f>IF(ISNUMBER(F4274),E4274*F4274,"")</f>
        <v/>
      </c>
      <c r="H4274" s="28"/>
      <c r="I4274" s="29"/>
      <c r="J4274" s="152">
        <v>0</v>
      </c>
    </row>
    <row r="4275" spans="1:10" ht="15.75" hidden="1" thickBot="1" x14ac:dyDescent="0.3">
      <c r="A4275" s="171"/>
      <c r="B4275" s="174"/>
      <c r="C4275" s="31"/>
      <c r="D4275" s="31"/>
      <c r="E4275" s="32"/>
      <c r="F4275" s="53" t="s">
        <v>416</v>
      </c>
      <c r="G4275" s="53" t="str">
        <f>IF(ISNUMBER(F4275),E4275*F4275,"")</f>
        <v/>
      </c>
      <c r="H4275" s="72"/>
      <c r="I4275" s="73"/>
      <c r="J4275" s="152">
        <v>0</v>
      </c>
    </row>
    <row r="4276" spans="1:10" ht="15.75" hidden="1" thickBot="1" x14ac:dyDescent="0.3">
      <c r="A4276" s="171"/>
      <c r="B4276" s="174"/>
      <c r="C4276" s="35" t="s">
        <v>584</v>
      </c>
      <c r="D4276" s="35" t="s">
        <v>583</v>
      </c>
      <c r="E4276" s="36">
        <f>ROUND(4/74.7,4)</f>
        <v>5.3499999999999999E-2</v>
      </c>
      <c r="F4276" s="53">
        <v>20.225499999999997</v>
      </c>
      <c r="G4276" s="53">
        <f>IF(ISNUMBER(F4276),E4276*F4276,"")</f>
        <v>1.0820642499999997</v>
      </c>
      <c r="H4276" s="38">
        <f>SUM(G4276:G4281)</f>
        <v>10.979907149999999</v>
      </c>
      <c r="I4276" s="39"/>
      <c r="J4276" s="152">
        <v>0</v>
      </c>
    </row>
    <row r="4277" spans="1:10" ht="15.75" hidden="1" thickBot="1" x14ac:dyDescent="0.3">
      <c r="A4277" s="171"/>
      <c r="B4277" s="174"/>
      <c r="C4277" s="35" t="s">
        <v>1116</v>
      </c>
      <c r="D4277" s="35" t="s">
        <v>813</v>
      </c>
      <c r="E4277" s="36">
        <f>ROUND(1/74.7,4)</f>
        <v>1.34E-2</v>
      </c>
      <c r="F4277" s="53">
        <v>0</v>
      </c>
      <c r="G4277" s="53">
        <f>IF(ISNUMBER(F4277),E4277*F4277,"")</f>
        <v>0</v>
      </c>
      <c r="H4277" s="72"/>
      <c r="I4277" s="73"/>
      <c r="J4277" s="152">
        <v>0</v>
      </c>
    </row>
    <row r="4278" spans="1:10" ht="15.75" hidden="1" thickBot="1" x14ac:dyDescent="0.3">
      <c r="A4278" s="171"/>
      <c r="B4278" s="174"/>
      <c r="C4278" s="35" t="s">
        <v>1117</v>
      </c>
      <c r="D4278" s="35" t="s">
        <v>813</v>
      </c>
      <c r="E4278" s="36">
        <f>ROUND(1/74.7,4)</f>
        <v>1.34E-2</v>
      </c>
      <c r="F4278" s="53">
        <v>0</v>
      </c>
      <c r="G4278" s="53">
        <f>IF(ISNUMBER(F4278),E4278*F4278,"")</f>
        <v>0</v>
      </c>
      <c r="H4278" s="72"/>
      <c r="I4278" s="73"/>
      <c r="J4278" s="152">
        <v>0</v>
      </c>
    </row>
    <row r="4279" spans="1:10" ht="15.75" hidden="1" thickBot="1" x14ac:dyDescent="0.3">
      <c r="A4279" s="171"/>
      <c r="B4279" s="174"/>
      <c r="C4279" s="35" t="s">
        <v>1118</v>
      </c>
      <c r="D4279" s="35" t="s">
        <v>69</v>
      </c>
      <c r="E4279" s="36">
        <v>1</v>
      </c>
      <c r="F4279" s="53">
        <v>0</v>
      </c>
      <c r="G4279" s="53">
        <f>IF(ISNUMBER(F4279),E4279*F4279,"")</f>
        <v>0</v>
      </c>
      <c r="H4279" s="72"/>
      <c r="I4279" s="73"/>
      <c r="J4279" s="152">
        <v>0</v>
      </c>
    </row>
    <row r="4280" spans="1:10" ht="15.75" hidden="1" thickBot="1" x14ac:dyDescent="0.3">
      <c r="A4280" s="171"/>
      <c r="B4280" s="174"/>
      <c r="C4280" s="35" t="s">
        <v>1119</v>
      </c>
      <c r="D4280" s="35" t="s">
        <v>213</v>
      </c>
      <c r="E4280" s="36">
        <v>3.3E-3</v>
      </c>
      <c r="F4280" s="53">
        <v>0</v>
      </c>
      <c r="G4280" s="53">
        <f>IF(ISNUMBER(F4280),E4280*F4280,"")</f>
        <v>0</v>
      </c>
      <c r="H4280" s="72"/>
      <c r="I4280" s="73"/>
      <c r="J4280" s="152">
        <v>0</v>
      </c>
    </row>
    <row r="4281" spans="1:10" ht="26.25" hidden="1" thickBot="1" x14ac:dyDescent="0.3">
      <c r="A4281" s="171"/>
      <c r="B4281" s="174"/>
      <c r="C4281" s="35" t="s">
        <v>1120</v>
      </c>
      <c r="D4281" s="35" t="s">
        <v>773</v>
      </c>
      <c r="E4281" s="36">
        <v>0.1181</v>
      </c>
      <c r="F4281" s="53">
        <v>83.808999999999997</v>
      </c>
      <c r="G4281" s="53">
        <f>IF(ISNUMBER(F4281),E4281*F4281,"")</f>
        <v>9.8978428999999988</v>
      </c>
      <c r="H4281" s="72"/>
      <c r="I4281" s="73"/>
      <c r="J4281" s="152">
        <v>0</v>
      </c>
    </row>
    <row r="4282" spans="1:10" ht="15.75" hidden="1" thickBot="1" x14ac:dyDescent="0.3">
      <c r="A4282" s="172"/>
      <c r="B4282" s="175"/>
      <c r="C4282" s="54"/>
      <c r="D4282" s="54"/>
      <c r="E4282" s="65"/>
      <c r="F4282" s="75" t="s">
        <v>416</v>
      </c>
      <c r="G4282" s="75" t="str">
        <f>IF(ISNUMBER(F4282),E4282*F4282,"")</f>
        <v/>
      </c>
      <c r="H4282" s="76"/>
      <c r="I4282" s="73"/>
      <c r="J4282" s="152">
        <v>0</v>
      </c>
    </row>
    <row r="4283" spans="1:10" ht="15.75" hidden="1" thickBot="1" x14ac:dyDescent="0.3">
      <c r="A4283" s="170" t="s">
        <v>1121</v>
      </c>
      <c r="B4283" s="173" t="str">
        <f>INDEX(Orçamentária!A:B,MATCH(Composições!A4283,Orçamentária!A:A,0),2)</f>
        <v>Pavimentação em elementos intertravados de concreto</v>
      </c>
      <c r="C4283" s="40"/>
      <c r="D4283" s="25" t="s">
        <v>70</v>
      </c>
      <c r="E4283" s="26"/>
      <c r="F4283" s="48" t="s">
        <v>416</v>
      </c>
      <c r="G4283" s="27" t="str">
        <f>IF(ISNUMBER(F4283),E4283*F4283,"")</f>
        <v/>
      </c>
      <c r="H4283" s="28"/>
      <c r="I4283" s="29"/>
      <c r="J4283" s="152">
        <v>0</v>
      </c>
    </row>
    <row r="4284" spans="1:10" ht="15.75" hidden="1" thickBot="1" x14ac:dyDescent="0.3">
      <c r="A4284" s="171"/>
      <c r="B4284" s="174"/>
      <c r="C4284" s="31"/>
      <c r="D4284" s="31"/>
      <c r="E4284" s="32"/>
      <c r="F4284" s="53" t="s">
        <v>416</v>
      </c>
      <c r="G4284" s="53" t="str">
        <f>IF(ISNUMBER(F4284),E4284*F4284,"")</f>
        <v/>
      </c>
      <c r="H4284" s="72"/>
      <c r="I4284" s="73"/>
      <c r="J4284" s="152">
        <v>0</v>
      </c>
    </row>
    <row r="4285" spans="1:10" ht="26.25" hidden="1" thickBot="1" x14ac:dyDescent="0.3">
      <c r="A4285" s="171"/>
      <c r="B4285" s="174"/>
      <c r="C4285" s="35" t="s">
        <v>7985</v>
      </c>
      <c r="D4285" s="35" t="s">
        <v>87</v>
      </c>
      <c r="E4285" s="36">
        <v>5.6800000000000003E-2</v>
      </c>
      <c r="F4285" s="53">
        <v>202.33099999999999</v>
      </c>
      <c r="G4285" s="53">
        <f>IF(ISNUMBER(F4285),E4285*F4285,"")</f>
        <v>11.4924008</v>
      </c>
      <c r="H4285" s="38">
        <f>SUM(G4285:G4295)</f>
        <v>77.667134831120009</v>
      </c>
      <c r="I4285" s="39"/>
      <c r="J4285" s="152">
        <v>0</v>
      </c>
    </row>
    <row r="4286" spans="1:10" ht="15.75" hidden="1" thickBot="1" x14ac:dyDescent="0.3">
      <c r="A4286" s="171"/>
      <c r="B4286" s="174"/>
      <c r="C4286" s="35" t="s">
        <v>1122</v>
      </c>
      <c r="D4286" s="35" t="s">
        <v>87</v>
      </c>
      <c r="E4286" s="36">
        <v>3.5999999999999999E-3</v>
      </c>
      <c r="F4286" s="53">
        <v>166.67749999999998</v>
      </c>
      <c r="G4286" s="53">
        <f>IF(ISNUMBER(F4286),E4286*F4286,"")</f>
        <v>0.60003899999999988</v>
      </c>
      <c r="H4286" s="72"/>
      <c r="I4286" s="73"/>
      <c r="J4286" s="152">
        <v>0</v>
      </c>
    </row>
    <row r="4287" spans="1:10" ht="39" hidden="1" thickBot="1" x14ac:dyDescent="0.3">
      <c r="A4287" s="171"/>
      <c r="B4287" s="174"/>
      <c r="C4287" s="35" t="s">
        <v>1123</v>
      </c>
      <c r="D4287" s="35" t="s">
        <v>861</v>
      </c>
      <c r="E4287" s="36">
        <v>1.0042</v>
      </c>
      <c r="F4287" s="53">
        <v>57.1235</v>
      </c>
      <c r="G4287" s="53">
        <f>IF(ISNUMBER(F4287),E4287*F4287,"")</f>
        <v>57.363418699999997</v>
      </c>
      <c r="H4287" s="72"/>
      <c r="I4287" s="73"/>
      <c r="J4287" s="152">
        <v>0</v>
      </c>
    </row>
    <row r="4288" spans="1:10" ht="15.75" hidden="1" thickBot="1" x14ac:dyDescent="0.3">
      <c r="A4288" s="171"/>
      <c r="B4288" s="174"/>
      <c r="C4288" s="35" t="s">
        <v>1124</v>
      </c>
      <c r="D4288" s="35" t="s">
        <v>583</v>
      </c>
      <c r="E4288" s="36">
        <v>9.7000000000000003E-2</v>
      </c>
      <c r="F4288" s="53">
        <v>25.127499999999998</v>
      </c>
      <c r="G4288" s="53">
        <f>IF(ISNUMBER(F4288),E4288*F4288,"")</f>
        <v>2.4373674999999997</v>
      </c>
      <c r="H4288" s="72"/>
      <c r="I4288" s="73"/>
      <c r="J4288" s="152">
        <v>0</v>
      </c>
    </row>
    <row r="4289" spans="1:10" ht="15.75" hidden="1" thickBot="1" x14ac:dyDescent="0.3">
      <c r="A4289" s="171"/>
      <c r="B4289" s="174"/>
      <c r="C4289" s="35" t="s">
        <v>584</v>
      </c>
      <c r="D4289" s="35" t="s">
        <v>583</v>
      </c>
      <c r="E4289" s="36">
        <v>9.7000000000000003E-2</v>
      </c>
      <c r="F4289" s="53">
        <v>20.225499999999997</v>
      </c>
      <c r="G4289" s="53">
        <f>IF(ISNUMBER(F4289),E4289*F4289,"")</f>
        <v>1.9618734999999998</v>
      </c>
      <c r="H4289" s="72"/>
      <c r="I4289" s="73"/>
      <c r="J4289" s="152">
        <v>0</v>
      </c>
    </row>
    <row r="4290" spans="1:10" ht="39" hidden="1" thickBot="1" x14ac:dyDescent="0.3">
      <c r="A4290" s="171"/>
      <c r="B4290" s="174"/>
      <c r="C4290" s="35" t="s">
        <v>963</v>
      </c>
      <c r="D4290" s="35" t="s">
        <v>813</v>
      </c>
      <c r="E4290" s="36">
        <v>4.1000000000000003E-3</v>
      </c>
      <c r="F4290" s="53">
        <v>7.6094999999999997</v>
      </c>
      <c r="G4290" s="53">
        <f>IF(ISNUMBER(F4290),E4290*F4290,"")</f>
        <v>3.1198950000000003E-2</v>
      </c>
      <c r="H4290" s="72"/>
      <c r="I4290" s="73"/>
      <c r="J4290" s="152">
        <v>0</v>
      </c>
    </row>
    <row r="4291" spans="1:10" ht="39" hidden="1" thickBot="1" x14ac:dyDescent="0.3">
      <c r="A4291" s="171"/>
      <c r="B4291" s="174"/>
      <c r="C4291" s="35" t="s">
        <v>1125</v>
      </c>
      <c r="D4291" s="35" t="s">
        <v>815</v>
      </c>
      <c r="E4291" s="36">
        <v>4.4400000000000002E-2</v>
      </c>
      <c r="F4291" s="53">
        <v>0.54149999999999998</v>
      </c>
      <c r="G4291" s="53">
        <f>IF(ISNUMBER(F4291),E4291*F4291,"")</f>
        <v>2.4042600000000001E-2</v>
      </c>
      <c r="H4291" s="72"/>
      <c r="I4291" s="73"/>
      <c r="J4291" s="152">
        <v>0</v>
      </c>
    </row>
    <row r="4292" spans="1:10" ht="51.75" hidden="1" thickBot="1" x14ac:dyDescent="0.3">
      <c r="A4292" s="171"/>
      <c r="B4292" s="174"/>
      <c r="C4292" s="35" t="s">
        <v>1126</v>
      </c>
      <c r="D4292" s="35" t="s">
        <v>813</v>
      </c>
      <c r="E4292" s="36">
        <v>3.7000000000000002E-3</v>
      </c>
      <c r="F4292" s="53">
        <v>8.2744999999999997</v>
      </c>
      <c r="G4292" s="53">
        <f>IF(ISNUMBER(F4292),E4292*F4292,"")</f>
        <v>3.0615650000000001E-2</v>
      </c>
      <c r="H4292" s="72"/>
      <c r="I4292" s="73"/>
      <c r="J4292" s="152">
        <v>0</v>
      </c>
    </row>
    <row r="4293" spans="1:10" ht="51.75" hidden="1" thickBot="1" x14ac:dyDescent="0.3">
      <c r="A4293" s="171"/>
      <c r="B4293" s="174"/>
      <c r="C4293" s="35" t="s">
        <v>1127</v>
      </c>
      <c r="D4293" s="35" t="s">
        <v>815</v>
      </c>
      <c r="E4293" s="36">
        <v>4.48E-2</v>
      </c>
      <c r="F4293" s="53">
        <v>0.82650000000000001</v>
      </c>
      <c r="G4293" s="53">
        <f>IF(ISNUMBER(F4293),E4293*F4293,"")</f>
        <v>3.7027200000000003E-2</v>
      </c>
      <c r="H4293" s="72"/>
      <c r="I4293" s="73"/>
      <c r="J4293" s="152">
        <v>0</v>
      </c>
    </row>
    <row r="4294" spans="1:10" ht="51.75" hidden="1" thickBot="1" x14ac:dyDescent="0.3">
      <c r="A4294" s="171"/>
      <c r="B4294" s="174"/>
      <c r="C4294" s="35" t="s">
        <v>3071</v>
      </c>
      <c r="D4294" s="35" t="s">
        <v>80</v>
      </c>
      <c r="E4294" s="36">
        <f>1*(E4285+E4286)</f>
        <v>6.0400000000000002E-2</v>
      </c>
      <c r="F4294" s="33">
        <v>7.9257587999999988</v>
      </c>
      <c r="G4294" s="33">
        <f>IF(ISNUMBER(F4294),E4294*F4294,"")</f>
        <v>0.47871583151999997</v>
      </c>
      <c r="H4294" s="34"/>
      <c r="I4294" s="30"/>
      <c r="J4294" s="152">
        <v>0</v>
      </c>
    </row>
    <row r="4295" spans="1:10" ht="39" hidden="1" thickBot="1" x14ac:dyDescent="0.3">
      <c r="A4295" s="171"/>
      <c r="B4295" s="174"/>
      <c r="C4295" s="35" t="s">
        <v>88</v>
      </c>
      <c r="D4295" s="35" t="s">
        <v>89</v>
      </c>
      <c r="E4295" s="36">
        <f>20*(E4285+E4286)</f>
        <v>1.208</v>
      </c>
      <c r="F4295" s="53">
        <v>2.6576449499999995</v>
      </c>
      <c r="G4295" s="53">
        <f>IF(ISNUMBER(F4295),E4295*F4295,"")</f>
        <v>3.2104350995999993</v>
      </c>
      <c r="H4295" s="72"/>
      <c r="I4295" s="73"/>
      <c r="J4295" s="152">
        <v>0</v>
      </c>
    </row>
    <row r="4296" spans="1:10" ht="15.75" hidden="1" thickBot="1" x14ac:dyDescent="0.3">
      <c r="A4296" s="171"/>
      <c r="B4296" s="174"/>
      <c r="C4296" s="35"/>
      <c r="D4296" s="35"/>
      <c r="E4296" s="36"/>
      <c r="F4296" s="53" t="s">
        <v>416</v>
      </c>
      <c r="G4296" s="53" t="str">
        <f>IF(ISNUMBER(F4296),E4296*F4296,"")</f>
        <v/>
      </c>
      <c r="H4296" s="72"/>
      <c r="I4296" s="73"/>
      <c r="J4296" s="152">
        <v>0</v>
      </c>
    </row>
    <row r="4297" spans="1:10" ht="26.25" hidden="1" thickBot="1" x14ac:dyDescent="0.3">
      <c r="A4297" s="171"/>
      <c r="B4297" s="174"/>
      <c r="C4297" s="47" t="s">
        <v>1128</v>
      </c>
      <c r="D4297" s="35"/>
      <c r="E4297" s="36"/>
      <c r="F4297" s="53" t="s">
        <v>416</v>
      </c>
      <c r="G4297" s="53" t="str">
        <f>IF(ISNUMBER(F4297),E4297*F4297,"")</f>
        <v/>
      </c>
      <c r="H4297" s="72"/>
      <c r="I4297" s="73"/>
      <c r="J4297" s="152">
        <v>0</v>
      </c>
    </row>
    <row r="4298" spans="1:10" ht="15.75" hidden="1" thickBot="1" x14ac:dyDescent="0.3">
      <c r="A4298" s="172"/>
      <c r="B4298" s="175"/>
      <c r="C4298" s="54"/>
      <c r="D4298" s="54"/>
      <c r="E4298" s="65"/>
      <c r="F4298" s="75" t="s">
        <v>416</v>
      </c>
      <c r="G4298" s="75" t="str">
        <f>IF(ISNUMBER(F4298),E4298*F4298,"")</f>
        <v/>
      </c>
      <c r="H4298" s="76"/>
      <c r="I4298" s="73"/>
      <c r="J4298" s="152">
        <v>0</v>
      </c>
    </row>
    <row r="4299" spans="1:10" ht="15.75" hidden="1" thickBot="1" x14ac:dyDescent="0.3">
      <c r="A4299" s="170" t="s">
        <v>1129</v>
      </c>
      <c r="B4299" s="173" t="str">
        <f>INDEX(Orçamentária!A:B,MATCH(Composições!A4299,Orçamentária!A:A,0),2)</f>
        <v>Pavimentação com Asfalto Pré-Misturado a Frio (PMF)</v>
      </c>
      <c r="C4299" s="40"/>
      <c r="D4299" s="25" t="s">
        <v>80</v>
      </c>
      <c r="E4299" s="26"/>
      <c r="F4299" s="48" t="s">
        <v>416</v>
      </c>
      <c r="G4299" s="27" t="str">
        <f>IF(ISNUMBER(F4299),E4299*F4299,"")</f>
        <v/>
      </c>
      <c r="H4299" s="28"/>
      <c r="I4299" s="29"/>
      <c r="J4299" s="152">
        <v>0</v>
      </c>
    </row>
    <row r="4300" spans="1:10" ht="15.75" hidden="1" thickBot="1" x14ac:dyDescent="0.3">
      <c r="A4300" s="171"/>
      <c r="B4300" s="174"/>
      <c r="C4300" s="31"/>
      <c r="D4300" s="31"/>
      <c r="E4300" s="32"/>
      <c r="F4300" s="53" t="s">
        <v>416</v>
      </c>
      <c r="G4300" s="53" t="str">
        <f>IF(ISNUMBER(F4300),E4300*F4300,"")</f>
        <v/>
      </c>
      <c r="H4300" s="72"/>
      <c r="I4300" s="73"/>
      <c r="J4300" s="152">
        <v>0</v>
      </c>
    </row>
    <row r="4301" spans="1:10" ht="15.75" hidden="1" thickBot="1" x14ac:dyDescent="0.3">
      <c r="A4301" s="171"/>
      <c r="B4301" s="174"/>
      <c r="C4301" s="35" t="s">
        <v>584</v>
      </c>
      <c r="D4301" s="35" t="s">
        <v>583</v>
      </c>
      <c r="E4301" s="36">
        <v>0.4</v>
      </c>
      <c r="F4301" s="53">
        <v>20.225499999999997</v>
      </c>
      <c r="G4301" s="53">
        <f>IF(ISNUMBER(F4301),E4301*F4301,"")</f>
        <v>8.0901999999999994</v>
      </c>
      <c r="H4301" s="38">
        <f>SUM(G4301:G4322)</f>
        <v>466.60016038200001</v>
      </c>
      <c r="I4301" s="39"/>
      <c r="J4301" s="152">
        <v>0</v>
      </c>
    </row>
    <row r="4302" spans="1:10" ht="39" hidden="1" thickBot="1" x14ac:dyDescent="0.3">
      <c r="A4302" s="171"/>
      <c r="B4302" s="174"/>
      <c r="C4302" s="35" t="s">
        <v>1130</v>
      </c>
      <c r="D4302" s="35" t="s">
        <v>815</v>
      </c>
      <c r="E4302" s="36">
        <v>6.0000000000000001E-3</v>
      </c>
      <c r="F4302" s="53">
        <v>79.382000000000005</v>
      </c>
      <c r="G4302" s="53">
        <f>IF(ISNUMBER(F4302),E4302*F4302,"")</f>
        <v>0.47629200000000005</v>
      </c>
      <c r="H4302" s="72"/>
      <c r="I4302" s="73"/>
      <c r="J4302" s="152">
        <v>0</v>
      </c>
    </row>
    <row r="4303" spans="1:10" ht="39" hidden="1" thickBot="1" x14ac:dyDescent="0.3">
      <c r="A4303" s="171"/>
      <c r="B4303" s="174"/>
      <c r="C4303" s="35" t="s">
        <v>1131</v>
      </c>
      <c r="D4303" s="35" t="s">
        <v>813</v>
      </c>
      <c r="E4303" s="36">
        <v>1.0699999999999999E-2</v>
      </c>
      <c r="F4303" s="53">
        <v>204.40199999999999</v>
      </c>
      <c r="G4303" s="53">
        <f>IF(ISNUMBER(F4303),E4303*F4303,"")</f>
        <v>2.1871013999999995</v>
      </c>
      <c r="H4303" s="72"/>
      <c r="I4303" s="73"/>
      <c r="J4303" s="152">
        <v>0</v>
      </c>
    </row>
    <row r="4304" spans="1:10" ht="39" hidden="1" thickBot="1" x14ac:dyDescent="0.3">
      <c r="A4304" s="171"/>
      <c r="B4304" s="174"/>
      <c r="C4304" s="35" t="s">
        <v>1132</v>
      </c>
      <c r="D4304" s="35" t="s">
        <v>813</v>
      </c>
      <c r="E4304" s="36">
        <v>6.1999999999999998E-3</v>
      </c>
      <c r="F4304" s="53">
        <v>216.73299999999998</v>
      </c>
      <c r="G4304" s="53">
        <f>IF(ISNUMBER(F4304),E4304*F4304,"")</f>
        <v>1.3437445999999997</v>
      </c>
      <c r="H4304" s="72"/>
      <c r="I4304" s="73"/>
      <c r="J4304" s="152">
        <v>0</v>
      </c>
    </row>
    <row r="4305" spans="1:10" ht="39" hidden="1" thickBot="1" x14ac:dyDescent="0.3">
      <c r="A4305" s="171"/>
      <c r="B4305" s="174"/>
      <c r="C4305" s="35" t="s">
        <v>1133</v>
      </c>
      <c r="D4305" s="35" t="s">
        <v>815</v>
      </c>
      <c r="E4305" s="36">
        <v>1.0500000000000001E-2</v>
      </c>
      <c r="F4305" s="53">
        <v>73.662999999999997</v>
      </c>
      <c r="G4305" s="53">
        <f>IF(ISNUMBER(F4305),E4305*F4305,"")</f>
        <v>0.77346150000000002</v>
      </c>
      <c r="H4305" s="72"/>
      <c r="I4305" s="73"/>
      <c r="J4305" s="152">
        <v>0</v>
      </c>
    </row>
    <row r="4306" spans="1:10" ht="26.25" hidden="1" thickBot="1" x14ac:dyDescent="0.3">
      <c r="A4306" s="171"/>
      <c r="B4306" s="174"/>
      <c r="C4306" s="35" t="s">
        <v>1134</v>
      </c>
      <c r="D4306" s="35" t="s">
        <v>815</v>
      </c>
      <c r="E4306" s="36">
        <v>1.2200000000000001E-2</v>
      </c>
      <c r="F4306" s="53">
        <v>36.841000000000001</v>
      </c>
      <c r="G4306" s="53">
        <f>IF(ISNUMBER(F4306),E4306*F4306,"")</f>
        <v>0.44946020000000003</v>
      </c>
      <c r="H4306" s="72"/>
      <c r="I4306" s="73"/>
      <c r="J4306" s="152">
        <v>0</v>
      </c>
    </row>
    <row r="4307" spans="1:10" ht="26.25" hidden="1" thickBot="1" x14ac:dyDescent="0.3">
      <c r="A4307" s="171"/>
      <c r="B4307" s="174"/>
      <c r="C4307" s="35" t="s">
        <v>1135</v>
      </c>
      <c r="D4307" s="35" t="s">
        <v>813</v>
      </c>
      <c r="E4307" s="36">
        <v>4.4999999999999997E-3</v>
      </c>
      <c r="F4307" s="53">
        <v>116.39399999999999</v>
      </c>
      <c r="G4307" s="53">
        <f>IF(ISNUMBER(F4307),E4307*F4307,"")</f>
        <v>0.52377299999999993</v>
      </c>
      <c r="H4307" s="72"/>
      <c r="I4307" s="73"/>
      <c r="J4307" s="152">
        <v>0</v>
      </c>
    </row>
    <row r="4308" spans="1:10" ht="26.25" hidden="1" thickBot="1" x14ac:dyDescent="0.3">
      <c r="A4308" s="171"/>
      <c r="B4308" s="174"/>
      <c r="C4308" s="35" t="s">
        <v>1136</v>
      </c>
      <c r="D4308" s="35" t="s">
        <v>815</v>
      </c>
      <c r="E4308" s="36">
        <v>1.2200000000000001E-2</v>
      </c>
      <c r="F4308" s="53">
        <v>4.8734999999999999</v>
      </c>
      <c r="G4308" s="53">
        <f>IF(ISNUMBER(F4308),E4308*F4308,"")</f>
        <v>5.9456700000000001E-2</v>
      </c>
      <c r="H4308" s="72"/>
      <c r="I4308" s="73"/>
      <c r="J4308" s="152">
        <v>0</v>
      </c>
    </row>
    <row r="4309" spans="1:10" ht="39" hidden="1" thickBot="1" x14ac:dyDescent="0.3">
      <c r="A4309" s="171"/>
      <c r="B4309" s="174"/>
      <c r="C4309" s="35" t="s">
        <v>1137</v>
      </c>
      <c r="D4309" s="35" t="s">
        <v>813</v>
      </c>
      <c r="E4309" s="36">
        <v>4.4999999999999997E-3</v>
      </c>
      <c r="F4309" s="53">
        <v>10.241</v>
      </c>
      <c r="G4309" s="53">
        <f>IF(ISNUMBER(F4309),E4309*F4309,"")</f>
        <v>4.6084499999999994E-2</v>
      </c>
      <c r="H4309" s="72"/>
      <c r="I4309" s="73"/>
      <c r="J4309" s="152">
        <v>0</v>
      </c>
    </row>
    <row r="4310" spans="1:10" ht="39" hidden="1" thickBot="1" x14ac:dyDescent="0.3">
      <c r="A4310" s="171"/>
      <c r="B4310" s="174"/>
      <c r="C4310" s="35" t="s">
        <v>1138</v>
      </c>
      <c r="D4310" s="35" t="s">
        <v>813</v>
      </c>
      <c r="E4310" s="36">
        <v>1.67E-2</v>
      </c>
      <c r="F4310" s="53">
        <v>377.55849999999998</v>
      </c>
      <c r="G4310" s="53">
        <f>IF(ISNUMBER(F4310),E4310*F4310,"")</f>
        <v>6.3052269499999998</v>
      </c>
      <c r="H4310" s="72"/>
      <c r="I4310" s="73"/>
      <c r="J4310" s="152">
        <v>0</v>
      </c>
    </row>
    <row r="4311" spans="1:10" ht="39" hidden="1" thickBot="1" x14ac:dyDescent="0.3">
      <c r="A4311" s="171"/>
      <c r="B4311" s="174"/>
      <c r="C4311" s="35" t="s">
        <v>1139</v>
      </c>
      <c r="D4311" s="35" t="s">
        <v>813</v>
      </c>
      <c r="E4311" s="36">
        <v>2.7199999999999998E-2</v>
      </c>
      <c r="F4311" s="53">
        <v>254.09650000000002</v>
      </c>
      <c r="G4311" s="53">
        <f>IF(ISNUMBER(F4311),E4311*F4311,"")</f>
        <v>6.9114247999999998</v>
      </c>
      <c r="H4311" s="72"/>
      <c r="I4311" s="73"/>
      <c r="J4311" s="152">
        <v>0</v>
      </c>
    </row>
    <row r="4312" spans="1:10" ht="15.75" hidden="1" thickBot="1" x14ac:dyDescent="0.3">
      <c r="A4312" s="171"/>
      <c r="B4312" s="174"/>
      <c r="C4312" s="35" t="s">
        <v>584</v>
      </c>
      <c r="D4312" s="35" t="s">
        <v>583</v>
      </c>
      <c r="E4312" s="36">
        <v>0.3</v>
      </c>
      <c r="F4312" s="53">
        <v>20.225499999999997</v>
      </c>
      <c r="G4312" s="53">
        <f>IF(ISNUMBER(F4312),E4312*F4312,"")</f>
        <v>6.0676499999999987</v>
      </c>
      <c r="H4312" s="72"/>
      <c r="I4312" s="73"/>
      <c r="J4312" s="152">
        <v>0</v>
      </c>
    </row>
    <row r="4313" spans="1:10" ht="26.25" hidden="1" thickBot="1" x14ac:dyDescent="0.3">
      <c r="A4313" s="171"/>
      <c r="B4313" s="174"/>
      <c r="C4313" s="35" t="s">
        <v>1140</v>
      </c>
      <c r="D4313" s="35" t="s">
        <v>87</v>
      </c>
      <c r="E4313" s="36">
        <v>0.18</v>
      </c>
      <c r="F4313" s="53">
        <v>204.97199999999998</v>
      </c>
      <c r="G4313" s="53">
        <f>IF(ISNUMBER(F4313),E4313*F4313,"")</f>
        <v>36.894959999999998</v>
      </c>
      <c r="H4313" s="72"/>
      <c r="I4313" s="73"/>
      <c r="J4313" s="152">
        <v>0</v>
      </c>
    </row>
    <row r="4314" spans="1:10" ht="26.25" hidden="1" thickBot="1" x14ac:dyDescent="0.3">
      <c r="A4314" s="171"/>
      <c r="B4314" s="174"/>
      <c r="C4314" s="35" t="s">
        <v>633</v>
      </c>
      <c r="D4314" s="35" t="s">
        <v>87</v>
      </c>
      <c r="E4314" s="36">
        <v>1.26</v>
      </c>
      <c r="F4314" s="53">
        <v>203.71799999999999</v>
      </c>
      <c r="G4314" s="53">
        <f>IF(ISNUMBER(F4314),E4314*F4314,"")</f>
        <v>256.68468000000001</v>
      </c>
      <c r="H4314" s="72"/>
      <c r="I4314" s="73"/>
      <c r="J4314" s="152">
        <v>0</v>
      </c>
    </row>
    <row r="4315" spans="1:10" ht="15.75" hidden="1" thickBot="1" x14ac:dyDescent="0.3">
      <c r="A4315" s="171"/>
      <c r="B4315" s="174"/>
      <c r="C4315" s="35" t="s">
        <v>7082</v>
      </c>
      <c r="D4315" s="35" t="s">
        <v>1141</v>
      </c>
      <c r="E4315" s="36">
        <v>0.14000000000000001</v>
      </c>
      <c r="F4315" s="53">
        <v>0</v>
      </c>
      <c r="G4315" s="53">
        <f>IF(ISNUMBER(F4315),E4315*F4315,"")</f>
        <v>0</v>
      </c>
      <c r="H4315" s="72"/>
      <c r="I4315" s="73"/>
      <c r="J4315" s="152">
        <v>0</v>
      </c>
    </row>
    <row r="4316" spans="1:10" ht="26.25" hidden="1" thickBot="1" x14ac:dyDescent="0.3">
      <c r="A4316" s="171"/>
      <c r="B4316" s="174"/>
      <c r="C4316" s="35" t="s">
        <v>1142</v>
      </c>
      <c r="D4316" s="35" t="s">
        <v>813</v>
      </c>
      <c r="E4316" s="36">
        <v>0.05</v>
      </c>
      <c r="F4316" s="53">
        <v>165.8415</v>
      </c>
      <c r="G4316" s="53">
        <f>IF(ISNUMBER(F4316),E4316*F4316,"")</f>
        <v>8.2920750000000005</v>
      </c>
      <c r="H4316" s="72"/>
      <c r="I4316" s="73"/>
      <c r="J4316" s="152">
        <v>0</v>
      </c>
    </row>
    <row r="4317" spans="1:10" ht="39" hidden="1" thickBot="1" x14ac:dyDescent="0.3">
      <c r="A4317" s="171"/>
      <c r="B4317" s="174"/>
      <c r="C4317" s="35" t="s">
        <v>1143</v>
      </c>
      <c r="D4317" s="35" t="s">
        <v>813</v>
      </c>
      <c r="E4317" s="36">
        <v>2.1000000000000001E-2</v>
      </c>
      <c r="F4317" s="53">
        <v>207.61299999999997</v>
      </c>
      <c r="G4317" s="53">
        <f>IF(ISNUMBER(F4317),E4317*F4317,"")</f>
        <v>4.3598729999999994</v>
      </c>
      <c r="H4317" s="72"/>
      <c r="I4317" s="73"/>
      <c r="J4317" s="152">
        <v>0</v>
      </c>
    </row>
    <row r="4318" spans="1:10" ht="39" hidden="1" thickBot="1" x14ac:dyDescent="0.3">
      <c r="A4318" s="171"/>
      <c r="B4318" s="174"/>
      <c r="C4318" s="35" t="s">
        <v>1144</v>
      </c>
      <c r="D4318" s="35" t="s">
        <v>815</v>
      </c>
      <c r="E4318" s="36">
        <v>2.9000000000000001E-2</v>
      </c>
      <c r="F4318" s="53">
        <v>78.935500000000005</v>
      </c>
      <c r="G4318" s="53">
        <f>IF(ISNUMBER(F4318),E4318*F4318,"")</f>
        <v>2.2891295</v>
      </c>
      <c r="H4318" s="72"/>
      <c r="I4318" s="73"/>
      <c r="J4318" s="152">
        <v>0</v>
      </c>
    </row>
    <row r="4319" spans="1:10" ht="26.25" hidden="1" thickBot="1" x14ac:dyDescent="0.3">
      <c r="A4319" s="171"/>
      <c r="B4319" s="174"/>
      <c r="C4319" s="35" t="s">
        <v>1145</v>
      </c>
      <c r="D4319" s="35" t="s">
        <v>813</v>
      </c>
      <c r="E4319" s="36">
        <v>0.05</v>
      </c>
      <c r="F4319" s="53">
        <v>225.89099999999999</v>
      </c>
      <c r="G4319" s="53">
        <f>IF(ISNUMBER(F4319),E4319*F4319,"")</f>
        <v>11.294550000000001</v>
      </c>
      <c r="H4319" s="72"/>
      <c r="I4319" s="73"/>
      <c r="J4319" s="152">
        <v>0</v>
      </c>
    </row>
    <row r="4320" spans="1:10" ht="26.25" hidden="1" thickBot="1" x14ac:dyDescent="0.3">
      <c r="A4320" s="171"/>
      <c r="B4320" s="174"/>
      <c r="C4320" s="35" t="s">
        <v>1146</v>
      </c>
      <c r="D4320" s="35" t="s">
        <v>813</v>
      </c>
      <c r="E4320" s="36">
        <v>0.1</v>
      </c>
      <c r="F4320" s="53">
        <v>255.97749999999996</v>
      </c>
      <c r="G4320" s="53">
        <f>IF(ISNUMBER(F4320),E4320*F4320,"")</f>
        <v>25.597749999999998</v>
      </c>
      <c r="H4320" s="72"/>
      <c r="I4320" s="73"/>
      <c r="J4320" s="152">
        <v>0</v>
      </c>
    </row>
    <row r="4321" spans="1:10" ht="51.75" hidden="1" thickBot="1" x14ac:dyDescent="0.3">
      <c r="A4321" s="171"/>
      <c r="B4321" s="174"/>
      <c r="C4321" s="35" t="s">
        <v>3071</v>
      </c>
      <c r="D4321" s="35" t="s">
        <v>80</v>
      </c>
      <c r="E4321" s="36">
        <f>1*(E4313+E4314)</f>
        <v>1.44</v>
      </c>
      <c r="F4321" s="33">
        <v>7.9257587999999988</v>
      </c>
      <c r="G4321" s="33">
        <f>IF(ISNUMBER(F4321),E4321*F4321,"")</f>
        <v>11.413092671999998</v>
      </c>
      <c r="H4321" s="34"/>
      <c r="I4321" s="30"/>
      <c r="J4321" s="152">
        <v>0</v>
      </c>
    </row>
    <row r="4322" spans="1:10" ht="39" hidden="1" thickBot="1" x14ac:dyDescent="0.3">
      <c r="A4322" s="171"/>
      <c r="B4322" s="174"/>
      <c r="C4322" s="35" t="s">
        <v>88</v>
      </c>
      <c r="D4322" s="35" t="s">
        <v>89</v>
      </c>
      <c r="E4322" s="36">
        <f>20*(E4314+E4313)</f>
        <v>28.799999999999997</v>
      </c>
      <c r="F4322" s="53">
        <v>2.6576449499999995</v>
      </c>
      <c r="G4322" s="53">
        <f>IF(ISNUMBER(F4322),E4322*F4322,"")</f>
        <v>76.540174559999983</v>
      </c>
      <c r="H4322" s="72"/>
      <c r="I4322" s="73"/>
      <c r="J4322" s="152">
        <v>0</v>
      </c>
    </row>
    <row r="4323" spans="1:10" ht="15.75" hidden="1" thickBot="1" x14ac:dyDescent="0.3">
      <c r="A4323" s="171"/>
      <c r="B4323" s="174"/>
      <c r="C4323" s="35"/>
      <c r="D4323" s="35"/>
      <c r="E4323" s="36"/>
      <c r="F4323" s="53" t="s">
        <v>416</v>
      </c>
      <c r="G4323" s="53" t="str">
        <f>IF(ISNUMBER(F4323),E4323*F4323,"")</f>
        <v/>
      </c>
      <c r="H4323" s="72"/>
      <c r="I4323" s="73"/>
      <c r="J4323" s="152">
        <v>0</v>
      </c>
    </row>
    <row r="4324" spans="1:10" ht="26.25" hidden="1" thickBot="1" x14ac:dyDescent="0.3">
      <c r="A4324" s="171"/>
      <c r="B4324" s="174"/>
      <c r="C4324" s="47" t="s">
        <v>1128</v>
      </c>
      <c r="D4324" s="35"/>
      <c r="E4324" s="36"/>
      <c r="F4324" s="53" t="s">
        <v>416</v>
      </c>
      <c r="G4324" s="53" t="str">
        <f>IF(ISNUMBER(F4324),E4324*F4324,"")</f>
        <v/>
      </c>
      <c r="H4324" s="72"/>
      <c r="I4324" s="73"/>
      <c r="J4324" s="152">
        <v>0</v>
      </c>
    </row>
    <row r="4325" spans="1:10" ht="15.75" hidden="1" thickBot="1" x14ac:dyDescent="0.3">
      <c r="A4325" s="172"/>
      <c r="B4325" s="175"/>
      <c r="C4325" s="54"/>
      <c r="D4325" s="54"/>
      <c r="E4325" s="65"/>
      <c r="F4325" s="75" t="s">
        <v>416</v>
      </c>
      <c r="G4325" s="75" t="str">
        <f>IF(ISNUMBER(F4325),E4325*F4325,"")</f>
        <v/>
      </c>
      <c r="H4325" s="76"/>
      <c r="I4325" s="73"/>
      <c r="J4325" s="152">
        <v>0</v>
      </c>
    </row>
    <row r="4326" spans="1:10" ht="15.75" hidden="1" thickBot="1" x14ac:dyDescent="0.3">
      <c r="A4326" s="170" t="s">
        <v>1147</v>
      </c>
      <c r="B4326" s="173" t="str">
        <f>INDEX(Orçamentária!A:B,MATCH(Composições!A4326,Orçamentária!A:A,0),2)</f>
        <v>Pavimentação asfáltica com CBUQ para aplicação a frio (remendo)</v>
      </c>
      <c r="C4326" s="40"/>
      <c r="D4326" s="25" t="s">
        <v>80</v>
      </c>
      <c r="E4326" s="26"/>
      <c r="F4326" s="48" t="s">
        <v>416</v>
      </c>
      <c r="G4326" s="27" t="str">
        <f>IF(ISNUMBER(F4326),E4326*F4326,"")</f>
        <v/>
      </c>
      <c r="H4326" s="28"/>
      <c r="I4326" s="29"/>
      <c r="J4326" s="152">
        <v>0</v>
      </c>
    </row>
    <row r="4327" spans="1:10" ht="15.75" hidden="1" thickBot="1" x14ac:dyDescent="0.3">
      <c r="A4327" s="171"/>
      <c r="B4327" s="174"/>
      <c r="C4327" s="31"/>
      <c r="D4327" s="31"/>
      <c r="E4327" s="32"/>
      <c r="F4327" s="53" t="s">
        <v>416</v>
      </c>
      <c r="G4327" s="53" t="str">
        <f>IF(ISNUMBER(F4327),E4327*F4327,"")</f>
        <v/>
      </c>
      <c r="H4327" s="72"/>
      <c r="I4327" s="73"/>
      <c r="J4327" s="152">
        <v>0</v>
      </c>
    </row>
    <row r="4328" spans="1:10" ht="15.75" hidden="1" thickBot="1" x14ac:dyDescent="0.3">
      <c r="A4328" s="171"/>
      <c r="B4328" s="174"/>
      <c r="C4328" s="35" t="s">
        <v>584</v>
      </c>
      <c r="D4328" s="35" t="s">
        <v>583</v>
      </c>
      <c r="E4328" s="36">
        <f>6/0.5</f>
        <v>12</v>
      </c>
      <c r="F4328" s="53">
        <v>20.225499999999997</v>
      </c>
      <c r="G4328" s="53">
        <f>IF(ISNUMBER(F4328),E4328*F4328,"")</f>
        <v>242.70599999999996</v>
      </c>
      <c r="H4328" s="38">
        <f>SUM(G4328:G4331)</f>
        <v>242.70599999999996</v>
      </c>
      <c r="I4328" s="39"/>
      <c r="J4328" s="152">
        <v>0</v>
      </c>
    </row>
    <row r="4329" spans="1:10" ht="15.75" hidden="1" thickBot="1" x14ac:dyDescent="0.3">
      <c r="A4329" s="171"/>
      <c r="B4329" s="174"/>
      <c r="C4329" s="35" t="s">
        <v>1148</v>
      </c>
      <c r="D4329" s="35" t="s">
        <v>813</v>
      </c>
      <c r="E4329" s="36">
        <f>0.2/0.5</f>
        <v>0.4</v>
      </c>
      <c r="F4329" s="53">
        <v>0</v>
      </c>
      <c r="G4329" s="53">
        <f>IF(ISNUMBER(F4329),E4329*F4329,"")</f>
        <v>0</v>
      </c>
      <c r="H4329" s="72"/>
      <c r="I4329" s="73"/>
      <c r="J4329" s="152">
        <v>0</v>
      </c>
    </row>
    <row r="4330" spans="1:10" ht="15.75" hidden="1" thickBot="1" x14ac:dyDescent="0.3">
      <c r="A4330" s="171"/>
      <c r="B4330" s="174"/>
      <c r="C4330" s="35" t="s">
        <v>1149</v>
      </c>
      <c r="D4330" s="35" t="s">
        <v>815</v>
      </c>
      <c r="E4330" s="36">
        <f>0.8/0.5</f>
        <v>1.6</v>
      </c>
      <c r="F4330" s="53">
        <v>0</v>
      </c>
      <c r="G4330" s="53">
        <f>IF(ISNUMBER(F4330),E4330*F4330,"")</f>
        <v>0</v>
      </c>
      <c r="H4330" s="72"/>
      <c r="I4330" s="73"/>
      <c r="J4330" s="152">
        <v>0</v>
      </c>
    </row>
    <row r="4331" spans="1:10" ht="15.75" hidden="1" thickBot="1" x14ac:dyDescent="0.3">
      <c r="A4331" s="171"/>
      <c r="B4331" s="174"/>
      <c r="C4331" s="35" t="s">
        <v>1150</v>
      </c>
      <c r="D4331" s="35" t="s">
        <v>28</v>
      </c>
      <c r="E4331" s="36">
        <v>2500</v>
      </c>
      <c r="F4331" s="53" t="s">
        <v>416</v>
      </c>
      <c r="G4331" s="53" t="str">
        <f>IF(ISNUMBER(F4331),E4331*F4331,"")</f>
        <v/>
      </c>
      <c r="H4331" s="72"/>
      <c r="I4331" s="73"/>
      <c r="J4331" s="152">
        <v>0</v>
      </c>
    </row>
    <row r="4332" spans="1:10" ht="15.75" hidden="1" thickBot="1" x14ac:dyDescent="0.3">
      <c r="A4332" s="172"/>
      <c r="B4332" s="175"/>
      <c r="C4332" s="54"/>
      <c r="D4332" s="54"/>
      <c r="E4332" s="65"/>
      <c r="F4332" s="75" t="s">
        <v>416</v>
      </c>
      <c r="G4332" s="75" t="str">
        <f>IF(ISNUMBER(F4332),E4332*F4332,"")</f>
        <v/>
      </c>
      <c r="H4332" s="76"/>
      <c r="I4332" s="73"/>
      <c r="J4332" s="152">
        <v>0</v>
      </c>
    </row>
    <row r="4333" spans="1:10" ht="15.75" hidden="1" thickBot="1" x14ac:dyDescent="0.3">
      <c r="A4333" s="170" t="s">
        <v>1151</v>
      </c>
      <c r="B4333" s="173" t="str">
        <f>INDEX(Orçamentária!A:B,MATCH(Composições!A4333,Orçamentária!A:A,0),2)</f>
        <v>Pintura para sinalização e demarcação viária horizontal</v>
      </c>
      <c r="C4333" s="40"/>
      <c r="D4333" s="25" t="s">
        <v>69</v>
      </c>
      <c r="E4333" s="26"/>
      <c r="F4333" s="48" t="s">
        <v>416</v>
      </c>
      <c r="G4333" s="27" t="str">
        <f>IF(ISNUMBER(F4333),E4333*F4333,"")</f>
        <v/>
      </c>
      <c r="H4333" s="28"/>
      <c r="I4333" s="29"/>
      <c r="J4333" s="152">
        <v>0</v>
      </c>
    </row>
    <row r="4334" spans="1:10" ht="15.75" hidden="1" thickBot="1" x14ac:dyDescent="0.3">
      <c r="A4334" s="171"/>
      <c r="B4334" s="174"/>
      <c r="C4334" s="31"/>
      <c r="D4334" s="31"/>
      <c r="E4334" s="32"/>
      <c r="F4334" s="53" t="s">
        <v>416</v>
      </c>
      <c r="G4334" s="53" t="str">
        <f>IF(ISNUMBER(F4334),E4334*F4334,"")</f>
        <v/>
      </c>
      <c r="H4334" s="72"/>
      <c r="I4334" s="73"/>
      <c r="J4334" s="152">
        <v>0</v>
      </c>
    </row>
    <row r="4335" spans="1:10" ht="15.75" hidden="1" thickBot="1" x14ac:dyDescent="0.3">
      <c r="A4335" s="171"/>
      <c r="B4335" s="174"/>
      <c r="C4335" s="35" t="s">
        <v>8136</v>
      </c>
      <c r="D4335" s="35" t="s">
        <v>75</v>
      </c>
      <c r="E4335" s="36">
        <v>2E-3</v>
      </c>
      <c r="F4335" s="53">
        <v>17.698499999999999</v>
      </c>
      <c r="G4335" s="53">
        <f>IF(ISNUMBER(F4335),E4335*F4335,"")</f>
        <v>3.5396999999999998E-2</v>
      </c>
      <c r="H4335" s="38">
        <f>SUM(G4335:G4342)</f>
        <v>4.7718918000000006</v>
      </c>
      <c r="I4335" s="39"/>
      <c r="J4335" s="152">
        <v>0</v>
      </c>
    </row>
    <row r="4336" spans="1:10" ht="26.25" hidden="1" thickBot="1" x14ac:dyDescent="0.3">
      <c r="A4336" s="171"/>
      <c r="B4336" s="174"/>
      <c r="C4336" s="35" t="s">
        <v>8440</v>
      </c>
      <c r="D4336" s="35" t="s">
        <v>75</v>
      </c>
      <c r="E4336" s="36">
        <v>4.2999999999999997E-2</v>
      </c>
      <c r="F4336" s="53">
        <v>17.926500000000001</v>
      </c>
      <c r="G4336" s="53">
        <f>IF(ISNUMBER(F4336),E4336*F4336,"")</f>
        <v>0.77083950000000001</v>
      </c>
      <c r="H4336" s="72"/>
      <c r="I4336" s="73"/>
      <c r="J4336" s="152">
        <v>0</v>
      </c>
    </row>
    <row r="4337" spans="1:10" ht="26.25" hidden="1" thickBot="1" x14ac:dyDescent="0.3">
      <c r="A4337" s="171"/>
      <c r="B4337" s="174"/>
      <c r="C4337" s="35" t="s">
        <v>1152</v>
      </c>
      <c r="D4337" s="35" t="s">
        <v>773</v>
      </c>
      <c r="E4337" s="36">
        <v>1.0999999999999999E-2</v>
      </c>
      <c r="F4337" s="53">
        <v>5.8045</v>
      </c>
      <c r="G4337" s="53">
        <f>IF(ISNUMBER(F4337),E4337*F4337,"")</f>
        <v>6.384949999999999E-2</v>
      </c>
      <c r="H4337" s="72"/>
      <c r="I4337" s="73"/>
      <c r="J4337" s="152">
        <v>0</v>
      </c>
    </row>
    <row r="4338" spans="1:10" ht="26.25" hidden="1" thickBot="1" x14ac:dyDescent="0.3">
      <c r="A4338" s="171"/>
      <c r="B4338" s="174"/>
      <c r="C4338" s="35" t="s">
        <v>8530</v>
      </c>
      <c r="D4338" s="35" t="s">
        <v>773</v>
      </c>
      <c r="E4338" s="36">
        <v>2.5000000000000001E-2</v>
      </c>
      <c r="F4338" s="53">
        <v>5.8045</v>
      </c>
      <c r="G4338" s="53">
        <f>IF(ISNUMBER(F4338),E4338*F4338,"")</f>
        <v>0.14511250000000001</v>
      </c>
      <c r="H4338" s="72"/>
      <c r="I4338" s="73"/>
      <c r="J4338" s="152">
        <v>0</v>
      </c>
    </row>
    <row r="4339" spans="1:10" ht="15.75" hidden="1" thickBot="1" x14ac:dyDescent="0.3">
      <c r="A4339" s="171"/>
      <c r="B4339" s="174"/>
      <c r="C4339" s="35" t="s">
        <v>956</v>
      </c>
      <c r="D4339" s="35" t="s">
        <v>583</v>
      </c>
      <c r="E4339" s="36">
        <v>3.4000000000000002E-2</v>
      </c>
      <c r="F4339" s="53">
        <v>28.6615</v>
      </c>
      <c r="G4339" s="53">
        <f>IF(ISNUMBER(F4339),E4339*F4339,"")</f>
        <v>0.97449100000000011</v>
      </c>
      <c r="H4339" s="72"/>
      <c r="I4339" s="73"/>
      <c r="J4339" s="152">
        <v>0</v>
      </c>
    </row>
    <row r="4340" spans="1:10" ht="15.75" hidden="1" thickBot="1" x14ac:dyDescent="0.3">
      <c r="A4340" s="171"/>
      <c r="B4340" s="174"/>
      <c r="C4340" s="35" t="s">
        <v>584</v>
      </c>
      <c r="D4340" s="35" t="s">
        <v>583</v>
      </c>
      <c r="E4340" s="36">
        <v>1.4E-2</v>
      </c>
      <c r="F4340" s="53">
        <v>20.225499999999997</v>
      </c>
      <c r="G4340" s="53">
        <f>IF(ISNUMBER(F4340),E4340*F4340,"")</f>
        <v>0.28315699999999994</v>
      </c>
      <c r="H4340" s="72"/>
      <c r="I4340" s="73"/>
      <c r="J4340" s="152">
        <v>0</v>
      </c>
    </row>
    <row r="4341" spans="1:10" ht="26.25" hidden="1" thickBot="1" x14ac:dyDescent="0.3">
      <c r="A4341" s="171"/>
      <c r="B4341" s="174"/>
      <c r="C4341" s="35" t="s">
        <v>1153</v>
      </c>
      <c r="D4341" s="35" t="s">
        <v>813</v>
      </c>
      <c r="E4341" s="36">
        <v>2.9999999999999997E-4</v>
      </c>
      <c r="F4341" s="53">
        <v>153.32999999999998</v>
      </c>
      <c r="G4341" s="53">
        <f>IF(ISNUMBER(F4341),E4341*F4341,"")</f>
        <v>4.5998999999999991E-2</v>
      </c>
      <c r="H4341" s="72"/>
      <c r="I4341" s="73"/>
      <c r="J4341" s="152">
        <v>0</v>
      </c>
    </row>
    <row r="4342" spans="1:10" ht="26.25" hidden="1" thickBot="1" x14ac:dyDescent="0.3">
      <c r="A4342" s="171"/>
      <c r="B4342" s="174"/>
      <c r="C4342" s="35" t="s">
        <v>2876</v>
      </c>
      <c r="D4342" s="35" t="s">
        <v>815</v>
      </c>
      <c r="E4342" s="36">
        <v>3.3399999999999999E-2</v>
      </c>
      <c r="F4342" s="53">
        <v>73.444500000000005</v>
      </c>
      <c r="G4342" s="53">
        <f>IF(ISNUMBER(F4342),E4342*F4342,"")</f>
        <v>2.4530463</v>
      </c>
      <c r="H4342" s="72"/>
      <c r="I4342" s="73"/>
      <c r="J4342" s="152">
        <v>0</v>
      </c>
    </row>
    <row r="4343" spans="1:10" ht="15.75" hidden="1" thickBot="1" x14ac:dyDescent="0.3">
      <c r="A4343" s="172"/>
      <c r="B4343" s="175"/>
      <c r="C4343" s="54"/>
      <c r="D4343" s="54"/>
      <c r="E4343" s="65"/>
      <c r="F4343" s="75" t="s">
        <v>416</v>
      </c>
      <c r="G4343" s="75" t="str">
        <f>IF(ISNUMBER(F4343),E4343*F4343,"")</f>
        <v/>
      </c>
      <c r="H4343" s="76"/>
      <c r="I4343" s="73"/>
      <c r="J4343" s="152">
        <v>0</v>
      </c>
    </row>
    <row r="4344" spans="1:10" ht="15.75" hidden="1" thickBot="1" x14ac:dyDescent="0.3">
      <c r="A4344" s="170" t="s">
        <v>1154</v>
      </c>
      <c r="B4344" s="173" t="str">
        <f>INDEX(Orçamentária!A:B,MATCH(Composições!A4344,Orçamentária!A:A,0),2)</f>
        <v>Telha metálica trapezoidal galvanizada - GR-40</v>
      </c>
      <c r="C4344" s="40"/>
      <c r="D4344" s="25" t="s">
        <v>70</v>
      </c>
      <c r="E4344" s="26"/>
      <c r="F4344" s="48" t="s">
        <v>416</v>
      </c>
      <c r="G4344" s="27" t="str">
        <f>IF(ISNUMBER(F4344),E4344*F4344,"")</f>
        <v/>
      </c>
      <c r="H4344" s="28"/>
      <c r="I4344" s="29"/>
      <c r="J4344" s="152">
        <v>0</v>
      </c>
    </row>
    <row r="4345" spans="1:10" ht="15.75" hidden="1" thickBot="1" x14ac:dyDescent="0.3">
      <c r="A4345" s="171"/>
      <c r="B4345" s="174"/>
      <c r="C4345" s="31"/>
      <c r="D4345" s="31"/>
      <c r="E4345" s="32"/>
      <c r="F4345" s="53" t="s">
        <v>416</v>
      </c>
      <c r="G4345" s="53" t="str">
        <f>IF(ISNUMBER(F4345),E4345*F4345,"")</f>
        <v/>
      </c>
      <c r="H4345" s="72"/>
      <c r="I4345" s="73"/>
      <c r="J4345" s="152">
        <v>0</v>
      </c>
    </row>
    <row r="4346" spans="1:10" ht="39" hidden="1" thickBot="1" x14ac:dyDescent="0.3">
      <c r="A4346" s="171"/>
      <c r="B4346" s="174"/>
      <c r="C4346" s="35" t="s">
        <v>2946</v>
      </c>
      <c r="D4346" s="35" t="s">
        <v>861</v>
      </c>
      <c r="E4346" s="36">
        <v>1.1659999999999999</v>
      </c>
      <c r="F4346" s="53">
        <v>58.320499999999996</v>
      </c>
      <c r="G4346" s="53">
        <f>IF(ISNUMBER(F4346),E4346*F4346,"")</f>
        <v>68.001702999999992</v>
      </c>
      <c r="H4346" s="38">
        <f>SUM(G4346:G4351)</f>
        <v>81.889960099999982</v>
      </c>
      <c r="I4346" s="39"/>
      <c r="J4346" s="152">
        <v>0</v>
      </c>
    </row>
    <row r="4347" spans="1:10" ht="39" hidden="1" thickBot="1" x14ac:dyDescent="0.3">
      <c r="A4347" s="171"/>
      <c r="B4347" s="174"/>
      <c r="C4347" s="35" t="s">
        <v>1155</v>
      </c>
      <c r="D4347" s="35" t="s">
        <v>619</v>
      </c>
      <c r="E4347" s="36">
        <v>4.1500000000000004</v>
      </c>
      <c r="F4347" s="53">
        <v>2.2799999999999998</v>
      </c>
      <c r="G4347" s="53">
        <f>IF(ISNUMBER(F4347),E4347*F4347,"")</f>
        <v>9.4619999999999997</v>
      </c>
      <c r="H4347" s="72"/>
      <c r="I4347" s="73"/>
      <c r="J4347" s="152">
        <v>0</v>
      </c>
    </row>
    <row r="4348" spans="1:10" ht="15.75" hidden="1" thickBot="1" x14ac:dyDescent="0.3">
      <c r="A4348" s="171"/>
      <c r="B4348" s="174"/>
      <c r="C4348" s="35" t="s">
        <v>584</v>
      </c>
      <c r="D4348" s="35" t="s">
        <v>583</v>
      </c>
      <c r="E4348" s="36">
        <v>9.7000000000000003E-2</v>
      </c>
      <c r="F4348" s="53">
        <v>20.225499999999997</v>
      </c>
      <c r="G4348" s="53">
        <f>IF(ISNUMBER(F4348),E4348*F4348,"")</f>
        <v>1.9618734999999998</v>
      </c>
      <c r="H4348" s="72"/>
      <c r="I4348" s="73"/>
      <c r="J4348" s="152">
        <v>0</v>
      </c>
    </row>
    <row r="4349" spans="1:10" ht="15.75" hidden="1" thickBot="1" x14ac:dyDescent="0.3">
      <c r="A4349" s="171"/>
      <c r="B4349" s="174"/>
      <c r="C4349" s="35" t="s">
        <v>1156</v>
      </c>
      <c r="D4349" s="35" t="s">
        <v>583</v>
      </c>
      <c r="E4349" s="36">
        <v>9.0999999999999998E-2</v>
      </c>
      <c r="F4349" s="53">
        <v>26.552499999999998</v>
      </c>
      <c r="G4349" s="53">
        <f>IF(ISNUMBER(F4349),E4349*F4349,"")</f>
        <v>2.4162774999999996</v>
      </c>
      <c r="H4349" s="72"/>
      <c r="I4349" s="73"/>
      <c r="J4349" s="152">
        <v>0</v>
      </c>
    </row>
    <row r="4350" spans="1:10" ht="26.25" hidden="1" thickBot="1" x14ac:dyDescent="0.3">
      <c r="A4350" s="171"/>
      <c r="B4350" s="174"/>
      <c r="C4350" s="35" t="s">
        <v>1157</v>
      </c>
      <c r="D4350" s="35" t="s">
        <v>813</v>
      </c>
      <c r="E4350" s="36">
        <v>8.9999999999999998E-4</v>
      </c>
      <c r="F4350" s="53">
        <v>22.315499999999997</v>
      </c>
      <c r="G4350" s="53">
        <f>IF(ISNUMBER(F4350),E4350*F4350,"")</f>
        <v>2.0083949999999996E-2</v>
      </c>
      <c r="H4350" s="72"/>
      <c r="I4350" s="73"/>
      <c r="J4350" s="152">
        <v>0</v>
      </c>
    </row>
    <row r="4351" spans="1:10" ht="26.25" hidden="1" thickBot="1" x14ac:dyDescent="0.3">
      <c r="A4351" s="171"/>
      <c r="B4351" s="174"/>
      <c r="C4351" s="35" t="s">
        <v>1158</v>
      </c>
      <c r="D4351" s="35" t="s">
        <v>815</v>
      </c>
      <c r="E4351" s="36">
        <v>1.2999999999999999E-3</v>
      </c>
      <c r="F4351" s="53">
        <v>21.555499999999999</v>
      </c>
      <c r="G4351" s="53">
        <f>IF(ISNUMBER(F4351),E4351*F4351,"")</f>
        <v>2.8022149999999996E-2</v>
      </c>
      <c r="H4351" s="72"/>
      <c r="I4351" s="73"/>
      <c r="J4351" s="152">
        <v>0</v>
      </c>
    </row>
    <row r="4352" spans="1:10" ht="15.75" hidden="1" thickBot="1" x14ac:dyDescent="0.3">
      <c r="A4352" s="172"/>
      <c r="B4352" s="175"/>
      <c r="C4352" s="54"/>
      <c r="D4352" s="54"/>
      <c r="E4352" s="65"/>
      <c r="F4352" s="75" t="s">
        <v>416</v>
      </c>
      <c r="G4352" s="75" t="str">
        <f>IF(ISNUMBER(F4352),E4352*F4352,"")</f>
        <v/>
      </c>
      <c r="H4352" s="76"/>
      <c r="I4352" s="73"/>
      <c r="J4352" s="152">
        <v>0</v>
      </c>
    </row>
    <row r="4353" spans="1:10" ht="15.75" hidden="1" thickBot="1" x14ac:dyDescent="0.3">
      <c r="A4353" s="170" t="s">
        <v>1159</v>
      </c>
      <c r="B4353" s="173" t="str">
        <f>INDEX(Orçamentária!A:B,MATCH(Composições!A4353,Orçamentária!A:A,0),2)</f>
        <v>Cumeeira para telha metálica trapezoidal galvanizada - GR-40</v>
      </c>
      <c r="C4353" s="40"/>
      <c r="D4353" s="25" t="s">
        <v>69</v>
      </c>
      <c r="E4353" s="26"/>
      <c r="F4353" s="48" t="s">
        <v>416</v>
      </c>
      <c r="G4353" s="27" t="str">
        <f>IF(ISNUMBER(F4353),E4353*F4353,"")</f>
        <v/>
      </c>
      <c r="H4353" s="28"/>
      <c r="I4353" s="29"/>
      <c r="J4353" s="152">
        <v>0</v>
      </c>
    </row>
    <row r="4354" spans="1:10" ht="15.75" hidden="1" thickBot="1" x14ac:dyDescent="0.3">
      <c r="A4354" s="171"/>
      <c r="B4354" s="174"/>
      <c r="C4354" s="31"/>
      <c r="D4354" s="31"/>
      <c r="E4354" s="32"/>
      <c r="F4354" s="53" t="s">
        <v>416</v>
      </c>
      <c r="G4354" s="53" t="str">
        <f>IF(ISNUMBER(F4354),E4354*F4354,"")</f>
        <v/>
      </c>
      <c r="H4354" s="72"/>
      <c r="I4354" s="73"/>
      <c r="J4354" s="152">
        <v>0</v>
      </c>
    </row>
    <row r="4355" spans="1:10" ht="39" hidden="1" thickBot="1" x14ac:dyDescent="0.3">
      <c r="A4355" s="171"/>
      <c r="B4355" s="174"/>
      <c r="C4355" s="35" t="s">
        <v>1155</v>
      </c>
      <c r="D4355" s="35" t="s">
        <v>619</v>
      </c>
      <c r="E4355" s="36">
        <v>4.1500000000000004</v>
      </c>
      <c r="F4355" s="53">
        <v>2.2799999999999998</v>
      </c>
      <c r="G4355" s="53">
        <f>IF(ISNUMBER(F4355),E4355*F4355,"")</f>
        <v>9.4619999999999997</v>
      </c>
      <c r="H4355" s="38">
        <f>SUM(G4355:G4360)</f>
        <v>12.627823699999999</v>
      </c>
      <c r="I4355" s="39"/>
      <c r="J4355" s="152">
        <v>0</v>
      </c>
    </row>
    <row r="4356" spans="1:10" ht="15.75" hidden="1" thickBot="1" x14ac:dyDescent="0.3">
      <c r="A4356" s="171"/>
      <c r="B4356" s="174"/>
      <c r="C4356" s="35" t="s">
        <v>3080</v>
      </c>
      <c r="D4356" s="35" t="s">
        <v>69</v>
      </c>
      <c r="E4356" s="36">
        <v>1.0289999999999999</v>
      </c>
      <c r="F4356" s="53" t="s">
        <v>416</v>
      </c>
      <c r="G4356" s="53" t="str">
        <f>IF(ISNUMBER(F4356),E4356*F4356,"")</f>
        <v/>
      </c>
      <c r="H4356" s="72"/>
      <c r="I4356" s="73"/>
      <c r="J4356" s="152">
        <v>0</v>
      </c>
    </row>
    <row r="4357" spans="1:10" ht="15.75" hidden="1" thickBot="1" x14ac:dyDescent="0.3">
      <c r="A4357" s="171"/>
      <c r="B4357" s="174"/>
      <c r="C4357" s="35" t="s">
        <v>584</v>
      </c>
      <c r="D4357" s="35" t="s">
        <v>583</v>
      </c>
      <c r="E4357" s="36">
        <v>7.2999999999999995E-2</v>
      </c>
      <c r="F4357" s="53">
        <v>20.225499999999997</v>
      </c>
      <c r="G4357" s="53">
        <f>IF(ISNUMBER(F4357),E4357*F4357,"")</f>
        <v>1.4764614999999996</v>
      </c>
      <c r="H4357" s="72"/>
      <c r="I4357" s="73"/>
      <c r="J4357" s="152">
        <v>0</v>
      </c>
    </row>
    <row r="4358" spans="1:10" ht="15.75" hidden="1" thickBot="1" x14ac:dyDescent="0.3">
      <c r="A4358" s="171"/>
      <c r="B4358" s="174"/>
      <c r="C4358" s="35" t="s">
        <v>1156</v>
      </c>
      <c r="D4358" s="35" t="s">
        <v>583</v>
      </c>
      <c r="E4358" s="36">
        <v>0.06</v>
      </c>
      <c r="F4358" s="53">
        <v>26.552499999999998</v>
      </c>
      <c r="G4358" s="53">
        <f>IF(ISNUMBER(F4358),E4358*F4358,"")</f>
        <v>1.5931499999999998</v>
      </c>
      <c r="H4358" s="72"/>
      <c r="I4358" s="73"/>
      <c r="J4358" s="152">
        <v>0</v>
      </c>
    </row>
    <row r="4359" spans="1:10" ht="26.25" hidden="1" thickBot="1" x14ac:dyDescent="0.3">
      <c r="A4359" s="171"/>
      <c r="B4359" s="174"/>
      <c r="C4359" s="35" t="s">
        <v>1157</v>
      </c>
      <c r="D4359" s="35" t="s">
        <v>813</v>
      </c>
      <c r="E4359" s="36">
        <v>1.8E-3</v>
      </c>
      <c r="F4359" s="53">
        <v>22.315499999999997</v>
      </c>
      <c r="G4359" s="53">
        <f>IF(ISNUMBER(F4359),E4359*F4359,"")</f>
        <v>4.0167899999999992E-2</v>
      </c>
      <c r="H4359" s="72"/>
      <c r="I4359" s="73"/>
      <c r="J4359" s="152">
        <v>0</v>
      </c>
    </row>
    <row r="4360" spans="1:10" ht="26.25" hidden="1" thickBot="1" x14ac:dyDescent="0.3">
      <c r="A4360" s="171"/>
      <c r="B4360" s="174"/>
      <c r="C4360" s="35" t="s">
        <v>1158</v>
      </c>
      <c r="D4360" s="35" t="s">
        <v>815</v>
      </c>
      <c r="E4360" s="36">
        <v>2.5999999999999999E-3</v>
      </c>
      <c r="F4360" s="53">
        <v>21.555499999999999</v>
      </c>
      <c r="G4360" s="53">
        <f>IF(ISNUMBER(F4360),E4360*F4360,"")</f>
        <v>5.6044299999999991E-2</v>
      </c>
      <c r="H4360" s="72"/>
      <c r="I4360" s="73"/>
      <c r="J4360" s="152">
        <v>0</v>
      </c>
    </row>
    <row r="4361" spans="1:10" ht="15.75" hidden="1" thickBot="1" x14ac:dyDescent="0.3">
      <c r="A4361" s="172"/>
      <c r="B4361" s="175"/>
      <c r="C4361" s="54"/>
      <c r="D4361" s="54"/>
      <c r="E4361" s="65"/>
      <c r="F4361" s="75" t="s">
        <v>416</v>
      </c>
      <c r="G4361" s="75" t="str">
        <f>IF(ISNUMBER(F4361),E4361*F4361,"")</f>
        <v/>
      </c>
      <c r="H4361" s="76"/>
      <c r="I4361" s="73"/>
      <c r="J4361" s="152">
        <v>0</v>
      </c>
    </row>
    <row r="4362" spans="1:10" ht="15.75" hidden="1" thickBot="1" x14ac:dyDescent="0.3">
      <c r="A4362" s="170" t="s">
        <v>1160</v>
      </c>
      <c r="B4362" s="173" t="str">
        <f>INDEX(Orçamentária!A:B,MATCH(Composições!A4362,Orçamentária!A:A,0),2)</f>
        <v>Telha metálica trapezoidal galvanizada - GR-25</v>
      </c>
      <c r="C4362" s="40"/>
      <c r="D4362" s="25" t="s">
        <v>70</v>
      </c>
      <c r="E4362" s="26"/>
      <c r="F4362" s="48" t="s">
        <v>416</v>
      </c>
      <c r="G4362" s="27" t="str">
        <f>IF(ISNUMBER(F4362),E4362*F4362,"")</f>
        <v/>
      </c>
      <c r="H4362" s="28"/>
      <c r="I4362" s="29"/>
      <c r="J4362" s="152">
        <v>0</v>
      </c>
    </row>
    <row r="4363" spans="1:10" ht="15.75" hidden="1" thickBot="1" x14ac:dyDescent="0.3">
      <c r="A4363" s="171"/>
      <c r="B4363" s="174"/>
      <c r="C4363" s="31"/>
      <c r="D4363" s="31"/>
      <c r="E4363" s="32"/>
      <c r="F4363" s="53" t="s">
        <v>416</v>
      </c>
      <c r="G4363" s="53" t="str">
        <f>IF(ISNUMBER(F4363),E4363*F4363,"")</f>
        <v/>
      </c>
      <c r="H4363" s="72"/>
      <c r="I4363" s="73"/>
      <c r="J4363" s="152">
        <v>0</v>
      </c>
    </row>
    <row r="4364" spans="1:10" ht="26.25" hidden="1" thickBot="1" x14ac:dyDescent="0.3">
      <c r="A4364" s="171"/>
      <c r="B4364" s="174"/>
      <c r="C4364" s="35" t="s">
        <v>1161</v>
      </c>
      <c r="D4364" s="46" t="s">
        <v>861</v>
      </c>
      <c r="E4364" s="36">
        <v>1.1659999999999999</v>
      </c>
      <c r="F4364" s="53" t="s">
        <v>416</v>
      </c>
      <c r="G4364" s="53" t="str">
        <f>IF(ISNUMBER(F4364),E4364*F4364,"")</f>
        <v/>
      </c>
      <c r="H4364" s="38">
        <f>SUM(G4364:G4369)</f>
        <v>13.888257099999999</v>
      </c>
      <c r="I4364" s="39"/>
      <c r="J4364" s="152">
        <v>0</v>
      </c>
    </row>
    <row r="4365" spans="1:10" ht="39" hidden="1" thickBot="1" x14ac:dyDescent="0.3">
      <c r="A4365" s="171"/>
      <c r="B4365" s="174"/>
      <c r="C4365" s="35" t="s">
        <v>1155</v>
      </c>
      <c r="D4365" s="35" t="s">
        <v>619</v>
      </c>
      <c r="E4365" s="36">
        <v>4.1500000000000004</v>
      </c>
      <c r="F4365" s="53">
        <v>2.2799999999999998</v>
      </c>
      <c r="G4365" s="53">
        <f>IF(ISNUMBER(F4365),E4365*F4365,"")</f>
        <v>9.4619999999999997</v>
      </c>
      <c r="H4365" s="72"/>
      <c r="I4365" s="73"/>
      <c r="J4365" s="152">
        <v>0</v>
      </c>
    </row>
    <row r="4366" spans="1:10" ht="15.75" hidden="1" thickBot="1" x14ac:dyDescent="0.3">
      <c r="A4366" s="171"/>
      <c r="B4366" s="174"/>
      <c r="C4366" s="35" t="s">
        <v>584</v>
      </c>
      <c r="D4366" s="35" t="s">
        <v>583</v>
      </c>
      <c r="E4366" s="36">
        <v>9.7000000000000003E-2</v>
      </c>
      <c r="F4366" s="53">
        <v>20.225499999999997</v>
      </c>
      <c r="G4366" s="53">
        <f>IF(ISNUMBER(F4366),E4366*F4366,"")</f>
        <v>1.9618734999999998</v>
      </c>
      <c r="H4366" s="72"/>
      <c r="I4366" s="73"/>
      <c r="J4366" s="152">
        <v>0</v>
      </c>
    </row>
    <row r="4367" spans="1:10" ht="15.75" hidden="1" thickBot="1" x14ac:dyDescent="0.3">
      <c r="A4367" s="171"/>
      <c r="B4367" s="174"/>
      <c r="C4367" s="35" t="s">
        <v>1156</v>
      </c>
      <c r="D4367" s="35" t="s">
        <v>583</v>
      </c>
      <c r="E4367" s="36">
        <v>9.0999999999999998E-2</v>
      </c>
      <c r="F4367" s="53">
        <v>26.552499999999998</v>
      </c>
      <c r="G4367" s="53">
        <f>IF(ISNUMBER(F4367),E4367*F4367,"")</f>
        <v>2.4162774999999996</v>
      </c>
      <c r="H4367" s="72"/>
      <c r="I4367" s="73"/>
      <c r="J4367" s="152">
        <v>0</v>
      </c>
    </row>
    <row r="4368" spans="1:10" ht="26.25" hidden="1" thickBot="1" x14ac:dyDescent="0.3">
      <c r="A4368" s="171"/>
      <c r="B4368" s="174"/>
      <c r="C4368" s="35" t="s">
        <v>1157</v>
      </c>
      <c r="D4368" s="35" t="s">
        <v>813</v>
      </c>
      <c r="E4368" s="36">
        <v>8.9999999999999998E-4</v>
      </c>
      <c r="F4368" s="53">
        <v>22.315499999999997</v>
      </c>
      <c r="G4368" s="53">
        <f>IF(ISNUMBER(F4368),E4368*F4368,"")</f>
        <v>2.0083949999999996E-2</v>
      </c>
      <c r="H4368" s="72"/>
      <c r="I4368" s="73"/>
      <c r="J4368" s="152">
        <v>0</v>
      </c>
    </row>
    <row r="4369" spans="1:10" ht="26.25" hidden="1" thickBot="1" x14ac:dyDescent="0.3">
      <c r="A4369" s="171"/>
      <c r="B4369" s="174"/>
      <c r="C4369" s="35" t="s">
        <v>1158</v>
      </c>
      <c r="D4369" s="35" t="s">
        <v>815</v>
      </c>
      <c r="E4369" s="36">
        <v>1.2999999999999999E-3</v>
      </c>
      <c r="F4369" s="53">
        <v>21.555499999999999</v>
      </c>
      <c r="G4369" s="53">
        <f>IF(ISNUMBER(F4369),E4369*F4369,"")</f>
        <v>2.8022149999999996E-2</v>
      </c>
      <c r="H4369" s="72"/>
      <c r="I4369" s="73"/>
      <c r="J4369" s="152">
        <v>0</v>
      </c>
    </row>
    <row r="4370" spans="1:10" ht="15.75" hidden="1" thickBot="1" x14ac:dyDescent="0.3">
      <c r="A4370" s="172"/>
      <c r="B4370" s="175"/>
      <c r="C4370" s="54"/>
      <c r="D4370" s="54"/>
      <c r="E4370" s="65"/>
      <c r="F4370" s="75" t="s">
        <v>416</v>
      </c>
      <c r="G4370" s="75" t="str">
        <f>IF(ISNUMBER(F4370),E4370*F4370,"")</f>
        <v/>
      </c>
      <c r="H4370" s="76"/>
      <c r="I4370" s="73"/>
      <c r="J4370" s="152">
        <v>0</v>
      </c>
    </row>
    <row r="4371" spans="1:10" ht="15.75" hidden="1" thickBot="1" x14ac:dyDescent="0.3">
      <c r="A4371" s="170" t="s">
        <v>1162</v>
      </c>
      <c r="B4371" s="173" t="str">
        <f>INDEX(Orçamentária!A:B,MATCH(Composições!A4371,Orçamentária!A:A,0),2)</f>
        <v>Cumeeira para telha metálica trapezoidal galvanizada - GR-25</v>
      </c>
      <c r="C4371" s="40"/>
      <c r="D4371" s="25" t="s">
        <v>69</v>
      </c>
      <c r="E4371" s="26"/>
      <c r="F4371" s="48" t="s">
        <v>416</v>
      </c>
      <c r="G4371" s="27" t="str">
        <f>IF(ISNUMBER(F4371),E4371*F4371,"")</f>
        <v/>
      </c>
      <c r="H4371" s="28"/>
      <c r="I4371" s="29"/>
      <c r="J4371" s="152">
        <v>0</v>
      </c>
    </row>
    <row r="4372" spans="1:10" ht="15.75" hidden="1" thickBot="1" x14ac:dyDescent="0.3">
      <c r="A4372" s="171"/>
      <c r="B4372" s="174"/>
      <c r="C4372" s="31"/>
      <c r="D4372" s="31"/>
      <c r="E4372" s="32"/>
      <c r="F4372" s="53" t="s">
        <v>416</v>
      </c>
      <c r="G4372" s="53" t="str">
        <f>IF(ISNUMBER(F4372),E4372*F4372,"")</f>
        <v/>
      </c>
      <c r="H4372" s="72"/>
      <c r="I4372" s="73"/>
      <c r="J4372" s="152">
        <v>0</v>
      </c>
    </row>
    <row r="4373" spans="1:10" ht="39" hidden="1" thickBot="1" x14ac:dyDescent="0.3">
      <c r="A4373" s="171"/>
      <c r="B4373" s="174"/>
      <c r="C4373" s="35" t="s">
        <v>1155</v>
      </c>
      <c r="D4373" s="35" t="s">
        <v>619</v>
      </c>
      <c r="E4373" s="36">
        <v>4.1500000000000004</v>
      </c>
      <c r="F4373" s="53">
        <v>2.2799999999999998</v>
      </c>
      <c r="G4373" s="53">
        <f>IF(ISNUMBER(F4373),E4373*F4373,"")</f>
        <v>9.4619999999999997</v>
      </c>
      <c r="H4373" s="38">
        <f>SUM(G4373:G4378)</f>
        <v>12.627823699999999</v>
      </c>
      <c r="I4373" s="39"/>
      <c r="J4373" s="152">
        <v>0</v>
      </c>
    </row>
    <row r="4374" spans="1:10" ht="15.75" hidden="1" thickBot="1" x14ac:dyDescent="0.3">
      <c r="A4374" s="171"/>
      <c r="B4374" s="174"/>
      <c r="C4374" s="35" t="s">
        <v>3079</v>
      </c>
      <c r="D4374" s="35" t="s">
        <v>69</v>
      </c>
      <c r="E4374" s="36">
        <v>1.0289999999999999</v>
      </c>
      <c r="F4374" s="53" t="s">
        <v>416</v>
      </c>
      <c r="G4374" s="53" t="str">
        <f>IF(ISNUMBER(F4374),E4374*F4374,"")</f>
        <v/>
      </c>
      <c r="H4374" s="72"/>
      <c r="I4374" s="73"/>
      <c r="J4374" s="152">
        <v>0</v>
      </c>
    </row>
    <row r="4375" spans="1:10" ht="15.75" hidden="1" thickBot="1" x14ac:dyDescent="0.3">
      <c r="A4375" s="171"/>
      <c r="B4375" s="174"/>
      <c r="C4375" s="35" t="s">
        <v>584</v>
      </c>
      <c r="D4375" s="35" t="s">
        <v>583</v>
      </c>
      <c r="E4375" s="36">
        <v>7.2999999999999995E-2</v>
      </c>
      <c r="F4375" s="53">
        <v>20.225499999999997</v>
      </c>
      <c r="G4375" s="53">
        <f>IF(ISNUMBER(F4375),E4375*F4375,"")</f>
        <v>1.4764614999999996</v>
      </c>
      <c r="H4375" s="72"/>
      <c r="I4375" s="73"/>
      <c r="J4375" s="152">
        <v>0</v>
      </c>
    </row>
    <row r="4376" spans="1:10" ht="15.75" hidden="1" thickBot="1" x14ac:dyDescent="0.3">
      <c r="A4376" s="171"/>
      <c r="B4376" s="174"/>
      <c r="C4376" s="35" t="s">
        <v>1156</v>
      </c>
      <c r="D4376" s="35" t="s">
        <v>583</v>
      </c>
      <c r="E4376" s="36">
        <v>0.06</v>
      </c>
      <c r="F4376" s="53">
        <v>26.552499999999998</v>
      </c>
      <c r="G4376" s="53">
        <f>IF(ISNUMBER(F4376),E4376*F4376,"")</f>
        <v>1.5931499999999998</v>
      </c>
      <c r="H4376" s="72"/>
      <c r="I4376" s="73"/>
      <c r="J4376" s="152">
        <v>0</v>
      </c>
    </row>
    <row r="4377" spans="1:10" ht="26.25" hidden="1" thickBot="1" x14ac:dyDescent="0.3">
      <c r="A4377" s="171"/>
      <c r="B4377" s="174"/>
      <c r="C4377" s="35" t="s">
        <v>1157</v>
      </c>
      <c r="D4377" s="35" t="s">
        <v>813</v>
      </c>
      <c r="E4377" s="36">
        <v>1.8E-3</v>
      </c>
      <c r="F4377" s="53">
        <v>22.315499999999997</v>
      </c>
      <c r="G4377" s="53">
        <f>IF(ISNUMBER(F4377),E4377*F4377,"")</f>
        <v>4.0167899999999992E-2</v>
      </c>
      <c r="H4377" s="72"/>
      <c r="I4377" s="73"/>
      <c r="J4377" s="152">
        <v>0</v>
      </c>
    </row>
    <row r="4378" spans="1:10" ht="26.25" hidden="1" thickBot="1" x14ac:dyDescent="0.3">
      <c r="A4378" s="171"/>
      <c r="B4378" s="174"/>
      <c r="C4378" s="35" t="s">
        <v>1158</v>
      </c>
      <c r="D4378" s="35" t="s">
        <v>815</v>
      </c>
      <c r="E4378" s="36">
        <v>2.5999999999999999E-3</v>
      </c>
      <c r="F4378" s="53">
        <v>21.555499999999999</v>
      </c>
      <c r="G4378" s="53">
        <f>IF(ISNUMBER(F4378),E4378*F4378,"")</f>
        <v>5.6044299999999991E-2</v>
      </c>
      <c r="H4378" s="72"/>
      <c r="I4378" s="73"/>
      <c r="J4378" s="152">
        <v>0</v>
      </c>
    </row>
    <row r="4379" spans="1:10" ht="15.75" hidden="1" thickBot="1" x14ac:dyDescent="0.3">
      <c r="A4379" s="172"/>
      <c r="B4379" s="175"/>
      <c r="C4379" s="54"/>
      <c r="D4379" s="54"/>
      <c r="E4379" s="65"/>
      <c r="F4379" s="75" t="s">
        <v>416</v>
      </c>
      <c r="G4379" s="75" t="str">
        <f>IF(ISNUMBER(F4379),E4379*F4379,"")</f>
        <v/>
      </c>
      <c r="H4379" s="76"/>
      <c r="I4379" s="73"/>
      <c r="J4379" s="152">
        <v>0</v>
      </c>
    </row>
    <row r="4380" spans="1:10" ht="15.75" hidden="1" thickBot="1" x14ac:dyDescent="0.3">
      <c r="A4380" s="170" t="s">
        <v>1163</v>
      </c>
      <c r="B4380" s="173" t="str">
        <f>INDEX(Orçamentária!A:B,MATCH(Composições!A4380,Orçamentária!A:A,0),2)</f>
        <v>Telha de fibrocimento modulada - espessura 8 mm</v>
      </c>
      <c r="C4380" s="40"/>
      <c r="D4380" s="25" t="s">
        <v>70</v>
      </c>
      <c r="E4380" s="26"/>
      <c r="F4380" s="48" t="s">
        <v>416</v>
      </c>
      <c r="G4380" s="27" t="str">
        <f>IF(ISNUMBER(F4380),E4380*F4380,"")</f>
        <v/>
      </c>
      <c r="H4380" s="28"/>
      <c r="I4380" s="29"/>
      <c r="J4380" s="152">
        <v>0</v>
      </c>
    </row>
    <row r="4381" spans="1:10" ht="15.75" hidden="1" thickBot="1" x14ac:dyDescent="0.3">
      <c r="A4381" s="171"/>
      <c r="B4381" s="174"/>
      <c r="C4381" s="31"/>
      <c r="D4381" s="31"/>
      <c r="E4381" s="32"/>
      <c r="F4381" s="53" t="s">
        <v>416</v>
      </c>
      <c r="G4381" s="53" t="str">
        <f>IF(ISNUMBER(F4381),E4381*F4381,"")</f>
        <v/>
      </c>
      <c r="H4381" s="72"/>
      <c r="I4381" s="73"/>
      <c r="J4381" s="152">
        <v>0</v>
      </c>
    </row>
    <row r="4382" spans="1:10" ht="15.75" hidden="1" thickBot="1" x14ac:dyDescent="0.3">
      <c r="A4382" s="171"/>
      <c r="B4382" s="174"/>
      <c r="C4382" s="35" t="s">
        <v>1156</v>
      </c>
      <c r="D4382" s="35" t="s">
        <v>583</v>
      </c>
      <c r="E4382" s="36">
        <v>0.3</v>
      </c>
      <c r="F4382" s="53">
        <v>26.552499999999998</v>
      </c>
      <c r="G4382" s="53">
        <f>IF(ISNUMBER(F4382),E4382*F4382,"")</f>
        <v>7.965749999999999</v>
      </c>
      <c r="H4382" s="38">
        <f>SUM(G4382:G4388)</f>
        <v>20.101049999999997</v>
      </c>
      <c r="I4382" s="39"/>
      <c r="J4382" s="152">
        <v>0</v>
      </c>
    </row>
    <row r="4383" spans="1:10" ht="15.75" hidden="1" thickBot="1" x14ac:dyDescent="0.3">
      <c r="A4383" s="171"/>
      <c r="B4383" s="174"/>
      <c r="C4383" s="35" t="s">
        <v>584</v>
      </c>
      <c r="D4383" s="35" t="s">
        <v>583</v>
      </c>
      <c r="E4383" s="36">
        <v>0.6</v>
      </c>
      <c r="F4383" s="53">
        <v>20.225499999999997</v>
      </c>
      <c r="G4383" s="53">
        <f>IF(ISNUMBER(F4383),E4383*F4383,"")</f>
        <v>12.135299999999997</v>
      </c>
      <c r="H4383" s="72"/>
      <c r="I4383" s="73"/>
      <c r="J4383" s="152">
        <v>0</v>
      </c>
    </row>
    <row r="4384" spans="1:10" ht="15.75" hidden="1" thickBot="1" x14ac:dyDescent="0.3">
      <c r="A4384" s="171"/>
      <c r="B4384" s="174"/>
      <c r="C4384" s="35" t="s">
        <v>1164</v>
      </c>
      <c r="D4384" s="35" t="s">
        <v>213</v>
      </c>
      <c r="E4384" s="36">
        <v>1.1100000000000001</v>
      </c>
      <c r="F4384" s="53">
        <v>0</v>
      </c>
      <c r="G4384" s="53">
        <f>IF(ISNUMBER(F4384),E4384*F4384,"")</f>
        <v>0</v>
      </c>
      <c r="H4384" s="72"/>
      <c r="I4384" s="73"/>
      <c r="J4384" s="152">
        <v>0</v>
      </c>
    </row>
    <row r="4385" spans="1:10" ht="15.75" hidden="1" thickBot="1" x14ac:dyDescent="0.3">
      <c r="A4385" s="171"/>
      <c r="B4385" s="174"/>
      <c r="C4385" s="35" t="s">
        <v>1165</v>
      </c>
      <c r="D4385" s="35" t="s">
        <v>70</v>
      </c>
      <c r="E4385" s="36">
        <v>1.24</v>
      </c>
      <c r="F4385" s="53">
        <v>0</v>
      </c>
      <c r="G4385" s="53">
        <f>IF(ISNUMBER(F4385),E4385*F4385,"")</f>
        <v>0</v>
      </c>
      <c r="H4385" s="72"/>
      <c r="I4385" s="73"/>
      <c r="J4385" s="152">
        <v>0</v>
      </c>
    </row>
    <row r="4386" spans="1:10" ht="26.25" hidden="1" thickBot="1" x14ac:dyDescent="0.3">
      <c r="A4386" s="171"/>
      <c r="B4386" s="174"/>
      <c r="C4386" s="35" t="s">
        <v>1166</v>
      </c>
      <c r="D4386" s="35" t="s">
        <v>213</v>
      </c>
      <c r="E4386" s="36">
        <v>1.1100000000000001</v>
      </c>
      <c r="F4386" s="53">
        <v>0</v>
      </c>
      <c r="G4386" s="53">
        <f>IF(ISNUMBER(F4386),E4386*F4386,"")</f>
        <v>0</v>
      </c>
      <c r="H4386" s="72"/>
      <c r="I4386" s="73"/>
      <c r="J4386" s="152">
        <v>0</v>
      </c>
    </row>
    <row r="4387" spans="1:10" ht="15.75" hidden="1" thickBot="1" x14ac:dyDescent="0.3">
      <c r="A4387" s="171"/>
      <c r="B4387" s="174"/>
      <c r="C4387" s="35" t="s">
        <v>1167</v>
      </c>
      <c r="D4387" s="35" t="s">
        <v>213</v>
      </c>
      <c r="E4387" s="36">
        <v>1</v>
      </c>
      <c r="F4387" s="53">
        <v>0</v>
      </c>
      <c r="G4387" s="53">
        <f>IF(ISNUMBER(F4387),E4387*F4387,"")</f>
        <v>0</v>
      </c>
      <c r="H4387" s="72"/>
      <c r="I4387" s="73"/>
      <c r="J4387" s="152">
        <v>0</v>
      </c>
    </row>
    <row r="4388" spans="1:10" ht="15.75" hidden="1" thickBot="1" x14ac:dyDescent="0.3">
      <c r="A4388" s="171"/>
      <c r="B4388" s="174"/>
      <c r="C4388" s="35" t="s">
        <v>1168</v>
      </c>
      <c r="D4388" s="35" t="s">
        <v>213</v>
      </c>
      <c r="E4388" s="36">
        <v>1.1100000000000001</v>
      </c>
      <c r="F4388" s="53">
        <v>0</v>
      </c>
      <c r="G4388" s="53">
        <f>IF(ISNUMBER(F4388),E4388*F4388,"")</f>
        <v>0</v>
      </c>
      <c r="H4388" s="72"/>
      <c r="I4388" s="73"/>
      <c r="J4388" s="152">
        <v>0</v>
      </c>
    </row>
    <row r="4389" spans="1:10" ht="15.75" hidden="1" thickBot="1" x14ac:dyDescent="0.3">
      <c r="A4389" s="172"/>
      <c r="B4389" s="175"/>
      <c r="C4389" s="54"/>
      <c r="D4389" s="54"/>
      <c r="E4389" s="65"/>
      <c r="F4389" s="75" t="s">
        <v>416</v>
      </c>
      <c r="G4389" s="75" t="str">
        <f>IF(ISNUMBER(F4389),E4389*F4389,"")</f>
        <v/>
      </c>
      <c r="H4389" s="76"/>
      <c r="I4389" s="73"/>
      <c r="J4389" s="152">
        <v>0</v>
      </c>
    </row>
    <row r="4390" spans="1:10" ht="15.75" hidden="1" thickBot="1" x14ac:dyDescent="0.3">
      <c r="A4390" s="170" t="s">
        <v>1169</v>
      </c>
      <c r="B4390" s="173" t="str">
        <f>INDEX(Orçamentária!A:B,MATCH(Composições!A4390,Orçamentária!A:A,0),2)</f>
        <v>Cumeeira articulada ABA SUPERIOR de fibrocimento para telha modulada - espessura 6 mm</v>
      </c>
      <c r="C4390" s="40"/>
      <c r="D4390" s="25" t="s">
        <v>69</v>
      </c>
      <c r="E4390" s="26"/>
      <c r="F4390" s="48" t="s">
        <v>416</v>
      </c>
      <c r="G4390" s="27" t="str">
        <f>IF(ISNUMBER(F4390),E4390*F4390,"")</f>
        <v/>
      </c>
      <c r="H4390" s="28"/>
      <c r="I4390" s="29"/>
      <c r="J4390" s="152">
        <v>0</v>
      </c>
    </row>
    <row r="4391" spans="1:10" ht="15.75" hidden="1" thickBot="1" x14ac:dyDescent="0.3">
      <c r="A4391" s="171"/>
      <c r="B4391" s="174"/>
      <c r="C4391" s="31"/>
      <c r="D4391" s="31"/>
      <c r="E4391" s="32"/>
      <c r="F4391" s="53" t="s">
        <v>416</v>
      </c>
      <c r="G4391" s="53" t="str">
        <f>IF(ISNUMBER(F4391),E4391*F4391,"")</f>
        <v/>
      </c>
      <c r="H4391" s="72"/>
      <c r="I4391" s="73"/>
      <c r="J4391" s="152">
        <v>0</v>
      </c>
    </row>
    <row r="4392" spans="1:10" ht="15.75" hidden="1" thickBot="1" x14ac:dyDescent="0.3">
      <c r="A4392" s="171"/>
      <c r="B4392" s="174"/>
      <c r="C4392" s="35" t="s">
        <v>1156</v>
      </c>
      <c r="D4392" s="35" t="s">
        <v>583</v>
      </c>
      <c r="E4392" s="36">
        <f>0.12/2</f>
        <v>0.06</v>
      </c>
      <c r="F4392" s="53">
        <v>26.552499999999998</v>
      </c>
      <c r="G4392" s="53">
        <f>IF(ISNUMBER(F4392),E4392*F4392,"")</f>
        <v>1.5931499999999998</v>
      </c>
      <c r="H4392" s="38">
        <f>SUM(G4392:G4396)</f>
        <v>2.8066799999999996</v>
      </c>
      <c r="I4392" s="39"/>
      <c r="J4392" s="152">
        <v>0</v>
      </c>
    </row>
    <row r="4393" spans="1:10" ht="15.75" hidden="1" thickBot="1" x14ac:dyDescent="0.3">
      <c r="A4393" s="171"/>
      <c r="B4393" s="174"/>
      <c r="C4393" s="35" t="s">
        <v>584</v>
      </c>
      <c r="D4393" s="35" t="s">
        <v>583</v>
      </c>
      <c r="E4393" s="36">
        <f>0.12/2</f>
        <v>0.06</v>
      </c>
      <c r="F4393" s="53">
        <v>20.225499999999997</v>
      </c>
      <c r="G4393" s="53">
        <f>IF(ISNUMBER(F4393),E4393*F4393,"")</f>
        <v>1.2135299999999998</v>
      </c>
      <c r="H4393" s="72"/>
      <c r="I4393" s="73"/>
      <c r="J4393" s="152">
        <v>0</v>
      </c>
    </row>
    <row r="4394" spans="1:10" ht="15.75" hidden="1" thickBot="1" x14ac:dyDescent="0.3">
      <c r="A4394" s="171"/>
      <c r="B4394" s="174"/>
      <c r="C4394" s="35" t="s">
        <v>1164</v>
      </c>
      <c r="D4394" s="35" t="s">
        <v>213</v>
      </c>
      <c r="E4394" s="36">
        <f>4.12/2</f>
        <v>2.06</v>
      </c>
      <c r="F4394" s="53">
        <v>0</v>
      </c>
      <c r="G4394" s="53">
        <f>IF(ISNUMBER(F4394),E4394*F4394,"")</f>
        <v>0</v>
      </c>
      <c r="H4394" s="72"/>
      <c r="I4394" s="73"/>
      <c r="J4394" s="152">
        <v>0</v>
      </c>
    </row>
    <row r="4395" spans="1:10" ht="26.25" hidden="1" thickBot="1" x14ac:dyDescent="0.3">
      <c r="A4395" s="171"/>
      <c r="B4395" s="174"/>
      <c r="C4395" s="35" t="s">
        <v>1170</v>
      </c>
      <c r="D4395" s="35" t="s">
        <v>213</v>
      </c>
      <c r="E4395" s="36">
        <v>2.06</v>
      </c>
      <c r="F4395" s="53">
        <v>0</v>
      </c>
      <c r="G4395" s="53">
        <f>IF(ISNUMBER(F4395),E4395*F4395,"")</f>
        <v>0</v>
      </c>
      <c r="H4395" s="72"/>
      <c r="I4395" s="73"/>
      <c r="J4395" s="152">
        <v>0</v>
      </c>
    </row>
    <row r="4396" spans="1:10" ht="15.75" hidden="1" thickBot="1" x14ac:dyDescent="0.3">
      <c r="A4396" s="171"/>
      <c r="B4396" s="174"/>
      <c r="C4396" s="35" t="s">
        <v>1168</v>
      </c>
      <c r="D4396" s="35" t="s">
        <v>213</v>
      </c>
      <c r="E4396" s="36">
        <f>4.12/2</f>
        <v>2.06</v>
      </c>
      <c r="F4396" s="53">
        <v>0</v>
      </c>
      <c r="G4396" s="53">
        <f>IF(ISNUMBER(F4396),E4396*F4396,"")</f>
        <v>0</v>
      </c>
      <c r="H4396" s="72"/>
      <c r="I4396" s="73"/>
      <c r="J4396" s="152">
        <v>0</v>
      </c>
    </row>
    <row r="4397" spans="1:10" ht="15.75" hidden="1" thickBot="1" x14ac:dyDescent="0.3">
      <c r="A4397" s="172"/>
      <c r="B4397" s="175"/>
      <c r="C4397" s="54"/>
      <c r="D4397" s="54"/>
      <c r="E4397" s="65"/>
      <c r="F4397" s="75" t="s">
        <v>416</v>
      </c>
      <c r="G4397" s="75" t="str">
        <f>IF(ISNUMBER(F4397),E4397*F4397,"")</f>
        <v/>
      </c>
      <c r="H4397" s="76"/>
      <c r="I4397" s="73"/>
      <c r="J4397" s="152">
        <v>0</v>
      </c>
    </row>
    <row r="4398" spans="1:10" ht="15.75" hidden="1" thickBot="1" x14ac:dyDescent="0.3">
      <c r="A4398" s="170" t="s">
        <v>1171</v>
      </c>
      <c r="B4398" s="173" t="str">
        <f>INDEX(Orçamentária!A:B,MATCH(Composições!A4398,Orçamentária!A:A,0),2)</f>
        <v>Cumeeira articulada ABA INFERIOR de fibrocimento para telha modulada - espessura 6 mm</v>
      </c>
      <c r="C4398" s="40"/>
      <c r="D4398" s="25" t="s">
        <v>69</v>
      </c>
      <c r="E4398" s="26"/>
      <c r="F4398" s="48" t="s">
        <v>416</v>
      </c>
      <c r="G4398" s="27" t="str">
        <f>IF(ISNUMBER(F4398),E4398*F4398,"")</f>
        <v/>
      </c>
      <c r="H4398" s="28"/>
      <c r="I4398" s="29"/>
      <c r="J4398" s="152">
        <v>0</v>
      </c>
    </row>
    <row r="4399" spans="1:10" ht="15.75" hidden="1" thickBot="1" x14ac:dyDescent="0.3">
      <c r="A4399" s="171"/>
      <c r="B4399" s="174"/>
      <c r="C4399" s="31"/>
      <c r="D4399" s="31"/>
      <c r="E4399" s="32"/>
      <c r="F4399" s="53" t="s">
        <v>416</v>
      </c>
      <c r="G4399" s="53" t="str">
        <f>IF(ISNUMBER(F4399),E4399*F4399,"")</f>
        <v/>
      </c>
      <c r="H4399" s="72"/>
      <c r="I4399" s="73"/>
      <c r="J4399" s="152">
        <v>0</v>
      </c>
    </row>
    <row r="4400" spans="1:10" ht="15.75" hidden="1" thickBot="1" x14ac:dyDescent="0.3">
      <c r="A4400" s="171"/>
      <c r="B4400" s="174"/>
      <c r="C4400" s="35" t="s">
        <v>1156</v>
      </c>
      <c r="D4400" s="35" t="s">
        <v>583</v>
      </c>
      <c r="E4400" s="36">
        <f>0.12/2</f>
        <v>0.06</v>
      </c>
      <c r="F4400" s="53">
        <v>26.552499999999998</v>
      </c>
      <c r="G4400" s="53">
        <f>IF(ISNUMBER(F4400),E4400*F4400,"")</f>
        <v>1.5931499999999998</v>
      </c>
      <c r="H4400" s="38">
        <f>SUM(G4400:G4404)</f>
        <v>2.8066799999999996</v>
      </c>
      <c r="I4400" s="39"/>
      <c r="J4400" s="152">
        <v>0</v>
      </c>
    </row>
    <row r="4401" spans="1:10" ht="15.75" hidden="1" thickBot="1" x14ac:dyDescent="0.3">
      <c r="A4401" s="171"/>
      <c r="B4401" s="174"/>
      <c r="C4401" s="35" t="s">
        <v>584</v>
      </c>
      <c r="D4401" s="35" t="s">
        <v>583</v>
      </c>
      <c r="E4401" s="36">
        <f>0.12/2</f>
        <v>0.06</v>
      </c>
      <c r="F4401" s="53">
        <v>20.225499999999997</v>
      </c>
      <c r="G4401" s="53">
        <f>IF(ISNUMBER(F4401),E4401*F4401,"")</f>
        <v>1.2135299999999998</v>
      </c>
      <c r="H4401" s="72"/>
      <c r="I4401" s="73"/>
      <c r="J4401" s="152">
        <v>0</v>
      </c>
    </row>
    <row r="4402" spans="1:10" ht="15.75" hidden="1" thickBot="1" x14ac:dyDescent="0.3">
      <c r="A4402" s="171"/>
      <c r="B4402" s="174"/>
      <c r="C4402" s="35" t="s">
        <v>1164</v>
      </c>
      <c r="D4402" s="35" t="s">
        <v>213</v>
      </c>
      <c r="E4402" s="36">
        <f>4.12/2</f>
        <v>2.06</v>
      </c>
      <c r="F4402" s="53">
        <v>0</v>
      </c>
      <c r="G4402" s="53">
        <f>IF(ISNUMBER(F4402),E4402*F4402,"")</f>
        <v>0</v>
      </c>
      <c r="H4402" s="72"/>
      <c r="I4402" s="73"/>
      <c r="J4402" s="152">
        <v>0</v>
      </c>
    </row>
    <row r="4403" spans="1:10" ht="26.25" hidden="1" thickBot="1" x14ac:dyDescent="0.3">
      <c r="A4403" s="171"/>
      <c r="B4403" s="174"/>
      <c r="C4403" s="35" t="s">
        <v>1172</v>
      </c>
      <c r="D4403" s="35" t="s">
        <v>213</v>
      </c>
      <c r="E4403" s="36">
        <v>2.06</v>
      </c>
      <c r="F4403" s="53">
        <v>0</v>
      </c>
      <c r="G4403" s="53">
        <f>IF(ISNUMBER(F4403),E4403*F4403,"")</f>
        <v>0</v>
      </c>
      <c r="H4403" s="72"/>
      <c r="I4403" s="73"/>
      <c r="J4403" s="152">
        <v>0</v>
      </c>
    </row>
    <row r="4404" spans="1:10" ht="15.75" hidden="1" thickBot="1" x14ac:dyDescent="0.3">
      <c r="A4404" s="171"/>
      <c r="B4404" s="174"/>
      <c r="C4404" s="35" t="s">
        <v>1168</v>
      </c>
      <c r="D4404" s="35" t="s">
        <v>213</v>
      </c>
      <c r="E4404" s="36">
        <f>4.12/2</f>
        <v>2.06</v>
      </c>
      <c r="F4404" s="53">
        <v>0</v>
      </c>
      <c r="G4404" s="53">
        <f>IF(ISNUMBER(F4404),E4404*F4404,"")</f>
        <v>0</v>
      </c>
      <c r="H4404" s="72"/>
      <c r="I4404" s="73"/>
      <c r="J4404" s="152">
        <v>0</v>
      </c>
    </row>
    <row r="4405" spans="1:10" ht="15.75" hidden="1" thickBot="1" x14ac:dyDescent="0.3">
      <c r="A4405" s="172"/>
      <c r="B4405" s="175"/>
      <c r="C4405" s="54"/>
      <c r="D4405" s="54"/>
      <c r="E4405" s="65"/>
      <c r="F4405" s="75" t="s">
        <v>416</v>
      </c>
      <c r="G4405" s="75" t="str">
        <f>IF(ISNUMBER(F4405),E4405*F4405,"")</f>
        <v/>
      </c>
      <c r="H4405" s="76"/>
      <c r="I4405" s="73"/>
      <c r="J4405" s="152">
        <v>0</v>
      </c>
    </row>
    <row r="4406" spans="1:10" ht="15.75" hidden="1" thickBot="1" x14ac:dyDescent="0.3">
      <c r="A4406" s="170" t="s">
        <v>1173</v>
      </c>
      <c r="B4406" s="173" t="str">
        <f>INDEX(Orçamentária!A:B,MATCH(Composições!A4406,Orçamentária!A:A,0),2)</f>
        <v>Telha de fibrocimento ondulada - espessura 6 mm</v>
      </c>
      <c r="C4406" s="40"/>
      <c r="D4406" s="25" t="s">
        <v>70</v>
      </c>
      <c r="E4406" s="26"/>
      <c r="F4406" s="48" t="s">
        <v>416</v>
      </c>
      <c r="G4406" s="27" t="str">
        <f>IF(ISNUMBER(F4406),E4406*F4406,"")</f>
        <v/>
      </c>
      <c r="H4406" s="28"/>
      <c r="I4406" s="29"/>
      <c r="J4406" s="152">
        <v>0</v>
      </c>
    </row>
    <row r="4407" spans="1:10" ht="15.75" hidden="1" thickBot="1" x14ac:dyDescent="0.3">
      <c r="A4407" s="171"/>
      <c r="B4407" s="174"/>
      <c r="C4407" s="31"/>
      <c r="D4407" s="31"/>
      <c r="E4407" s="32"/>
      <c r="F4407" s="53" t="s">
        <v>416</v>
      </c>
      <c r="G4407" s="53" t="str">
        <f>IF(ISNUMBER(F4407),E4407*F4407,"")</f>
        <v/>
      </c>
      <c r="H4407" s="72"/>
      <c r="I4407" s="73"/>
      <c r="J4407" s="152">
        <v>0</v>
      </c>
    </row>
    <row r="4408" spans="1:10" ht="39" hidden="1" thickBot="1" x14ac:dyDescent="0.3">
      <c r="A4408" s="171"/>
      <c r="B4408" s="174"/>
      <c r="C4408" s="35" t="s">
        <v>1174</v>
      </c>
      <c r="D4408" s="35" t="s">
        <v>619</v>
      </c>
      <c r="E4408" s="36">
        <v>1.27</v>
      </c>
      <c r="F4408" s="53">
        <v>0.30399999999999999</v>
      </c>
      <c r="G4408" s="53">
        <f>IF(ISNUMBER(F4408),E4408*F4408,"")</f>
        <v>0.38607999999999998</v>
      </c>
      <c r="H4408" s="38">
        <f>SUM(G4408:G4414)</f>
        <v>43.242015449999997</v>
      </c>
      <c r="I4408" s="39"/>
      <c r="J4408" s="152">
        <v>0</v>
      </c>
    </row>
    <row r="4409" spans="1:10" ht="26.25" hidden="1" thickBot="1" x14ac:dyDescent="0.3">
      <c r="A4409" s="171"/>
      <c r="B4409" s="174"/>
      <c r="C4409" s="35" t="s">
        <v>1175</v>
      </c>
      <c r="D4409" s="35" t="s">
        <v>213</v>
      </c>
      <c r="E4409" s="36">
        <v>1.27</v>
      </c>
      <c r="F4409" s="53">
        <v>4.607499999999999</v>
      </c>
      <c r="G4409" s="53">
        <f>IF(ISNUMBER(F4409),E4409*F4409,"")</f>
        <v>5.8515249999999988</v>
      </c>
      <c r="H4409" s="72"/>
      <c r="I4409" s="73"/>
      <c r="J4409" s="152">
        <v>0</v>
      </c>
    </row>
    <row r="4410" spans="1:10" ht="26.25" hidden="1" thickBot="1" x14ac:dyDescent="0.3">
      <c r="A4410" s="171"/>
      <c r="B4410" s="174"/>
      <c r="C4410" s="35" t="s">
        <v>1176</v>
      </c>
      <c r="D4410" s="35" t="s">
        <v>861</v>
      </c>
      <c r="E4410" s="36">
        <v>1.2749999999999999</v>
      </c>
      <c r="F4410" s="53">
        <v>24.044499999999999</v>
      </c>
      <c r="G4410" s="53">
        <f>IF(ISNUMBER(F4410),E4410*F4410,"")</f>
        <v>30.656737499999998</v>
      </c>
      <c r="H4410" s="72"/>
      <c r="I4410" s="73"/>
      <c r="J4410" s="152">
        <v>0</v>
      </c>
    </row>
    <row r="4411" spans="1:10" ht="15.75" hidden="1" thickBot="1" x14ac:dyDescent="0.3">
      <c r="A4411" s="171"/>
      <c r="B4411" s="174"/>
      <c r="C4411" s="35" t="s">
        <v>584</v>
      </c>
      <c r="D4411" s="35" t="s">
        <v>583</v>
      </c>
      <c r="E4411" s="36">
        <v>0.15</v>
      </c>
      <c r="F4411" s="53">
        <v>20.225499999999997</v>
      </c>
      <c r="G4411" s="53">
        <f>IF(ISNUMBER(F4411),E4411*F4411,"")</f>
        <v>3.0338249999999993</v>
      </c>
      <c r="H4411" s="72"/>
      <c r="I4411" s="73"/>
      <c r="J4411" s="152">
        <v>0</v>
      </c>
    </row>
    <row r="4412" spans="1:10" ht="15.75" hidden="1" thickBot="1" x14ac:dyDescent="0.3">
      <c r="A4412" s="171"/>
      <c r="B4412" s="174"/>
      <c r="C4412" s="35" t="s">
        <v>1156</v>
      </c>
      <c r="D4412" s="35" t="s">
        <v>583</v>
      </c>
      <c r="E4412" s="36">
        <v>0.115</v>
      </c>
      <c r="F4412" s="53">
        <v>26.552499999999998</v>
      </c>
      <c r="G4412" s="53">
        <f>IF(ISNUMBER(F4412),E4412*F4412,"")</f>
        <v>3.0535375</v>
      </c>
      <c r="H4412" s="72"/>
      <c r="I4412" s="73"/>
      <c r="J4412" s="152">
        <v>0</v>
      </c>
    </row>
    <row r="4413" spans="1:10" ht="26.25" hidden="1" thickBot="1" x14ac:dyDescent="0.3">
      <c r="A4413" s="171"/>
      <c r="B4413" s="174"/>
      <c r="C4413" s="35" t="s">
        <v>1157</v>
      </c>
      <c r="D4413" s="35" t="s">
        <v>813</v>
      </c>
      <c r="E4413" s="36">
        <v>5.0000000000000001E-3</v>
      </c>
      <c r="F4413" s="53">
        <v>22.315499999999997</v>
      </c>
      <c r="G4413" s="53">
        <f>IF(ISNUMBER(F4413),E4413*F4413,"")</f>
        <v>0.11157749999999998</v>
      </c>
      <c r="H4413" s="72"/>
      <c r="I4413" s="73"/>
      <c r="J4413" s="152">
        <v>0</v>
      </c>
    </row>
    <row r="4414" spans="1:10" ht="26.25" hidden="1" thickBot="1" x14ac:dyDescent="0.3">
      <c r="A4414" s="171"/>
      <c r="B4414" s="174"/>
      <c r="C4414" s="35" t="s">
        <v>1158</v>
      </c>
      <c r="D4414" s="35" t="s">
        <v>815</v>
      </c>
      <c r="E4414" s="36">
        <v>6.8999999999999999E-3</v>
      </c>
      <c r="F4414" s="53">
        <v>21.555499999999999</v>
      </c>
      <c r="G4414" s="53">
        <f>IF(ISNUMBER(F4414),E4414*F4414,"")</f>
        <v>0.14873294999999997</v>
      </c>
      <c r="H4414" s="72"/>
      <c r="I4414" s="73"/>
      <c r="J4414" s="152">
        <v>0</v>
      </c>
    </row>
    <row r="4415" spans="1:10" ht="15.75" hidden="1" thickBot="1" x14ac:dyDescent="0.3">
      <c r="A4415" s="172"/>
      <c r="B4415" s="175"/>
      <c r="C4415" s="54"/>
      <c r="D4415" s="54"/>
      <c r="E4415" s="65"/>
      <c r="F4415" s="75" t="s">
        <v>416</v>
      </c>
      <c r="G4415" s="75" t="str">
        <f>IF(ISNUMBER(F4415),E4415*F4415,"")</f>
        <v/>
      </c>
      <c r="H4415" s="76"/>
      <c r="I4415" s="73"/>
      <c r="J4415" s="152">
        <v>0</v>
      </c>
    </row>
    <row r="4416" spans="1:10" ht="15.75" hidden="1" thickBot="1" x14ac:dyDescent="0.3">
      <c r="A4416" s="170" t="s">
        <v>1177</v>
      </c>
      <c r="B4416" s="173" t="str">
        <f>INDEX(Orçamentária!A:B,MATCH(Composições!A4416,Orçamentária!A:A,0),2)</f>
        <v>Cumeeira UNIVERSAL para telha de fibrocimento ondulada - espessura 6 mm</v>
      </c>
      <c r="C4416" s="40"/>
      <c r="D4416" s="25" t="s">
        <v>69</v>
      </c>
      <c r="E4416" s="26"/>
      <c r="F4416" s="48" t="s">
        <v>416</v>
      </c>
      <c r="G4416" s="27" t="str">
        <f>IF(ISNUMBER(F4416),E4416*F4416,"")</f>
        <v/>
      </c>
      <c r="H4416" s="28"/>
      <c r="I4416" s="29"/>
      <c r="J4416" s="152">
        <v>0</v>
      </c>
    </row>
    <row r="4417" spans="1:10" ht="15.75" hidden="1" thickBot="1" x14ac:dyDescent="0.3">
      <c r="A4417" s="171"/>
      <c r="B4417" s="174"/>
      <c r="C4417" s="31"/>
      <c r="D4417" s="31"/>
      <c r="E4417" s="32"/>
      <c r="F4417" s="53" t="s">
        <v>416</v>
      </c>
      <c r="G4417" s="53" t="str">
        <f>IF(ISNUMBER(F4417),E4417*F4417,"")</f>
        <v/>
      </c>
      <c r="H4417" s="72"/>
      <c r="I4417" s="73"/>
      <c r="J4417" s="152">
        <v>0</v>
      </c>
    </row>
    <row r="4418" spans="1:10" ht="39" hidden="1" thickBot="1" x14ac:dyDescent="0.3">
      <c r="A4418" s="171"/>
      <c r="B4418" s="174"/>
      <c r="C4418" s="35" t="s">
        <v>1174</v>
      </c>
      <c r="D4418" s="35" t="s">
        <v>619</v>
      </c>
      <c r="E4418" s="36">
        <v>4.2</v>
      </c>
      <c r="F4418" s="53">
        <v>0.30399999999999999</v>
      </c>
      <c r="G4418" s="53">
        <f>IF(ISNUMBER(F4418),E4418*F4418,"")</f>
        <v>1.2767999999999999</v>
      </c>
      <c r="H4418" s="38">
        <f>SUM(G4418:G4424)</f>
        <v>76.132150699999983</v>
      </c>
      <c r="I4418" s="39"/>
      <c r="J4418" s="152">
        <v>0</v>
      </c>
    </row>
    <row r="4419" spans="1:10" ht="26.25" hidden="1" thickBot="1" x14ac:dyDescent="0.3">
      <c r="A4419" s="171"/>
      <c r="B4419" s="174"/>
      <c r="C4419" s="35" t="s">
        <v>1175</v>
      </c>
      <c r="D4419" s="35" t="s">
        <v>213</v>
      </c>
      <c r="E4419" s="36">
        <v>4.2</v>
      </c>
      <c r="F4419" s="53">
        <v>4.607499999999999</v>
      </c>
      <c r="G4419" s="53">
        <f>IF(ISNUMBER(F4419),E4419*F4419,"")</f>
        <v>19.351499999999998</v>
      </c>
      <c r="H4419" s="72"/>
      <c r="I4419" s="73"/>
      <c r="J4419" s="152">
        <v>0</v>
      </c>
    </row>
    <row r="4420" spans="1:10" ht="26.25" hidden="1" thickBot="1" x14ac:dyDescent="0.3">
      <c r="A4420" s="171"/>
      <c r="B4420" s="174"/>
      <c r="C4420" s="35" t="s">
        <v>1178</v>
      </c>
      <c r="D4420" s="35" t="s">
        <v>213</v>
      </c>
      <c r="E4420" s="36">
        <v>1.0289999999999999</v>
      </c>
      <c r="F4420" s="53">
        <v>50.863</v>
      </c>
      <c r="G4420" s="53">
        <f>IF(ISNUMBER(F4420),E4420*F4420,"")</f>
        <v>52.338026999999997</v>
      </c>
      <c r="H4420" s="72"/>
      <c r="I4420" s="73"/>
      <c r="J4420" s="152">
        <v>0</v>
      </c>
    </row>
    <row r="4421" spans="1:10" ht="15.75" hidden="1" thickBot="1" x14ac:dyDescent="0.3">
      <c r="A4421" s="171"/>
      <c r="B4421" s="174"/>
      <c r="C4421" s="35" t="s">
        <v>584</v>
      </c>
      <c r="D4421" s="35" t="s">
        <v>583</v>
      </c>
      <c r="E4421" s="36">
        <v>7.2999999999999995E-2</v>
      </c>
      <c r="F4421" s="53">
        <v>20.225499999999997</v>
      </c>
      <c r="G4421" s="53">
        <f>IF(ISNUMBER(F4421),E4421*F4421,"")</f>
        <v>1.4764614999999996</v>
      </c>
      <c r="H4421" s="72"/>
      <c r="I4421" s="73"/>
      <c r="J4421" s="152">
        <v>0</v>
      </c>
    </row>
    <row r="4422" spans="1:10" ht="15.75" hidden="1" thickBot="1" x14ac:dyDescent="0.3">
      <c r="A4422" s="171"/>
      <c r="B4422" s="174"/>
      <c r="C4422" s="35" t="s">
        <v>1156</v>
      </c>
      <c r="D4422" s="35" t="s">
        <v>583</v>
      </c>
      <c r="E4422" s="36">
        <v>0.06</v>
      </c>
      <c r="F4422" s="53">
        <v>26.552499999999998</v>
      </c>
      <c r="G4422" s="53">
        <f>IF(ISNUMBER(F4422),E4422*F4422,"")</f>
        <v>1.5931499999999998</v>
      </c>
      <c r="H4422" s="72"/>
      <c r="I4422" s="73"/>
      <c r="J4422" s="152">
        <v>0</v>
      </c>
    </row>
    <row r="4423" spans="1:10" ht="26.25" hidden="1" thickBot="1" x14ac:dyDescent="0.3">
      <c r="A4423" s="171"/>
      <c r="B4423" s="174"/>
      <c r="C4423" s="35" t="s">
        <v>1157</v>
      </c>
      <c r="D4423" s="35" t="s">
        <v>813</v>
      </c>
      <c r="E4423" s="36">
        <v>1.8E-3</v>
      </c>
      <c r="F4423" s="53">
        <v>22.315499999999997</v>
      </c>
      <c r="G4423" s="53">
        <f>IF(ISNUMBER(F4423),E4423*F4423,"")</f>
        <v>4.0167899999999992E-2</v>
      </c>
      <c r="H4423" s="72"/>
      <c r="I4423" s="73"/>
      <c r="J4423" s="152">
        <v>0</v>
      </c>
    </row>
    <row r="4424" spans="1:10" ht="26.25" hidden="1" thickBot="1" x14ac:dyDescent="0.3">
      <c r="A4424" s="171"/>
      <c r="B4424" s="174"/>
      <c r="C4424" s="35" t="s">
        <v>1158</v>
      </c>
      <c r="D4424" s="35" t="s">
        <v>815</v>
      </c>
      <c r="E4424" s="36">
        <v>2.5999999999999999E-3</v>
      </c>
      <c r="F4424" s="53">
        <v>21.555499999999999</v>
      </c>
      <c r="G4424" s="53">
        <f>IF(ISNUMBER(F4424),E4424*F4424,"")</f>
        <v>5.6044299999999991E-2</v>
      </c>
      <c r="H4424" s="72"/>
      <c r="I4424" s="73"/>
      <c r="J4424" s="152">
        <v>0</v>
      </c>
    </row>
    <row r="4425" spans="1:10" ht="15.75" hidden="1" thickBot="1" x14ac:dyDescent="0.3">
      <c r="A4425" s="172"/>
      <c r="B4425" s="175"/>
      <c r="C4425" s="54"/>
      <c r="D4425" s="54"/>
      <c r="E4425" s="65"/>
      <c r="F4425" s="75" t="s">
        <v>416</v>
      </c>
      <c r="G4425" s="75" t="str">
        <f>IF(ISNUMBER(F4425),E4425*F4425,"")</f>
        <v/>
      </c>
      <c r="H4425" s="76"/>
      <c r="I4425" s="73"/>
      <c r="J4425" s="152">
        <v>0</v>
      </c>
    </row>
    <row r="4426" spans="1:10" ht="15.75" hidden="1" thickBot="1" x14ac:dyDescent="0.3">
      <c r="A4426" s="170" t="s">
        <v>1179</v>
      </c>
      <c r="B4426" s="173" t="str">
        <f>INDEX(Orçamentária!A:B,MATCH(Composições!A4426,Orçamentária!A:A,0),2)</f>
        <v>Cumeeira TIPO SHED para telha de fibrocimento ondulada - espessura 6 mm</v>
      </c>
      <c r="C4426" s="40"/>
      <c r="D4426" s="25" t="s">
        <v>69</v>
      </c>
      <c r="E4426" s="26"/>
      <c r="F4426" s="48" t="s">
        <v>416</v>
      </c>
      <c r="G4426" s="27" t="str">
        <f>IF(ISNUMBER(F4426),E4426*F4426,"")</f>
        <v/>
      </c>
      <c r="H4426" s="28"/>
      <c r="I4426" s="29"/>
      <c r="J4426" s="152">
        <v>0</v>
      </c>
    </row>
    <row r="4427" spans="1:10" ht="15.75" hidden="1" thickBot="1" x14ac:dyDescent="0.3">
      <c r="A4427" s="171"/>
      <c r="B4427" s="174"/>
      <c r="C4427" s="31"/>
      <c r="D4427" s="31"/>
      <c r="E4427" s="32"/>
      <c r="F4427" s="53" t="s">
        <v>416</v>
      </c>
      <c r="G4427" s="53" t="str">
        <f>IF(ISNUMBER(F4427),E4427*F4427,"")</f>
        <v/>
      </c>
      <c r="H4427" s="72"/>
      <c r="I4427" s="73"/>
      <c r="J4427" s="152">
        <v>0</v>
      </c>
    </row>
    <row r="4428" spans="1:10" ht="39" hidden="1" thickBot="1" x14ac:dyDescent="0.3">
      <c r="A4428" s="171"/>
      <c r="B4428" s="174"/>
      <c r="C4428" s="35" t="s">
        <v>1174</v>
      </c>
      <c r="D4428" s="35" t="s">
        <v>619</v>
      </c>
      <c r="E4428" s="36">
        <v>4.2</v>
      </c>
      <c r="F4428" s="53">
        <v>0.30399999999999999</v>
      </c>
      <c r="G4428" s="53">
        <f>IF(ISNUMBER(F4428),E4428*F4428,"")</f>
        <v>1.2767999999999999</v>
      </c>
      <c r="H4428" s="38">
        <f>SUM(G4428:G4434)</f>
        <v>81.930485199999993</v>
      </c>
      <c r="I4428" s="39"/>
      <c r="J4428" s="152">
        <v>0</v>
      </c>
    </row>
    <row r="4429" spans="1:10" ht="26.25" hidden="1" thickBot="1" x14ac:dyDescent="0.3">
      <c r="A4429" s="171"/>
      <c r="B4429" s="174"/>
      <c r="C4429" s="35" t="s">
        <v>1175</v>
      </c>
      <c r="D4429" s="35" t="s">
        <v>213</v>
      </c>
      <c r="E4429" s="36">
        <v>4.2</v>
      </c>
      <c r="F4429" s="53">
        <v>4.607499999999999</v>
      </c>
      <c r="G4429" s="53">
        <f>IF(ISNUMBER(F4429),E4429*F4429,"")</f>
        <v>19.351499999999998</v>
      </c>
      <c r="H4429" s="72"/>
      <c r="I4429" s="73"/>
      <c r="J4429" s="152">
        <v>0</v>
      </c>
    </row>
    <row r="4430" spans="1:10" ht="26.25" hidden="1" thickBot="1" x14ac:dyDescent="0.3">
      <c r="A4430" s="171"/>
      <c r="B4430" s="174"/>
      <c r="C4430" s="35" t="s">
        <v>1180</v>
      </c>
      <c r="D4430" s="35" t="s">
        <v>213</v>
      </c>
      <c r="E4430" s="36">
        <v>1.0289999999999999</v>
      </c>
      <c r="F4430" s="53">
        <v>57.341999999999999</v>
      </c>
      <c r="G4430" s="53">
        <f>IF(ISNUMBER(F4430),E4430*F4430,"")</f>
        <v>59.004917999999996</v>
      </c>
      <c r="H4430" s="72"/>
      <c r="I4430" s="73"/>
      <c r="J4430" s="152">
        <v>0</v>
      </c>
    </row>
    <row r="4431" spans="1:10" ht="15.75" hidden="1" thickBot="1" x14ac:dyDescent="0.3">
      <c r="A4431" s="171"/>
      <c r="B4431" s="174"/>
      <c r="C4431" s="35" t="s">
        <v>584</v>
      </c>
      <c r="D4431" s="35" t="s">
        <v>583</v>
      </c>
      <c r="E4431" s="36">
        <v>5.5E-2</v>
      </c>
      <c r="F4431" s="53">
        <v>20.225499999999997</v>
      </c>
      <c r="G4431" s="53">
        <f>IF(ISNUMBER(F4431),E4431*F4431,"")</f>
        <v>1.1124024999999997</v>
      </c>
      <c r="H4431" s="72"/>
      <c r="I4431" s="73"/>
      <c r="J4431" s="152">
        <v>0</v>
      </c>
    </row>
    <row r="4432" spans="1:10" ht="15.75" hidden="1" thickBot="1" x14ac:dyDescent="0.3">
      <c r="A4432" s="171"/>
      <c r="B4432" s="174"/>
      <c r="C4432" s="35" t="s">
        <v>1156</v>
      </c>
      <c r="D4432" s="35" t="s">
        <v>583</v>
      </c>
      <c r="E4432" s="36">
        <v>4.1000000000000002E-2</v>
      </c>
      <c r="F4432" s="53">
        <v>26.552499999999998</v>
      </c>
      <c r="G4432" s="53">
        <f>IF(ISNUMBER(F4432),E4432*F4432,"")</f>
        <v>1.0886525</v>
      </c>
      <c r="H4432" s="72"/>
      <c r="I4432" s="73"/>
      <c r="J4432" s="152">
        <v>0</v>
      </c>
    </row>
    <row r="4433" spans="1:10" ht="26.25" hidden="1" thickBot="1" x14ac:dyDescent="0.3">
      <c r="A4433" s="171"/>
      <c r="B4433" s="174"/>
      <c r="C4433" s="35" t="s">
        <v>1157</v>
      </c>
      <c r="D4433" s="35" t="s">
        <v>813</v>
      </c>
      <c r="E4433" s="36">
        <v>1.8E-3</v>
      </c>
      <c r="F4433" s="53">
        <v>22.315499999999997</v>
      </c>
      <c r="G4433" s="53">
        <f>IF(ISNUMBER(F4433),E4433*F4433,"")</f>
        <v>4.0167899999999992E-2</v>
      </c>
      <c r="H4433" s="72"/>
      <c r="I4433" s="73"/>
      <c r="J4433" s="152">
        <v>0</v>
      </c>
    </row>
    <row r="4434" spans="1:10" ht="26.25" hidden="1" thickBot="1" x14ac:dyDescent="0.3">
      <c r="A4434" s="171"/>
      <c r="B4434" s="174"/>
      <c r="C4434" s="35" t="s">
        <v>1158</v>
      </c>
      <c r="D4434" s="35" t="s">
        <v>815</v>
      </c>
      <c r="E4434" s="36">
        <v>2.5999999999999999E-3</v>
      </c>
      <c r="F4434" s="53">
        <v>21.555499999999999</v>
      </c>
      <c r="G4434" s="53">
        <f>IF(ISNUMBER(F4434),E4434*F4434,"")</f>
        <v>5.6044299999999991E-2</v>
      </c>
      <c r="H4434" s="72"/>
      <c r="I4434" s="73"/>
      <c r="J4434" s="152">
        <v>0</v>
      </c>
    </row>
    <row r="4435" spans="1:10" ht="15.75" hidden="1" thickBot="1" x14ac:dyDescent="0.3">
      <c r="A4435" s="172"/>
      <c r="B4435" s="175"/>
      <c r="C4435" s="54"/>
      <c r="D4435" s="54"/>
      <c r="E4435" s="65"/>
      <c r="F4435" s="75" t="s">
        <v>416</v>
      </c>
      <c r="G4435" s="75" t="str">
        <f>IF(ISNUMBER(F4435),E4435*F4435,"")</f>
        <v/>
      </c>
      <c r="H4435" s="76"/>
      <c r="I4435" s="73"/>
      <c r="J4435" s="152">
        <v>0</v>
      </c>
    </row>
    <row r="4436" spans="1:10" ht="15.75" hidden="1" thickBot="1" x14ac:dyDescent="0.3">
      <c r="A4436" s="170" t="s">
        <v>1181</v>
      </c>
      <c r="B4436" s="173" t="str">
        <f>INDEX(Orçamentária!A:B,MATCH(Composições!A4436,Orçamentária!A:A,0),2)</f>
        <v>Telha de fibrocimento - Canalete 49 Eternit</v>
      </c>
      <c r="C4436" s="40"/>
      <c r="D4436" s="25" t="s">
        <v>70</v>
      </c>
      <c r="E4436" s="26"/>
      <c r="F4436" s="48" t="s">
        <v>416</v>
      </c>
      <c r="G4436" s="27" t="str">
        <f>IF(ISNUMBER(F4436),E4436*F4436,"")</f>
        <v/>
      </c>
      <c r="H4436" s="28"/>
      <c r="I4436" s="29"/>
      <c r="J4436" s="152">
        <v>0</v>
      </c>
    </row>
    <row r="4437" spans="1:10" ht="15.75" hidden="1" thickBot="1" x14ac:dyDescent="0.3">
      <c r="A4437" s="171"/>
      <c r="B4437" s="174"/>
      <c r="C4437" s="31"/>
      <c r="D4437" s="31"/>
      <c r="E4437" s="32"/>
      <c r="F4437" s="53" t="s">
        <v>416</v>
      </c>
      <c r="G4437" s="53" t="str">
        <f>IF(ISNUMBER(F4437),E4437*F4437,"")</f>
        <v/>
      </c>
      <c r="H4437" s="72"/>
      <c r="I4437" s="73"/>
      <c r="J4437" s="152">
        <v>0</v>
      </c>
    </row>
    <row r="4438" spans="1:10" ht="15.75" hidden="1" thickBot="1" x14ac:dyDescent="0.3">
      <c r="A4438" s="171"/>
      <c r="B4438" s="174"/>
      <c r="C4438" s="35" t="s">
        <v>1156</v>
      </c>
      <c r="D4438" s="35" t="s">
        <v>583</v>
      </c>
      <c r="E4438" s="36">
        <v>0.15</v>
      </c>
      <c r="F4438" s="53">
        <v>26.552499999999998</v>
      </c>
      <c r="G4438" s="53">
        <f>IF(ISNUMBER(F4438),E4438*F4438,"")</f>
        <v>3.9828749999999995</v>
      </c>
      <c r="H4438" s="38">
        <f>SUM(G4438:G4442)</f>
        <v>7.0166999999999984</v>
      </c>
      <c r="I4438" s="39"/>
      <c r="J4438" s="152">
        <v>0</v>
      </c>
    </row>
    <row r="4439" spans="1:10" ht="15.75" hidden="1" thickBot="1" x14ac:dyDescent="0.3">
      <c r="A4439" s="171"/>
      <c r="B4439" s="174"/>
      <c r="C4439" s="35" t="s">
        <v>584</v>
      </c>
      <c r="D4439" s="35" t="s">
        <v>583</v>
      </c>
      <c r="E4439" s="36">
        <v>0.15</v>
      </c>
      <c r="F4439" s="53">
        <v>20.225499999999997</v>
      </c>
      <c r="G4439" s="53">
        <f>IF(ISNUMBER(F4439),E4439*F4439,"")</f>
        <v>3.0338249999999993</v>
      </c>
      <c r="H4439" s="72"/>
      <c r="I4439" s="73"/>
      <c r="J4439" s="152">
        <v>0</v>
      </c>
    </row>
    <row r="4440" spans="1:10" ht="15.75" hidden="1" thickBot="1" x14ac:dyDescent="0.3">
      <c r="A4440" s="171"/>
      <c r="B4440" s="174"/>
      <c r="C4440" s="35" t="s">
        <v>1164</v>
      </c>
      <c r="D4440" s="35" t="s">
        <v>213</v>
      </c>
      <c r="E4440" s="36">
        <v>4.12</v>
      </c>
      <c r="F4440" s="53">
        <v>0</v>
      </c>
      <c r="G4440" s="53">
        <f>IF(ISNUMBER(F4440),E4440*F4440,"")</f>
        <v>0</v>
      </c>
      <c r="H4440" s="72"/>
      <c r="I4440" s="73"/>
      <c r="J4440" s="152">
        <v>0</v>
      </c>
    </row>
    <row r="4441" spans="1:10" ht="15.75" hidden="1" thickBot="1" x14ac:dyDescent="0.3">
      <c r="A4441" s="171"/>
      <c r="B4441" s="174"/>
      <c r="C4441" s="35" t="s">
        <v>3075</v>
      </c>
      <c r="D4441" s="35" t="s">
        <v>70</v>
      </c>
      <c r="E4441" s="36">
        <v>1.06</v>
      </c>
      <c r="F4441" s="53">
        <v>0</v>
      </c>
      <c r="G4441" s="53">
        <f>IF(ISNUMBER(F4441),E4441*F4441,"")</f>
        <v>0</v>
      </c>
      <c r="H4441" s="72"/>
      <c r="I4441" s="73"/>
      <c r="J4441" s="152">
        <v>0</v>
      </c>
    </row>
    <row r="4442" spans="1:10" ht="15.75" hidden="1" thickBot="1" x14ac:dyDescent="0.3">
      <c r="A4442" s="171"/>
      <c r="B4442" s="174"/>
      <c r="C4442" s="35" t="s">
        <v>1182</v>
      </c>
      <c r="D4442" s="35" t="s">
        <v>213</v>
      </c>
      <c r="E4442" s="36">
        <v>4.12</v>
      </c>
      <c r="F4442" s="53">
        <v>0</v>
      </c>
      <c r="G4442" s="53">
        <f>IF(ISNUMBER(F4442),E4442*F4442,"")</f>
        <v>0</v>
      </c>
      <c r="H4442" s="72"/>
      <c r="I4442" s="73"/>
      <c r="J4442" s="152">
        <v>0</v>
      </c>
    </row>
    <row r="4443" spans="1:10" ht="15.75" hidden="1" thickBot="1" x14ac:dyDescent="0.3">
      <c r="A4443" s="172"/>
      <c r="B4443" s="175"/>
      <c r="C4443" s="54"/>
      <c r="D4443" s="54"/>
      <c r="E4443" s="65"/>
      <c r="F4443" s="75" t="s">
        <v>416</v>
      </c>
      <c r="G4443" s="75" t="str">
        <f>IF(ISNUMBER(F4443),E4443*F4443,"")</f>
        <v/>
      </c>
      <c r="H4443" s="76"/>
      <c r="I4443" s="73"/>
      <c r="J4443" s="152">
        <v>0</v>
      </c>
    </row>
    <row r="4444" spans="1:10" ht="15.75" hidden="1" thickBot="1" x14ac:dyDescent="0.3">
      <c r="A4444" s="170" t="s">
        <v>1183</v>
      </c>
      <c r="B4444" s="173" t="str">
        <f>INDEX(Orçamentária!A:B,MATCH(Composições!A4444,Orçamentária!A:A,0),2)</f>
        <v>Escada tipo marinheiro COM proteção</v>
      </c>
      <c r="C4444" s="40"/>
      <c r="D4444" s="25" t="s">
        <v>69</v>
      </c>
      <c r="E4444" s="26"/>
      <c r="F4444" s="48" t="s">
        <v>416</v>
      </c>
      <c r="G4444" s="27" t="str">
        <f>IF(ISNUMBER(F4444),E4444*F4444,"")</f>
        <v/>
      </c>
      <c r="H4444" s="28"/>
      <c r="I4444" s="29"/>
      <c r="J4444" s="152">
        <v>0</v>
      </c>
    </row>
    <row r="4445" spans="1:10" ht="15.75" hidden="1" thickBot="1" x14ac:dyDescent="0.3">
      <c r="A4445" s="171"/>
      <c r="B4445" s="174"/>
      <c r="C4445" s="31"/>
      <c r="D4445" s="31"/>
      <c r="E4445" s="32"/>
      <c r="F4445" s="53" t="s">
        <v>416</v>
      </c>
      <c r="G4445" s="53" t="str">
        <f>IF(ISNUMBER(F4445),E4445*F4445,"")</f>
        <v/>
      </c>
      <c r="H4445" s="72"/>
      <c r="I4445" s="73"/>
      <c r="J4445" s="152">
        <v>0</v>
      </c>
    </row>
    <row r="4446" spans="1:10" ht="15.75" hidden="1" thickBot="1" x14ac:dyDescent="0.3">
      <c r="A4446" s="171"/>
      <c r="B4446" s="174"/>
      <c r="C4446" s="35" t="s">
        <v>7958</v>
      </c>
      <c r="D4446" s="35" t="s">
        <v>773</v>
      </c>
      <c r="E4446" s="36">
        <v>2.8</v>
      </c>
      <c r="F4446" s="53">
        <v>9.4334999999999987</v>
      </c>
      <c r="G4446" s="53">
        <f>IF(ISNUMBER(F4446),E4446*F4446,"")</f>
        <v>26.413799999999995</v>
      </c>
      <c r="H4446" s="38">
        <f>SUM(G4446:G4454)</f>
        <v>282.44836815955966</v>
      </c>
      <c r="I4446" s="39"/>
      <c r="J4446" s="152">
        <v>0</v>
      </c>
    </row>
    <row r="4447" spans="1:10" ht="15.75" hidden="1" thickBot="1" x14ac:dyDescent="0.3">
      <c r="A4447" s="171"/>
      <c r="B4447" s="174"/>
      <c r="C4447" s="35" t="s">
        <v>1184</v>
      </c>
      <c r="D4447" s="35" t="s">
        <v>75</v>
      </c>
      <c r="E4447" s="36">
        <v>2.5000000000000001E-2</v>
      </c>
      <c r="F4447" s="53">
        <v>39.814499999999995</v>
      </c>
      <c r="G4447" s="53">
        <f>IF(ISNUMBER(F4447),E4447*F4447,"")</f>
        <v>0.99536249999999993</v>
      </c>
      <c r="H4447" s="72"/>
      <c r="I4447" s="73"/>
      <c r="J4447" s="152">
        <v>0</v>
      </c>
    </row>
    <row r="4448" spans="1:10" ht="15.75" hidden="1" thickBot="1" x14ac:dyDescent="0.3">
      <c r="A4448" s="171"/>
      <c r="B4448" s="174"/>
      <c r="C4448" s="35" t="s">
        <v>776</v>
      </c>
      <c r="D4448" s="35" t="s">
        <v>583</v>
      </c>
      <c r="E4448" s="36">
        <v>0.35</v>
      </c>
      <c r="F4448" s="53">
        <v>26.970499999999998</v>
      </c>
      <c r="G4448" s="53">
        <f>IF(ISNUMBER(F4448),E4448*F4448,"")</f>
        <v>9.4396749999999994</v>
      </c>
      <c r="H4448" s="72"/>
      <c r="I4448" s="73"/>
      <c r="J4448" s="152">
        <v>0</v>
      </c>
    </row>
    <row r="4449" spans="1:10" ht="15.75" hidden="1" thickBot="1" x14ac:dyDescent="0.3">
      <c r="A4449" s="171"/>
      <c r="B4449" s="174"/>
      <c r="C4449" s="35" t="s">
        <v>591</v>
      </c>
      <c r="D4449" s="35" t="s">
        <v>583</v>
      </c>
      <c r="E4449" s="36">
        <v>1.1000000000000001</v>
      </c>
      <c r="F4449" s="53">
        <v>27.160499999999999</v>
      </c>
      <c r="G4449" s="53">
        <f>IF(ISNUMBER(F4449),E4449*F4449,"")</f>
        <v>29.876550000000002</v>
      </c>
      <c r="H4449" s="72"/>
      <c r="I4449" s="73"/>
      <c r="J4449" s="152">
        <v>0</v>
      </c>
    </row>
    <row r="4450" spans="1:10" ht="15.75" hidden="1" thickBot="1" x14ac:dyDescent="0.3">
      <c r="A4450" s="171"/>
      <c r="B4450" s="174"/>
      <c r="C4450" s="35" t="s">
        <v>584</v>
      </c>
      <c r="D4450" s="35" t="s">
        <v>583</v>
      </c>
      <c r="E4450" s="36">
        <v>1.1299999999999999</v>
      </c>
      <c r="F4450" s="53">
        <v>20.225499999999997</v>
      </c>
      <c r="G4450" s="53">
        <f>IF(ISNUMBER(F4450),E4450*F4450,"")</f>
        <v>22.854814999999995</v>
      </c>
      <c r="H4450" s="72"/>
      <c r="I4450" s="73"/>
      <c r="J4450" s="152">
        <v>0</v>
      </c>
    </row>
    <row r="4451" spans="1:10" ht="26.25" hidden="1" thickBot="1" x14ac:dyDescent="0.3">
      <c r="A4451" s="171"/>
      <c r="B4451" s="174"/>
      <c r="C4451" s="35" t="s">
        <v>79</v>
      </c>
      <c r="D4451" s="35" t="s">
        <v>87</v>
      </c>
      <c r="E4451" s="36">
        <v>3.5000000000000001E-3</v>
      </c>
      <c r="F4451" s="53">
        <v>758.13304558849984</v>
      </c>
      <c r="G4451" s="53">
        <f>IF(ISNUMBER(F4451),E4451*F4451,"")</f>
        <v>2.6534656595597497</v>
      </c>
      <c r="H4451" s="72"/>
      <c r="I4451" s="73"/>
      <c r="J4451" s="152">
        <v>0</v>
      </c>
    </row>
    <row r="4452" spans="1:10" ht="15.75" hidden="1" thickBot="1" x14ac:dyDescent="0.3">
      <c r="A4452" s="171"/>
      <c r="B4452" s="174"/>
      <c r="C4452" s="35" t="s">
        <v>7958</v>
      </c>
      <c r="D4452" s="35" t="s">
        <v>773</v>
      </c>
      <c r="E4452" s="36">
        <v>3</v>
      </c>
      <c r="F4452" s="53">
        <v>9.4334999999999987</v>
      </c>
      <c r="G4452" s="53">
        <f>IF(ISNUMBER(F4452),E4452*F4452,"")</f>
        <v>28.300499999999996</v>
      </c>
      <c r="H4452" s="72"/>
      <c r="I4452" s="73"/>
      <c r="J4452" s="152">
        <v>0</v>
      </c>
    </row>
    <row r="4453" spans="1:10" ht="26.25" hidden="1" thickBot="1" x14ac:dyDescent="0.3">
      <c r="A4453" s="171"/>
      <c r="B4453" s="174"/>
      <c r="C4453" s="35" t="s">
        <v>95</v>
      </c>
      <c r="D4453" s="35" t="s">
        <v>773</v>
      </c>
      <c r="E4453" s="36">
        <v>15</v>
      </c>
      <c r="F4453" s="53">
        <v>10.069999999999999</v>
      </c>
      <c r="G4453" s="53">
        <f>IF(ISNUMBER(F4453),E4453*F4453,"")</f>
        <v>151.04999999999998</v>
      </c>
      <c r="H4453" s="72"/>
      <c r="I4453" s="73"/>
      <c r="J4453" s="152">
        <v>0</v>
      </c>
    </row>
    <row r="4454" spans="1:10" ht="15.75" hidden="1" thickBot="1" x14ac:dyDescent="0.3">
      <c r="A4454" s="171"/>
      <c r="B4454" s="174"/>
      <c r="C4454" s="35" t="s">
        <v>591</v>
      </c>
      <c r="D4454" s="35" t="s">
        <v>583</v>
      </c>
      <c r="E4454" s="36">
        <v>0.4</v>
      </c>
      <c r="F4454" s="53">
        <v>27.160499999999999</v>
      </c>
      <c r="G4454" s="53">
        <f>IF(ISNUMBER(F4454),E4454*F4454,"")</f>
        <v>10.8642</v>
      </c>
      <c r="H4454" s="72"/>
      <c r="I4454" s="73"/>
      <c r="J4454" s="152">
        <v>0</v>
      </c>
    </row>
    <row r="4455" spans="1:10" ht="15.75" hidden="1" thickBot="1" x14ac:dyDescent="0.3">
      <c r="A4455" s="172"/>
      <c r="B4455" s="175"/>
      <c r="C4455" s="54"/>
      <c r="D4455" s="54"/>
      <c r="E4455" s="65"/>
      <c r="F4455" s="75" t="s">
        <v>416</v>
      </c>
      <c r="G4455" s="75" t="str">
        <f>IF(ISNUMBER(F4455),E4455*F4455,"")</f>
        <v/>
      </c>
      <c r="H4455" s="76"/>
      <c r="I4455" s="73"/>
      <c r="J4455" s="152">
        <v>0</v>
      </c>
    </row>
    <row r="4456" spans="1:10" ht="15.75" hidden="1" thickBot="1" x14ac:dyDescent="0.3">
      <c r="A4456" s="170" t="s">
        <v>1185</v>
      </c>
      <c r="B4456" s="173" t="str">
        <f>INDEX(Orçamentária!A:B,MATCH(Composições!A4456,Orçamentária!A:A,0),2)</f>
        <v>Escada tipo marinheiro SEM proteção</v>
      </c>
      <c r="C4456" s="40"/>
      <c r="D4456" s="25" t="s">
        <v>69</v>
      </c>
      <c r="E4456" s="26"/>
      <c r="F4456" s="48" t="s">
        <v>416</v>
      </c>
      <c r="G4456" s="27" t="str">
        <f>IF(ISNUMBER(F4456),E4456*F4456,"")</f>
        <v/>
      </c>
      <c r="H4456" s="28"/>
      <c r="I4456" s="29"/>
      <c r="J4456" s="152">
        <v>0</v>
      </c>
    </row>
    <row r="4457" spans="1:10" ht="15.75" hidden="1" thickBot="1" x14ac:dyDescent="0.3">
      <c r="A4457" s="171"/>
      <c r="B4457" s="174"/>
      <c r="C4457" s="31"/>
      <c r="D4457" s="31"/>
      <c r="E4457" s="32"/>
      <c r="F4457" s="53" t="s">
        <v>416</v>
      </c>
      <c r="G4457" s="53" t="str">
        <f>IF(ISNUMBER(F4457),E4457*F4457,"")</f>
        <v/>
      </c>
      <c r="H4457" s="72"/>
      <c r="I4457" s="73"/>
      <c r="J4457" s="152">
        <v>0</v>
      </c>
    </row>
    <row r="4458" spans="1:10" ht="15.75" hidden="1" thickBot="1" x14ac:dyDescent="0.3">
      <c r="A4458" s="171"/>
      <c r="B4458" s="174"/>
      <c r="C4458" s="35" t="s">
        <v>7958</v>
      </c>
      <c r="D4458" s="35" t="s">
        <v>773</v>
      </c>
      <c r="E4458" s="36">
        <v>2.8</v>
      </c>
      <c r="F4458" s="53">
        <v>9.4334999999999987</v>
      </c>
      <c r="G4458" s="53">
        <f>IF(ISNUMBER(F4458),E4458*F4458,"")</f>
        <v>26.413799999999995</v>
      </c>
      <c r="H4458" s="38">
        <f>SUM(G4458:G4466)</f>
        <v>147.61849881911948</v>
      </c>
      <c r="I4458" s="39"/>
      <c r="J4458" s="152">
        <v>0</v>
      </c>
    </row>
    <row r="4459" spans="1:10" ht="15.75" hidden="1" thickBot="1" x14ac:dyDescent="0.3">
      <c r="A4459" s="171"/>
      <c r="B4459" s="174"/>
      <c r="C4459" s="35" t="s">
        <v>1184</v>
      </c>
      <c r="D4459" s="35" t="s">
        <v>75</v>
      </c>
      <c r="E4459" s="36">
        <v>2.5000000000000001E-2</v>
      </c>
      <c r="F4459" s="53">
        <v>39.814499999999995</v>
      </c>
      <c r="G4459" s="53">
        <f>IF(ISNUMBER(F4459),E4459*F4459,"")</f>
        <v>0.99536249999999993</v>
      </c>
      <c r="H4459" s="72"/>
      <c r="I4459" s="73"/>
      <c r="J4459" s="152">
        <v>0</v>
      </c>
    </row>
    <row r="4460" spans="1:10" ht="15.75" hidden="1" thickBot="1" x14ac:dyDescent="0.3">
      <c r="A4460" s="171"/>
      <c r="B4460" s="174"/>
      <c r="C4460" s="35" t="s">
        <v>776</v>
      </c>
      <c r="D4460" s="35" t="s">
        <v>583</v>
      </c>
      <c r="E4460" s="36">
        <v>0.35</v>
      </c>
      <c r="F4460" s="53">
        <v>26.970499999999998</v>
      </c>
      <c r="G4460" s="53">
        <f>IF(ISNUMBER(F4460),E4460*F4460,"")</f>
        <v>9.4396749999999994</v>
      </c>
      <c r="H4460" s="72"/>
      <c r="I4460" s="73"/>
      <c r="J4460" s="152">
        <v>0</v>
      </c>
    </row>
    <row r="4461" spans="1:10" ht="15.75" hidden="1" thickBot="1" x14ac:dyDescent="0.3">
      <c r="A4461" s="171"/>
      <c r="B4461" s="174"/>
      <c r="C4461" s="35" t="s">
        <v>591</v>
      </c>
      <c r="D4461" s="35" t="s">
        <v>583</v>
      </c>
      <c r="E4461" s="36">
        <v>1.1000000000000001</v>
      </c>
      <c r="F4461" s="53">
        <v>27.160499999999999</v>
      </c>
      <c r="G4461" s="53">
        <f>IF(ISNUMBER(F4461),E4461*F4461,"")</f>
        <v>29.876550000000002</v>
      </c>
      <c r="H4461" s="72"/>
      <c r="I4461" s="73"/>
      <c r="J4461" s="152">
        <v>0</v>
      </c>
    </row>
    <row r="4462" spans="1:10" ht="15.75" hidden="1" thickBot="1" x14ac:dyDescent="0.3">
      <c r="A4462" s="171"/>
      <c r="B4462" s="174"/>
      <c r="C4462" s="35" t="s">
        <v>584</v>
      </c>
      <c r="D4462" s="35" t="s">
        <v>583</v>
      </c>
      <c r="E4462" s="36">
        <v>1.1299999999999999</v>
      </c>
      <c r="F4462" s="53">
        <v>20.225499999999997</v>
      </c>
      <c r="G4462" s="53">
        <f>IF(ISNUMBER(F4462),E4462*F4462,"")</f>
        <v>22.854814999999995</v>
      </c>
      <c r="H4462" s="72"/>
      <c r="I4462" s="73"/>
      <c r="J4462" s="152">
        <v>0</v>
      </c>
    </row>
    <row r="4463" spans="1:10" ht="26.25" hidden="1" thickBot="1" x14ac:dyDescent="0.3">
      <c r="A4463" s="171"/>
      <c r="B4463" s="174"/>
      <c r="C4463" s="35" t="s">
        <v>79</v>
      </c>
      <c r="D4463" s="35" t="s">
        <v>87</v>
      </c>
      <c r="E4463" s="36">
        <v>3.5000000000000001E-3</v>
      </c>
      <c r="F4463" s="53">
        <v>758.13304558849984</v>
      </c>
      <c r="G4463" s="53">
        <f>IF(ISNUMBER(F4463),E4463*F4463,"")</f>
        <v>2.6534656595597497</v>
      </c>
      <c r="H4463" s="72"/>
      <c r="I4463" s="73"/>
      <c r="J4463" s="152">
        <v>0</v>
      </c>
    </row>
    <row r="4464" spans="1:10" ht="15.75" hidden="1" thickBot="1" x14ac:dyDescent="0.3">
      <c r="A4464" s="171"/>
      <c r="B4464" s="174"/>
      <c r="C4464" s="35" t="s">
        <v>591</v>
      </c>
      <c r="D4464" s="35" t="s">
        <v>583</v>
      </c>
      <c r="E4464" s="36">
        <v>1.1000000000000001</v>
      </c>
      <c r="F4464" s="53">
        <v>27.160499999999999</v>
      </c>
      <c r="G4464" s="53">
        <f>IF(ISNUMBER(F4464),E4464*F4464,"")</f>
        <v>29.876550000000002</v>
      </c>
      <c r="H4464" s="72"/>
      <c r="I4464" s="73"/>
      <c r="J4464" s="152">
        <v>0</v>
      </c>
    </row>
    <row r="4465" spans="1:10" ht="15.75" hidden="1" thickBot="1" x14ac:dyDescent="0.3">
      <c r="A4465" s="171"/>
      <c r="B4465" s="174"/>
      <c r="C4465" s="35" t="s">
        <v>584</v>
      </c>
      <c r="D4465" s="35" t="s">
        <v>583</v>
      </c>
      <c r="E4465" s="36">
        <v>1.1299999999999999</v>
      </c>
      <c r="F4465" s="53">
        <v>20.225499999999997</v>
      </c>
      <c r="G4465" s="53">
        <f>IF(ISNUMBER(F4465),E4465*F4465,"")</f>
        <v>22.854814999999995</v>
      </c>
      <c r="H4465" s="72"/>
      <c r="I4465" s="73"/>
      <c r="J4465" s="152">
        <v>0</v>
      </c>
    </row>
    <row r="4466" spans="1:10" ht="26.25" hidden="1" thickBot="1" x14ac:dyDescent="0.3">
      <c r="A4466" s="171"/>
      <c r="B4466" s="174"/>
      <c r="C4466" s="35" t="s">
        <v>79</v>
      </c>
      <c r="D4466" s="35" t="s">
        <v>87</v>
      </c>
      <c r="E4466" s="36">
        <v>3.5000000000000001E-3</v>
      </c>
      <c r="F4466" s="53">
        <v>758.13304558849984</v>
      </c>
      <c r="G4466" s="53">
        <f>IF(ISNUMBER(F4466),E4466*F4466,"")</f>
        <v>2.6534656595597497</v>
      </c>
      <c r="H4466" s="72"/>
      <c r="I4466" s="73"/>
      <c r="J4466" s="152">
        <v>0</v>
      </c>
    </row>
    <row r="4467" spans="1:10" ht="15.75" hidden="1" thickBot="1" x14ac:dyDescent="0.3">
      <c r="A4467" s="172"/>
      <c r="B4467" s="175"/>
      <c r="C4467" s="54"/>
      <c r="D4467" s="54"/>
      <c r="E4467" s="65"/>
      <c r="F4467" s="75" t="s">
        <v>416</v>
      </c>
      <c r="G4467" s="75" t="str">
        <f>IF(ISNUMBER(F4467),E4467*F4467,"")</f>
        <v/>
      </c>
      <c r="H4467" s="76"/>
      <c r="I4467" s="73"/>
      <c r="J4467" s="152">
        <v>0</v>
      </c>
    </row>
    <row r="4468" spans="1:10" ht="15.75" hidden="1" thickBot="1" x14ac:dyDescent="0.3">
      <c r="A4468" s="170" t="s">
        <v>1186</v>
      </c>
      <c r="B4468" s="173" t="str">
        <f>INDEX(Orçamentária!A:B,MATCH(Composições!A4468,Orçamentária!A:A,0),2)</f>
        <v>Limpeza e Preparação do Substrato para Impermeabilização</v>
      </c>
      <c r="C4468" s="40"/>
      <c r="D4468" s="25" t="s">
        <v>70</v>
      </c>
      <c r="E4468" s="26"/>
      <c r="F4468" s="48" t="s">
        <v>416</v>
      </c>
      <c r="G4468" s="27" t="str">
        <f>IF(ISNUMBER(F4468),E4468*F4468,"")</f>
        <v/>
      </c>
      <c r="H4468" s="28"/>
      <c r="I4468" s="29"/>
      <c r="J4468" s="152">
        <v>0</v>
      </c>
    </row>
    <row r="4469" spans="1:10" ht="15.75" hidden="1" thickBot="1" x14ac:dyDescent="0.3">
      <c r="A4469" s="171"/>
      <c r="B4469" s="174"/>
      <c r="C4469" s="31"/>
      <c r="D4469" s="31"/>
      <c r="E4469" s="32"/>
      <c r="F4469" s="53" t="s">
        <v>416</v>
      </c>
      <c r="G4469" s="53" t="str">
        <f>IF(ISNUMBER(F4469),E4469*F4469,"")</f>
        <v/>
      </c>
      <c r="H4469" s="72"/>
      <c r="I4469" s="73"/>
      <c r="J4469" s="152">
        <v>0</v>
      </c>
    </row>
    <row r="4470" spans="1:10" ht="15.75" hidden="1" thickBot="1" x14ac:dyDescent="0.3">
      <c r="A4470" s="171"/>
      <c r="B4470" s="174"/>
      <c r="C4470" s="35" t="s">
        <v>584</v>
      </c>
      <c r="D4470" s="35" t="s">
        <v>583</v>
      </c>
      <c r="E4470" s="36">
        <v>0.11</v>
      </c>
      <c r="F4470" s="53">
        <v>20.225499999999997</v>
      </c>
      <c r="G4470" s="53">
        <f>IF(ISNUMBER(F4470),E4470*F4470,"")</f>
        <v>2.2248049999999995</v>
      </c>
      <c r="H4470" s="38">
        <f>SUM(G4470:G4472)</f>
        <v>2.2248049999999995</v>
      </c>
      <c r="I4470" s="39"/>
      <c r="J4470" s="152">
        <v>0</v>
      </c>
    </row>
    <row r="4471" spans="1:10" ht="15.75" hidden="1" thickBot="1" x14ac:dyDescent="0.3">
      <c r="A4471" s="171"/>
      <c r="B4471" s="174"/>
      <c r="C4471" s="35" t="s">
        <v>1187</v>
      </c>
      <c r="D4471" s="35" t="s">
        <v>1188</v>
      </c>
      <c r="E4471" s="36">
        <v>0.22</v>
      </c>
      <c r="F4471" s="53">
        <v>0</v>
      </c>
      <c r="G4471" s="53">
        <f>IF(ISNUMBER(F4471),E4471*F4471,"")</f>
        <v>0</v>
      </c>
      <c r="H4471" s="72"/>
      <c r="I4471" s="73"/>
      <c r="J4471" s="152">
        <v>0</v>
      </c>
    </row>
    <row r="4472" spans="1:10" ht="15.75" hidden="1" thickBot="1" x14ac:dyDescent="0.3">
      <c r="A4472" s="171"/>
      <c r="B4472" s="174"/>
      <c r="C4472" s="35" t="s">
        <v>1189</v>
      </c>
      <c r="D4472" s="35" t="s">
        <v>75</v>
      </c>
      <c r="E4472" s="36">
        <v>0.4</v>
      </c>
      <c r="F4472" s="53">
        <v>0</v>
      </c>
      <c r="G4472" s="53">
        <f>IF(ISNUMBER(F4472),E4472*F4472,"")</f>
        <v>0</v>
      </c>
      <c r="H4472" s="72"/>
      <c r="I4472" s="73"/>
      <c r="J4472" s="152">
        <v>0</v>
      </c>
    </row>
    <row r="4473" spans="1:10" ht="15.75" hidden="1" thickBot="1" x14ac:dyDescent="0.3">
      <c r="A4473" s="172"/>
      <c r="B4473" s="175"/>
      <c r="C4473" s="54"/>
      <c r="D4473" s="54"/>
      <c r="E4473" s="65"/>
      <c r="F4473" s="75" t="s">
        <v>416</v>
      </c>
      <c r="G4473" s="75" t="str">
        <f>IF(ISNUMBER(F4473),E4473*F4473,"")</f>
        <v/>
      </c>
      <c r="H4473" s="76"/>
      <c r="I4473" s="73"/>
      <c r="J4473" s="152">
        <v>0</v>
      </c>
    </row>
    <row r="4474" spans="1:10" ht="15.75" hidden="1" thickBot="1" x14ac:dyDescent="0.3">
      <c r="A4474" s="170" t="s">
        <v>1190</v>
      </c>
      <c r="B4474" s="173" t="str">
        <f>INDEX(Orçamentária!A:B,MATCH(Composições!A4474,Orçamentária!A:A,0),2)</f>
        <v>Substituição de Coletores de Águas Pluviais</v>
      </c>
      <c r="C4474" s="40"/>
      <c r="D4474" s="25" t="s">
        <v>16</v>
      </c>
      <c r="E4474" s="26"/>
      <c r="F4474" s="48" t="s">
        <v>416</v>
      </c>
      <c r="G4474" s="27" t="str">
        <f>IF(ISNUMBER(F4474),E4474*F4474,"")</f>
        <v/>
      </c>
      <c r="H4474" s="28"/>
      <c r="I4474" s="29"/>
      <c r="J4474" s="152">
        <v>0</v>
      </c>
    </row>
    <row r="4475" spans="1:10" ht="15.75" hidden="1" thickBot="1" x14ac:dyDescent="0.3">
      <c r="A4475" s="171"/>
      <c r="B4475" s="174"/>
      <c r="C4475" s="31"/>
      <c r="D4475" s="31"/>
      <c r="E4475" s="32"/>
      <c r="F4475" s="53" t="s">
        <v>416</v>
      </c>
      <c r="G4475" s="53" t="str">
        <f>IF(ISNUMBER(F4475),E4475*F4475,"")</f>
        <v/>
      </c>
      <c r="H4475" s="72"/>
      <c r="I4475" s="73"/>
      <c r="J4475" s="152">
        <v>0</v>
      </c>
    </row>
    <row r="4476" spans="1:10" ht="26.25" hidden="1" thickBot="1" x14ac:dyDescent="0.3">
      <c r="A4476" s="171"/>
      <c r="B4476" s="174"/>
      <c r="C4476" s="35" t="s">
        <v>1191</v>
      </c>
      <c r="D4476" s="35" t="s">
        <v>213</v>
      </c>
      <c r="E4476" s="36">
        <v>1</v>
      </c>
      <c r="F4476" s="53">
        <v>11.571</v>
      </c>
      <c r="G4476" s="53">
        <f>IF(ISNUMBER(F4476),E4476*F4476,"")</f>
        <v>11.571</v>
      </c>
      <c r="H4476" s="38">
        <f>SUM(G4476:G4490)</f>
        <v>232.58292064999998</v>
      </c>
      <c r="I4476" s="39"/>
      <c r="J4476" s="152">
        <v>0</v>
      </c>
    </row>
    <row r="4477" spans="1:10" ht="26.25" hidden="1" thickBot="1" x14ac:dyDescent="0.3">
      <c r="A4477" s="171"/>
      <c r="B4477" s="174"/>
      <c r="C4477" s="35" t="s">
        <v>1192</v>
      </c>
      <c r="D4477" s="35" t="s">
        <v>213</v>
      </c>
      <c r="E4477" s="36">
        <v>1</v>
      </c>
      <c r="F4477" s="53">
        <v>54.301999999999992</v>
      </c>
      <c r="G4477" s="53">
        <f>IF(ISNUMBER(F4477),E4477*F4477,"")</f>
        <v>54.301999999999992</v>
      </c>
      <c r="H4477" s="72"/>
      <c r="I4477" s="73"/>
      <c r="J4477" s="152">
        <v>0</v>
      </c>
    </row>
    <row r="4478" spans="1:10" ht="39" hidden="1" thickBot="1" x14ac:dyDescent="0.3">
      <c r="A4478" s="171"/>
      <c r="B4478" s="174"/>
      <c r="C4478" s="35" t="s">
        <v>8310</v>
      </c>
      <c r="D4478" s="35" t="s">
        <v>213</v>
      </c>
      <c r="E4478" s="36">
        <v>7.0000000000000007E-2</v>
      </c>
      <c r="F4478" s="53">
        <v>27.388499999999997</v>
      </c>
      <c r="G4478" s="53">
        <f>IF(ISNUMBER(F4478),E4478*F4478,"")</f>
        <v>1.917195</v>
      </c>
      <c r="H4478" s="72"/>
      <c r="I4478" s="73"/>
      <c r="J4478" s="152">
        <v>0</v>
      </c>
    </row>
    <row r="4479" spans="1:10" ht="26.25" hidden="1" thickBot="1" x14ac:dyDescent="0.3">
      <c r="A4479" s="171"/>
      <c r="B4479" s="174"/>
      <c r="C4479" s="35" t="s">
        <v>824</v>
      </c>
      <c r="D4479" s="35" t="s">
        <v>583</v>
      </c>
      <c r="E4479" s="36">
        <v>0.11</v>
      </c>
      <c r="F4479" s="53">
        <v>21.166</v>
      </c>
      <c r="G4479" s="53">
        <f>IF(ISNUMBER(F4479),E4479*F4479,"")</f>
        <v>2.3282600000000002</v>
      </c>
      <c r="H4479" s="72"/>
      <c r="I4479" s="73"/>
      <c r="J4479" s="152">
        <v>0</v>
      </c>
    </row>
    <row r="4480" spans="1:10" ht="26.25" hidden="1" thickBot="1" x14ac:dyDescent="0.3">
      <c r="A4480" s="171"/>
      <c r="B4480" s="174"/>
      <c r="C4480" s="35" t="s">
        <v>825</v>
      </c>
      <c r="D4480" s="35" t="s">
        <v>583</v>
      </c>
      <c r="E4480" s="36">
        <v>0.11</v>
      </c>
      <c r="F4480" s="53">
        <v>26.799499999999998</v>
      </c>
      <c r="G4480" s="53">
        <f>IF(ISNUMBER(F4480),E4480*F4480,"")</f>
        <v>2.9479449999999998</v>
      </c>
      <c r="H4480" s="72"/>
      <c r="I4480" s="73"/>
      <c r="J4480" s="152">
        <v>0</v>
      </c>
    </row>
    <row r="4481" spans="1:10" ht="15.75" hidden="1" thickBot="1" x14ac:dyDescent="0.3">
      <c r="A4481" s="171"/>
      <c r="B4481" s="174"/>
      <c r="C4481" s="35" t="s">
        <v>7975</v>
      </c>
      <c r="D4481" s="35" t="s">
        <v>213</v>
      </c>
      <c r="E4481" s="36">
        <v>6.1999999999999998E-3</v>
      </c>
      <c r="F4481" s="53">
        <v>66.36699999999999</v>
      </c>
      <c r="G4481" s="53">
        <f>IF(ISNUMBER(F4481),E4481*F4481,"")</f>
        <v>0.41147539999999994</v>
      </c>
      <c r="H4481" s="72"/>
      <c r="I4481" s="73"/>
      <c r="J4481" s="152">
        <v>0</v>
      </c>
    </row>
    <row r="4482" spans="1:10" ht="26.25" hidden="1" thickBot="1" x14ac:dyDescent="0.3">
      <c r="A4482" s="171"/>
      <c r="B4482" s="174"/>
      <c r="C4482" s="35" t="s">
        <v>1193</v>
      </c>
      <c r="D4482" s="35" t="s">
        <v>385</v>
      </c>
      <c r="E4482" s="36">
        <f>1.04/2</f>
        <v>0.52</v>
      </c>
      <c r="F4482" s="53">
        <v>58.273000000000003</v>
      </c>
      <c r="G4482" s="53">
        <f>IF(ISNUMBER(F4482),E4482*F4482,"")</f>
        <v>30.301960000000001</v>
      </c>
      <c r="H4482" s="72"/>
      <c r="I4482" s="73"/>
      <c r="J4482" s="152">
        <v>0</v>
      </c>
    </row>
    <row r="4483" spans="1:10" ht="26.25" hidden="1" thickBot="1" x14ac:dyDescent="0.3">
      <c r="A4483" s="171"/>
      <c r="B4483" s="174"/>
      <c r="C4483" s="35" t="s">
        <v>8375</v>
      </c>
      <c r="D4483" s="35" t="s">
        <v>213</v>
      </c>
      <c r="E4483" s="36">
        <v>1.0200000000000001E-2</v>
      </c>
      <c r="F4483" s="53">
        <v>75.192499999999995</v>
      </c>
      <c r="G4483" s="53">
        <f>IF(ISNUMBER(F4483),E4483*F4483,"")</f>
        <v>0.76696350000000002</v>
      </c>
      <c r="H4483" s="72"/>
      <c r="I4483" s="73"/>
      <c r="J4483" s="152">
        <v>0</v>
      </c>
    </row>
    <row r="4484" spans="1:10" ht="15.75" hidden="1" thickBot="1" x14ac:dyDescent="0.3">
      <c r="A4484" s="171"/>
      <c r="B4484" s="174"/>
      <c r="C4484" s="35" t="s">
        <v>8220</v>
      </c>
      <c r="D4484" s="35" t="s">
        <v>213</v>
      </c>
      <c r="E4484" s="36">
        <v>3.6999999999999998E-2</v>
      </c>
      <c r="F4484" s="53">
        <v>2.1185</v>
      </c>
      <c r="G4484" s="53">
        <f>IF(ISNUMBER(F4484),E4484*F4484,"")</f>
        <v>7.8384499999999996E-2</v>
      </c>
      <c r="H4484" s="72"/>
      <c r="I4484" s="73"/>
      <c r="J4484" s="152">
        <v>0</v>
      </c>
    </row>
    <row r="4485" spans="1:10" ht="26.25" hidden="1" thickBot="1" x14ac:dyDescent="0.3">
      <c r="A4485" s="171"/>
      <c r="B4485" s="174"/>
      <c r="C4485" s="35" t="s">
        <v>824</v>
      </c>
      <c r="D4485" s="35" t="s">
        <v>583</v>
      </c>
      <c r="E4485" s="36">
        <v>0.18</v>
      </c>
      <c r="F4485" s="53">
        <v>21.166</v>
      </c>
      <c r="G4485" s="53">
        <f>IF(ISNUMBER(F4485),E4485*F4485,"")</f>
        <v>3.8098799999999997</v>
      </c>
      <c r="H4485" s="72"/>
      <c r="I4485" s="73"/>
      <c r="J4485" s="152">
        <v>0</v>
      </c>
    </row>
    <row r="4486" spans="1:10" ht="26.25" hidden="1" thickBot="1" x14ac:dyDescent="0.3">
      <c r="A4486" s="171"/>
      <c r="B4486" s="174"/>
      <c r="C4486" s="35" t="s">
        <v>825</v>
      </c>
      <c r="D4486" s="35" t="s">
        <v>583</v>
      </c>
      <c r="E4486" s="36">
        <v>0.18</v>
      </c>
      <c r="F4486" s="53">
        <v>26.799499999999998</v>
      </c>
      <c r="G4486" s="53">
        <f>IF(ISNUMBER(F4486),E4486*F4486,"")</f>
        <v>4.8239099999999997</v>
      </c>
      <c r="H4486" s="72"/>
      <c r="I4486" s="73"/>
      <c r="J4486" s="152">
        <v>0</v>
      </c>
    </row>
    <row r="4487" spans="1:10" ht="15.75" hidden="1" thickBot="1" x14ac:dyDescent="0.3">
      <c r="A4487" s="171"/>
      <c r="B4487" s="174"/>
      <c r="C4487" s="35" t="s">
        <v>591</v>
      </c>
      <c r="D4487" s="35" t="s">
        <v>583</v>
      </c>
      <c r="E4487" s="36">
        <v>1</v>
      </c>
      <c r="F4487" s="53">
        <v>27.160499999999999</v>
      </c>
      <c r="G4487" s="53">
        <f>IF(ISNUMBER(F4487),E4487*F4487,"")</f>
        <v>27.160499999999999</v>
      </c>
      <c r="H4487" s="72"/>
      <c r="I4487" s="73"/>
      <c r="J4487" s="152">
        <v>0</v>
      </c>
    </row>
    <row r="4488" spans="1:10" ht="26.25" hidden="1" thickBot="1" x14ac:dyDescent="0.3">
      <c r="A4488" s="171"/>
      <c r="B4488" s="174"/>
      <c r="C4488" s="35" t="s">
        <v>650</v>
      </c>
      <c r="D4488" s="35" t="s">
        <v>773</v>
      </c>
      <c r="E4488" s="36">
        <f>ROUND(1.8*(PI()*(0.25-0.15)*0.1)*10,4)</f>
        <v>0.5655</v>
      </c>
      <c r="F4488" s="53">
        <v>52.259499999999996</v>
      </c>
      <c r="G4488" s="53">
        <f>IF(ISNUMBER(F4488),E4488*F4488,"")</f>
        <v>29.552747249999996</v>
      </c>
      <c r="H4488" s="72"/>
      <c r="I4488" s="73"/>
      <c r="J4488" s="152">
        <v>0</v>
      </c>
    </row>
    <row r="4489" spans="1:10" ht="26.25" hidden="1" thickBot="1" x14ac:dyDescent="0.3">
      <c r="A4489" s="171"/>
      <c r="B4489" s="174"/>
      <c r="C4489" s="35" t="s">
        <v>928</v>
      </c>
      <c r="D4489" s="35" t="s">
        <v>8526</v>
      </c>
      <c r="E4489" s="36">
        <v>0.2</v>
      </c>
      <c r="F4489" s="53">
        <v>39.548499999999997</v>
      </c>
      <c r="G4489" s="53">
        <f>IF(ISNUMBER(F4489),E4489*F4489,"")</f>
        <v>7.9097</v>
      </c>
      <c r="H4489" s="72"/>
      <c r="I4489" s="73"/>
      <c r="J4489" s="152">
        <v>0</v>
      </c>
    </row>
    <row r="4490" spans="1:10" ht="15.75" hidden="1" thickBot="1" x14ac:dyDescent="0.3">
      <c r="A4490" s="171"/>
      <c r="B4490" s="174"/>
      <c r="C4490" s="35" t="s">
        <v>1194</v>
      </c>
      <c r="D4490" s="35" t="s">
        <v>213</v>
      </c>
      <c r="E4490" s="36">
        <v>1</v>
      </c>
      <c r="F4490" s="53">
        <v>54.700999999999993</v>
      </c>
      <c r="G4490" s="53">
        <f>IF(ISNUMBER(F4490),E4490*F4490,"")</f>
        <v>54.700999999999993</v>
      </c>
      <c r="H4490" s="72"/>
      <c r="I4490" s="73"/>
      <c r="J4490" s="152">
        <v>0</v>
      </c>
    </row>
    <row r="4491" spans="1:10" ht="15.75" hidden="1" thickBot="1" x14ac:dyDescent="0.3">
      <c r="A4491" s="171"/>
      <c r="B4491" s="174"/>
      <c r="C4491" s="35"/>
      <c r="D4491" s="35"/>
      <c r="E4491" s="36"/>
      <c r="F4491" s="53" t="s">
        <v>416</v>
      </c>
      <c r="G4491" s="53"/>
      <c r="H4491" s="72"/>
      <c r="I4491" s="73"/>
      <c r="J4491" s="152">
        <v>0</v>
      </c>
    </row>
    <row r="4492" spans="1:10" ht="26.25" hidden="1" thickBot="1" x14ac:dyDescent="0.3">
      <c r="A4492" s="171"/>
      <c r="B4492" s="174"/>
      <c r="C4492" s="47" t="s">
        <v>3082</v>
      </c>
      <c r="D4492" s="35"/>
      <c r="E4492" s="36"/>
      <c r="F4492" s="53" t="s">
        <v>416</v>
      </c>
      <c r="G4492" s="53"/>
      <c r="H4492" s="72"/>
      <c r="I4492" s="73"/>
      <c r="J4492" s="152">
        <v>0</v>
      </c>
    </row>
    <row r="4493" spans="1:10" ht="15.75" hidden="1" thickBot="1" x14ac:dyDescent="0.3">
      <c r="A4493" s="172"/>
      <c r="B4493" s="175"/>
      <c r="C4493" s="54"/>
      <c r="D4493" s="54"/>
      <c r="E4493" s="65"/>
      <c r="F4493" s="75" t="s">
        <v>416</v>
      </c>
      <c r="G4493" s="75" t="str">
        <f>IF(ISNUMBER(F4493),E4493*F4493,"")</f>
        <v/>
      </c>
      <c r="H4493" s="76"/>
      <c r="I4493" s="73"/>
      <c r="J4493" s="152">
        <v>0</v>
      </c>
    </row>
    <row r="4494" spans="1:10" ht="15.75" hidden="1" thickBot="1" x14ac:dyDescent="0.3">
      <c r="A4494" s="170" t="s">
        <v>1195</v>
      </c>
      <c r="B4494" s="173" t="str">
        <f>INDEX(Orçamentária!A:B,MATCH(Composições!A4494,Orçamentária!A:A,0),2)</f>
        <v>Tratamento de Tubulação Passante para Impermeabilização</v>
      </c>
      <c r="C4494" s="40"/>
      <c r="D4494" s="25" t="s">
        <v>16</v>
      </c>
      <c r="E4494" s="26"/>
      <c r="F4494" s="48" t="s">
        <v>416</v>
      </c>
      <c r="G4494" s="27" t="str">
        <f>IF(ISNUMBER(F4494),E4494*F4494,"")</f>
        <v/>
      </c>
      <c r="H4494" s="28"/>
      <c r="I4494" s="29"/>
      <c r="J4494" s="152">
        <v>0</v>
      </c>
    </row>
    <row r="4495" spans="1:10" ht="15.75" hidden="1" thickBot="1" x14ac:dyDescent="0.3">
      <c r="A4495" s="171"/>
      <c r="B4495" s="174"/>
      <c r="C4495" s="31"/>
      <c r="D4495" s="31"/>
      <c r="E4495" s="32"/>
      <c r="F4495" s="53" t="s">
        <v>416</v>
      </c>
      <c r="G4495" s="53" t="str">
        <f>IF(ISNUMBER(F4495),E4495*F4495,"")</f>
        <v/>
      </c>
      <c r="H4495" s="72"/>
      <c r="I4495" s="73"/>
      <c r="J4495" s="152">
        <v>0</v>
      </c>
    </row>
    <row r="4496" spans="1:10" ht="15.75" hidden="1" thickBot="1" x14ac:dyDescent="0.3">
      <c r="A4496" s="171"/>
      <c r="B4496" s="174"/>
      <c r="C4496" s="35" t="s">
        <v>881</v>
      </c>
      <c r="D4496" s="35" t="s">
        <v>583</v>
      </c>
      <c r="E4496" s="36">
        <v>0.5</v>
      </c>
      <c r="F4496" s="53">
        <v>27.160499999999999</v>
      </c>
      <c r="G4496" s="53">
        <f>IF(ISNUMBER(F4496),E4496*F4496,"")</f>
        <v>13.580249999999999</v>
      </c>
      <c r="H4496" s="38">
        <f>SUM(G4496:G4498)</f>
        <v>51.042697249999996</v>
      </c>
      <c r="I4496" s="39"/>
      <c r="J4496" s="152">
        <v>0</v>
      </c>
    </row>
    <row r="4497" spans="1:10" ht="26.25" hidden="1" thickBot="1" x14ac:dyDescent="0.3">
      <c r="A4497" s="171"/>
      <c r="B4497" s="174"/>
      <c r="C4497" s="35" t="s">
        <v>650</v>
      </c>
      <c r="D4497" s="35" t="s">
        <v>773</v>
      </c>
      <c r="E4497" s="36">
        <f>ROUND(1.8*(PI()*(0.25-0.15)*0.1)*10,4)</f>
        <v>0.5655</v>
      </c>
      <c r="F4497" s="53">
        <v>52.259499999999996</v>
      </c>
      <c r="G4497" s="53">
        <f>IF(ISNUMBER(F4497),E4497*F4497,"")</f>
        <v>29.552747249999996</v>
      </c>
      <c r="H4497" s="72"/>
      <c r="I4497" s="73"/>
      <c r="J4497" s="152">
        <v>0</v>
      </c>
    </row>
    <row r="4498" spans="1:10" ht="26.25" hidden="1" thickBot="1" x14ac:dyDescent="0.3">
      <c r="A4498" s="171"/>
      <c r="B4498" s="174"/>
      <c r="C4498" s="35" t="s">
        <v>928</v>
      </c>
      <c r="D4498" s="35" t="s">
        <v>8526</v>
      </c>
      <c r="E4498" s="36">
        <v>0.2</v>
      </c>
      <c r="F4498" s="53">
        <v>39.548499999999997</v>
      </c>
      <c r="G4498" s="53">
        <f>IF(ISNUMBER(F4498),E4498*F4498,"")</f>
        <v>7.9097</v>
      </c>
      <c r="H4498" s="72"/>
      <c r="I4498" s="73"/>
      <c r="J4498" s="152">
        <v>0</v>
      </c>
    </row>
    <row r="4499" spans="1:10" ht="15.75" hidden="1" thickBot="1" x14ac:dyDescent="0.3">
      <c r="A4499" s="171"/>
      <c r="B4499" s="174"/>
      <c r="C4499" s="35"/>
      <c r="D4499" s="36"/>
      <c r="E4499" s="36"/>
      <c r="F4499" s="53" t="s">
        <v>416</v>
      </c>
      <c r="G4499" s="53"/>
      <c r="H4499" s="72"/>
      <c r="I4499" s="73"/>
      <c r="J4499" s="152">
        <v>0</v>
      </c>
    </row>
    <row r="4500" spans="1:10" ht="26.25" hidden="1" thickBot="1" x14ac:dyDescent="0.3">
      <c r="A4500" s="171"/>
      <c r="B4500" s="174"/>
      <c r="C4500" s="47" t="s">
        <v>3082</v>
      </c>
      <c r="D4500" s="36"/>
      <c r="E4500" s="36"/>
      <c r="F4500" s="53" t="s">
        <v>416</v>
      </c>
      <c r="G4500" s="53"/>
      <c r="H4500" s="72"/>
      <c r="I4500" s="73"/>
      <c r="J4500" s="152">
        <v>0</v>
      </c>
    </row>
    <row r="4501" spans="1:10" ht="15.75" hidden="1" thickBot="1" x14ac:dyDescent="0.3">
      <c r="A4501" s="172"/>
      <c r="B4501" s="175"/>
      <c r="C4501" s="54"/>
      <c r="D4501" s="54"/>
      <c r="E4501" s="65"/>
      <c r="F4501" s="75" t="s">
        <v>416</v>
      </c>
      <c r="G4501" s="75" t="str">
        <f>IF(ISNUMBER(F4501),E4501*F4501,"")</f>
        <v/>
      </c>
      <c r="H4501" s="76"/>
      <c r="I4501" s="73"/>
      <c r="J4501" s="152">
        <v>0</v>
      </c>
    </row>
    <row r="4502" spans="1:10" ht="15.75" hidden="1" thickBot="1" x14ac:dyDescent="0.3">
      <c r="A4502" s="170" t="s">
        <v>1196</v>
      </c>
      <c r="B4502" s="173" t="str">
        <f>INDEX(Orçamentária!A:B,MATCH(Composições!A4502,Orçamentária!A:A,0),2)</f>
        <v>Regularização de substrato para Impermeabilização - 3 cm</v>
      </c>
      <c r="C4502" s="40"/>
      <c r="D4502" s="25" t="s">
        <v>70</v>
      </c>
      <c r="E4502" s="26"/>
      <c r="F4502" s="48" t="s">
        <v>416</v>
      </c>
      <c r="G4502" s="27" t="str">
        <f>IF(ISNUMBER(F4502),E4502*F4502,"")</f>
        <v/>
      </c>
      <c r="H4502" s="28"/>
      <c r="I4502" s="29"/>
      <c r="J4502" s="152">
        <v>0</v>
      </c>
    </row>
    <row r="4503" spans="1:10" ht="15.75" hidden="1" thickBot="1" x14ac:dyDescent="0.3">
      <c r="A4503" s="171"/>
      <c r="B4503" s="174"/>
      <c r="C4503" s="31"/>
      <c r="D4503" s="31"/>
      <c r="E4503" s="32"/>
      <c r="F4503" s="53" t="s">
        <v>416</v>
      </c>
      <c r="G4503" s="53" t="str">
        <f>IF(ISNUMBER(F4503),E4503*F4503,"")</f>
        <v/>
      </c>
      <c r="H4503" s="72"/>
      <c r="I4503" s="73"/>
      <c r="J4503" s="152">
        <v>0</v>
      </c>
    </row>
    <row r="4504" spans="1:10" ht="15.75" hidden="1" thickBot="1" x14ac:dyDescent="0.3">
      <c r="A4504" s="171"/>
      <c r="B4504" s="174"/>
      <c r="C4504" s="35" t="s">
        <v>8065</v>
      </c>
      <c r="D4504" s="35" t="s">
        <v>773</v>
      </c>
      <c r="E4504" s="36">
        <v>0.5</v>
      </c>
      <c r="F4504" s="53">
        <v>0.627</v>
      </c>
      <c r="G4504" s="53">
        <f>IF(ISNUMBER(F4504),E4504*F4504,"")</f>
        <v>0.3135</v>
      </c>
      <c r="H4504" s="38">
        <f>SUM(G4504:G4508)</f>
        <v>44.988025799738793</v>
      </c>
      <c r="I4504" s="39"/>
      <c r="J4504" s="152">
        <v>0</v>
      </c>
    </row>
    <row r="4505" spans="1:10" ht="26.25" hidden="1" thickBot="1" x14ac:dyDescent="0.3">
      <c r="A4505" s="171"/>
      <c r="B4505" s="174"/>
      <c r="C4505" s="35" t="s">
        <v>7976</v>
      </c>
      <c r="D4505" s="35" t="s">
        <v>75</v>
      </c>
      <c r="E4505" s="36">
        <v>0.21</v>
      </c>
      <c r="F4505" s="53">
        <v>15.560999999999998</v>
      </c>
      <c r="G4505" s="53">
        <f>IF(ISNUMBER(F4505),E4505*F4505,"")</f>
        <v>3.2678099999999994</v>
      </c>
      <c r="H4505" s="72"/>
      <c r="I4505" s="73"/>
      <c r="J4505" s="152">
        <v>0</v>
      </c>
    </row>
    <row r="4506" spans="1:10" ht="39" hidden="1" thickBot="1" x14ac:dyDescent="0.3">
      <c r="A4506" s="171"/>
      <c r="B4506" s="174"/>
      <c r="C4506" s="35" t="s">
        <v>1197</v>
      </c>
      <c r="D4506" s="35" t="s">
        <v>87</v>
      </c>
      <c r="E4506" s="36">
        <v>4.3099999999999999E-2</v>
      </c>
      <c r="F4506" s="53">
        <v>748.59992574799992</v>
      </c>
      <c r="G4506" s="53">
        <f>IF(ISNUMBER(F4506),E4506*F4506,"")</f>
        <v>32.264656799738795</v>
      </c>
      <c r="H4506" s="72"/>
      <c r="I4506" s="73"/>
      <c r="J4506" s="152">
        <v>0</v>
      </c>
    </row>
    <row r="4507" spans="1:10" ht="15.75" hidden="1" thickBot="1" x14ac:dyDescent="0.3">
      <c r="A4507" s="171"/>
      <c r="B4507" s="174"/>
      <c r="C4507" s="35" t="s">
        <v>591</v>
      </c>
      <c r="D4507" s="35" t="s">
        <v>583</v>
      </c>
      <c r="E4507" s="36">
        <v>0.245</v>
      </c>
      <c r="F4507" s="53">
        <v>27.160499999999999</v>
      </c>
      <c r="G4507" s="53">
        <f>IF(ISNUMBER(F4507),E4507*F4507,"")</f>
        <v>6.6543224999999993</v>
      </c>
      <c r="H4507" s="72"/>
      <c r="I4507" s="73"/>
      <c r="J4507" s="152">
        <v>0</v>
      </c>
    </row>
    <row r="4508" spans="1:10" ht="15.75" hidden="1" thickBot="1" x14ac:dyDescent="0.3">
      <c r="A4508" s="171"/>
      <c r="B4508" s="174"/>
      <c r="C4508" s="35" t="s">
        <v>584</v>
      </c>
      <c r="D4508" s="35" t="s">
        <v>583</v>
      </c>
      <c r="E4508" s="36">
        <v>0.123</v>
      </c>
      <c r="F4508" s="53">
        <v>20.225499999999997</v>
      </c>
      <c r="G4508" s="53">
        <f>IF(ISNUMBER(F4508),E4508*F4508,"")</f>
        <v>2.4877364999999996</v>
      </c>
      <c r="H4508" s="72"/>
      <c r="I4508" s="73"/>
      <c r="J4508" s="152">
        <v>0</v>
      </c>
    </row>
    <row r="4509" spans="1:10" ht="15.75" hidden="1" thickBot="1" x14ac:dyDescent="0.3">
      <c r="A4509" s="171"/>
      <c r="B4509" s="174"/>
      <c r="C4509" s="35"/>
      <c r="D4509" s="35"/>
      <c r="E4509" s="36"/>
      <c r="F4509" s="53" t="s">
        <v>416</v>
      </c>
      <c r="G4509" s="53" t="str">
        <f>IF(ISNUMBER(F4509),E4509*F4509,"")</f>
        <v/>
      </c>
      <c r="H4509" s="72"/>
      <c r="I4509" s="73"/>
      <c r="J4509" s="152">
        <v>0</v>
      </c>
    </row>
    <row r="4510" spans="1:10" ht="15.75" hidden="1" thickBot="1" x14ac:dyDescent="0.3">
      <c r="A4510" s="170" t="s">
        <v>1198</v>
      </c>
      <c r="B4510" s="173" t="str">
        <f>INDEX(Orçamentária!A:B,MATCH(Composições!A4510,Orçamentária!A:A,0),2)</f>
        <v>Regularização de substrato para Impermeabilização - 6 cm</v>
      </c>
      <c r="C4510" s="40"/>
      <c r="D4510" s="25" t="s">
        <v>70</v>
      </c>
      <c r="E4510" s="26"/>
      <c r="F4510" s="48" t="s">
        <v>416</v>
      </c>
      <c r="G4510" s="27" t="str">
        <f>IF(ISNUMBER(F4510),E4510*F4510,"")</f>
        <v/>
      </c>
      <c r="H4510" s="28"/>
      <c r="I4510" s="29"/>
      <c r="J4510" s="152">
        <v>0</v>
      </c>
    </row>
    <row r="4511" spans="1:10" ht="15.75" hidden="1" thickBot="1" x14ac:dyDescent="0.3">
      <c r="A4511" s="171"/>
      <c r="B4511" s="174"/>
      <c r="C4511" s="31"/>
      <c r="D4511" s="31"/>
      <c r="E4511" s="32"/>
      <c r="F4511" s="53" t="s">
        <v>416</v>
      </c>
      <c r="G4511" s="53" t="str">
        <f>IF(ISNUMBER(F4511),E4511*F4511,"")</f>
        <v/>
      </c>
      <c r="H4511" s="72"/>
      <c r="I4511" s="73"/>
      <c r="J4511" s="152">
        <v>0</v>
      </c>
    </row>
    <row r="4512" spans="1:10" ht="15.75" hidden="1" thickBot="1" x14ac:dyDescent="0.3">
      <c r="A4512" s="171"/>
      <c r="B4512" s="174"/>
      <c r="C4512" s="35" t="s">
        <v>591</v>
      </c>
      <c r="D4512" s="35" t="s">
        <v>583</v>
      </c>
      <c r="E4512" s="36">
        <v>0.29899999999999999</v>
      </c>
      <c r="F4512" s="53">
        <v>27.160499999999999</v>
      </c>
      <c r="G4512" s="53">
        <f>IF(ISNUMBER(F4512),E4512*F4512,"")</f>
        <v>8.1209894999999985</v>
      </c>
      <c r="H4512" s="38">
        <f>SUM(G4512:G4514)</f>
        <v>60.617044091942795</v>
      </c>
      <c r="I4512" s="39"/>
      <c r="J4512" s="152">
        <v>0</v>
      </c>
    </row>
    <row r="4513" spans="1:10" ht="15.75" hidden="1" thickBot="1" x14ac:dyDescent="0.3">
      <c r="A4513" s="171"/>
      <c r="B4513" s="174"/>
      <c r="C4513" s="35" t="s">
        <v>584</v>
      </c>
      <c r="D4513" s="35" t="s">
        <v>583</v>
      </c>
      <c r="E4513" s="36">
        <v>0.14899999999999999</v>
      </c>
      <c r="F4513" s="53">
        <v>20.225499999999997</v>
      </c>
      <c r="G4513" s="53">
        <f>IF(ISNUMBER(F4513),E4513*F4513,"")</f>
        <v>3.0135994999999993</v>
      </c>
      <c r="H4513" s="72"/>
      <c r="I4513" s="73"/>
      <c r="J4513" s="152">
        <v>0</v>
      </c>
    </row>
    <row r="4514" spans="1:10" ht="39" hidden="1" thickBot="1" x14ac:dyDescent="0.3">
      <c r="A4514" s="171"/>
      <c r="B4514" s="174"/>
      <c r="C4514" s="35" t="s">
        <v>1197</v>
      </c>
      <c r="D4514" s="35" t="s">
        <v>87</v>
      </c>
      <c r="E4514" s="36">
        <v>6.6100000000000006E-2</v>
      </c>
      <c r="F4514" s="53">
        <v>748.59992574799992</v>
      </c>
      <c r="G4514" s="53">
        <f>IF(ISNUMBER(F4514),E4514*F4514,"")</f>
        <v>49.482455091942796</v>
      </c>
      <c r="H4514" s="72"/>
      <c r="I4514" s="73"/>
      <c r="J4514" s="152">
        <v>0</v>
      </c>
    </row>
    <row r="4515" spans="1:10" ht="15.75" hidden="1" thickBot="1" x14ac:dyDescent="0.3">
      <c r="A4515" s="172"/>
      <c r="B4515" s="175"/>
      <c r="C4515" s="54"/>
      <c r="D4515" s="54"/>
      <c r="E4515" s="65"/>
      <c r="F4515" s="75" t="s">
        <v>416</v>
      </c>
      <c r="G4515" s="75" t="str">
        <f>IF(ISNUMBER(F4515),E4515*F4515,"")</f>
        <v/>
      </c>
      <c r="H4515" s="76"/>
      <c r="I4515" s="73"/>
      <c r="J4515" s="152">
        <v>0</v>
      </c>
    </row>
    <row r="4516" spans="1:10" ht="15.75" hidden="1" thickBot="1" x14ac:dyDescent="0.3">
      <c r="A4516" s="170" t="s">
        <v>1199</v>
      </c>
      <c r="B4516" s="173" t="str">
        <f>INDEX(Orçamentária!A:B,MATCH(Composições!A4516,Orçamentária!A:A,0),2)</f>
        <v>Camada Separadora para Impermeabilização</v>
      </c>
      <c r="C4516" s="40"/>
      <c r="D4516" s="25" t="s">
        <v>70</v>
      </c>
      <c r="E4516" s="26"/>
      <c r="F4516" s="48" t="s">
        <v>416</v>
      </c>
      <c r="G4516" s="27" t="str">
        <f>IF(ISNUMBER(F4516),E4516*F4516,"")</f>
        <v/>
      </c>
      <c r="H4516" s="28"/>
      <c r="I4516" s="29"/>
      <c r="J4516" s="152">
        <v>0</v>
      </c>
    </row>
    <row r="4517" spans="1:10" ht="15.75" hidden="1" thickBot="1" x14ac:dyDescent="0.3">
      <c r="A4517" s="171"/>
      <c r="B4517" s="174"/>
      <c r="C4517" s="31"/>
      <c r="D4517" s="31"/>
      <c r="E4517" s="32"/>
      <c r="F4517" s="53" t="s">
        <v>416</v>
      </c>
      <c r="G4517" s="53" t="str">
        <f>IF(ISNUMBER(F4517),E4517*F4517,"")</f>
        <v/>
      </c>
      <c r="H4517" s="72"/>
      <c r="I4517" s="73"/>
      <c r="J4517" s="152">
        <v>0</v>
      </c>
    </row>
    <row r="4518" spans="1:10" ht="15.75" hidden="1" thickBot="1" x14ac:dyDescent="0.3">
      <c r="A4518" s="171"/>
      <c r="B4518" s="174"/>
      <c r="C4518" s="35" t="s">
        <v>584</v>
      </c>
      <c r="D4518" s="35" t="s">
        <v>583</v>
      </c>
      <c r="E4518" s="36">
        <v>0.01</v>
      </c>
      <c r="F4518" s="53">
        <v>20.225499999999997</v>
      </c>
      <c r="G4518" s="53">
        <f>IF(ISNUMBER(F4518),E4518*F4518,"")</f>
        <v>0.20225499999999996</v>
      </c>
      <c r="H4518" s="38">
        <f>SUM(G4518:G4519)</f>
        <v>7.256005</v>
      </c>
      <c r="I4518" s="39"/>
      <c r="J4518" s="152">
        <v>0</v>
      </c>
    </row>
    <row r="4519" spans="1:10" ht="26.25" hidden="1" thickBot="1" x14ac:dyDescent="0.3">
      <c r="A4519" s="171"/>
      <c r="B4519" s="174"/>
      <c r="C4519" s="35" t="s">
        <v>1200</v>
      </c>
      <c r="D4519" s="35" t="s">
        <v>861</v>
      </c>
      <c r="E4519" s="36">
        <v>1.1000000000000001</v>
      </c>
      <c r="F4519" s="53">
        <v>6.4124999999999996</v>
      </c>
      <c r="G4519" s="53">
        <f>IF(ISNUMBER(F4519),E4519*F4519,"")</f>
        <v>7.05375</v>
      </c>
      <c r="H4519" s="72"/>
      <c r="I4519" s="73"/>
      <c r="J4519" s="152">
        <v>0</v>
      </c>
    </row>
    <row r="4520" spans="1:10" ht="15.75" hidden="1" thickBot="1" x14ac:dyDescent="0.3">
      <c r="A4520" s="172"/>
      <c r="B4520" s="175"/>
      <c r="C4520" s="54"/>
      <c r="D4520" s="54"/>
      <c r="E4520" s="65"/>
      <c r="F4520" s="75" t="s">
        <v>416</v>
      </c>
      <c r="G4520" s="75" t="str">
        <f>IF(ISNUMBER(F4520),E4520*F4520,"")</f>
        <v/>
      </c>
      <c r="H4520" s="76"/>
      <c r="I4520" s="73"/>
      <c r="J4520" s="152">
        <v>0</v>
      </c>
    </row>
    <row r="4521" spans="1:10" ht="15.75" hidden="1" thickBot="1" x14ac:dyDescent="0.3">
      <c r="A4521" s="170" t="s">
        <v>1201</v>
      </c>
      <c r="B4521" s="173" t="str">
        <f>INDEX(Orçamentária!A:B,MATCH(Composições!A4521,Orçamentária!A:A,0),2)</f>
        <v>Camada de Proteção Térmica para Impermeabilização</v>
      </c>
      <c r="C4521" s="40"/>
      <c r="D4521" s="25" t="s">
        <v>70</v>
      </c>
      <c r="E4521" s="26"/>
      <c r="F4521" s="48" t="s">
        <v>416</v>
      </c>
      <c r="G4521" s="27" t="str">
        <f>IF(ISNUMBER(F4521),E4521*F4521,"")</f>
        <v/>
      </c>
      <c r="H4521" s="28"/>
      <c r="I4521" s="29"/>
      <c r="J4521" s="152">
        <v>0</v>
      </c>
    </row>
    <row r="4522" spans="1:10" ht="15.75" hidden="1" thickBot="1" x14ac:dyDescent="0.3">
      <c r="A4522" s="171"/>
      <c r="B4522" s="174"/>
      <c r="C4522" s="31"/>
      <c r="D4522" s="31"/>
      <c r="E4522" s="32"/>
      <c r="F4522" s="53" t="s">
        <v>416</v>
      </c>
      <c r="G4522" s="53" t="str">
        <f>IF(ISNUMBER(F4522),E4522*F4522,"")</f>
        <v/>
      </c>
      <c r="H4522" s="72"/>
      <c r="I4522" s="73"/>
      <c r="J4522" s="152">
        <v>0</v>
      </c>
    </row>
    <row r="4523" spans="1:10" ht="15.75" hidden="1" thickBot="1" x14ac:dyDescent="0.3">
      <c r="A4523" s="171"/>
      <c r="B4523" s="174"/>
      <c r="C4523" s="35" t="s">
        <v>584</v>
      </c>
      <c r="D4523" s="35" t="s">
        <v>583</v>
      </c>
      <c r="E4523" s="36">
        <v>0.05</v>
      </c>
      <c r="F4523" s="53">
        <v>20.225499999999997</v>
      </c>
      <c r="G4523" s="53">
        <f>IF(ISNUMBER(F4523),E4523*F4523,"")</f>
        <v>1.0112749999999999</v>
      </c>
      <c r="H4523" s="38">
        <f>SUM(G4523:G4524)</f>
        <v>15.415174999999998</v>
      </c>
      <c r="I4523" s="39"/>
      <c r="J4523" s="152">
        <v>0</v>
      </c>
    </row>
    <row r="4524" spans="1:10" ht="26.25" hidden="1" thickBot="1" x14ac:dyDescent="0.3">
      <c r="A4524" s="171"/>
      <c r="B4524" s="174"/>
      <c r="C4524" s="35" t="s">
        <v>1202</v>
      </c>
      <c r="D4524" s="35" t="s">
        <v>861</v>
      </c>
      <c r="E4524" s="36">
        <v>1.05</v>
      </c>
      <c r="F4524" s="53">
        <v>13.717999999999998</v>
      </c>
      <c r="G4524" s="53">
        <f>IF(ISNUMBER(F4524),E4524*F4524,"")</f>
        <v>14.403899999999998</v>
      </c>
      <c r="H4524" s="72"/>
      <c r="I4524" s="73"/>
      <c r="J4524" s="152">
        <v>0</v>
      </c>
    </row>
    <row r="4525" spans="1:10" ht="15.75" hidden="1" thickBot="1" x14ac:dyDescent="0.3">
      <c r="A4525" s="172"/>
      <c r="B4525" s="175"/>
      <c r="C4525" s="54"/>
      <c r="D4525" s="54"/>
      <c r="E4525" s="65"/>
      <c r="F4525" s="75" t="s">
        <v>416</v>
      </c>
      <c r="G4525" s="75" t="str">
        <f>IF(ISNUMBER(F4525),E4525*F4525,"")</f>
        <v/>
      </c>
      <c r="H4525" s="76"/>
      <c r="I4525" s="73"/>
      <c r="J4525" s="152">
        <v>0</v>
      </c>
    </row>
    <row r="4526" spans="1:10" ht="15.75" hidden="1" thickBot="1" x14ac:dyDescent="0.3">
      <c r="A4526" s="170" t="s">
        <v>1203</v>
      </c>
      <c r="B4526" s="173" t="str">
        <f>INDEX(Orçamentária!A:B,MATCH(Composições!A4526,Orçamentária!A:A,0),2)</f>
        <v>Camada de Amortecimento para Impermeabilização</v>
      </c>
      <c r="C4526" s="40"/>
      <c r="D4526" s="25" t="s">
        <v>70</v>
      </c>
      <c r="E4526" s="26"/>
      <c r="F4526" s="48" t="s">
        <v>416</v>
      </c>
      <c r="G4526" s="27" t="str">
        <f>IF(ISNUMBER(F4526),E4526*F4526,"")</f>
        <v/>
      </c>
      <c r="H4526" s="28"/>
      <c r="I4526" s="29"/>
      <c r="J4526" s="152">
        <v>0</v>
      </c>
    </row>
    <row r="4527" spans="1:10" ht="15.75" hidden="1" thickBot="1" x14ac:dyDescent="0.3">
      <c r="A4527" s="171"/>
      <c r="B4527" s="174"/>
      <c r="C4527" s="31"/>
      <c r="D4527" s="31"/>
      <c r="E4527" s="32"/>
      <c r="F4527" s="53" t="s">
        <v>416</v>
      </c>
      <c r="G4527" s="53" t="str">
        <f>IF(ISNUMBER(F4527),E4527*F4527,"")</f>
        <v/>
      </c>
      <c r="H4527" s="72"/>
      <c r="I4527" s="73"/>
      <c r="J4527" s="152">
        <v>0</v>
      </c>
    </row>
    <row r="4528" spans="1:10" ht="15.75" hidden="1" thickBot="1" x14ac:dyDescent="0.3">
      <c r="A4528" s="171"/>
      <c r="B4528" s="174"/>
      <c r="C4528" s="35" t="s">
        <v>591</v>
      </c>
      <c r="D4528" s="35" t="s">
        <v>583</v>
      </c>
      <c r="E4528" s="36">
        <v>0.107</v>
      </c>
      <c r="F4528" s="53">
        <v>27.160499999999999</v>
      </c>
      <c r="G4528" s="53">
        <f>IF(ISNUMBER(F4528),E4528*F4528,"")</f>
        <v>2.9061735</v>
      </c>
      <c r="H4528" s="38">
        <f>SUM(G4528:G4532)</f>
        <v>33.592286509777992</v>
      </c>
      <c r="I4528" s="39"/>
      <c r="J4528" s="152">
        <v>0</v>
      </c>
    </row>
    <row r="4529" spans="1:10" ht="15.75" hidden="1" thickBot="1" x14ac:dyDescent="0.3">
      <c r="A4529" s="171"/>
      <c r="B4529" s="174"/>
      <c r="C4529" s="35" t="s">
        <v>584</v>
      </c>
      <c r="D4529" s="35" t="s">
        <v>583</v>
      </c>
      <c r="E4529" s="36">
        <v>0.214</v>
      </c>
      <c r="F4529" s="53">
        <v>20.225499999999997</v>
      </c>
      <c r="G4529" s="53">
        <f>IF(ISNUMBER(F4529),E4529*F4529,"")</f>
        <v>4.3282569999999989</v>
      </c>
      <c r="H4529" s="72"/>
      <c r="I4529" s="73"/>
      <c r="J4529" s="152">
        <v>0</v>
      </c>
    </row>
    <row r="4530" spans="1:10" ht="15.75" hidden="1" thickBot="1" x14ac:dyDescent="0.3">
      <c r="A4530" s="171"/>
      <c r="B4530" s="174"/>
      <c r="C4530" s="35" t="s">
        <v>8065</v>
      </c>
      <c r="D4530" s="35" t="s">
        <v>773</v>
      </c>
      <c r="E4530" s="36">
        <v>0.5</v>
      </c>
      <c r="F4530" s="53">
        <v>0.627</v>
      </c>
      <c r="G4530" s="53">
        <f>IF(ISNUMBER(F4530),E4530*F4530,"")</f>
        <v>0.3135</v>
      </c>
      <c r="H4530" s="72"/>
      <c r="I4530" s="73"/>
      <c r="J4530" s="152">
        <v>0</v>
      </c>
    </row>
    <row r="4531" spans="1:10" ht="26.25" hidden="1" thickBot="1" x14ac:dyDescent="0.3">
      <c r="A4531" s="171"/>
      <c r="B4531" s="174"/>
      <c r="C4531" s="35" t="s">
        <v>7976</v>
      </c>
      <c r="D4531" s="35" t="s">
        <v>75</v>
      </c>
      <c r="E4531" s="36">
        <v>0.21</v>
      </c>
      <c r="F4531" s="53">
        <v>15.560999999999998</v>
      </c>
      <c r="G4531" s="53">
        <f>IF(ISNUMBER(F4531),E4531*F4531,"")</f>
        <v>3.2678099999999994</v>
      </c>
      <c r="H4531" s="72"/>
      <c r="I4531" s="73"/>
      <c r="J4531" s="152">
        <v>0</v>
      </c>
    </row>
    <row r="4532" spans="1:10" ht="51.75" hidden="1" thickBot="1" x14ac:dyDescent="0.3">
      <c r="A4532" s="171"/>
      <c r="B4532" s="174"/>
      <c r="C4532" s="35" t="s">
        <v>110</v>
      </c>
      <c r="D4532" s="35" t="s">
        <v>87</v>
      </c>
      <c r="E4532" s="36">
        <v>3.1E-2</v>
      </c>
      <c r="F4532" s="53">
        <v>734.72729063799989</v>
      </c>
      <c r="G4532" s="53">
        <f>IF(ISNUMBER(F4532),E4532*F4532,"")</f>
        <v>22.776546009777995</v>
      </c>
      <c r="H4532" s="72"/>
      <c r="I4532" s="73"/>
      <c r="J4532" s="152">
        <v>0</v>
      </c>
    </row>
    <row r="4533" spans="1:10" ht="15.75" hidden="1" thickBot="1" x14ac:dyDescent="0.3">
      <c r="A4533" s="172"/>
      <c r="B4533" s="175"/>
      <c r="C4533" s="54"/>
      <c r="D4533" s="54"/>
      <c r="E4533" s="65"/>
      <c r="F4533" s="75" t="s">
        <v>416</v>
      </c>
      <c r="G4533" s="75" t="str">
        <f>IF(ISNUMBER(F4533),E4533*F4533,"")</f>
        <v/>
      </c>
      <c r="H4533" s="76"/>
      <c r="I4533" s="73"/>
      <c r="J4533" s="152">
        <v>0</v>
      </c>
    </row>
    <row r="4534" spans="1:10" ht="15.75" hidden="1" thickBot="1" x14ac:dyDescent="0.3">
      <c r="A4534" s="170" t="s">
        <v>1204</v>
      </c>
      <c r="B4534" s="173" t="str">
        <f>INDEX(Orçamentária!A:B,MATCH(Composições!A4534,Orçamentária!A:A,0),2)</f>
        <v>Camada de Proteção Mecânica em Placas de Impermeabilização</v>
      </c>
      <c r="C4534" s="40"/>
      <c r="D4534" s="25" t="s">
        <v>70</v>
      </c>
      <c r="E4534" s="26"/>
      <c r="F4534" s="48" t="s">
        <v>416</v>
      </c>
      <c r="G4534" s="27" t="str">
        <f>IF(ISNUMBER(F4534),E4534*F4534,"")</f>
        <v/>
      </c>
      <c r="H4534" s="28"/>
      <c r="I4534" s="29"/>
      <c r="J4534" s="152">
        <v>0</v>
      </c>
    </row>
    <row r="4535" spans="1:10" ht="15.75" hidden="1" thickBot="1" x14ac:dyDescent="0.3">
      <c r="A4535" s="171"/>
      <c r="B4535" s="174"/>
      <c r="C4535" s="31"/>
      <c r="D4535" s="31"/>
      <c r="E4535" s="32"/>
      <c r="F4535" s="53" t="s">
        <v>416</v>
      </c>
      <c r="G4535" s="53" t="str">
        <f>IF(ISNUMBER(F4535),E4535*F4535,"")</f>
        <v/>
      </c>
      <c r="H4535" s="72"/>
      <c r="I4535" s="73"/>
      <c r="J4535" s="152">
        <v>0</v>
      </c>
    </row>
    <row r="4536" spans="1:10" ht="15.75" hidden="1" thickBot="1" x14ac:dyDescent="0.3">
      <c r="A4536" s="171"/>
      <c r="B4536" s="174"/>
      <c r="C4536" s="35" t="s">
        <v>883</v>
      </c>
      <c r="D4536" s="35" t="s">
        <v>861</v>
      </c>
      <c r="E4536" s="36">
        <v>1.04</v>
      </c>
      <c r="F4536" s="53">
        <v>1.7575000000000001</v>
      </c>
      <c r="G4536" s="53">
        <f>IF(ISNUMBER(F4536),E4536*F4536,"")</f>
        <v>1.8278000000000001</v>
      </c>
      <c r="H4536" s="38">
        <f>SUM(G4536:G4540)</f>
        <v>91.946702750249997</v>
      </c>
      <c r="I4536" s="39"/>
      <c r="J4536" s="152">
        <v>0</v>
      </c>
    </row>
    <row r="4537" spans="1:10" ht="26.25" hidden="1" thickBot="1" x14ac:dyDescent="0.3">
      <c r="A4537" s="171"/>
      <c r="B4537" s="174"/>
      <c r="C4537" s="35" t="s">
        <v>884</v>
      </c>
      <c r="D4537" s="35" t="s">
        <v>87</v>
      </c>
      <c r="E4537" s="36">
        <v>4.3999999999999997E-2</v>
      </c>
      <c r="F4537" s="53">
        <v>918.41925568750003</v>
      </c>
      <c r="G4537" s="53">
        <f>IF(ISNUMBER(F4537),E4537*F4537,"")</f>
        <v>40.410447250250002</v>
      </c>
      <c r="H4537" s="72"/>
      <c r="I4537" s="73"/>
      <c r="J4537" s="152">
        <v>0</v>
      </c>
    </row>
    <row r="4538" spans="1:10" ht="15.75" hidden="1" thickBot="1" x14ac:dyDescent="0.3">
      <c r="A4538" s="171"/>
      <c r="B4538" s="174"/>
      <c r="C4538" s="35" t="s">
        <v>591</v>
      </c>
      <c r="D4538" s="35" t="s">
        <v>583</v>
      </c>
      <c r="E4538" s="36">
        <v>0.89900000000000002</v>
      </c>
      <c r="F4538" s="53">
        <v>27.160499999999999</v>
      </c>
      <c r="G4538" s="53">
        <f>IF(ISNUMBER(F4538),E4538*F4538,"")</f>
        <v>24.417289499999999</v>
      </c>
      <c r="H4538" s="72"/>
      <c r="I4538" s="73"/>
      <c r="J4538" s="152">
        <v>0</v>
      </c>
    </row>
    <row r="4539" spans="1:10" ht="15.75" hidden="1" thickBot="1" x14ac:dyDescent="0.3">
      <c r="A4539" s="171"/>
      <c r="B4539" s="174"/>
      <c r="C4539" s="35" t="s">
        <v>584</v>
      </c>
      <c r="D4539" s="35" t="s">
        <v>583</v>
      </c>
      <c r="E4539" s="36">
        <v>0.182</v>
      </c>
      <c r="F4539" s="53">
        <v>20.225499999999997</v>
      </c>
      <c r="G4539" s="53">
        <f>IF(ISNUMBER(F4539),E4539*F4539,"")</f>
        <v>3.6810409999999991</v>
      </c>
      <c r="H4539" s="72"/>
      <c r="I4539" s="73"/>
      <c r="J4539" s="152">
        <v>0</v>
      </c>
    </row>
    <row r="4540" spans="1:10" ht="39" hidden="1" thickBot="1" x14ac:dyDescent="0.3">
      <c r="A4540" s="171"/>
      <c r="B4540" s="174"/>
      <c r="C4540" s="35" t="s">
        <v>880</v>
      </c>
      <c r="D4540" s="35" t="s">
        <v>773</v>
      </c>
      <c r="E4540" s="36">
        <f>0.15*2.5*(6/2)</f>
        <v>1.125</v>
      </c>
      <c r="F4540" s="53">
        <v>19.209</v>
      </c>
      <c r="G4540" s="53">
        <f>IF(ISNUMBER(F4540),E4540*F4540,"")</f>
        <v>21.610125</v>
      </c>
      <c r="H4540" s="72"/>
      <c r="I4540" s="73"/>
      <c r="J4540" s="152">
        <v>0</v>
      </c>
    </row>
    <row r="4541" spans="1:10" ht="15.75" hidden="1" thickBot="1" x14ac:dyDescent="0.3">
      <c r="A4541" s="171"/>
      <c r="B4541" s="174"/>
      <c r="C4541" s="35"/>
      <c r="D4541" s="35"/>
      <c r="E4541" s="36"/>
      <c r="F4541" s="53" t="s">
        <v>416</v>
      </c>
      <c r="G4541" s="53" t="str">
        <f>IF(ISNUMBER(F4541),E4541*F4541,"")</f>
        <v/>
      </c>
      <c r="H4541" s="72"/>
      <c r="I4541" s="73"/>
      <c r="J4541" s="152">
        <v>0</v>
      </c>
    </row>
    <row r="4542" spans="1:10" ht="15.75" hidden="1" thickBot="1" x14ac:dyDescent="0.3">
      <c r="A4542" s="170" t="s">
        <v>1205</v>
      </c>
      <c r="B4542" s="173" t="str">
        <f>INDEX(Orçamentária!A:B,MATCH(Composições!A4542,Orçamentária!A:A,0),2)</f>
        <v>Pintura Inibidora de Raízes em Estrutura Impermeabilizada</v>
      </c>
      <c r="C4542" s="40"/>
      <c r="D4542" s="25" t="s">
        <v>70</v>
      </c>
      <c r="E4542" s="26"/>
      <c r="F4542" s="48" t="s">
        <v>416</v>
      </c>
      <c r="G4542" s="27" t="str">
        <f>IF(ISNUMBER(F4542),E4542*F4542,"")</f>
        <v/>
      </c>
      <c r="H4542" s="28"/>
      <c r="I4542" s="29"/>
      <c r="J4542" s="152">
        <v>0</v>
      </c>
    </row>
    <row r="4543" spans="1:10" ht="15.75" hidden="1" thickBot="1" x14ac:dyDescent="0.3">
      <c r="A4543" s="171"/>
      <c r="B4543" s="174"/>
      <c r="C4543" s="31"/>
      <c r="D4543" s="31"/>
      <c r="E4543" s="32"/>
      <c r="F4543" s="53" t="s">
        <v>416</v>
      </c>
      <c r="G4543" s="53" t="str">
        <f>IF(ISNUMBER(F4543),E4543*F4543,"")</f>
        <v/>
      </c>
      <c r="H4543" s="72"/>
      <c r="I4543" s="73"/>
      <c r="J4543" s="152">
        <v>0</v>
      </c>
    </row>
    <row r="4544" spans="1:10" ht="15.75" hidden="1" thickBot="1" x14ac:dyDescent="0.3">
      <c r="A4544" s="171"/>
      <c r="B4544" s="174"/>
      <c r="C4544" s="35" t="s">
        <v>1206</v>
      </c>
      <c r="D4544" s="35" t="s">
        <v>75</v>
      </c>
      <c r="E4544" s="36">
        <v>0.32569999999999999</v>
      </c>
      <c r="F4544" s="53" t="s">
        <v>416</v>
      </c>
      <c r="G4544" s="53" t="str">
        <f>IF(ISNUMBER(F4544),E4544*F4544,"")</f>
        <v/>
      </c>
      <c r="H4544" s="38">
        <f>SUM(G4544:G4545)</f>
        <v>12.980793350000001</v>
      </c>
      <c r="I4544" s="39"/>
      <c r="J4544" s="152">
        <v>0</v>
      </c>
    </row>
    <row r="4545" spans="1:10" ht="15.75" hidden="1" thickBot="1" x14ac:dyDescent="0.3">
      <c r="A4545" s="171"/>
      <c r="B4545" s="174"/>
      <c r="C4545" s="35" t="s">
        <v>956</v>
      </c>
      <c r="D4545" s="35" t="s">
        <v>583</v>
      </c>
      <c r="E4545" s="36">
        <v>0.45290000000000002</v>
      </c>
      <c r="F4545" s="53">
        <v>28.6615</v>
      </c>
      <c r="G4545" s="53">
        <f>IF(ISNUMBER(F4545),E4545*F4545,"")</f>
        <v>12.980793350000001</v>
      </c>
      <c r="H4545" s="72"/>
      <c r="I4545" s="73"/>
      <c r="J4545" s="152">
        <v>0</v>
      </c>
    </row>
    <row r="4546" spans="1:10" ht="15.75" hidden="1" thickBot="1" x14ac:dyDescent="0.3">
      <c r="A4546" s="172"/>
      <c r="B4546" s="175"/>
      <c r="C4546" s="54"/>
      <c r="D4546" s="54"/>
      <c r="E4546" s="65"/>
      <c r="F4546" s="75" t="s">
        <v>416</v>
      </c>
      <c r="G4546" s="75" t="str">
        <f>IF(ISNUMBER(F4546),E4546*F4546,"")</f>
        <v/>
      </c>
      <c r="H4546" s="76"/>
      <c r="I4546" s="73"/>
      <c r="J4546" s="152">
        <v>0</v>
      </c>
    </row>
    <row r="4547" spans="1:10" ht="15.75" hidden="1" thickBot="1" x14ac:dyDescent="0.3">
      <c r="A4547" s="170" t="s">
        <v>1207</v>
      </c>
      <c r="B4547" s="173" t="str">
        <f>INDEX(Orçamentária!A:B,MATCH(Composições!A4547,Orçamentária!A:A,0),2)</f>
        <v>Camada Drenante para Impermeabilização</v>
      </c>
      <c r="C4547" s="40"/>
      <c r="D4547" s="25" t="s">
        <v>70</v>
      </c>
      <c r="E4547" s="26"/>
      <c r="F4547" s="48" t="s">
        <v>416</v>
      </c>
      <c r="G4547" s="27" t="str">
        <f>IF(ISNUMBER(F4547),E4547*F4547,"")</f>
        <v/>
      </c>
      <c r="H4547" s="28"/>
      <c r="I4547" s="29"/>
      <c r="J4547" s="152">
        <v>0</v>
      </c>
    </row>
    <row r="4548" spans="1:10" ht="15.75" hidden="1" thickBot="1" x14ac:dyDescent="0.3">
      <c r="A4548" s="171"/>
      <c r="B4548" s="174"/>
      <c r="C4548" s="31"/>
      <c r="D4548" s="31"/>
      <c r="E4548" s="32"/>
      <c r="F4548" s="53" t="s">
        <v>416</v>
      </c>
      <c r="G4548" s="53" t="str">
        <f>IF(ISNUMBER(F4548),E4548*F4548,"")</f>
        <v/>
      </c>
      <c r="H4548" s="72"/>
      <c r="I4548" s="73"/>
      <c r="J4548" s="152">
        <v>0</v>
      </c>
    </row>
    <row r="4549" spans="1:10" ht="15.75" hidden="1" thickBot="1" x14ac:dyDescent="0.3">
      <c r="A4549" s="171"/>
      <c r="B4549" s="174"/>
      <c r="C4549" s="35" t="s">
        <v>584</v>
      </c>
      <c r="D4549" s="35" t="s">
        <v>583</v>
      </c>
      <c r="E4549" s="36">
        <v>0.02</v>
      </c>
      <c r="F4549" s="53">
        <v>20.225499999999997</v>
      </c>
      <c r="G4549" s="53">
        <f>IF(ISNUMBER(F4549),E4549*F4549,"")</f>
        <v>0.40450999999999993</v>
      </c>
      <c r="H4549" s="38">
        <f>SUM(G4549:G4551)</f>
        <v>7.4582600000000001</v>
      </c>
      <c r="I4549" s="39"/>
      <c r="J4549" s="152">
        <v>0</v>
      </c>
    </row>
    <row r="4550" spans="1:10" ht="26.25" hidden="1" thickBot="1" x14ac:dyDescent="0.3">
      <c r="A4550" s="171"/>
      <c r="B4550" s="174"/>
      <c r="C4550" s="35" t="s">
        <v>1208</v>
      </c>
      <c r="D4550" s="35" t="s">
        <v>70</v>
      </c>
      <c r="E4550" s="36">
        <v>1.05</v>
      </c>
      <c r="F4550" s="53" t="s">
        <v>416</v>
      </c>
      <c r="G4550" s="53" t="str">
        <f>IF(ISNUMBER(F4550),E4550*F4550,"")</f>
        <v/>
      </c>
      <c r="H4550" s="72"/>
      <c r="I4550" s="73"/>
      <c r="J4550" s="152">
        <v>0</v>
      </c>
    </row>
    <row r="4551" spans="1:10" ht="26.25" hidden="1" thickBot="1" x14ac:dyDescent="0.3">
      <c r="A4551" s="171"/>
      <c r="B4551" s="174"/>
      <c r="C4551" s="35" t="s">
        <v>1200</v>
      </c>
      <c r="D4551" s="35" t="s">
        <v>861</v>
      </c>
      <c r="E4551" s="36">
        <v>1.1000000000000001</v>
      </c>
      <c r="F4551" s="53">
        <v>6.4124999999999996</v>
      </c>
      <c r="G4551" s="53">
        <f>IF(ISNUMBER(F4551),E4551*F4551,"")</f>
        <v>7.05375</v>
      </c>
      <c r="H4551" s="72"/>
      <c r="I4551" s="73"/>
      <c r="J4551" s="152">
        <v>0</v>
      </c>
    </row>
    <row r="4552" spans="1:10" ht="15.75" hidden="1" thickBot="1" x14ac:dyDescent="0.3">
      <c r="A4552" s="172"/>
      <c r="B4552" s="175"/>
      <c r="C4552" s="54"/>
      <c r="D4552" s="54"/>
      <c r="E4552" s="65"/>
      <c r="F4552" s="75" t="s">
        <v>416</v>
      </c>
      <c r="G4552" s="75" t="str">
        <f>IF(ISNUMBER(F4552),E4552*F4552,"")</f>
        <v/>
      </c>
      <c r="H4552" s="76"/>
      <c r="I4552" s="73"/>
      <c r="J4552" s="152">
        <v>0</v>
      </c>
    </row>
    <row r="4553" spans="1:10" ht="15.75" hidden="1" thickBot="1" x14ac:dyDescent="0.3">
      <c r="A4553" s="170" t="s">
        <v>1209</v>
      </c>
      <c r="B4553" s="173" t="str">
        <f>INDEX(Orçamentária!A:B,MATCH(Composições!A4553,Orçamentária!A:A,0),2)</f>
        <v>Calha em Chapa de Aço Galvanizado nº 24</v>
      </c>
      <c r="C4553" s="40"/>
      <c r="D4553" s="25" t="s">
        <v>70</v>
      </c>
      <c r="E4553" s="26"/>
      <c r="F4553" s="48" t="s">
        <v>416</v>
      </c>
      <c r="G4553" s="27" t="str">
        <f>IF(ISNUMBER(F4553),E4553*F4553,"")</f>
        <v/>
      </c>
      <c r="H4553" s="28"/>
      <c r="I4553" s="29"/>
      <c r="J4553" s="152">
        <v>0</v>
      </c>
    </row>
    <row r="4554" spans="1:10" ht="15.75" hidden="1" thickBot="1" x14ac:dyDescent="0.3">
      <c r="A4554" s="171"/>
      <c r="B4554" s="174"/>
      <c r="C4554" s="31"/>
      <c r="D4554" s="31"/>
      <c r="E4554" s="32"/>
      <c r="F4554" s="53" t="s">
        <v>416</v>
      </c>
      <c r="G4554" s="53" t="str">
        <f>IF(ISNUMBER(F4554),E4554*F4554,"")</f>
        <v/>
      </c>
      <c r="H4554" s="72"/>
      <c r="I4554" s="73"/>
      <c r="J4554" s="152">
        <v>0</v>
      </c>
    </row>
    <row r="4555" spans="1:10" ht="26.25" hidden="1" thickBot="1" x14ac:dyDescent="0.3">
      <c r="A4555" s="171"/>
      <c r="B4555" s="174"/>
      <c r="C4555" s="35" t="s">
        <v>928</v>
      </c>
      <c r="D4555" s="35" t="s">
        <v>8526</v>
      </c>
      <c r="E4555" s="36">
        <v>0.161</v>
      </c>
      <c r="F4555" s="53">
        <v>39.548499999999997</v>
      </c>
      <c r="G4555" s="53">
        <f>IF(ISNUMBER(F4555),E4555*F4555,"")</f>
        <v>6.3673085</v>
      </c>
      <c r="H4555" s="38">
        <f>SUM(G4555:G4563)</f>
        <v>184.40962145000003</v>
      </c>
      <c r="I4555" s="39"/>
      <c r="J4555" s="152">
        <v>0</v>
      </c>
    </row>
    <row r="4556" spans="1:10" ht="15.75" hidden="1" thickBot="1" x14ac:dyDescent="0.3">
      <c r="A4556" s="171"/>
      <c r="B4556" s="174"/>
      <c r="C4556" s="35" t="s">
        <v>8339</v>
      </c>
      <c r="D4556" s="35" t="s">
        <v>773</v>
      </c>
      <c r="E4556" s="36">
        <v>2.5000000000000001E-2</v>
      </c>
      <c r="F4556" s="53">
        <v>21.232500000000002</v>
      </c>
      <c r="G4556" s="53">
        <f>IF(ISNUMBER(F4556),E4556*F4556,"")</f>
        <v>0.53081250000000002</v>
      </c>
      <c r="H4556" s="72"/>
      <c r="I4556" s="73"/>
      <c r="J4556" s="152">
        <v>0</v>
      </c>
    </row>
    <row r="4557" spans="1:10" ht="26.25" hidden="1" thickBot="1" x14ac:dyDescent="0.3">
      <c r="A4557" s="171"/>
      <c r="B4557" s="174"/>
      <c r="C4557" s="35" t="s">
        <v>1210</v>
      </c>
      <c r="D4557" s="35" t="s">
        <v>773</v>
      </c>
      <c r="E4557" s="36">
        <v>4.8999999999999998E-3</v>
      </c>
      <c r="F4557" s="53">
        <v>63.688000000000002</v>
      </c>
      <c r="G4557" s="53">
        <f>IF(ISNUMBER(F4557),E4557*F4557,"")</f>
        <v>0.31207119999999999</v>
      </c>
      <c r="H4557" s="72"/>
      <c r="I4557" s="73"/>
      <c r="J4557" s="152">
        <v>0</v>
      </c>
    </row>
    <row r="4558" spans="1:10" ht="15.75" hidden="1" thickBot="1" x14ac:dyDescent="0.3">
      <c r="A4558" s="171"/>
      <c r="B4558" s="174"/>
      <c r="C4558" s="35" t="s">
        <v>1211</v>
      </c>
      <c r="D4558" s="35" t="s">
        <v>773</v>
      </c>
      <c r="E4558" s="36">
        <v>0.18</v>
      </c>
      <c r="F4558" s="53">
        <v>184.92699999999999</v>
      </c>
      <c r="G4558" s="53">
        <f>IF(ISNUMBER(F4558),E4558*F4558,"")</f>
        <v>33.286859999999997</v>
      </c>
      <c r="H4558" s="72"/>
      <c r="I4558" s="73"/>
      <c r="J4558" s="152">
        <v>0</v>
      </c>
    </row>
    <row r="4559" spans="1:10" ht="26.25" hidden="1" thickBot="1" x14ac:dyDescent="0.3">
      <c r="A4559" s="171"/>
      <c r="B4559" s="174"/>
      <c r="C4559" s="35" t="s">
        <v>1212</v>
      </c>
      <c r="D4559" s="35" t="s">
        <v>385</v>
      </c>
      <c r="E4559" s="36">
        <v>1.05</v>
      </c>
      <c r="F4559" s="53">
        <v>110.58</v>
      </c>
      <c r="G4559" s="53">
        <f>IF(ISNUMBER(F4559),E4559*F4559,"")</f>
        <v>116.10900000000001</v>
      </c>
      <c r="H4559" s="72"/>
      <c r="I4559" s="73"/>
      <c r="J4559" s="152">
        <v>0</v>
      </c>
    </row>
    <row r="4560" spans="1:10" ht="15.75" hidden="1" thickBot="1" x14ac:dyDescent="0.3">
      <c r="A4560" s="171"/>
      <c r="B4560" s="174"/>
      <c r="C4560" s="35" t="s">
        <v>584</v>
      </c>
      <c r="D4560" s="35" t="s">
        <v>583</v>
      </c>
      <c r="E4560" s="36">
        <v>0.63300000000000001</v>
      </c>
      <c r="F4560" s="53">
        <v>20.225499999999997</v>
      </c>
      <c r="G4560" s="53">
        <f>IF(ISNUMBER(F4560),E4560*F4560,"")</f>
        <v>12.802741499999998</v>
      </c>
      <c r="H4560" s="72"/>
      <c r="I4560" s="73"/>
      <c r="J4560" s="152">
        <v>0</v>
      </c>
    </row>
    <row r="4561" spans="1:10" ht="15.75" hidden="1" thickBot="1" x14ac:dyDescent="0.3">
      <c r="A4561" s="171"/>
      <c r="B4561" s="174"/>
      <c r="C4561" s="35" t="s">
        <v>1156</v>
      </c>
      <c r="D4561" s="35" t="s">
        <v>583</v>
      </c>
      <c r="E4561" s="36">
        <v>0.53900000000000003</v>
      </c>
      <c r="F4561" s="53">
        <v>26.552499999999998</v>
      </c>
      <c r="G4561" s="53">
        <f>IF(ISNUMBER(F4561),E4561*F4561,"")</f>
        <v>14.311797500000001</v>
      </c>
      <c r="H4561" s="72"/>
      <c r="I4561" s="73"/>
      <c r="J4561" s="152">
        <v>0</v>
      </c>
    </row>
    <row r="4562" spans="1:10" ht="26.25" hidden="1" thickBot="1" x14ac:dyDescent="0.3">
      <c r="A4562" s="171"/>
      <c r="B4562" s="174"/>
      <c r="C4562" s="35" t="s">
        <v>1157</v>
      </c>
      <c r="D4562" s="35" t="s">
        <v>813</v>
      </c>
      <c r="E4562" s="36">
        <v>1.32E-2</v>
      </c>
      <c r="F4562" s="53">
        <v>22.315499999999997</v>
      </c>
      <c r="G4562" s="53">
        <f>IF(ISNUMBER(F4562),E4562*F4562,"")</f>
        <v>0.29456459999999995</v>
      </c>
      <c r="H4562" s="72"/>
      <c r="I4562" s="73"/>
      <c r="J4562" s="152">
        <v>0</v>
      </c>
    </row>
    <row r="4563" spans="1:10" ht="26.25" hidden="1" thickBot="1" x14ac:dyDescent="0.3">
      <c r="A4563" s="171"/>
      <c r="B4563" s="174"/>
      <c r="C4563" s="35" t="s">
        <v>1158</v>
      </c>
      <c r="D4563" s="35" t="s">
        <v>815</v>
      </c>
      <c r="E4563" s="36">
        <v>1.83E-2</v>
      </c>
      <c r="F4563" s="53">
        <v>21.555499999999999</v>
      </c>
      <c r="G4563" s="53">
        <f>IF(ISNUMBER(F4563),E4563*F4563,"")</f>
        <v>0.39446565</v>
      </c>
      <c r="H4563" s="72"/>
      <c r="I4563" s="73"/>
      <c r="J4563" s="152">
        <v>0</v>
      </c>
    </row>
    <row r="4564" spans="1:10" ht="15.75" hidden="1" thickBot="1" x14ac:dyDescent="0.3">
      <c r="A4564" s="172"/>
      <c r="B4564" s="175"/>
      <c r="C4564" s="54"/>
      <c r="D4564" s="54"/>
      <c r="E4564" s="65"/>
      <c r="F4564" s="75" t="s">
        <v>416</v>
      </c>
      <c r="G4564" s="75" t="str">
        <f>IF(ISNUMBER(F4564),E4564*F4564,"")</f>
        <v/>
      </c>
      <c r="H4564" s="76"/>
      <c r="I4564" s="73"/>
      <c r="J4564" s="152">
        <v>0</v>
      </c>
    </row>
    <row r="4565" spans="1:10" ht="15.75" hidden="1" thickBot="1" x14ac:dyDescent="0.3">
      <c r="A4565" s="170" t="s">
        <v>1213</v>
      </c>
      <c r="B4565" s="173" t="str">
        <f>INDEX(Orçamentária!A:B,MATCH(Composições!A4565,Orçamentária!A:A,0),2)</f>
        <v>Rufo em Chapa de Aço Galvanizado nº 24</v>
      </c>
      <c r="C4565" s="40"/>
      <c r="D4565" s="25" t="s">
        <v>70</v>
      </c>
      <c r="E4565" s="26"/>
      <c r="F4565" s="48" t="s">
        <v>416</v>
      </c>
      <c r="G4565" s="27" t="str">
        <f>IF(ISNUMBER(F4565),E4565*F4565,"")</f>
        <v/>
      </c>
      <c r="H4565" s="28"/>
      <c r="I4565" s="29"/>
      <c r="J4565" s="152">
        <v>0</v>
      </c>
    </row>
    <row r="4566" spans="1:10" ht="15.75" hidden="1" thickBot="1" x14ac:dyDescent="0.3">
      <c r="A4566" s="171"/>
      <c r="B4566" s="174"/>
      <c r="C4566" s="31"/>
      <c r="D4566" s="31"/>
      <c r="E4566" s="32"/>
      <c r="F4566" s="53" t="s">
        <v>416</v>
      </c>
      <c r="G4566" s="53" t="str">
        <f>IF(ISNUMBER(F4566),E4566*F4566,"")</f>
        <v/>
      </c>
      <c r="H4566" s="72"/>
      <c r="I4566" s="73"/>
      <c r="J4566" s="152">
        <v>0</v>
      </c>
    </row>
    <row r="4567" spans="1:10" ht="26.25" hidden="1" thickBot="1" x14ac:dyDescent="0.3">
      <c r="A4567" s="171"/>
      <c r="B4567" s="174"/>
      <c r="C4567" s="35" t="s">
        <v>928</v>
      </c>
      <c r="D4567" s="35" t="s">
        <v>8526</v>
      </c>
      <c r="E4567" s="36">
        <f>0.198*4</f>
        <v>0.79200000000000004</v>
      </c>
      <c r="F4567" s="53">
        <v>39.548499999999997</v>
      </c>
      <c r="G4567" s="53">
        <f>IF(ISNUMBER(F4567),E4567*F4567,"")</f>
        <v>31.322412</v>
      </c>
      <c r="H4567" s="38">
        <f>SUM(G4567:G4575)</f>
        <v>212.87353189999999</v>
      </c>
      <c r="I4567" s="39"/>
      <c r="J4567" s="152">
        <v>0</v>
      </c>
    </row>
    <row r="4568" spans="1:10" ht="15.75" hidden="1" thickBot="1" x14ac:dyDescent="0.3">
      <c r="A4568" s="171"/>
      <c r="B4568" s="174"/>
      <c r="C4568" s="35" t="s">
        <v>8339</v>
      </c>
      <c r="D4568" s="35" t="s">
        <v>773</v>
      </c>
      <c r="E4568" s="36">
        <f>0.006*4</f>
        <v>2.4E-2</v>
      </c>
      <c r="F4568" s="53">
        <v>21.232500000000002</v>
      </c>
      <c r="G4568" s="53">
        <f>IF(ISNUMBER(F4568),E4568*F4568,"")</f>
        <v>0.50958000000000003</v>
      </c>
      <c r="H4568" s="72"/>
      <c r="I4568" s="73"/>
      <c r="J4568" s="152">
        <v>0</v>
      </c>
    </row>
    <row r="4569" spans="1:10" ht="26.25" hidden="1" thickBot="1" x14ac:dyDescent="0.3">
      <c r="A4569" s="171"/>
      <c r="B4569" s="174"/>
      <c r="C4569" s="35" t="s">
        <v>1210</v>
      </c>
      <c r="D4569" s="35" t="s">
        <v>773</v>
      </c>
      <c r="E4569" s="36">
        <f>0.0012*4</f>
        <v>4.7999999999999996E-3</v>
      </c>
      <c r="F4569" s="53">
        <v>63.688000000000002</v>
      </c>
      <c r="G4569" s="53">
        <f>IF(ISNUMBER(F4569),E4569*F4569,"")</f>
        <v>0.30570239999999999</v>
      </c>
      <c r="H4569" s="72"/>
      <c r="I4569" s="73"/>
      <c r="J4569" s="152">
        <v>0</v>
      </c>
    </row>
    <row r="4570" spans="1:10" ht="15.75" hidden="1" thickBot="1" x14ac:dyDescent="0.3">
      <c r="A4570" s="171"/>
      <c r="B4570" s="174"/>
      <c r="C4570" s="35" t="s">
        <v>1211</v>
      </c>
      <c r="D4570" s="35" t="s">
        <v>773</v>
      </c>
      <c r="E4570" s="36">
        <f>0.045*4</f>
        <v>0.18</v>
      </c>
      <c r="F4570" s="53">
        <v>184.92699999999999</v>
      </c>
      <c r="G4570" s="53">
        <f>IF(ISNUMBER(F4570),E4570*F4570,"")</f>
        <v>33.286859999999997</v>
      </c>
      <c r="H4570" s="72"/>
      <c r="I4570" s="73"/>
      <c r="J4570" s="152">
        <v>0</v>
      </c>
    </row>
    <row r="4571" spans="1:10" ht="26.25" hidden="1" thickBot="1" x14ac:dyDescent="0.3">
      <c r="A4571" s="171"/>
      <c r="B4571" s="174"/>
      <c r="C4571" s="35" t="s">
        <v>1214</v>
      </c>
      <c r="D4571" s="35" t="s">
        <v>385</v>
      </c>
      <c r="E4571" s="36">
        <f>4*1.05</f>
        <v>4.2</v>
      </c>
      <c r="F4571" s="53">
        <v>31.369</v>
      </c>
      <c r="G4571" s="53">
        <f>IF(ISNUMBER(F4571),E4571*F4571,"")</f>
        <v>131.74979999999999</v>
      </c>
      <c r="H4571" s="72"/>
      <c r="I4571" s="73"/>
      <c r="J4571" s="152">
        <v>0</v>
      </c>
    </row>
    <row r="4572" spans="1:10" ht="15.75" hidden="1" thickBot="1" x14ac:dyDescent="0.3">
      <c r="A4572" s="171"/>
      <c r="B4572" s="174"/>
      <c r="C4572" s="35" t="s">
        <v>584</v>
      </c>
      <c r="D4572" s="35" t="s">
        <v>583</v>
      </c>
      <c r="E4572" s="36">
        <f>0.207*2</f>
        <v>0.41399999999999998</v>
      </c>
      <c r="F4572" s="53">
        <v>20.225499999999997</v>
      </c>
      <c r="G4572" s="53">
        <f>IF(ISNUMBER(F4572),E4572*F4572,"")</f>
        <v>8.3733569999999986</v>
      </c>
      <c r="H4572" s="72"/>
      <c r="I4572" s="73"/>
      <c r="J4572" s="152">
        <v>0</v>
      </c>
    </row>
    <row r="4573" spans="1:10" ht="15.75" hidden="1" thickBot="1" x14ac:dyDescent="0.3">
      <c r="A4573" s="171"/>
      <c r="B4573" s="174"/>
      <c r="C4573" s="35" t="s">
        <v>1156</v>
      </c>
      <c r="D4573" s="35" t="s">
        <v>583</v>
      </c>
      <c r="E4573" s="36">
        <f>0.112*2</f>
        <v>0.224</v>
      </c>
      <c r="F4573" s="53">
        <v>26.552499999999998</v>
      </c>
      <c r="G4573" s="53">
        <f>IF(ISNUMBER(F4573),E4573*F4573,"")</f>
        <v>5.9477599999999997</v>
      </c>
      <c r="H4573" s="72"/>
      <c r="I4573" s="73"/>
      <c r="J4573" s="152">
        <v>0</v>
      </c>
    </row>
    <row r="4574" spans="1:10" ht="26.25" hidden="1" thickBot="1" x14ac:dyDescent="0.3">
      <c r="A4574" s="171"/>
      <c r="B4574" s="174"/>
      <c r="C4574" s="35" t="s">
        <v>1157</v>
      </c>
      <c r="D4574" s="35" t="s">
        <v>813</v>
      </c>
      <c r="E4574" s="36">
        <f>0.0132*2</f>
        <v>2.64E-2</v>
      </c>
      <c r="F4574" s="53">
        <v>22.315499999999997</v>
      </c>
      <c r="G4574" s="53">
        <f>IF(ISNUMBER(F4574),E4574*F4574,"")</f>
        <v>0.58912919999999991</v>
      </c>
      <c r="H4574" s="72"/>
      <c r="I4574" s="73"/>
      <c r="J4574" s="152">
        <v>0</v>
      </c>
    </row>
    <row r="4575" spans="1:10" ht="26.25" hidden="1" thickBot="1" x14ac:dyDescent="0.3">
      <c r="A4575" s="171"/>
      <c r="B4575" s="174"/>
      <c r="C4575" s="35" t="s">
        <v>1158</v>
      </c>
      <c r="D4575" s="35" t="s">
        <v>815</v>
      </c>
      <c r="E4575" s="36">
        <f>0.0183*2</f>
        <v>3.6600000000000001E-2</v>
      </c>
      <c r="F4575" s="53">
        <v>21.555499999999999</v>
      </c>
      <c r="G4575" s="53">
        <f>IF(ISNUMBER(F4575),E4575*F4575,"")</f>
        <v>0.7889313</v>
      </c>
      <c r="H4575" s="72"/>
      <c r="I4575" s="73"/>
      <c r="J4575" s="152">
        <v>0</v>
      </c>
    </row>
    <row r="4576" spans="1:10" ht="15.75" hidden="1" thickBot="1" x14ac:dyDescent="0.3">
      <c r="A4576" s="172"/>
      <c r="B4576" s="175"/>
      <c r="C4576" s="54"/>
      <c r="D4576" s="54"/>
      <c r="E4576" s="65"/>
      <c r="F4576" s="75" t="s">
        <v>416</v>
      </c>
      <c r="G4576" s="75" t="str">
        <f>IF(ISNUMBER(F4576),E4576*F4576,"")</f>
        <v/>
      </c>
      <c r="H4576" s="76"/>
      <c r="I4576" s="73"/>
      <c r="J4576" s="152">
        <v>0</v>
      </c>
    </row>
    <row r="4577" spans="1:10" ht="15.75" hidden="1" thickBot="1" x14ac:dyDescent="0.3">
      <c r="A4577" s="170" t="s">
        <v>1215</v>
      </c>
      <c r="B4577" s="173" t="str">
        <f>INDEX(Orçamentária!A:B,MATCH(Composições!A4577,Orçamentária!A:A,0),2)</f>
        <v>Chapim Pré-Moldado de Concreto Aparente</v>
      </c>
      <c r="C4577" s="40"/>
      <c r="D4577" s="25" t="s">
        <v>69</v>
      </c>
      <c r="E4577" s="26"/>
      <c r="F4577" s="48" t="s">
        <v>416</v>
      </c>
      <c r="G4577" s="27" t="str">
        <f>IF(ISNUMBER(F4577),E4577*F4577,"")</f>
        <v/>
      </c>
      <c r="H4577" s="28"/>
      <c r="I4577" s="29"/>
      <c r="J4577" s="152">
        <v>0</v>
      </c>
    </row>
    <row r="4578" spans="1:10" ht="15.75" hidden="1" thickBot="1" x14ac:dyDescent="0.3">
      <c r="A4578" s="171"/>
      <c r="B4578" s="174"/>
      <c r="C4578" s="31"/>
      <c r="D4578" s="31"/>
      <c r="E4578" s="32"/>
      <c r="F4578" s="53" t="s">
        <v>416</v>
      </c>
      <c r="G4578" s="53" t="str">
        <f>IF(ISNUMBER(F4578),E4578*F4578,"")</f>
        <v/>
      </c>
      <c r="H4578" s="72"/>
      <c r="I4578" s="73"/>
      <c r="J4578" s="152">
        <v>0</v>
      </c>
    </row>
    <row r="4579" spans="1:10" ht="26.25" hidden="1" thickBot="1" x14ac:dyDescent="0.3">
      <c r="A4579" s="171"/>
      <c r="B4579" s="174"/>
      <c r="C4579" s="35" t="s">
        <v>3060</v>
      </c>
      <c r="D4579" s="35" t="s">
        <v>773</v>
      </c>
      <c r="E4579" s="36">
        <v>0.02</v>
      </c>
      <c r="F4579" s="53">
        <v>21.042499999999997</v>
      </c>
      <c r="G4579" s="53">
        <f>IF(ISNUMBER(F4579),E4579*F4579,"")</f>
        <v>0.42084999999999995</v>
      </c>
      <c r="H4579" s="38">
        <f>SUM(G4579:G4592)</f>
        <v>129.71749551400001</v>
      </c>
      <c r="I4579" s="39"/>
      <c r="J4579" s="152">
        <v>0</v>
      </c>
    </row>
    <row r="4580" spans="1:10" ht="26.25" hidden="1" thickBot="1" x14ac:dyDescent="0.3">
      <c r="A4580" s="171"/>
      <c r="B4580" s="174"/>
      <c r="C4580" s="35" t="s">
        <v>1140</v>
      </c>
      <c r="D4580" s="35" t="s">
        <v>87</v>
      </c>
      <c r="E4580" s="36">
        <v>0.04</v>
      </c>
      <c r="F4580" s="53">
        <v>204.97199999999998</v>
      </c>
      <c r="G4580" s="53">
        <f>IF(ISNUMBER(F4580),E4580*F4580,"")</f>
        <v>8.1988799999999991</v>
      </c>
      <c r="H4580" s="72"/>
      <c r="I4580" s="73"/>
      <c r="J4580" s="152">
        <v>0</v>
      </c>
    </row>
    <row r="4581" spans="1:10" ht="15.75" hidden="1" thickBot="1" x14ac:dyDescent="0.3">
      <c r="A4581" s="171"/>
      <c r="B4581" s="174"/>
      <c r="C4581" s="35" t="s">
        <v>776</v>
      </c>
      <c r="D4581" s="35" t="s">
        <v>583</v>
      </c>
      <c r="E4581" s="36">
        <v>0.8</v>
      </c>
      <c r="F4581" s="53">
        <v>26.970499999999998</v>
      </c>
      <c r="G4581" s="53">
        <f>IF(ISNUMBER(F4581),E4581*F4581,"")</f>
        <v>21.5764</v>
      </c>
      <c r="H4581" s="72"/>
      <c r="I4581" s="73"/>
      <c r="J4581" s="152">
        <v>0</v>
      </c>
    </row>
    <row r="4582" spans="1:10" ht="26.25" hidden="1" thickBot="1" x14ac:dyDescent="0.3">
      <c r="A4582" s="171"/>
      <c r="B4582" s="174"/>
      <c r="C4582" s="35" t="s">
        <v>1216</v>
      </c>
      <c r="D4582" s="35" t="s">
        <v>773</v>
      </c>
      <c r="E4582" s="36">
        <v>1.35</v>
      </c>
      <c r="F4582" s="53">
        <v>9.386000000000001</v>
      </c>
      <c r="G4582" s="53">
        <f>IF(ISNUMBER(F4582),E4582*F4582,"")</f>
        <v>12.671100000000003</v>
      </c>
      <c r="H4582" s="72"/>
      <c r="I4582" s="73"/>
      <c r="J4582" s="152">
        <v>0</v>
      </c>
    </row>
    <row r="4583" spans="1:10" ht="15.75" hidden="1" thickBot="1" x14ac:dyDescent="0.3">
      <c r="A4583" s="171"/>
      <c r="B4583" s="174"/>
      <c r="C4583" s="35" t="s">
        <v>862</v>
      </c>
      <c r="D4583" s="35" t="s">
        <v>583</v>
      </c>
      <c r="E4583" s="36">
        <v>0.7</v>
      </c>
      <c r="F4583" s="53">
        <v>26.799499999999998</v>
      </c>
      <c r="G4583" s="53">
        <f>IF(ISNUMBER(F4583),E4583*F4583,"")</f>
        <v>18.759649999999997</v>
      </c>
      <c r="H4583" s="72"/>
      <c r="I4583" s="73"/>
      <c r="J4583" s="152">
        <v>0</v>
      </c>
    </row>
    <row r="4584" spans="1:10" ht="15.75" hidden="1" thickBot="1" x14ac:dyDescent="0.3">
      <c r="A4584" s="171"/>
      <c r="B4584" s="174"/>
      <c r="C4584" s="35" t="s">
        <v>1217</v>
      </c>
      <c r="D4584" s="35" t="s">
        <v>70</v>
      </c>
      <c r="E4584" s="36">
        <v>1</v>
      </c>
      <c r="F4584" s="53">
        <v>0</v>
      </c>
      <c r="G4584" s="53">
        <f>IF(ISNUMBER(F4584),E4584*F4584,"")</f>
        <v>0</v>
      </c>
      <c r="H4584" s="72"/>
      <c r="I4584" s="73"/>
      <c r="J4584" s="152">
        <v>0</v>
      </c>
    </row>
    <row r="4585" spans="1:10" ht="39" hidden="1" thickBot="1" x14ac:dyDescent="0.3">
      <c r="A4585" s="171"/>
      <c r="B4585" s="174"/>
      <c r="C4585" s="35" t="s">
        <v>1218</v>
      </c>
      <c r="D4585" s="35" t="s">
        <v>813</v>
      </c>
      <c r="E4585" s="36">
        <v>0.02</v>
      </c>
      <c r="F4585" s="53">
        <v>5.1395</v>
      </c>
      <c r="G4585" s="53">
        <f>IF(ISNUMBER(F4585),E4585*F4585,"")</f>
        <v>0.10279000000000001</v>
      </c>
      <c r="H4585" s="72"/>
      <c r="I4585" s="73"/>
      <c r="J4585" s="152">
        <v>0</v>
      </c>
    </row>
    <row r="4586" spans="1:10" ht="15.75" hidden="1" thickBot="1" x14ac:dyDescent="0.3">
      <c r="A4586" s="171"/>
      <c r="B4586" s="174"/>
      <c r="C4586" s="35" t="s">
        <v>8065</v>
      </c>
      <c r="D4586" s="35" t="s">
        <v>773</v>
      </c>
      <c r="E4586" s="36">
        <v>17.36</v>
      </c>
      <c r="F4586" s="53">
        <v>0.627</v>
      </c>
      <c r="G4586" s="53">
        <f>IF(ISNUMBER(F4586),E4586*F4586,"")</f>
        <v>10.88472</v>
      </c>
      <c r="H4586" s="72"/>
      <c r="I4586" s="73"/>
      <c r="J4586" s="152">
        <v>0</v>
      </c>
    </row>
    <row r="4587" spans="1:10" ht="26.25" hidden="1" thickBot="1" x14ac:dyDescent="0.3">
      <c r="A4587" s="171"/>
      <c r="B4587" s="174"/>
      <c r="C4587" s="35" t="s">
        <v>633</v>
      </c>
      <c r="D4587" s="35" t="s">
        <v>87</v>
      </c>
      <c r="E4587" s="36">
        <v>0.09</v>
      </c>
      <c r="F4587" s="53">
        <v>203.71799999999999</v>
      </c>
      <c r="G4587" s="53">
        <f>IF(ISNUMBER(F4587),E4587*F4587,"")</f>
        <v>18.334619999999997</v>
      </c>
      <c r="H4587" s="72"/>
      <c r="I4587" s="73"/>
      <c r="J4587" s="152">
        <v>0</v>
      </c>
    </row>
    <row r="4588" spans="1:10" ht="15.75" hidden="1" thickBot="1" x14ac:dyDescent="0.3">
      <c r="A4588" s="171"/>
      <c r="B4588" s="174"/>
      <c r="C4588" s="35" t="s">
        <v>1219</v>
      </c>
      <c r="D4588" s="35" t="s">
        <v>773</v>
      </c>
      <c r="E4588" s="36">
        <v>0.02</v>
      </c>
      <c r="F4588" s="53">
        <v>21.602999999999998</v>
      </c>
      <c r="G4588" s="53">
        <f>IF(ISNUMBER(F4588),E4588*F4588,"")</f>
        <v>0.43205999999999994</v>
      </c>
      <c r="H4588" s="72"/>
      <c r="I4588" s="73"/>
      <c r="J4588" s="152">
        <v>0</v>
      </c>
    </row>
    <row r="4589" spans="1:10" ht="15.75" hidden="1" thickBot="1" x14ac:dyDescent="0.3">
      <c r="A4589" s="171"/>
      <c r="B4589" s="174"/>
      <c r="C4589" s="35" t="s">
        <v>591</v>
      </c>
      <c r="D4589" s="35" t="s">
        <v>583</v>
      </c>
      <c r="E4589" s="36">
        <v>0.3</v>
      </c>
      <c r="F4589" s="53">
        <v>27.160499999999999</v>
      </c>
      <c r="G4589" s="53">
        <f>IF(ISNUMBER(F4589),E4589*F4589,"")</f>
        <v>8.1481499999999993</v>
      </c>
      <c r="H4589" s="72"/>
      <c r="I4589" s="73"/>
      <c r="J4589" s="152">
        <v>0</v>
      </c>
    </row>
    <row r="4590" spans="1:10" ht="15.75" hidden="1" thickBot="1" x14ac:dyDescent="0.3">
      <c r="A4590" s="171"/>
      <c r="B4590" s="174"/>
      <c r="C4590" s="35" t="s">
        <v>584</v>
      </c>
      <c r="D4590" s="35" t="s">
        <v>583</v>
      </c>
      <c r="E4590" s="36">
        <v>1.1000000000000001</v>
      </c>
      <c r="F4590" s="53">
        <v>20.225499999999997</v>
      </c>
      <c r="G4590" s="53">
        <f>IF(ISNUMBER(F4590),E4590*F4590,"")</f>
        <v>22.248049999999999</v>
      </c>
      <c r="H4590" s="72"/>
      <c r="I4590" s="73"/>
      <c r="J4590" s="152">
        <v>0</v>
      </c>
    </row>
    <row r="4591" spans="1:10" ht="51.75" hidden="1" thickBot="1" x14ac:dyDescent="0.3">
      <c r="A4591" s="171"/>
      <c r="B4591" s="174"/>
      <c r="C4591" s="35" t="s">
        <v>3071</v>
      </c>
      <c r="D4591" s="35" t="s">
        <v>80</v>
      </c>
      <c r="E4591" s="36">
        <f>1*(E4580+E4587)</f>
        <v>0.13</v>
      </c>
      <c r="F4591" s="33">
        <v>7.9257587999999988</v>
      </c>
      <c r="G4591" s="33">
        <f>IF(ISNUMBER(F4591),E4591*F4591,"")</f>
        <v>1.0303486439999998</v>
      </c>
      <c r="H4591" s="34"/>
      <c r="I4591" s="30"/>
      <c r="J4591" s="152">
        <v>0</v>
      </c>
    </row>
    <row r="4592" spans="1:10" ht="39" hidden="1" thickBot="1" x14ac:dyDescent="0.3">
      <c r="A4592" s="171"/>
      <c r="B4592" s="174"/>
      <c r="C4592" s="35" t="s">
        <v>88</v>
      </c>
      <c r="D4592" s="35" t="s">
        <v>89</v>
      </c>
      <c r="E4592" s="36">
        <f>(E4580+E4587)*20</f>
        <v>2.6</v>
      </c>
      <c r="F4592" s="53">
        <v>2.6576449499999995</v>
      </c>
      <c r="G4592" s="53">
        <f>IF(ISNUMBER(F4592),E4592*F4592,"")</f>
        <v>6.9098768699999988</v>
      </c>
      <c r="H4592" s="72"/>
      <c r="I4592" s="73"/>
      <c r="J4592" s="152">
        <v>0</v>
      </c>
    </row>
    <row r="4593" spans="1:10" ht="15.75" hidden="1" thickBot="1" x14ac:dyDescent="0.3">
      <c r="A4593" s="171"/>
      <c r="B4593" s="174"/>
      <c r="C4593" s="35"/>
      <c r="D4593" s="35"/>
      <c r="E4593" s="36"/>
      <c r="F4593" s="53" t="s">
        <v>416</v>
      </c>
      <c r="G4593" s="53" t="str">
        <f>IF(ISNUMBER(F4593),E4593*F4593,"")</f>
        <v/>
      </c>
      <c r="H4593" s="72"/>
      <c r="I4593" s="73"/>
      <c r="J4593" s="152">
        <v>0</v>
      </c>
    </row>
    <row r="4594" spans="1:10" ht="26.25" hidden="1" thickBot="1" x14ac:dyDescent="0.3">
      <c r="A4594" s="171"/>
      <c r="B4594" s="174"/>
      <c r="C4594" s="47" t="s">
        <v>1128</v>
      </c>
      <c r="D4594" s="35"/>
      <c r="E4594" s="36"/>
      <c r="F4594" s="53" t="s">
        <v>416</v>
      </c>
      <c r="G4594" s="53" t="str">
        <f>IF(ISNUMBER(F4594),E4594*F4594,"")</f>
        <v/>
      </c>
      <c r="H4594" s="72"/>
      <c r="I4594" s="73"/>
      <c r="J4594" s="152">
        <v>0</v>
      </c>
    </row>
    <row r="4595" spans="1:10" ht="15.75" hidden="1" thickBot="1" x14ac:dyDescent="0.3">
      <c r="A4595" s="172"/>
      <c r="B4595" s="175"/>
      <c r="C4595" s="54"/>
      <c r="D4595" s="54"/>
      <c r="E4595" s="65"/>
      <c r="F4595" s="75" t="s">
        <v>416</v>
      </c>
      <c r="G4595" s="75" t="str">
        <f>IF(ISNUMBER(F4595),E4595*F4595,"")</f>
        <v/>
      </c>
      <c r="H4595" s="76"/>
      <c r="I4595" s="73"/>
      <c r="J4595" s="152">
        <v>0</v>
      </c>
    </row>
    <row r="4596" spans="1:10" ht="15.75" hidden="1" thickBot="1" x14ac:dyDescent="0.3">
      <c r="A4596" s="170" t="s">
        <v>1220</v>
      </c>
      <c r="B4596" s="173" t="str">
        <f>INDEX(Orçamentária!A:B,MATCH(Composições!A4596,Orçamentária!A:A,0),2)</f>
        <v>Armação em tela de aço soldado nervurada</v>
      </c>
      <c r="C4596" s="40"/>
      <c r="D4596" s="25" t="s">
        <v>70</v>
      </c>
      <c r="E4596" s="26"/>
      <c r="F4596" s="48" t="s">
        <v>416</v>
      </c>
      <c r="G4596" s="27" t="str">
        <f>IF(ISNUMBER(F4596),E4596*F4596,"")</f>
        <v/>
      </c>
      <c r="H4596" s="28"/>
      <c r="I4596" s="29"/>
      <c r="J4596" s="152">
        <v>0</v>
      </c>
    </row>
    <row r="4597" spans="1:10" ht="15.75" hidden="1" thickBot="1" x14ac:dyDescent="0.3">
      <c r="A4597" s="171"/>
      <c r="B4597" s="174"/>
      <c r="C4597" s="31"/>
      <c r="D4597" s="31"/>
      <c r="E4597" s="32"/>
      <c r="F4597" s="53" t="s">
        <v>416</v>
      </c>
      <c r="G4597" s="53" t="str">
        <f>IF(ISNUMBER(F4597),E4597*F4597,"")</f>
        <v/>
      </c>
      <c r="H4597" s="72"/>
      <c r="I4597" s="73"/>
      <c r="J4597" s="152">
        <v>0</v>
      </c>
    </row>
    <row r="4598" spans="1:10" ht="39" hidden="1" thickBot="1" x14ac:dyDescent="0.3">
      <c r="A4598" s="171"/>
      <c r="B4598" s="174"/>
      <c r="C4598" s="35" t="s">
        <v>8531</v>
      </c>
      <c r="D4598" s="35" t="s">
        <v>861</v>
      </c>
      <c r="E4598" s="36">
        <f>ROUND(0.712*1.48,4)</f>
        <v>1.0538000000000001</v>
      </c>
      <c r="F4598" s="53">
        <v>12.663499999999999</v>
      </c>
      <c r="G4598" s="53">
        <f>IF(ISNUMBER(F4598),E4598*F4598,"")</f>
        <v>13.3447963</v>
      </c>
      <c r="H4598" s="38">
        <f>SUM(G4598:G4602)</f>
        <v>15.8343948</v>
      </c>
      <c r="I4598" s="39"/>
      <c r="J4598" s="152">
        <v>0</v>
      </c>
    </row>
    <row r="4599" spans="1:10" ht="39" hidden="1" thickBot="1" x14ac:dyDescent="0.3">
      <c r="A4599" s="171"/>
      <c r="B4599" s="174"/>
      <c r="C4599" s="35" t="s">
        <v>774</v>
      </c>
      <c r="D4599" s="35" t="s">
        <v>213</v>
      </c>
      <c r="E4599" s="36">
        <f>ROUND(1.382*1.48,4)</f>
        <v>2.0453999999999999</v>
      </c>
      <c r="F4599" s="53">
        <v>0.20899999999999999</v>
      </c>
      <c r="G4599" s="53">
        <f>IF(ISNUMBER(F4599),E4599*F4599,"")</f>
        <v>0.42748859999999994</v>
      </c>
      <c r="H4599" s="72"/>
      <c r="I4599" s="73"/>
      <c r="J4599" s="152">
        <v>0</v>
      </c>
    </row>
    <row r="4600" spans="1:10" ht="26.25" hidden="1" thickBot="1" x14ac:dyDescent="0.3">
      <c r="A4600" s="171"/>
      <c r="B4600" s="174"/>
      <c r="C4600" s="35" t="s">
        <v>3060</v>
      </c>
      <c r="D4600" s="35" t="s">
        <v>773</v>
      </c>
      <c r="E4600" s="36">
        <f>ROUND(0.0105*1.48,4)</f>
        <v>1.55E-2</v>
      </c>
      <c r="F4600" s="53">
        <v>21.042499999999997</v>
      </c>
      <c r="G4600" s="53">
        <f>IF(ISNUMBER(F4600),E4600*F4600,"")</f>
        <v>0.32615874999999994</v>
      </c>
      <c r="H4600" s="72"/>
      <c r="I4600" s="73"/>
      <c r="J4600" s="152">
        <v>0</v>
      </c>
    </row>
    <row r="4601" spans="1:10" ht="15.75" hidden="1" thickBot="1" x14ac:dyDescent="0.3">
      <c r="A4601" s="171"/>
      <c r="B4601" s="174"/>
      <c r="C4601" s="35" t="s">
        <v>775</v>
      </c>
      <c r="D4601" s="35" t="s">
        <v>583</v>
      </c>
      <c r="E4601" s="36">
        <f>ROUND(0.006*1.48,4)</f>
        <v>8.8999999999999999E-3</v>
      </c>
      <c r="F4601" s="53">
        <v>20.196999999999999</v>
      </c>
      <c r="G4601" s="53">
        <f>IF(ISNUMBER(F4601),E4601*F4601,"")</f>
        <v>0.1797533</v>
      </c>
      <c r="H4601" s="72"/>
      <c r="I4601" s="73"/>
      <c r="J4601" s="152">
        <v>0</v>
      </c>
    </row>
    <row r="4602" spans="1:10" ht="15.75" hidden="1" thickBot="1" x14ac:dyDescent="0.3">
      <c r="A4602" s="171"/>
      <c r="B4602" s="174"/>
      <c r="C4602" s="35" t="s">
        <v>776</v>
      </c>
      <c r="D4602" s="35" t="s">
        <v>583</v>
      </c>
      <c r="E4602" s="36">
        <f>ROUND(0.039*1.48,4)</f>
        <v>5.7700000000000001E-2</v>
      </c>
      <c r="F4602" s="53">
        <v>26.970499999999998</v>
      </c>
      <c r="G4602" s="53">
        <f>IF(ISNUMBER(F4602),E4602*F4602,"")</f>
        <v>1.55619785</v>
      </c>
      <c r="H4602" s="72"/>
      <c r="I4602" s="73"/>
      <c r="J4602" s="152">
        <v>0</v>
      </c>
    </row>
    <row r="4603" spans="1:10" ht="15.75" hidden="1" thickBot="1" x14ac:dyDescent="0.3">
      <c r="A4603" s="171"/>
      <c r="B4603" s="174"/>
      <c r="C4603" s="35"/>
      <c r="D4603" s="35"/>
      <c r="E4603" s="36"/>
      <c r="F4603" s="53" t="s">
        <v>416</v>
      </c>
      <c r="G4603" s="53" t="str">
        <f>IF(ISNUMBER(F4603),E4603*F4603,"")</f>
        <v/>
      </c>
      <c r="H4603" s="72"/>
      <c r="I4603" s="73"/>
      <c r="J4603" s="152">
        <v>0</v>
      </c>
    </row>
    <row r="4604" spans="1:10" ht="15.75" hidden="1" thickBot="1" x14ac:dyDescent="0.3">
      <c r="A4604" s="170" t="s">
        <v>1221</v>
      </c>
      <c r="B4604" s="173" t="str">
        <f>INDEX(Orçamentária!A:B,MATCH(Composições!A4604,Orçamentária!A:A,0),2)</f>
        <v>Trama de aço composta por terças para telhados de até 2 águas</v>
      </c>
      <c r="C4604" s="40"/>
      <c r="D4604" s="25" t="s">
        <v>70</v>
      </c>
      <c r="E4604" s="26"/>
      <c r="F4604" s="48" t="s">
        <v>416</v>
      </c>
      <c r="G4604" s="27" t="str">
        <f>IF(ISNUMBER(F4604),E4604*F4604,"")</f>
        <v/>
      </c>
      <c r="H4604" s="28"/>
      <c r="I4604" s="29"/>
      <c r="J4604" s="152">
        <v>0</v>
      </c>
    </row>
    <row r="4605" spans="1:10" ht="15.75" hidden="1" thickBot="1" x14ac:dyDescent="0.3">
      <c r="A4605" s="171"/>
      <c r="B4605" s="174"/>
      <c r="C4605" s="31"/>
      <c r="D4605" s="31"/>
      <c r="E4605" s="32"/>
      <c r="F4605" s="53" t="s">
        <v>416</v>
      </c>
      <c r="G4605" s="53" t="str">
        <f>IF(ISNUMBER(F4605),E4605*F4605,"")</f>
        <v/>
      </c>
      <c r="H4605" s="72"/>
      <c r="I4605" s="73"/>
      <c r="J4605" s="152">
        <v>0</v>
      </c>
    </row>
    <row r="4606" spans="1:10" ht="26.25" hidden="1" thickBot="1" x14ac:dyDescent="0.3">
      <c r="A4606" s="171"/>
      <c r="B4606" s="174"/>
      <c r="C4606" s="35" t="s">
        <v>1222</v>
      </c>
      <c r="D4606" s="35" t="s">
        <v>1102</v>
      </c>
      <c r="E4606" s="36">
        <v>7.0000000000000001E-3</v>
      </c>
      <c r="F4606" s="53">
        <v>188.0145</v>
      </c>
      <c r="G4606" s="53">
        <f>IF(ISNUMBER(F4606),E4606*F4606,"")</f>
        <v>1.3161015</v>
      </c>
      <c r="H4606" s="38">
        <f>SUM(G4606:G4611)</f>
        <v>55.318669100000001</v>
      </c>
      <c r="I4606" s="39"/>
      <c r="J4606" s="152">
        <v>0</v>
      </c>
    </row>
    <row r="4607" spans="1:10" ht="26.25" hidden="1" thickBot="1" x14ac:dyDescent="0.3">
      <c r="A4607" s="171"/>
      <c r="B4607" s="174"/>
      <c r="C4607" s="35" t="s">
        <v>1223</v>
      </c>
      <c r="D4607" s="35" t="s">
        <v>773</v>
      </c>
      <c r="E4607" s="36">
        <v>4.3330000000000002</v>
      </c>
      <c r="F4607" s="53">
        <v>10.867999999999999</v>
      </c>
      <c r="G4607" s="53">
        <f>IF(ISNUMBER(F4607),E4607*F4607,"")</f>
        <v>47.091043999999997</v>
      </c>
      <c r="H4607" s="72"/>
      <c r="I4607" s="73"/>
      <c r="J4607" s="152">
        <v>0</v>
      </c>
    </row>
    <row r="4608" spans="1:10" ht="26.25" hidden="1" thickBot="1" x14ac:dyDescent="0.3">
      <c r="A4608" s="171"/>
      <c r="B4608" s="174"/>
      <c r="C4608" s="35" t="s">
        <v>854</v>
      </c>
      <c r="D4608" s="35" t="s">
        <v>583</v>
      </c>
      <c r="E4608" s="36">
        <v>0.21299999999999999</v>
      </c>
      <c r="F4608" s="53">
        <v>20.719499999999996</v>
      </c>
      <c r="G4608" s="53">
        <f>IF(ISNUMBER(F4608),E4608*F4608,"")</f>
        <v>4.4132534999999988</v>
      </c>
      <c r="H4608" s="72"/>
      <c r="I4608" s="73"/>
      <c r="J4608" s="152">
        <v>0</v>
      </c>
    </row>
    <row r="4609" spans="1:10" ht="15.75" hidden="1" thickBot="1" x14ac:dyDescent="0.3">
      <c r="A4609" s="171"/>
      <c r="B4609" s="174"/>
      <c r="C4609" s="35" t="s">
        <v>584</v>
      </c>
      <c r="D4609" s="35" t="s">
        <v>583</v>
      </c>
      <c r="E4609" s="36">
        <v>0.106</v>
      </c>
      <c r="F4609" s="53">
        <v>20.225499999999997</v>
      </c>
      <c r="G4609" s="53">
        <f>IF(ISNUMBER(F4609),E4609*F4609,"")</f>
        <v>2.1439029999999994</v>
      </c>
      <c r="H4609" s="72"/>
      <c r="I4609" s="73"/>
      <c r="J4609" s="152">
        <v>0</v>
      </c>
    </row>
    <row r="4610" spans="1:10" ht="26.25" hidden="1" thickBot="1" x14ac:dyDescent="0.3">
      <c r="A4610" s="171"/>
      <c r="B4610" s="174"/>
      <c r="C4610" s="35" t="s">
        <v>1157</v>
      </c>
      <c r="D4610" s="35" t="s">
        <v>813</v>
      </c>
      <c r="E4610" s="36">
        <v>6.7999999999999996E-3</v>
      </c>
      <c r="F4610" s="53">
        <v>22.315499999999997</v>
      </c>
      <c r="G4610" s="53">
        <f>IF(ISNUMBER(F4610),E4610*F4610,"")</f>
        <v>0.15174539999999997</v>
      </c>
      <c r="H4610" s="72"/>
      <c r="I4610" s="73"/>
      <c r="J4610" s="152">
        <v>0</v>
      </c>
    </row>
    <row r="4611" spans="1:10" ht="26.25" hidden="1" thickBot="1" x14ac:dyDescent="0.3">
      <c r="A4611" s="171"/>
      <c r="B4611" s="174"/>
      <c r="C4611" s="35" t="s">
        <v>1158</v>
      </c>
      <c r="D4611" s="35" t="s">
        <v>815</v>
      </c>
      <c r="E4611" s="36">
        <v>9.4000000000000004E-3</v>
      </c>
      <c r="F4611" s="53">
        <v>21.555499999999999</v>
      </c>
      <c r="G4611" s="53">
        <f>IF(ISNUMBER(F4611),E4611*F4611,"")</f>
        <v>0.20262169999999999</v>
      </c>
      <c r="H4611" s="72"/>
      <c r="I4611" s="73"/>
      <c r="J4611" s="152">
        <v>0</v>
      </c>
    </row>
    <row r="4612" spans="1:10" ht="15.75" hidden="1" thickBot="1" x14ac:dyDescent="0.3">
      <c r="A4612" s="172"/>
      <c r="B4612" s="175"/>
      <c r="C4612" s="54"/>
      <c r="D4612" s="54"/>
      <c r="E4612" s="65"/>
      <c r="F4612" s="75" t="s">
        <v>416</v>
      </c>
      <c r="G4612" s="75" t="str">
        <f>IF(ISNUMBER(F4612),E4612*F4612,"")</f>
        <v/>
      </c>
      <c r="H4612" s="76"/>
      <c r="I4612" s="73"/>
      <c r="J4612" s="152">
        <v>0</v>
      </c>
    </row>
    <row r="4613" spans="1:10" ht="15.75" hidden="1" thickBot="1" x14ac:dyDescent="0.3">
      <c r="A4613" s="170" t="s">
        <v>1224</v>
      </c>
      <c r="B4613" s="173" t="str">
        <f>INDEX(Orçamentária!A:B,MATCH(Composições!A4613,Orçamentária!A:A,0),2)</f>
        <v>Revestimento impermeabilizante bloqueador de umidade</v>
      </c>
      <c r="C4613" s="40"/>
      <c r="D4613" s="25" t="s">
        <v>70</v>
      </c>
      <c r="E4613" s="26"/>
      <c r="F4613" s="48" t="s">
        <v>416</v>
      </c>
      <c r="G4613" s="27" t="str">
        <f>IF(ISNUMBER(F4613),E4613*F4613,"")</f>
        <v/>
      </c>
      <c r="H4613" s="28"/>
      <c r="I4613" s="29"/>
      <c r="J4613" s="152">
        <v>0</v>
      </c>
    </row>
    <row r="4614" spans="1:10" ht="15.75" hidden="1" thickBot="1" x14ac:dyDescent="0.3">
      <c r="A4614" s="171"/>
      <c r="B4614" s="174"/>
      <c r="C4614" s="31"/>
      <c r="D4614" s="31"/>
      <c r="E4614" s="32"/>
      <c r="F4614" s="53" t="s">
        <v>416</v>
      </c>
      <c r="G4614" s="53" t="str">
        <f>IF(ISNUMBER(F4614),E4614*F4614,"")</f>
        <v/>
      </c>
      <c r="H4614" s="72"/>
      <c r="I4614" s="73"/>
      <c r="J4614" s="152">
        <v>0</v>
      </c>
    </row>
    <row r="4615" spans="1:10" ht="15.75" hidden="1" thickBot="1" x14ac:dyDescent="0.3">
      <c r="A4615" s="171"/>
      <c r="B4615" s="174"/>
      <c r="C4615" s="35" t="s">
        <v>2919</v>
      </c>
      <c r="D4615" s="35" t="s">
        <v>583</v>
      </c>
      <c r="E4615" s="36">
        <v>0.1</v>
      </c>
      <c r="F4615" s="53">
        <v>23.047000000000001</v>
      </c>
      <c r="G4615" s="53">
        <f>IF(ISNUMBER(F4615),E4615*F4615,"")</f>
        <v>2.3047</v>
      </c>
      <c r="H4615" s="38">
        <f>SUM(G4615:G4617)</f>
        <v>8.0370000000000008</v>
      </c>
      <c r="I4615" s="39"/>
      <c r="J4615" s="152">
        <v>0</v>
      </c>
    </row>
    <row r="4616" spans="1:10" ht="15.75" hidden="1" thickBot="1" x14ac:dyDescent="0.3">
      <c r="A4616" s="171"/>
      <c r="B4616" s="174"/>
      <c r="C4616" s="35" t="s">
        <v>956</v>
      </c>
      <c r="D4616" s="35" t="s">
        <v>583</v>
      </c>
      <c r="E4616" s="36">
        <v>0.2</v>
      </c>
      <c r="F4616" s="53">
        <v>28.6615</v>
      </c>
      <c r="G4616" s="53">
        <f>IF(ISNUMBER(F4616),E4616*F4616,"")</f>
        <v>5.7323000000000004</v>
      </c>
      <c r="H4616" s="72"/>
      <c r="I4616" s="73"/>
      <c r="J4616" s="152">
        <v>0</v>
      </c>
    </row>
    <row r="4617" spans="1:10" ht="15.75" hidden="1" thickBot="1" x14ac:dyDescent="0.3">
      <c r="A4617" s="171"/>
      <c r="B4617" s="174"/>
      <c r="C4617" s="35" t="s">
        <v>3081</v>
      </c>
      <c r="D4617" s="35" t="s">
        <v>75</v>
      </c>
      <c r="E4617" s="36">
        <f>2*3.6/75</f>
        <v>9.6000000000000002E-2</v>
      </c>
      <c r="F4617" s="53" t="s">
        <v>416</v>
      </c>
      <c r="G4617" s="53" t="str">
        <f>IF(ISNUMBER(F4617),E4617*F4617,"")</f>
        <v/>
      </c>
      <c r="H4617" s="72"/>
      <c r="I4617" s="73"/>
      <c r="J4617" s="152">
        <v>0</v>
      </c>
    </row>
    <row r="4618" spans="1:10" ht="15.75" hidden="1" thickBot="1" x14ac:dyDescent="0.3">
      <c r="A4618" s="171"/>
      <c r="B4618" s="174"/>
      <c r="C4618" s="35"/>
      <c r="D4618" s="35"/>
      <c r="E4618" s="36"/>
      <c r="F4618" s="53" t="s">
        <v>416</v>
      </c>
      <c r="G4618" s="53" t="str">
        <f>IF(ISNUMBER(F4618),E4618*F4618,"")</f>
        <v/>
      </c>
      <c r="H4618" s="72"/>
      <c r="I4618" s="73"/>
      <c r="J4618" s="152">
        <v>0</v>
      </c>
    </row>
    <row r="4619" spans="1:10" ht="39" hidden="1" thickBot="1" x14ac:dyDescent="0.3">
      <c r="A4619" s="171"/>
      <c r="B4619" s="174"/>
      <c r="C4619" s="47" t="s">
        <v>1225</v>
      </c>
      <c r="D4619" s="35"/>
      <c r="E4619" s="36"/>
      <c r="F4619" s="53" t="s">
        <v>416</v>
      </c>
      <c r="G4619" s="53" t="str">
        <f>IF(ISNUMBER(F4619),E4619*F4619,"")</f>
        <v/>
      </c>
      <c r="H4619" s="72"/>
      <c r="I4619" s="73"/>
      <c r="J4619" s="152">
        <v>0</v>
      </c>
    </row>
    <row r="4620" spans="1:10" ht="15.75" hidden="1" thickBot="1" x14ac:dyDescent="0.3">
      <c r="A4620" s="171"/>
      <c r="B4620" s="174"/>
      <c r="C4620" s="35"/>
      <c r="D4620" s="35"/>
      <c r="E4620" s="36"/>
      <c r="F4620" s="53" t="s">
        <v>416</v>
      </c>
      <c r="G4620" s="53" t="str">
        <f>IF(ISNUMBER(F4620),E4620*F4620,"")</f>
        <v/>
      </c>
      <c r="H4620" s="72"/>
      <c r="I4620" s="73"/>
      <c r="J4620" s="152">
        <v>0</v>
      </c>
    </row>
    <row r="4621" spans="1:10" ht="15.75" hidden="1" thickBot="1" x14ac:dyDescent="0.3">
      <c r="A4621" s="170" t="s">
        <v>1226</v>
      </c>
      <c r="B4621" s="173" t="str">
        <f>INDEX(Orçamentária!A:B,MATCH(Composições!A4621,Orçamentária!A:A,0),2)</f>
        <v>Pintura com tinta refletiva aluminizada para impermeabilização</v>
      </c>
      <c r="C4621" s="40"/>
      <c r="D4621" s="25" t="s">
        <v>70</v>
      </c>
      <c r="E4621" s="26"/>
      <c r="F4621" s="48" t="s">
        <v>416</v>
      </c>
      <c r="G4621" s="27" t="str">
        <f>IF(ISNUMBER(F4621),E4621*F4621,"")</f>
        <v/>
      </c>
      <c r="H4621" s="28"/>
      <c r="I4621" s="29"/>
      <c r="J4621" s="152">
        <v>0</v>
      </c>
    </row>
    <row r="4622" spans="1:10" ht="15.75" hidden="1" thickBot="1" x14ac:dyDescent="0.3">
      <c r="A4622" s="171"/>
      <c r="B4622" s="174"/>
      <c r="C4622" s="31"/>
      <c r="D4622" s="31"/>
      <c r="E4622" s="32"/>
      <c r="F4622" s="53" t="s">
        <v>416</v>
      </c>
      <c r="G4622" s="53" t="str">
        <f>IF(ISNUMBER(F4622),E4622*F4622,"")</f>
        <v/>
      </c>
      <c r="H4622" s="72"/>
      <c r="I4622" s="73"/>
      <c r="J4622" s="152">
        <v>0</v>
      </c>
    </row>
    <row r="4623" spans="1:10" ht="15.75" hidden="1" thickBot="1" x14ac:dyDescent="0.3">
      <c r="A4623" s="171"/>
      <c r="B4623" s="174"/>
      <c r="C4623" s="35" t="s">
        <v>2919</v>
      </c>
      <c r="D4623" s="35" t="s">
        <v>583</v>
      </c>
      <c r="E4623" s="36">
        <v>0.1</v>
      </c>
      <c r="F4623" s="53">
        <v>23.047000000000001</v>
      </c>
      <c r="G4623" s="53">
        <f>IF(ISNUMBER(F4623),E4623*F4623,"")</f>
        <v>2.3047</v>
      </c>
      <c r="H4623" s="38">
        <f>SUM(G4623:G4625)</f>
        <v>8.0370000000000008</v>
      </c>
      <c r="I4623" s="39"/>
      <c r="J4623" s="152">
        <v>0</v>
      </c>
    </row>
    <row r="4624" spans="1:10" ht="15.75" hidden="1" thickBot="1" x14ac:dyDescent="0.3">
      <c r="A4624" s="171"/>
      <c r="B4624" s="174"/>
      <c r="C4624" s="35" t="s">
        <v>956</v>
      </c>
      <c r="D4624" s="35" t="s">
        <v>583</v>
      </c>
      <c r="E4624" s="36">
        <v>0.2</v>
      </c>
      <c r="F4624" s="53">
        <v>28.6615</v>
      </c>
      <c r="G4624" s="53">
        <f>IF(ISNUMBER(F4624),E4624*F4624,"")</f>
        <v>5.7323000000000004</v>
      </c>
      <c r="H4624" s="72"/>
      <c r="I4624" s="73"/>
      <c r="J4624" s="152">
        <v>0</v>
      </c>
    </row>
    <row r="4625" spans="1:10" ht="15.75" hidden="1" thickBot="1" x14ac:dyDescent="0.3">
      <c r="A4625" s="171"/>
      <c r="B4625" s="174"/>
      <c r="C4625" s="35" t="s">
        <v>1227</v>
      </c>
      <c r="D4625" s="35" t="s">
        <v>75</v>
      </c>
      <c r="E4625" s="36">
        <v>0.5</v>
      </c>
      <c r="F4625" s="53">
        <v>0</v>
      </c>
      <c r="G4625" s="53">
        <f>IF(ISNUMBER(F4625),E4625*F4625,"")</f>
        <v>0</v>
      </c>
      <c r="H4625" s="72"/>
      <c r="I4625" s="73"/>
      <c r="J4625" s="152">
        <v>0</v>
      </c>
    </row>
    <row r="4626" spans="1:10" ht="15.75" hidden="1" thickBot="1" x14ac:dyDescent="0.3">
      <c r="A4626" s="171"/>
      <c r="B4626" s="174"/>
      <c r="C4626" s="35"/>
      <c r="D4626" s="35"/>
      <c r="E4626" s="36"/>
      <c r="F4626" s="53" t="s">
        <v>416</v>
      </c>
      <c r="G4626" s="53" t="str">
        <f>IF(ISNUMBER(F4626),E4626*F4626,"")</f>
        <v/>
      </c>
      <c r="H4626" s="72"/>
      <c r="I4626" s="73"/>
      <c r="J4626" s="152">
        <v>0</v>
      </c>
    </row>
    <row r="4627" spans="1:10" ht="15.75" hidden="1" thickBot="1" x14ac:dyDescent="0.3">
      <c r="A4627" s="170" t="s">
        <v>1228</v>
      </c>
      <c r="B4627" s="173" t="str">
        <f>INDEX(Orçamentária!A:B,MATCH(Composições!A4627,Orçamentária!A:A,0),2)</f>
        <v>Concreto leve com poliestireno expandido</v>
      </c>
      <c r="C4627" s="40"/>
      <c r="D4627" s="25" t="s">
        <v>80</v>
      </c>
      <c r="E4627" s="26"/>
      <c r="F4627" s="48" t="s">
        <v>416</v>
      </c>
      <c r="G4627" s="27" t="str">
        <f>IF(ISNUMBER(F4627),E4627*F4627,"")</f>
        <v/>
      </c>
      <c r="H4627" s="28"/>
      <c r="I4627" s="29"/>
      <c r="J4627" s="152">
        <v>0</v>
      </c>
    </row>
    <row r="4628" spans="1:10" ht="15.75" hidden="1" thickBot="1" x14ac:dyDescent="0.3">
      <c r="A4628" s="171"/>
      <c r="B4628" s="174"/>
      <c r="C4628" s="31"/>
      <c r="D4628" s="31"/>
      <c r="E4628" s="32"/>
      <c r="F4628" s="53" t="s">
        <v>416</v>
      </c>
      <c r="G4628" s="53" t="str">
        <f>IF(ISNUMBER(F4628),E4628*F4628,"")</f>
        <v/>
      </c>
      <c r="H4628" s="72"/>
      <c r="I4628" s="73"/>
      <c r="J4628" s="152">
        <v>0</v>
      </c>
    </row>
    <row r="4629" spans="1:10" ht="15.75" hidden="1" thickBot="1" x14ac:dyDescent="0.3">
      <c r="A4629" s="171"/>
      <c r="B4629" s="174"/>
      <c r="C4629" s="35" t="s">
        <v>584</v>
      </c>
      <c r="D4629" s="35" t="s">
        <v>583</v>
      </c>
      <c r="E4629" s="36">
        <v>6.5</v>
      </c>
      <c r="F4629" s="53">
        <v>20.225499999999997</v>
      </c>
      <c r="G4629" s="53">
        <f>IF(ISNUMBER(F4629),E4629*F4629,"")</f>
        <v>131.46574999999999</v>
      </c>
      <c r="H4629" s="38">
        <f>SUM(G4629:G4635)</f>
        <v>1308.2471279924</v>
      </c>
      <c r="I4629" s="39"/>
      <c r="J4629" s="152">
        <v>0</v>
      </c>
    </row>
    <row r="4630" spans="1:10" ht="26.25" hidden="1" thickBot="1" x14ac:dyDescent="0.3">
      <c r="A4630" s="171"/>
      <c r="B4630" s="174"/>
      <c r="C4630" s="35" t="s">
        <v>7985</v>
      </c>
      <c r="D4630" s="35" t="s">
        <v>87</v>
      </c>
      <c r="E4630" s="36">
        <v>0.35799999999999998</v>
      </c>
      <c r="F4630" s="53">
        <v>202.33099999999999</v>
      </c>
      <c r="G4630" s="53">
        <f>IF(ISNUMBER(F4630),E4630*F4630,"")</f>
        <v>72.434497999999991</v>
      </c>
      <c r="H4630" s="72"/>
      <c r="I4630" s="73"/>
      <c r="J4630" s="152">
        <v>0</v>
      </c>
    </row>
    <row r="4631" spans="1:10" ht="15.75" hidden="1" thickBot="1" x14ac:dyDescent="0.3">
      <c r="A4631" s="171"/>
      <c r="B4631" s="174"/>
      <c r="C4631" s="35" t="s">
        <v>8065</v>
      </c>
      <c r="D4631" s="35" t="s">
        <v>773</v>
      </c>
      <c r="E4631" s="36">
        <v>400</v>
      </c>
      <c r="F4631" s="53">
        <v>0.627</v>
      </c>
      <c r="G4631" s="53">
        <f>IF(ISNUMBER(F4631),E4631*F4631,"")</f>
        <v>250.8</v>
      </c>
      <c r="H4631" s="72"/>
      <c r="I4631" s="73"/>
      <c r="J4631" s="152">
        <v>0</v>
      </c>
    </row>
    <row r="4632" spans="1:10" ht="26.25" hidden="1" thickBot="1" x14ac:dyDescent="0.3">
      <c r="A4632" s="171"/>
      <c r="B4632" s="174"/>
      <c r="C4632" s="35" t="s">
        <v>1229</v>
      </c>
      <c r="D4632" s="35" t="s">
        <v>773</v>
      </c>
      <c r="E4632" s="36">
        <v>10.5</v>
      </c>
      <c r="F4632" s="53">
        <v>79.153999999999996</v>
      </c>
      <c r="G4632" s="53">
        <f>IF(ISNUMBER(F4632),E4632*F4632,"")</f>
        <v>831.11699999999996</v>
      </c>
      <c r="H4632" s="72"/>
      <c r="I4632" s="73"/>
      <c r="J4632" s="152">
        <v>0</v>
      </c>
    </row>
    <row r="4633" spans="1:10" ht="39" hidden="1" thickBot="1" x14ac:dyDescent="0.3">
      <c r="A4633" s="171"/>
      <c r="B4633" s="174"/>
      <c r="C4633" s="35" t="s">
        <v>84</v>
      </c>
      <c r="D4633" s="35" t="s">
        <v>813</v>
      </c>
      <c r="E4633" s="36">
        <v>0.34300000000000003</v>
      </c>
      <c r="F4633" s="53">
        <v>1.6435</v>
      </c>
      <c r="G4633" s="53">
        <f>IF(ISNUMBER(F4633),E4633*F4633,"")</f>
        <v>0.56372050000000007</v>
      </c>
      <c r="H4633" s="72"/>
      <c r="I4633" s="73"/>
      <c r="J4633" s="152">
        <v>0</v>
      </c>
    </row>
    <row r="4634" spans="1:10" ht="51.75" hidden="1" thickBot="1" x14ac:dyDescent="0.3">
      <c r="A4634" s="171"/>
      <c r="B4634" s="174"/>
      <c r="C4634" s="35" t="s">
        <v>3071</v>
      </c>
      <c r="D4634" s="35" t="s">
        <v>80</v>
      </c>
      <c r="E4634" s="36">
        <f>1*E4630</f>
        <v>0.35799999999999998</v>
      </c>
      <c r="F4634" s="33">
        <v>7.9257587999999988</v>
      </c>
      <c r="G4634" s="33">
        <f>IF(ISNUMBER(F4634),E4634*F4634,"")</f>
        <v>2.8374216503999996</v>
      </c>
      <c r="H4634" s="34"/>
      <c r="I4634" s="30"/>
      <c r="J4634" s="152">
        <v>0</v>
      </c>
    </row>
    <row r="4635" spans="1:10" ht="39" hidden="1" thickBot="1" x14ac:dyDescent="0.3">
      <c r="A4635" s="171"/>
      <c r="B4635" s="174"/>
      <c r="C4635" s="35" t="s">
        <v>88</v>
      </c>
      <c r="D4635" s="35" t="s">
        <v>89</v>
      </c>
      <c r="E4635" s="36">
        <f>E4630*20</f>
        <v>7.16</v>
      </c>
      <c r="F4635" s="53">
        <v>2.6576449499999995</v>
      </c>
      <c r="G4635" s="53">
        <f>IF(ISNUMBER(F4635),E4635*F4635,"")</f>
        <v>19.028737841999998</v>
      </c>
      <c r="H4635" s="72"/>
      <c r="I4635" s="73"/>
      <c r="J4635" s="152">
        <v>0</v>
      </c>
    </row>
    <row r="4636" spans="1:10" ht="15.75" hidden="1" thickBot="1" x14ac:dyDescent="0.3">
      <c r="A4636" s="171"/>
      <c r="B4636" s="174"/>
      <c r="C4636" s="35"/>
      <c r="D4636" s="35"/>
      <c r="E4636" s="36"/>
      <c r="F4636" s="53" t="s">
        <v>416</v>
      </c>
      <c r="G4636" s="53" t="str">
        <f>IF(ISNUMBER(F4636),E4636*F4636,"")</f>
        <v/>
      </c>
      <c r="H4636" s="72"/>
      <c r="I4636" s="73"/>
      <c r="J4636" s="152">
        <v>0</v>
      </c>
    </row>
    <row r="4637" spans="1:10" ht="15.75" hidden="1" thickBot="1" x14ac:dyDescent="0.3">
      <c r="A4637" s="171"/>
      <c r="B4637" s="174"/>
      <c r="C4637" s="47" t="s">
        <v>1230</v>
      </c>
      <c r="D4637" s="35"/>
      <c r="E4637" s="36"/>
      <c r="F4637" s="53" t="s">
        <v>416</v>
      </c>
      <c r="G4637" s="53" t="str">
        <f>IF(ISNUMBER(F4637),E4637*F4637,"")</f>
        <v/>
      </c>
      <c r="H4637" s="72"/>
      <c r="I4637" s="73"/>
      <c r="J4637" s="152">
        <v>0</v>
      </c>
    </row>
    <row r="4638" spans="1:10" ht="15.75" hidden="1" thickBot="1" x14ac:dyDescent="0.3">
      <c r="A4638" s="171"/>
      <c r="B4638" s="174"/>
      <c r="C4638" s="35"/>
      <c r="D4638" s="35"/>
      <c r="E4638" s="36"/>
      <c r="F4638" s="53" t="s">
        <v>416</v>
      </c>
      <c r="G4638" s="53" t="str">
        <f>IF(ISNUMBER(F4638),E4638*F4638,"")</f>
        <v/>
      </c>
      <c r="H4638" s="72"/>
      <c r="I4638" s="73"/>
      <c r="J4638" s="152">
        <v>0</v>
      </c>
    </row>
    <row r="4639" spans="1:10" ht="15.75" hidden="1" thickBot="1" x14ac:dyDescent="0.3">
      <c r="A4639" s="170" t="s">
        <v>1231</v>
      </c>
      <c r="B4639" s="173" t="str">
        <f>INDEX(Orçamentária!A:B,MATCH(Composições!A4639,Orçamentária!A:A,0),2)</f>
        <v>Colagem da camada de proteção térmica de impermeabilização</v>
      </c>
      <c r="C4639" s="40"/>
      <c r="D4639" s="25" t="s">
        <v>70</v>
      </c>
      <c r="E4639" s="26"/>
      <c r="F4639" s="48" t="s">
        <v>416</v>
      </c>
      <c r="G4639" s="27" t="str">
        <f>IF(ISNUMBER(F4639),E4639*F4639,"")</f>
        <v/>
      </c>
      <c r="H4639" s="28"/>
      <c r="I4639" s="29"/>
      <c r="J4639" s="152">
        <v>0</v>
      </c>
    </row>
    <row r="4640" spans="1:10" ht="15.75" hidden="1" thickBot="1" x14ac:dyDescent="0.3">
      <c r="A4640" s="171"/>
      <c r="B4640" s="174"/>
      <c r="C4640" s="31"/>
      <c r="D4640" s="31"/>
      <c r="E4640" s="32"/>
      <c r="F4640" s="53" t="s">
        <v>416</v>
      </c>
      <c r="G4640" s="53" t="str">
        <f>IF(ISNUMBER(F4640),E4640*F4640,"")</f>
        <v/>
      </c>
      <c r="H4640" s="72"/>
      <c r="I4640" s="73"/>
      <c r="J4640" s="152">
        <v>0</v>
      </c>
    </row>
    <row r="4641" spans="1:10" ht="26.25" hidden="1" thickBot="1" x14ac:dyDescent="0.3">
      <c r="A4641" s="171"/>
      <c r="B4641" s="174"/>
      <c r="C4641" s="35" t="s">
        <v>1232</v>
      </c>
      <c r="D4641" s="35" t="s">
        <v>75</v>
      </c>
      <c r="E4641" s="36">
        <v>0.35</v>
      </c>
      <c r="F4641" s="53">
        <v>18.506</v>
      </c>
      <c r="G4641" s="53">
        <f>IF(ISNUMBER(F4641),E4641*F4641,"")</f>
        <v>6.4771000000000001</v>
      </c>
      <c r="H4641" s="38">
        <f>SUM(G4641:G4642)</f>
        <v>8.2891300000000001</v>
      </c>
      <c r="I4641" s="39"/>
      <c r="J4641" s="152">
        <v>0</v>
      </c>
    </row>
    <row r="4642" spans="1:10" ht="15.75" hidden="1" thickBot="1" x14ac:dyDescent="0.3">
      <c r="A4642" s="171"/>
      <c r="B4642" s="174"/>
      <c r="C4642" s="35" t="s">
        <v>1233</v>
      </c>
      <c r="D4642" s="35" t="s">
        <v>583</v>
      </c>
      <c r="E4642" s="36">
        <v>8.5000000000000006E-2</v>
      </c>
      <c r="F4642" s="53">
        <v>21.318000000000001</v>
      </c>
      <c r="G4642" s="53">
        <f>IF(ISNUMBER(F4642),E4642*F4642,"")</f>
        <v>1.8120300000000003</v>
      </c>
      <c r="H4642" s="72"/>
      <c r="I4642" s="73"/>
      <c r="J4642" s="152">
        <v>0</v>
      </c>
    </row>
    <row r="4643" spans="1:10" ht="15.75" hidden="1" thickBot="1" x14ac:dyDescent="0.3">
      <c r="A4643" s="171"/>
      <c r="B4643" s="174"/>
      <c r="C4643" s="35"/>
      <c r="D4643" s="35"/>
      <c r="E4643" s="36"/>
      <c r="F4643" s="53" t="s">
        <v>416</v>
      </c>
      <c r="G4643" s="53" t="str">
        <f>IF(ISNUMBER(F4643),E4643*F4643,"")</f>
        <v/>
      </c>
      <c r="H4643" s="72"/>
      <c r="I4643" s="73"/>
      <c r="J4643" s="152">
        <v>0</v>
      </c>
    </row>
    <row r="4644" spans="1:10" ht="26.25" hidden="1" thickBot="1" x14ac:dyDescent="0.3">
      <c r="A4644" s="171"/>
      <c r="B4644" s="174"/>
      <c r="C4644" s="47" t="s">
        <v>1234</v>
      </c>
      <c r="D4644" s="35"/>
      <c r="E4644" s="36"/>
      <c r="F4644" s="53" t="s">
        <v>416</v>
      </c>
      <c r="G4644" s="53" t="str">
        <f>IF(ISNUMBER(F4644),E4644*F4644,"")</f>
        <v/>
      </c>
      <c r="H4644" s="72"/>
      <c r="I4644" s="73"/>
      <c r="J4644" s="152">
        <v>0</v>
      </c>
    </row>
    <row r="4645" spans="1:10" ht="15.75" hidden="1" thickBot="1" x14ac:dyDescent="0.3">
      <c r="A4645" s="171"/>
      <c r="B4645" s="174"/>
      <c r="C4645" s="150" t="s">
        <v>1235</v>
      </c>
      <c r="D4645" s="35"/>
      <c r="E4645" s="36"/>
      <c r="F4645" s="53" t="s">
        <v>416</v>
      </c>
      <c r="G4645" s="53" t="str">
        <f>IF(ISNUMBER(F4645),E4645*F4645,"")</f>
        <v/>
      </c>
      <c r="H4645" s="72"/>
      <c r="I4645" s="73"/>
      <c r="J4645" s="152">
        <v>0</v>
      </c>
    </row>
    <row r="4646" spans="1:10" ht="15.75" hidden="1" thickBot="1" x14ac:dyDescent="0.3">
      <c r="A4646" s="172"/>
      <c r="B4646" s="175"/>
      <c r="C4646" s="35"/>
      <c r="D4646" s="35"/>
      <c r="E4646" s="36"/>
      <c r="F4646" s="53" t="s">
        <v>416</v>
      </c>
      <c r="G4646" s="53" t="str">
        <f>IF(ISNUMBER(F4646),E4646*F4646,"")</f>
        <v/>
      </c>
      <c r="H4646" s="72"/>
      <c r="I4646" s="73"/>
      <c r="J4646" s="152">
        <v>0</v>
      </c>
    </row>
    <row r="4647" spans="1:10" ht="15.75" hidden="1" thickBot="1" x14ac:dyDescent="0.3">
      <c r="A4647" s="170" t="s">
        <v>1236</v>
      </c>
      <c r="B4647" s="173" t="str">
        <f>INDEX(Orçamentária!A:B,MATCH(Composições!A4647,Orçamentária!A:A,0),2)</f>
        <v>Impermeabilização com Membrana de Poliuretano</v>
      </c>
      <c r="C4647" s="40"/>
      <c r="D4647" s="25" t="s">
        <v>70</v>
      </c>
      <c r="E4647" s="26"/>
      <c r="F4647" s="48" t="s">
        <v>416</v>
      </c>
      <c r="G4647" s="27" t="str">
        <f>IF(ISNUMBER(F4647),E4647*F4647,"")</f>
        <v/>
      </c>
      <c r="H4647" s="28"/>
      <c r="I4647" s="29"/>
      <c r="J4647" s="152">
        <v>0</v>
      </c>
    </row>
    <row r="4648" spans="1:10" ht="15.75" hidden="1" thickBot="1" x14ac:dyDescent="0.3">
      <c r="A4648" s="171"/>
      <c r="B4648" s="174"/>
      <c r="C4648" s="31"/>
      <c r="D4648" s="31"/>
      <c r="E4648" s="32"/>
      <c r="F4648" s="53" t="s">
        <v>416</v>
      </c>
      <c r="G4648" s="53" t="str">
        <f>IF(ISNUMBER(F4648),E4648*F4648,"")</f>
        <v/>
      </c>
      <c r="H4648" s="72"/>
      <c r="I4648" s="73"/>
      <c r="J4648" s="152">
        <v>0</v>
      </c>
    </row>
    <row r="4649" spans="1:10" ht="15.75" hidden="1" thickBot="1" x14ac:dyDescent="0.3">
      <c r="A4649" s="171"/>
      <c r="B4649" s="174"/>
      <c r="C4649" s="35" t="s">
        <v>1237</v>
      </c>
      <c r="D4649" s="35" t="s">
        <v>773</v>
      </c>
      <c r="E4649" s="36">
        <v>2</v>
      </c>
      <c r="F4649" s="53">
        <v>68.59</v>
      </c>
      <c r="G4649" s="53">
        <f>IF(ISNUMBER(F4649),E4649*F4649,"")</f>
        <v>137.18</v>
      </c>
      <c r="H4649" s="38">
        <f>SUM(G4649:G4651)</f>
        <v>152.15492599999999</v>
      </c>
      <c r="I4649" s="39"/>
      <c r="J4649" s="152">
        <v>0</v>
      </c>
    </row>
    <row r="4650" spans="1:10" ht="15.75" hidden="1" thickBot="1" x14ac:dyDescent="0.3">
      <c r="A4650" s="171"/>
      <c r="B4650" s="174"/>
      <c r="C4650" s="35" t="s">
        <v>1233</v>
      </c>
      <c r="D4650" s="35" t="s">
        <v>583</v>
      </c>
      <c r="E4650" s="36">
        <v>9.6000000000000002E-2</v>
      </c>
      <c r="F4650" s="53">
        <v>21.318000000000001</v>
      </c>
      <c r="G4650" s="53">
        <f>IF(ISNUMBER(F4650),E4650*F4650,"")</f>
        <v>2.0465280000000003</v>
      </c>
      <c r="H4650" s="72"/>
      <c r="I4650" s="73"/>
      <c r="J4650" s="152">
        <v>0</v>
      </c>
    </row>
    <row r="4651" spans="1:10" ht="15.75" hidden="1" thickBot="1" x14ac:dyDescent="0.3">
      <c r="A4651" s="171"/>
      <c r="B4651" s="174"/>
      <c r="C4651" s="35" t="s">
        <v>881</v>
      </c>
      <c r="D4651" s="35" t="s">
        <v>583</v>
      </c>
      <c r="E4651" s="36">
        <v>0.47599999999999998</v>
      </c>
      <c r="F4651" s="53">
        <v>27.160499999999999</v>
      </c>
      <c r="G4651" s="53">
        <f>IF(ISNUMBER(F4651),E4651*F4651,"")</f>
        <v>12.928398</v>
      </c>
      <c r="H4651" s="72"/>
      <c r="I4651" s="73"/>
      <c r="J4651" s="152">
        <v>0</v>
      </c>
    </row>
    <row r="4652" spans="1:10" ht="15.75" hidden="1" thickBot="1" x14ac:dyDescent="0.3">
      <c r="A4652" s="171"/>
      <c r="B4652" s="174"/>
      <c r="C4652" s="35"/>
      <c r="D4652" s="35"/>
      <c r="E4652" s="36"/>
      <c r="F4652" s="53" t="s">
        <v>416</v>
      </c>
      <c r="G4652" s="53" t="str">
        <f>IF(ISNUMBER(F4652),E4652*F4652,"")</f>
        <v/>
      </c>
      <c r="H4652" s="72"/>
      <c r="I4652" s="73"/>
      <c r="J4652" s="152">
        <v>0</v>
      </c>
    </row>
    <row r="4653" spans="1:10" ht="15.75" hidden="1" thickBot="1" x14ac:dyDescent="0.3">
      <c r="A4653" s="170" t="s">
        <v>1238</v>
      </c>
      <c r="B4653" s="173" t="str">
        <f>INDEX(Orçamentária!A:B,MATCH(Composições!A4653,Orçamentária!A:A,0),2)</f>
        <v>Impermeabilização com Manta Asfáltica</v>
      </c>
      <c r="C4653" s="40"/>
      <c r="D4653" s="25" t="s">
        <v>70</v>
      </c>
      <c r="E4653" s="26"/>
      <c r="F4653" s="48" t="s">
        <v>416</v>
      </c>
      <c r="G4653" s="27" t="str">
        <f>IF(ISNUMBER(F4653),E4653*F4653,"")</f>
        <v/>
      </c>
      <c r="H4653" s="28"/>
      <c r="I4653" s="29"/>
      <c r="J4653" s="152">
        <v>0</v>
      </c>
    </row>
    <row r="4654" spans="1:10" ht="15.75" hidden="1" thickBot="1" x14ac:dyDescent="0.3">
      <c r="A4654" s="171"/>
      <c r="B4654" s="174"/>
      <c r="C4654" s="31"/>
      <c r="D4654" s="31"/>
      <c r="E4654" s="32"/>
      <c r="F4654" s="53" t="s">
        <v>416</v>
      </c>
      <c r="G4654" s="53" t="str">
        <f>IF(ISNUMBER(F4654),E4654*F4654,"")</f>
        <v/>
      </c>
      <c r="H4654" s="72"/>
      <c r="I4654" s="73"/>
      <c r="J4654" s="152">
        <v>0</v>
      </c>
    </row>
    <row r="4655" spans="1:10" ht="26.25" hidden="1" thickBot="1" x14ac:dyDescent="0.3">
      <c r="A4655" s="171"/>
      <c r="B4655" s="174"/>
      <c r="C4655" s="35" t="s">
        <v>1232</v>
      </c>
      <c r="D4655" s="35" t="s">
        <v>75</v>
      </c>
      <c r="E4655" s="36">
        <v>0.61499999999999999</v>
      </c>
      <c r="F4655" s="53">
        <v>18.506</v>
      </c>
      <c r="G4655" s="53">
        <f>IF(ISNUMBER(F4655),E4655*F4655,"")</f>
        <v>11.38119</v>
      </c>
      <c r="H4655" s="38">
        <f>SUM(G4655:G4659)</f>
        <v>105.91588</v>
      </c>
      <c r="I4655" s="39"/>
      <c r="J4655" s="152">
        <v>0</v>
      </c>
    </row>
    <row r="4656" spans="1:10" ht="26.25" hidden="1" thickBot="1" x14ac:dyDescent="0.3">
      <c r="A4656" s="171"/>
      <c r="B4656" s="174"/>
      <c r="C4656" s="35" t="s">
        <v>1239</v>
      </c>
      <c r="D4656" s="35" t="s">
        <v>861</v>
      </c>
      <c r="E4656" s="36">
        <v>1.125</v>
      </c>
      <c r="F4656" s="53">
        <v>55.783999999999999</v>
      </c>
      <c r="G4656" s="53">
        <f>IF(ISNUMBER(F4656),E4656*F4656,"")</f>
        <v>62.756999999999998</v>
      </c>
      <c r="H4656" s="72"/>
      <c r="I4656" s="73"/>
      <c r="J4656" s="152">
        <v>0</v>
      </c>
    </row>
    <row r="4657" spans="1:10" ht="15.75" hidden="1" thickBot="1" x14ac:dyDescent="0.3">
      <c r="A4657" s="171"/>
      <c r="B4657" s="174"/>
      <c r="C4657" s="35" t="s">
        <v>1240</v>
      </c>
      <c r="D4657" s="35" t="s">
        <v>773</v>
      </c>
      <c r="E4657" s="36">
        <v>0.26</v>
      </c>
      <c r="F4657" s="53">
        <v>7.4479999999999995</v>
      </c>
      <c r="G4657" s="53">
        <f>IF(ISNUMBER(F4657),E4657*F4657,"")</f>
        <v>1.93648</v>
      </c>
      <c r="H4657" s="72"/>
      <c r="I4657" s="73"/>
      <c r="J4657" s="152">
        <v>0</v>
      </c>
    </row>
    <row r="4658" spans="1:10" ht="15.75" hidden="1" thickBot="1" x14ac:dyDescent="0.3">
      <c r="A4658" s="171"/>
      <c r="B4658" s="174"/>
      <c r="C4658" s="35" t="s">
        <v>1233</v>
      </c>
      <c r="D4658" s="35" t="s">
        <v>583</v>
      </c>
      <c r="E4658" s="36">
        <v>0.192</v>
      </c>
      <c r="F4658" s="53">
        <v>21.318000000000001</v>
      </c>
      <c r="G4658" s="53">
        <f>IF(ISNUMBER(F4658),E4658*F4658,"")</f>
        <v>4.0930560000000007</v>
      </c>
      <c r="H4658" s="72"/>
      <c r="I4658" s="73"/>
      <c r="J4658" s="152">
        <v>0</v>
      </c>
    </row>
    <row r="4659" spans="1:10" ht="15.75" hidden="1" thickBot="1" x14ac:dyDescent="0.3">
      <c r="A4659" s="171"/>
      <c r="B4659" s="174"/>
      <c r="C4659" s="35" t="s">
        <v>881</v>
      </c>
      <c r="D4659" s="35" t="s">
        <v>583</v>
      </c>
      <c r="E4659" s="36">
        <v>0.94799999999999995</v>
      </c>
      <c r="F4659" s="53">
        <v>27.160499999999999</v>
      </c>
      <c r="G4659" s="53">
        <f>IF(ISNUMBER(F4659),E4659*F4659,"")</f>
        <v>25.748154</v>
      </c>
      <c r="H4659" s="72"/>
      <c r="I4659" s="73"/>
      <c r="J4659" s="152">
        <v>0</v>
      </c>
    </row>
    <row r="4660" spans="1:10" ht="15.75" hidden="1" thickBot="1" x14ac:dyDescent="0.3">
      <c r="A4660" s="171"/>
      <c r="B4660" s="174"/>
      <c r="C4660" s="35"/>
      <c r="D4660" s="35"/>
      <c r="E4660" s="36"/>
      <c r="F4660" s="53" t="s">
        <v>416</v>
      </c>
      <c r="G4660" s="53" t="str">
        <f>IF(ISNUMBER(F4660),E4660*F4660,"")</f>
        <v/>
      </c>
      <c r="H4660" s="72"/>
      <c r="I4660" s="73"/>
      <c r="J4660" s="152">
        <v>0</v>
      </c>
    </row>
    <row r="4661" spans="1:10" ht="15.75" hidden="1" thickBot="1" x14ac:dyDescent="0.3">
      <c r="A4661" s="170" t="s">
        <v>1241</v>
      </c>
      <c r="B4661" s="173" t="str">
        <f>INDEX(Orçamentária!A:B,MATCH(Composições!A4661,Orçamentária!A:A,0),2)</f>
        <v>Impermeabilização com manta asfáltica aluminizada</v>
      </c>
      <c r="C4661" s="40"/>
      <c r="D4661" s="25" t="s">
        <v>70</v>
      </c>
      <c r="E4661" s="26"/>
      <c r="F4661" s="48" t="s">
        <v>416</v>
      </c>
      <c r="G4661" s="27" t="str">
        <f>IF(ISNUMBER(F4661),E4661*F4661,"")</f>
        <v/>
      </c>
      <c r="H4661" s="28"/>
      <c r="I4661" s="29"/>
      <c r="J4661" s="152">
        <v>0</v>
      </c>
    </row>
    <row r="4662" spans="1:10" ht="15.75" hidden="1" thickBot="1" x14ac:dyDescent="0.3">
      <c r="A4662" s="171"/>
      <c r="B4662" s="174"/>
      <c r="C4662" s="31"/>
      <c r="D4662" s="31"/>
      <c r="E4662" s="32"/>
      <c r="F4662" s="53" t="s">
        <v>416</v>
      </c>
      <c r="G4662" s="53" t="str">
        <f>IF(ISNUMBER(F4662),E4662*F4662,"")</f>
        <v/>
      </c>
      <c r="H4662" s="72"/>
      <c r="I4662" s="73"/>
      <c r="J4662" s="152">
        <v>0</v>
      </c>
    </row>
    <row r="4663" spans="1:10" ht="26.25" hidden="1" thickBot="1" x14ac:dyDescent="0.3">
      <c r="A4663" s="171"/>
      <c r="B4663" s="174"/>
      <c r="C4663" s="35" t="s">
        <v>1232</v>
      </c>
      <c r="D4663" s="35" t="s">
        <v>75</v>
      </c>
      <c r="E4663" s="36">
        <v>0.61499999999999999</v>
      </c>
      <c r="F4663" s="53">
        <v>18.506</v>
      </c>
      <c r="G4663" s="53">
        <f>IF(ISNUMBER(F4663),E4663*F4663,"")</f>
        <v>11.38119</v>
      </c>
      <c r="H4663" s="38">
        <f>SUM(G4663:G4667)</f>
        <v>43.158879999999996</v>
      </c>
      <c r="I4663" s="39"/>
      <c r="J4663" s="152">
        <v>0</v>
      </c>
    </row>
    <row r="4664" spans="1:10" ht="15.75" hidden="1" thickBot="1" x14ac:dyDescent="0.3">
      <c r="A4664" s="171"/>
      <c r="B4664" s="174"/>
      <c r="C4664" s="35" t="s">
        <v>1242</v>
      </c>
      <c r="D4664" s="35" t="s">
        <v>861</v>
      </c>
      <c r="E4664" s="36">
        <v>1.125</v>
      </c>
      <c r="F4664" s="53">
        <v>0</v>
      </c>
      <c r="G4664" s="53">
        <f>IF(ISNUMBER(F4664),E4664*F4664,"")</f>
        <v>0</v>
      </c>
      <c r="H4664" s="72"/>
      <c r="I4664" s="73"/>
      <c r="J4664" s="152">
        <v>0</v>
      </c>
    </row>
    <row r="4665" spans="1:10" ht="15.75" hidden="1" thickBot="1" x14ac:dyDescent="0.3">
      <c r="A4665" s="171"/>
      <c r="B4665" s="174"/>
      <c r="C4665" s="35" t="s">
        <v>1240</v>
      </c>
      <c r="D4665" s="35" t="s">
        <v>773</v>
      </c>
      <c r="E4665" s="36">
        <v>0.26</v>
      </c>
      <c r="F4665" s="53">
        <v>7.4479999999999995</v>
      </c>
      <c r="G4665" s="53">
        <f>IF(ISNUMBER(F4665),E4665*F4665,"")</f>
        <v>1.93648</v>
      </c>
      <c r="H4665" s="72"/>
      <c r="I4665" s="73"/>
      <c r="J4665" s="152">
        <v>0</v>
      </c>
    </row>
    <row r="4666" spans="1:10" ht="15.75" hidden="1" thickBot="1" x14ac:dyDescent="0.3">
      <c r="A4666" s="171"/>
      <c r="B4666" s="174"/>
      <c r="C4666" s="35" t="s">
        <v>1233</v>
      </c>
      <c r="D4666" s="35" t="s">
        <v>583</v>
      </c>
      <c r="E4666" s="36">
        <v>0.192</v>
      </c>
      <c r="F4666" s="53">
        <v>21.318000000000001</v>
      </c>
      <c r="G4666" s="53">
        <f>IF(ISNUMBER(F4666),E4666*F4666,"")</f>
        <v>4.0930560000000007</v>
      </c>
      <c r="H4666" s="72"/>
      <c r="I4666" s="73"/>
      <c r="J4666" s="152">
        <v>0</v>
      </c>
    </row>
    <row r="4667" spans="1:10" ht="15.75" hidden="1" thickBot="1" x14ac:dyDescent="0.3">
      <c r="A4667" s="171"/>
      <c r="B4667" s="174"/>
      <c r="C4667" s="35" t="s">
        <v>881</v>
      </c>
      <c r="D4667" s="35" t="s">
        <v>583</v>
      </c>
      <c r="E4667" s="36">
        <v>0.94799999999999995</v>
      </c>
      <c r="F4667" s="53">
        <v>27.160499999999999</v>
      </c>
      <c r="G4667" s="53">
        <f>IF(ISNUMBER(F4667),E4667*F4667,"")</f>
        <v>25.748154</v>
      </c>
      <c r="H4667" s="72"/>
      <c r="I4667" s="73"/>
      <c r="J4667" s="152">
        <v>0</v>
      </c>
    </row>
    <row r="4668" spans="1:10" ht="15.75" hidden="1" thickBot="1" x14ac:dyDescent="0.3">
      <c r="A4668" s="171"/>
      <c r="B4668" s="174"/>
      <c r="C4668" s="35"/>
      <c r="D4668" s="35"/>
      <c r="E4668" s="36"/>
      <c r="F4668" s="53" t="s">
        <v>416</v>
      </c>
      <c r="G4668" s="53" t="str">
        <f>IF(ISNUMBER(F4668),E4668*F4668,"")</f>
        <v/>
      </c>
      <c r="H4668" s="72"/>
      <c r="I4668" s="73"/>
      <c r="J4668" s="152">
        <v>0</v>
      </c>
    </row>
    <row r="4669" spans="1:10" ht="15.75" hidden="1" thickBot="1" x14ac:dyDescent="0.3">
      <c r="A4669" s="170" t="s">
        <v>1243</v>
      </c>
      <c r="B4669" s="173" t="str">
        <f>INDEX(Orçamentária!A:B,MATCH(Composições!A4669,Orçamentária!A:A,0),2)</f>
        <v>Impermeabilização com manta elastomérica de etileno-propileno-dieno-monômero (EPDM)</v>
      </c>
      <c r="C4669" s="40"/>
      <c r="D4669" s="25" t="s">
        <v>70</v>
      </c>
      <c r="E4669" s="26"/>
      <c r="F4669" s="48" t="s">
        <v>416</v>
      </c>
      <c r="G4669" s="27" t="str">
        <f>IF(ISNUMBER(F4669),E4669*F4669,"")</f>
        <v/>
      </c>
      <c r="H4669" s="28"/>
      <c r="I4669" s="29"/>
      <c r="J4669" s="152">
        <v>0</v>
      </c>
    </row>
    <row r="4670" spans="1:10" ht="15.75" hidden="1" thickBot="1" x14ac:dyDescent="0.3">
      <c r="A4670" s="171"/>
      <c r="B4670" s="174"/>
      <c r="C4670" s="31"/>
      <c r="D4670" s="31"/>
      <c r="E4670" s="32"/>
      <c r="F4670" s="53" t="s">
        <v>416</v>
      </c>
      <c r="G4670" s="53" t="str">
        <f>IF(ISNUMBER(F4670),E4670*F4670,"")</f>
        <v/>
      </c>
      <c r="H4670" s="72"/>
      <c r="I4670" s="73"/>
      <c r="J4670" s="152">
        <v>0</v>
      </c>
    </row>
    <row r="4671" spans="1:10" ht="15.75" hidden="1" thickBot="1" x14ac:dyDescent="0.3">
      <c r="A4671" s="171"/>
      <c r="B4671" s="174"/>
      <c r="C4671" s="35" t="s">
        <v>881</v>
      </c>
      <c r="D4671" s="35" t="s">
        <v>583</v>
      </c>
      <c r="E4671" s="36">
        <v>0.5</v>
      </c>
      <c r="F4671" s="53">
        <v>27.160499999999999</v>
      </c>
      <c r="G4671" s="53">
        <f>IF(ISNUMBER(F4671),E4671*F4671,"")</f>
        <v>13.580249999999999</v>
      </c>
      <c r="H4671" s="38">
        <f>SUM(G4671:G4677)</f>
        <v>24.239249999999998</v>
      </c>
      <c r="I4671" s="39"/>
      <c r="J4671" s="152">
        <v>0</v>
      </c>
    </row>
    <row r="4672" spans="1:10" ht="15.75" hidden="1" thickBot="1" x14ac:dyDescent="0.3">
      <c r="A4672" s="171"/>
      <c r="B4672" s="174"/>
      <c r="C4672" s="35" t="s">
        <v>1233</v>
      </c>
      <c r="D4672" s="35" t="s">
        <v>583</v>
      </c>
      <c r="E4672" s="36">
        <v>0.5</v>
      </c>
      <c r="F4672" s="53">
        <v>21.318000000000001</v>
      </c>
      <c r="G4672" s="53">
        <f>IF(ISNUMBER(F4672),E4672*F4672,"")</f>
        <v>10.659000000000001</v>
      </c>
      <c r="H4672" s="72"/>
      <c r="I4672" s="73"/>
      <c r="J4672" s="152">
        <v>0</v>
      </c>
    </row>
    <row r="4673" spans="1:10" ht="15.75" hidden="1" thickBot="1" x14ac:dyDescent="0.3">
      <c r="A4673" s="171"/>
      <c r="B4673" s="174"/>
      <c r="C4673" s="35" t="s">
        <v>1244</v>
      </c>
      <c r="D4673" s="35" t="s">
        <v>773</v>
      </c>
      <c r="E4673" s="36">
        <v>0.8</v>
      </c>
      <c r="F4673" s="53">
        <v>0</v>
      </c>
      <c r="G4673" s="53">
        <f>IF(ISNUMBER(F4673),E4673*F4673,"")</f>
        <v>0</v>
      </c>
      <c r="H4673" s="72"/>
      <c r="I4673" s="73"/>
      <c r="J4673" s="152">
        <v>0</v>
      </c>
    </row>
    <row r="4674" spans="1:10" ht="15.75" hidden="1" thickBot="1" x14ac:dyDescent="0.3">
      <c r="A4674" s="171"/>
      <c r="B4674" s="174"/>
      <c r="C4674" s="35" t="s">
        <v>1245</v>
      </c>
      <c r="D4674" s="35" t="s">
        <v>75</v>
      </c>
      <c r="E4674" s="36">
        <v>0.6</v>
      </c>
      <c r="F4674" s="53">
        <v>0</v>
      </c>
      <c r="G4674" s="53">
        <f>IF(ISNUMBER(F4674),E4674*F4674,"")</f>
        <v>0</v>
      </c>
      <c r="H4674" s="72"/>
      <c r="I4674" s="73"/>
      <c r="J4674" s="152">
        <v>0</v>
      </c>
    </row>
    <row r="4675" spans="1:10" ht="15.75" hidden="1" thickBot="1" x14ac:dyDescent="0.3">
      <c r="A4675" s="171"/>
      <c r="B4675" s="174"/>
      <c r="C4675" s="35" t="s">
        <v>1246</v>
      </c>
      <c r="D4675" s="35" t="s">
        <v>70</v>
      </c>
      <c r="E4675" s="36">
        <v>1.1000000000000001</v>
      </c>
      <c r="F4675" s="53">
        <v>0</v>
      </c>
      <c r="G4675" s="53">
        <f>IF(ISNUMBER(F4675),E4675*F4675,"")</f>
        <v>0</v>
      </c>
      <c r="H4675" s="72"/>
      <c r="I4675" s="73"/>
      <c r="J4675" s="152">
        <v>0</v>
      </c>
    </row>
    <row r="4676" spans="1:10" ht="15.75" hidden="1" thickBot="1" x14ac:dyDescent="0.3">
      <c r="A4676" s="171"/>
      <c r="B4676" s="174"/>
      <c r="C4676" s="35" t="s">
        <v>1247</v>
      </c>
      <c r="D4676" s="35" t="s">
        <v>69</v>
      </c>
      <c r="E4676" s="36">
        <v>2</v>
      </c>
      <c r="F4676" s="53">
        <v>0</v>
      </c>
      <c r="G4676" s="53">
        <f>IF(ISNUMBER(F4676),E4676*F4676,"")</f>
        <v>0</v>
      </c>
      <c r="H4676" s="72"/>
      <c r="I4676" s="73"/>
      <c r="J4676" s="152">
        <v>0</v>
      </c>
    </row>
    <row r="4677" spans="1:10" ht="15.75" hidden="1" thickBot="1" x14ac:dyDescent="0.3">
      <c r="A4677" s="171"/>
      <c r="B4677" s="174"/>
      <c r="C4677" s="35" t="s">
        <v>1248</v>
      </c>
      <c r="D4677" s="35" t="s">
        <v>75</v>
      </c>
      <c r="E4677" s="36">
        <v>0.2</v>
      </c>
      <c r="F4677" s="53">
        <v>0</v>
      </c>
      <c r="G4677" s="53">
        <f>IF(ISNUMBER(F4677),E4677*F4677,"")</f>
        <v>0</v>
      </c>
      <c r="H4677" s="72"/>
      <c r="I4677" s="73"/>
      <c r="J4677" s="152">
        <v>0</v>
      </c>
    </row>
    <row r="4678" spans="1:10" ht="15.75" hidden="1" thickBot="1" x14ac:dyDescent="0.3">
      <c r="A4678" s="171"/>
      <c r="B4678" s="174"/>
      <c r="C4678" s="35"/>
      <c r="D4678" s="35"/>
      <c r="E4678" s="36"/>
      <c r="F4678" s="53" t="s">
        <v>416</v>
      </c>
      <c r="G4678" s="53" t="str">
        <f>IF(ISNUMBER(F4678),E4678*F4678,"")</f>
        <v/>
      </c>
      <c r="H4678" s="72"/>
      <c r="I4678" s="73"/>
      <c r="J4678" s="152">
        <v>0</v>
      </c>
    </row>
    <row r="4679" spans="1:10" ht="15.75" hidden="1" thickBot="1" x14ac:dyDescent="0.3">
      <c r="A4679" s="170" t="s">
        <v>1249</v>
      </c>
      <c r="B4679" s="173" t="str">
        <f>INDEX(Orçamentária!A:B,MATCH(Composições!A4679,Orçamentária!A:A,0),2)</f>
        <v>Impermeabilização com membrana acrílica</v>
      </c>
      <c r="C4679" s="40"/>
      <c r="D4679" s="25" t="s">
        <v>70</v>
      </c>
      <c r="E4679" s="26"/>
      <c r="F4679" s="48" t="s">
        <v>416</v>
      </c>
      <c r="G4679" s="27" t="str">
        <f>IF(ISNUMBER(F4679),E4679*F4679,"")</f>
        <v/>
      </c>
      <c r="H4679" s="28"/>
      <c r="I4679" s="29"/>
      <c r="J4679" s="152">
        <v>0</v>
      </c>
    </row>
    <row r="4680" spans="1:10" ht="15.75" hidden="1" thickBot="1" x14ac:dyDescent="0.3">
      <c r="A4680" s="171"/>
      <c r="B4680" s="174"/>
      <c r="C4680" s="31"/>
      <c r="D4680" s="31"/>
      <c r="E4680" s="32"/>
      <c r="F4680" s="53" t="s">
        <v>416</v>
      </c>
      <c r="G4680" s="53" t="str">
        <f>IF(ISNUMBER(F4680),E4680*F4680,"")</f>
        <v/>
      </c>
      <c r="H4680" s="72"/>
      <c r="I4680" s="73"/>
      <c r="J4680" s="152">
        <v>0</v>
      </c>
    </row>
    <row r="4681" spans="1:10" ht="15.75" hidden="1" thickBot="1" x14ac:dyDescent="0.3">
      <c r="A4681" s="171"/>
      <c r="B4681" s="174"/>
      <c r="C4681" s="35" t="s">
        <v>1250</v>
      </c>
      <c r="D4681" s="35" t="s">
        <v>773</v>
      </c>
      <c r="E4681" s="36">
        <v>1.2</v>
      </c>
      <c r="F4681" s="53">
        <v>26.562000000000001</v>
      </c>
      <c r="G4681" s="53">
        <f>IF(ISNUMBER(F4681),E4681*F4681,"")</f>
        <v>31.874400000000001</v>
      </c>
      <c r="H4681" s="38">
        <f>SUM(G4681:G4683)</f>
        <v>50.067374999999998</v>
      </c>
      <c r="I4681" s="39"/>
      <c r="J4681" s="152">
        <v>0</v>
      </c>
    </row>
    <row r="4682" spans="1:10" ht="15.75" hidden="1" thickBot="1" x14ac:dyDescent="0.3">
      <c r="A4682" s="171"/>
      <c r="B4682" s="174"/>
      <c r="C4682" s="35" t="s">
        <v>1233</v>
      </c>
      <c r="D4682" s="35" t="s">
        <v>583</v>
      </c>
      <c r="E4682" s="36">
        <v>0.11700000000000001</v>
      </c>
      <c r="F4682" s="53">
        <v>21.318000000000001</v>
      </c>
      <c r="G4682" s="53">
        <f>IF(ISNUMBER(F4682),E4682*F4682,"")</f>
        <v>2.4942060000000001</v>
      </c>
      <c r="H4682" s="72"/>
      <c r="I4682" s="73"/>
      <c r="J4682" s="152">
        <v>0</v>
      </c>
    </row>
    <row r="4683" spans="1:10" ht="15.75" hidden="1" thickBot="1" x14ac:dyDescent="0.3">
      <c r="A4683" s="171"/>
      <c r="B4683" s="174"/>
      <c r="C4683" s="35" t="s">
        <v>881</v>
      </c>
      <c r="D4683" s="35" t="s">
        <v>583</v>
      </c>
      <c r="E4683" s="36">
        <v>0.57799999999999996</v>
      </c>
      <c r="F4683" s="53">
        <v>27.160499999999999</v>
      </c>
      <c r="G4683" s="53">
        <f>IF(ISNUMBER(F4683),E4683*F4683,"")</f>
        <v>15.698768999999999</v>
      </c>
      <c r="H4683" s="72"/>
      <c r="I4683" s="73"/>
      <c r="J4683" s="152">
        <v>0</v>
      </c>
    </row>
    <row r="4684" spans="1:10" ht="15.75" hidden="1" thickBot="1" x14ac:dyDescent="0.3">
      <c r="A4684" s="171"/>
      <c r="B4684" s="174"/>
      <c r="C4684" s="35"/>
      <c r="D4684" s="35"/>
      <c r="E4684" s="36"/>
      <c r="F4684" s="53" t="s">
        <v>416</v>
      </c>
      <c r="G4684" s="53" t="str">
        <f>IF(ISNUMBER(F4684),E4684*F4684,"")</f>
        <v/>
      </c>
      <c r="H4684" s="72"/>
      <c r="I4684" s="73"/>
      <c r="J4684" s="152">
        <v>0</v>
      </c>
    </row>
    <row r="4685" spans="1:10" ht="15.75" hidden="1" thickBot="1" x14ac:dyDescent="0.3">
      <c r="A4685" s="170" t="s">
        <v>1251</v>
      </c>
      <c r="B4685" s="173" t="str">
        <f>INDEX(Orçamentária!A:B,MATCH(Composições!A4685,Orçamentária!A:A,0),2)</f>
        <v>Asfalto elastomérico para colagem de manta asfáltica</v>
      </c>
      <c r="C4685" s="40"/>
      <c r="D4685" s="25" t="s">
        <v>70</v>
      </c>
      <c r="E4685" s="26"/>
      <c r="F4685" s="48" t="s">
        <v>416</v>
      </c>
      <c r="G4685" s="27" t="str">
        <f>IF(ISNUMBER(F4685),E4685*F4685,"")</f>
        <v/>
      </c>
      <c r="H4685" s="28"/>
      <c r="I4685" s="29"/>
      <c r="J4685" s="152">
        <v>0</v>
      </c>
    </row>
    <row r="4686" spans="1:10" ht="15.75" hidden="1" thickBot="1" x14ac:dyDescent="0.3">
      <c r="A4686" s="171"/>
      <c r="B4686" s="174"/>
      <c r="C4686" s="31"/>
      <c r="D4686" s="31"/>
      <c r="E4686" s="32"/>
      <c r="F4686" s="53" t="s">
        <v>416</v>
      </c>
      <c r="G4686" s="53" t="str">
        <f>IF(ISNUMBER(F4686),E4686*F4686,"")</f>
        <v/>
      </c>
      <c r="H4686" s="72"/>
      <c r="I4686" s="73"/>
      <c r="J4686" s="152">
        <v>0</v>
      </c>
    </row>
    <row r="4687" spans="1:10" ht="15.75" hidden="1" thickBot="1" x14ac:dyDescent="0.3">
      <c r="A4687" s="171"/>
      <c r="B4687" s="174"/>
      <c r="C4687" s="35" t="s">
        <v>1252</v>
      </c>
      <c r="D4687" s="35" t="s">
        <v>773</v>
      </c>
      <c r="E4687" s="36">
        <v>3</v>
      </c>
      <c r="F4687" s="53" t="s">
        <v>416</v>
      </c>
      <c r="G4687" s="53" t="str">
        <f>IF(ISNUMBER(F4687),E4687*F4687,"")</f>
        <v/>
      </c>
      <c r="H4687" s="38">
        <f>SUM(G4687:G4688)</f>
        <v>5.4321000000000002</v>
      </c>
      <c r="I4687" s="39"/>
      <c r="J4687" s="152">
        <v>0</v>
      </c>
    </row>
    <row r="4688" spans="1:10" ht="15.75" hidden="1" thickBot="1" x14ac:dyDescent="0.3">
      <c r="A4688" s="171"/>
      <c r="B4688" s="174"/>
      <c r="C4688" s="35" t="s">
        <v>881</v>
      </c>
      <c r="D4688" s="35" t="s">
        <v>583</v>
      </c>
      <c r="E4688" s="36">
        <v>0.2</v>
      </c>
      <c r="F4688" s="53">
        <v>27.160499999999999</v>
      </c>
      <c r="G4688" s="53">
        <f>IF(ISNUMBER(F4688),E4688*F4688,"")</f>
        <v>5.4321000000000002</v>
      </c>
      <c r="H4688" s="72"/>
      <c r="I4688" s="73"/>
      <c r="J4688" s="152">
        <v>0</v>
      </c>
    </row>
    <row r="4689" spans="1:10" ht="15.75" hidden="1" thickBot="1" x14ac:dyDescent="0.3">
      <c r="A4689" s="171"/>
      <c r="B4689" s="174"/>
      <c r="C4689" s="35"/>
      <c r="D4689" s="35"/>
      <c r="E4689" s="36"/>
      <c r="F4689" s="53" t="s">
        <v>416</v>
      </c>
      <c r="G4689" s="53" t="str">
        <f>IF(ISNUMBER(F4689),E4689*F4689,"")</f>
        <v/>
      </c>
      <c r="H4689" s="72"/>
      <c r="I4689" s="73"/>
      <c r="J4689" s="152">
        <v>0</v>
      </c>
    </row>
    <row r="4690" spans="1:10" ht="26.25" hidden="1" thickBot="1" x14ac:dyDescent="0.3">
      <c r="A4690" s="171"/>
      <c r="B4690" s="174"/>
      <c r="C4690" s="47" t="s">
        <v>1253</v>
      </c>
      <c r="D4690" s="35"/>
      <c r="E4690" s="36"/>
      <c r="F4690" s="53" t="s">
        <v>416</v>
      </c>
      <c r="G4690" s="53" t="str">
        <f>IF(ISNUMBER(F4690),E4690*F4690,"")</f>
        <v/>
      </c>
      <c r="H4690" s="72"/>
      <c r="I4690" s="73"/>
      <c r="J4690" s="152">
        <v>0</v>
      </c>
    </row>
    <row r="4691" spans="1:10" ht="25.5" hidden="1" thickBot="1" x14ac:dyDescent="0.3">
      <c r="A4691" s="171"/>
      <c r="B4691" s="174"/>
      <c r="C4691" s="151" t="s">
        <v>1254</v>
      </c>
      <c r="D4691" s="35"/>
      <c r="E4691" s="36"/>
      <c r="F4691" s="53" t="s">
        <v>416</v>
      </c>
      <c r="G4691" s="53" t="str">
        <f>IF(ISNUMBER(F4691),E4691*F4691,"")</f>
        <v/>
      </c>
      <c r="H4691" s="72"/>
      <c r="I4691" s="73"/>
      <c r="J4691" s="152">
        <v>0</v>
      </c>
    </row>
    <row r="4692" spans="1:10" ht="15.75" hidden="1" thickBot="1" x14ac:dyDescent="0.3">
      <c r="A4692" s="171"/>
      <c r="B4692" s="174"/>
      <c r="C4692" s="35"/>
      <c r="D4692" s="35"/>
      <c r="E4692" s="36"/>
      <c r="F4692" s="53" t="s">
        <v>416</v>
      </c>
      <c r="G4692" s="53" t="str">
        <f>IF(ISNUMBER(F4692),E4692*F4692,"")</f>
        <v/>
      </c>
      <c r="H4692" s="72"/>
      <c r="I4692" s="73"/>
      <c r="J4692" s="152">
        <v>0</v>
      </c>
    </row>
    <row r="4693" spans="1:10" ht="15.75" hidden="1" thickBot="1" x14ac:dyDescent="0.3">
      <c r="A4693" s="170" t="s">
        <v>1255</v>
      </c>
      <c r="B4693" s="173" t="str">
        <f>INDEX(Orçamentária!A:B,MATCH(Composições!A4693,Orçamentária!A:A,0),2)</f>
        <v>Impermeabilização com manta dupla (com maçarico)</v>
      </c>
      <c r="C4693" s="40"/>
      <c r="D4693" s="25" t="s">
        <v>70</v>
      </c>
      <c r="E4693" s="26"/>
      <c r="F4693" s="48" t="s">
        <v>416</v>
      </c>
      <c r="G4693" s="27" t="str">
        <f>IF(ISNUMBER(F4693),E4693*F4693,"")</f>
        <v/>
      </c>
      <c r="H4693" s="28"/>
      <c r="I4693" s="29"/>
      <c r="J4693" s="152">
        <v>0</v>
      </c>
    </row>
    <row r="4694" spans="1:10" ht="15.75" hidden="1" thickBot="1" x14ac:dyDescent="0.3">
      <c r="A4694" s="171"/>
      <c r="B4694" s="174"/>
      <c r="C4694" s="31"/>
      <c r="D4694" s="31"/>
      <c r="E4694" s="32"/>
      <c r="F4694" s="53" t="s">
        <v>416</v>
      </c>
      <c r="G4694" s="53" t="str">
        <f>IF(ISNUMBER(F4694),E4694*F4694,"")</f>
        <v/>
      </c>
      <c r="H4694" s="72"/>
      <c r="I4694" s="73"/>
      <c r="J4694" s="152">
        <v>0</v>
      </c>
    </row>
    <row r="4695" spans="1:10" ht="26.25" hidden="1" thickBot="1" x14ac:dyDescent="0.3">
      <c r="A4695" s="171"/>
      <c r="B4695" s="174"/>
      <c r="C4695" s="35" t="s">
        <v>1232</v>
      </c>
      <c r="D4695" s="35" t="s">
        <v>75</v>
      </c>
      <c r="E4695" s="36">
        <v>0.61499999999999999</v>
      </c>
      <c r="F4695" s="53">
        <v>18.506</v>
      </c>
      <c r="G4695" s="53">
        <f>IF(ISNUMBER(F4695),E4695*F4695,"")</f>
        <v>11.38119</v>
      </c>
      <c r="H4695" s="38">
        <f>SUM(G4695:G4700)</f>
        <v>172.39086649999999</v>
      </c>
      <c r="I4695" s="39"/>
      <c r="J4695" s="152">
        <v>0</v>
      </c>
    </row>
    <row r="4696" spans="1:10" ht="26.25" hidden="1" thickBot="1" x14ac:dyDescent="0.3">
      <c r="A4696" s="171"/>
      <c r="B4696" s="174"/>
      <c r="C4696" s="35" t="s">
        <v>1256</v>
      </c>
      <c r="D4696" s="35" t="s">
        <v>861</v>
      </c>
      <c r="E4696" s="36">
        <v>1.125</v>
      </c>
      <c r="F4696" s="53">
        <v>45.428999999999995</v>
      </c>
      <c r="G4696" s="53">
        <f>IF(ISNUMBER(F4696),E4696*F4696,"")</f>
        <v>51.107624999999992</v>
      </c>
      <c r="H4696" s="72"/>
      <c r="I4696" s="73"/>
      <c r="J4696" s="152">
        <v>0</v>
      </c>
    </row>
    <row r="4697" spans="1:10" ht="26.25" hidden="1" thickBot="1" x14ac:dyDescent="0.3">
      <c r="A4697" s="171"/>
      <c r="B4697" s="174"/>
      <c r="C4697" s="35" t="s">
        <v>1239</v>
      </c>
      <c r="D4697" s="35" t="s">
        <v>861</v>
      </c>
      <c r="E4697" s="36">
        <v>1.125</v>
      </c>
      <c r="F4697" s="53">
        <v>55.783999999999999</v>
      </c>
      <c r="G4697" s="53">
        <f>IF(ISNUMBER(F4697),E4697*F4697,"")</f>
        <v>62.756999999999998</v>
      </c>
      <c r="H4697" s="72"/>
      <c r="I4697" s="73"/>
      <c r="J4697" s="152">
        <v>0</v>
      </c>
    </row>
    <row r="4698" spans="1:10" ht="15.75" hidden="1" thickBot="1" x14ac:dyDescent="0.3">
      <c r="A4698" s="171"/>
      <c r="B4698" s="174"/>
      <c r="C4698" s="35" t="s">
        <v>1240</v>
      </c>
      <c r="D4698" s="35" t="s">
        <v>773</v>
      </c>
      <c r="E4698" s="36">
        <v>0.52</v>
      </c>
      <c r="F4698" s="53">
        <v>7.4479999999999995</v>
      </c>
      <c r="G4698" s="53">
        <f>IF(ISNUMBER(F4698),E4698*F4698,"")</f>
        <v>3.87296</v>
      </c>
      <c r="H4698" s="72"/>
      <c r="I4698" s="73"/>
      <c r="J4698" s="152">
        <v>0</v>
      </c>
    </row>
    <row r="4699" spans="1:10" ht="15.75" hidden="1" thickBot="1" x14ac:dyDescent="0.3">
      <c r="A4699" s="171"/>
      <c r="B4699" s="174"/>
      <c r="C4699" s="35" t="s">
        <v>1233</v>
      </c>
      <c r="D4699" s="35" t="s">
        <v>583</v>
      </c>
      <c r="E4699" s="36">
        <v>0.27800000000000002</v>
      </c>
      <c r="F4699" s="53">
        <v>21.318000000000001</v>
      </c>
      <c r="G4699" s="53">
        <f>IF(ISNUMBER(F4699),E4699*F4699,"")</f>
        <v>5.9264040000000007</v>
      </c>
      <c r="H4699" s="72"/>
      <c r="I4699" s="73"/>
      <c r="J4699" s="152">
        <v>0</v>
      </c>
    </row>
    <row r="4700" spans="1:10" ht="15.75" hidden="1" thickBot="1" x14ac:dyDescent="0.3">
      <c r="A4700" s="171"/>
      <c r="B4700" s="174"/>
      <c r="C4700" s="35" t="s">
        <v>881</v>
      </c>
      <c r="D4700" s="35" t="s">
        <v>583</v>
      </c>
      <c r="E4700" s="36">
        <v>1.375</v>
      </c>
      <c r="F4700" s="53">
        <v>27.160499999999999</v>
      </c>
      <c r="G4700" s="53">
        <f>IF(ISNUMBER(F4700),E4700*F4700,"")</f>
        <v>37.345687499999997</v>
      </c>
      <c r="H4700" s="72"/>
      <c r="I4700" s="73"/>
      <c r="J4700" s="152">
        <v>0</v>
      </c>
    </row>
    <row r="4701" spans="1:10" ht="15.75" hidden="1" thickBot="1" x14ac:dyDescent="0.3">
      <c r="A4701" s="171"/>
      <c r="B4701" s="174"/>
      <c r="C4701" s="35"/>
      <c r="D4701" s="35"/>
      <c r="E4701" s="36"/>
      <c r="F4701" s="53" t="s">
        <v>416</v>
      </c>
      <c r="G4701" s="53" t="str">
        <f>IF(ISNUMBER(F4701),E4701*F4701,"")</f>
        <v/>
      </c>
      <c r="H4701" s="72"/>
      <c r="I4701" s="73"/>
      <c r="J4701" s="152">
        <v>0</v>
      </c>
    </row>
    <row r="4702" spans="1:10" ht="15.75" hidden="1" thickBot="1" x14ac:dyDescent="0.3">
      <c r="A4702" s="170" t="s">
        <v>1257</v>
      </c>
      <c r="B4702" s="173" t="str">
        <f>INDEX(Orçamentária!A:B,MATCH(Composições!A4702,Orçamentária!A:A,0),2)</f>
        <v>Impermeabilização com manta dupla (com asfalto elastomérico)</v>
      </c>
      <c r="C4702" s="40"/>
      <c r="D4702" s="25" t="s">
        <v>70</v>
      </c>
      <c r="E4702" s="26"/>
      <c r="F4702" s="48" t="s">
        <v>416</v>
      </c>
      <c r="G4702" s="27" t="str">
        <f>IF(ISNUMBER(F4702),E4702*F4702,"")</f>
        <v/>
      </c>
      <c r="H4702" s="28"/>
      <c r="I4702" s="29"/>
      <c r="J4702" s="152">
        <v>0</v>
      </c>
    </row>
    <row r="4703" spans="1:10" ht="15.75" hidden="1" thickBot="1" x14ac:dyDescent="0.3">
      <c r="A4703" s="171"/>
      <c r="B4703" s="174"/>
      <c r="C4703" s="31"/>
      <c r="D4703" s="31"/>
      <c r="E4703" s="32"/>
      <c r="F4703" s="53" t="s">
        <v>416</v>
      </c>
      <c r="G4703" s="53" t="str">
        <f>IF(ISNUMBER(F4703),E4703*F4703,"")</f>
        <v/>
      </c>
      <c r="H4703" s="72"/>
      <c r="I4703" s="73"/>
      <c r="J4703" s="152">
        <v>0</v>
      </c>
    </row>
    <row r="4704" spans="1:10" ht="26.25" hidden="1" thickBot="1" x14ac:dyDescent="0.3">
      <c r="A4704" s="171"/>
      <c r="B4704" s="174"/>
      <c r="C4704" s="35" t="s">
        <v>1232</v>
      </c>
      <c r="D4704" s="35" t="s">
        <v>75</v>
      </c>
      <c r="E4704" s="36">
        <v>0.61499999999999999</v>
      </c>
      <c r="F4704" s="53">
        <v>18.506</v>
      </c>
      <c r="G4704" s="53">
        <f>IF(ISNUMBER(F4704),E4704*F4704,"")</f>
        <v>11.38119</v>
      </c>
      <c r="H4704" s="38">
        <f>SUM(G4704:G4709)</f>
        <v>174.4443105</v>
      </c>
      <c r="I4704" s="39"/>
      <c r="J4704" s="152">
        <v>0</v>
      </c>
    </row>
    <row r="4705" spans="1:10" ht="26.25" hidden="1" thickBot="1" x14ac:dyDescent="0.3">
      <c r="A4705" s="171"/>
      <c r="B4705" s="174"/>
      <c r="C4705" s="35" t="s">
        <v>1256</v>
      </c>
      <c r="D4705" s="35" t="s">
        <v>861</v>
      </c>
      <c r="E4705" s="36">
        <v>1.125</v>
      </c>
      <c r="F4705" s="53">
        <v>45.428999999999995</v>
      </c>
      <c r="G4705" s="53">
        <f>IF(ISNUMBER(F4705),E4705*F4705,"")</f>
        <v>51.107624999999992</v>
      </c>
      <c r="H4705" s="72"/>
      <c r="I4705" s="73"/>
      <c r="J4705" s="152">
        <v>0</v>
      </c>
    </row>
    <row r="4706" spans="1:10" ht="26.25" hidden="1" thickBot="1" x14ac:dyDescent="0.3">
      <c r="A4706" s="171"/>
      <c r="B4706" s="174"/>
      <c r="C4706" s="35" t="s">
        <v>1239</v>
      </c>
      <c r="D4706" s="35" t="s">
        <v>861</v>
      </c>
      <c r="E4706" s="36">
        <v>1.125</v>
      </c>
      <c r="F4706" s="53">
        <v>55.783999999999999</v>
      </c>
      <c r="G4706" s="53">
        <f>IF(ISNUMBER(F4706),E4706*F4706,"")</f>
        <v>62.756999999999998</v>
      </c>
      <c r="H4706" s="72"/>
      <c r="I4706" s="73"/>
      <c r="J4706" s="152">
        <v>0</v>
      </c>
    </row>
    <row r="4707" spans="1:10" ht="15.75" hidden="1" thickBot="1" x14ac:dyDescent="0.3">
      <c r="A4707" s="171"/>
      <c r="B4707" s="174"/>
      <c r="C4707" s="35" t="s">
        <v>1252</v>
      </c>
      <c r="D4707" s="35" t="s">
        <v>773</v>
      </c>
      <c r="E4707" s="36">
        <v>2</v>
      </c>
      <c r="F4707" s="53" t="s">
        <v>416</v>
      </c>
      <c r="G4707" s="53" t="str">
        <f>IF(ISNUMBER(F4707),E4707*F4707,"")</f>
        <v/>
      </c>
      <c r="H4707" s="72"/>
      <c r="I4707" s="73"/>
      <c r="J4707" s="152">
        <v>0</v>
      </c>
    </row>
    <row r="4708" spans="1:10" ht="15.75" hidden="1" thickBot="1" x14ac:dyDescent="0.3">
      <c r="A4708" s="171"/>
      <c r="B4708" s="174"/>
      <c r="C4708" s="35" t="s">
        <v>1233</v>
      </c>
      <c r="D4708" s="35" t="s">
        <v>583</v>
      </c>
      <c r="E4708" s="36">
        <f>0.278*2</f>
        <v>0.55600000000000005</v>
      </c>
      <c r="F4708" s="53">
        <v>21.318000000000001</v>
      </c>
      <c r="G4708" s="53">
        <f>IF(ISNUMBER(F4708),E4708*F4708,"")</f>
        <v>11.852808000000001</v>
      </c>
      <c r="H4708" s="72"/>
      <c r="I4708" s="73"/>
      <c r="J4708" s="152">
        <v>0</v>
      </c>
    </row>
    <row r="4709" spans="1:10" ht="15.75" hidden="1" thickBot="1" x14ac:dyDescent="0.3">
      <c r="A4709" s="171"/>
      <c r="B4709" s="174"/>
      <c r="C4709" s="35" t="s">
        <v>881</v>
      </c>
      <c r="D4709" s="35" t="s">
        <v>583</v>
      </c>
      <c r="E4709" s="36">
        <v>1.375</v>
      </c>
      <c r="F4709" s="53">
        <v>27.160499999999999</v>
      </c>
      <c r="G4709" s="53">
        <f>IF(ISNUMBER(F4709),E4709*F4709,"")</f>
        <v>37.345687499999997</v>
      </c>
      <c r="H4709" s="72"/>
      <c r="I4709" s="73"/>
      <c r="J4709" s="152">
        <v>0</v>
      </c>
    </row>
    <row r="4710" spans="1:10" ht="15.75" hidden="1" thickBot="1" x14ac:dyDescent="0.3">
      <c r="A4710" s="171"/>
      <c r="B4710" s="174"/>
      <c r="C4710" s="35"/>
      <c r="D4710" s="35"/>
      <c r="E4710" s="36"/>
      <c r="F4710" s="53" t="s">
        <v>416</v>
      </c>
      <c r="G4710" s="53" t="str">
        <f>IF(ISNUMBER(F4710),E4710*F4710,"")</f>
        <v/>
      </c>
      <c r="H4710" s="72"/>
      <c r="I4710" s="73"/>
      <c r="J4710" s="152">
        <v>0</v>
      </c>
    </row>
    <row r="4711" spans="1:10" ht="26.25" hidden="1" thickBot="1" x14ac:dyDescent="0.3">
      <c r="A4711" s="171"/>
      <c r="B4711" s="174"/>
      <c r="C4711" s="47" t="s">
        <v>1253</v>
      </c>
      <c r="D4711" s="35"/>
      <c r="E4711" s="36"/>
      <c r="F4711" s="53" t="s">
        <v>416</v>
      </c>
      <c r="G4711" s="53" t="str">
        <f>IF(ISNUMBER(F4711),E4711*F4711,"")</f>
        <v/>
      </c>
      <c r="H4711" s="72"/>
      <c r="I4711" s="73"/>
      <c r="J4711" s="152">
        <v>0</v>
      </c>
    </row>
    <row r="4712" spans="1:10" ht="25.5" hidden="1" thickBot="1" x14ac:dyDescent="0.3">
      <c r="A4712" s="171"/>
      <c r="B4712" s="174"/>
      <c r="C4712" s="151" t="s">
        <v>1254</v>
      </c>
      <c r="D4712" s="35"/>
      <c r="E4712" s="36"/>
      <c r="F4712" s="53" t="s">
        <v>416</v>
      </c>
      <c r="G4712" s="53" t="str">
        <f>IF(ISNUMBER(F4712),E4712*F4712,"")</f>
        <v/>
      </c>
      <c r="H4712" s="72"/>
      <c r="I4712" s="73"/>
      <c r="J4712" s="152">
        <v>0</v>
      </c>
    </row>
    <row r="4713" spans="1:10" ht="15.75" hidden="1" thickBot="1" x14ac:dyDescent="0.3">
      <c r="A4713" s="171"/>
      <c r="B4713" s="174"/>
      <c r="C4713" s="35"/>
      <c r="D4713" s="35"/>
      <c r="E4713" s="36"/>
      <c r="F4713" s="53" t="s">
        <v>416</v>
      </c>
      <c r="G4713" s="53" t="str">
        <f>IF(ISNUMBER(F4713),E4713*F4713,"")</f>
        <v/>
      </c>
      <c r="H4713" s="72"/>
      <c r="I4713" s="73"/>
      <c r="J4713" s="152">
        <v>0</v>
      </c>
    </row>
    <row r="4714" spans="1:10" ht="15.75" hidden="1" thickBot="1" x14ac:dyDescent="0.3">
      <c r="A4714" s="170" t="s">
        <v>2751</v>
      </c>
      <c r="B4714" s="173" t="str">
        <f>INDEX(Orçamentária!A:B,MATCH(Composições!A4714,Orçamentária!A:A,0),2)</f>
        <v>Fibra de Polipropileno</v>
      </c>
      <c r="C4714" s="40"/>
      <c r="D4714" s="25" t="s">
        <v>28</v>
      </c>
      <c r="E4714" s="26"/>
      <c r="F4714" s="48" t="s">
        <v>416</v>
      </c>
      <c r="G4714" s="27" t="str">
        <f>IF(ISNUMBER(F4714),E4714*F4714,"")</f>
        <v/>
      </c>
      <c r="H4714" s="28"/>
      <c r="I4714" s="29"/>
      <c r="J4714" s="152">
        <v>0</v>
      </c>
    </row>
    <row r="4715" spans="1:10" ht="15.75" hidden="1" thickBot="1" x14ac:dyDescent="0.3">
      <c r="A4715" s="171"/>
      <c r="B4715" s="174"/>
      <c r="C4715" s="31"/>
      <c r="D4715" s="31"/>
      <c r="E4715" s="32"/>
      <c r="F4715" s="53" t="s">
        <v>416</v>
      </c>
      <c r="G4715" s="53" t="str">
        <f>IF(ISNUMBER(F4715),E4715*F4715,"")</f>
        <v/>
      </c>
      <c r="H4715" s="72"/>
      <c r="I4715" s="73"/>
      <c r="J4715" s="152">
        <v>0</v>
      </c>
    </row>
    <row r="4716" spans="1:10" ht="26.25" hidden="1" thickBot="1" x14ac:dyDescent="0.3">
      <c r="A4716" s="171"/>
      <c r="B4716" s="174"/>
      <c r="C4716" s="35" t="s">
        <v>6720</v>
      </c>
      <c r="D4716" s="35" t="s">
        <v>28</v>
      </c>
      <c r="E4716" s="36">
        <v>1</v>
      </c>
      <c r="F4716" s="53">
        <v>0</v>
      </c>
      <c r="G4716" s="53">
        <f>IF(ISNUMBER(F4716),E4716*F4716,"")</f>
        <v>0</v>
      </c>
      <c r="H4716" s="38">
        <f>SUM(G4716:G4716)</f>
        <v>0</v>
      </c>
      <c r="I4716" s="39"/>
      <c r="J4716" s="152">
        <v>0</v>
      </c>
    </row>
    <row r="4717" spans="1:10" ht="15.75" hidden="1" thickBot="1" x14ac:dyDescent="0.3">
      <c r="A4717" s="171"/>
      <c r="B4717" s="174"/>
      <c r="C4717" s="35"/>
      <c r="D4717" s="35"/>
      <c r="E4717" s="36"/>
      <c r="F4717" s="53" t="s">
        <v>416</v>
      </c>
      <c r="G4717" s="53" t="str">
        <f>IF(ISNUMBER(F4717),E4717*F4717,"")</f>
        <v/>
      </c>
      <c r="H4717" s="72"/>
      <c r="I4717" s="73"/>
      <c r="J4717" s="152">
        <v>0</v>
      </c>
    </row>
    <row r="4718" spans="1:10" ht="15.75" hidden="1" thickBot="1" x14ac:dyDescent="0.3">
      <c r="A4718" s="170" t="s">
        <v>1258</v>
      </c>
      <c r="B4718" s="173" t="str">
        <f>INDEX(Orçamentária!A:B,MATCH(Composições!A4718,Orçamentária!A:A,0),2)</f>
        <v>Aditivo Incorporador de Ar</v>
      </c>
      <c r="C4718" s="40"/>
      <c r="D4718" s="25" t="s">
        <v>28</v>
      </c>
      <c r="E4718" s="26"/>
      <c r="F4718" s="48" t="s">
        <v>416</v>
      </c>
      <c r="G4718" s="27" t="str">
        <f>IF(ISNUMBER(F4718),E4718*F4718,"")</f>
        <v/>
      </c>
      <c r="H4718" s="28"/>
      <c r="I4718" s="29"/>
      <c r="J4718" s="152">
        <v>0</v>
      </c>
    </row>
    <row r="4719" spans="1:10" ht="15.75" hidden="1" thickBot="1" x14ac:dyDescent="0.3">
      <c r="A4719" s="171"/>
      <c r="B4719" s="174"/>
      <c r="C4719" s="31"/>
      <c r="D4719" s="31"/>
      <c r="E4719" s="32"/>
      <c r="F4719" s="53" t="s">
        <v>416</v>
      </c>
      <c r="G4719" s="53" t="str">
        <f>IF(ISNUMBER(F4719),E4719*F4719,"")</f>
        <v/>
      </c>
      <c r="H4719" s="72"/>
      <c r="I4719" s="73"/>
      <c r="J4719" s="152">
        <v>0</v>
      </c>
    </row>
    <row r="4720" spans="1:10" ht="26.25" hidden="1" thickBot="1" x14ac:dyDescent="0.3">
      <c r="A4720" s="171"/>
      <c r="B4720" s="174"/>
      <c r="C4720" s="35" t="s">
        <v>1259</v>
      </c>
      <c r="D4720" s="35" t="s">
        <v>75</v>
      </c>
      <c r="E4720" s="36">
        <v>1.01</v>
      </c>
      <c r="F4720" s="53">
        <v>8.17</v>
      </c>
      <c r="G4720" s="53">
        <f>IF(ISNUMBER(F4720),E4720*F4720,"")</f>
        <v>8.2516999999999996</v>
      </c>
      <c r="H4720" s="38">
        <f>SUM(G4720:G4720)</f>
        <v>8.2516999999999996</v>
      </c>
      <c r="I4720" s="39"/>
      <c r="J4720" s="152">
        <v>0</v>
      </c>
    </row>
    <row r="4721" spans="1:10" ht="15.75" hidden="1" thickBot="1" x14ac:dyDescent="0.3">
      <c r="A4721" s="171"/>
      <c r="B4721" s="174"/>
      <c r="C4721" s="35"/>
      <c r="D4721" s="35"/>
      <c r="E4721" s="36"/>
      <c r="F4721" s="53" t="s">
        <v>416</v>
      </c>
      <c r="G4721" s="53" t="str">
        <f>IF(ISNUMBER(F4721),E4721*F4721,"")</f>
        <v/>
      </c>
      <c r="H4721" s="72"/>
      <c r="I4721" s="73"/>
      <c r="J4721" s="152">
        <v>0</v>
      </c>
    </row>
    <row r="4722" spans="1:10" ht="26.25" hidden="1" thickBot="1" x14ac:dyDescent="0.3">
      <c r="A4722" s="171"/>
      <c r="B4722" s="174"/>
      <c r="C4722" s="47" t="s">
        <v>1260</v>
      </c>
      <c r="D4722" s="35"/>
      <c r="E4722" s="36"/>
      <c r="F4722" s="53" t="s">
        <v>416</v>
      </c>
      <c r="G4722" s="53" t="str">
        <f>IF(ISNUMBER(F4722),E4722*F4722,"")</f>
        <v/>
      </c>
      <c r="H4722" s="72"/>
      <c r="I4722" s="73"/>
      <c r="J4722" s="152">
        <v>0</v>
      </c>
    </row>
    <row r="4723" spans="1:10" ht="15.75" hidden="1" thickBot="1" x14ac:dyDescent="0.3">
      <c r="A4723" s="171"/>
      <c r="B4723" s="174"/>
      <c r="C4723" s="54"/>
      <c r="D4723" s="54"/>
      <c r="E4723" s="65"/>
      <c r="F4723" s="75" t="s">
        <v>416</v>
      </c>
      <c r="G4723" s="75" t="str">
        <f>IF(ISNUMBER(F4723),E4723*F4723,"")</f>
        <v/>
      </c>
      <c r="H4723" s="76"/>
      <c r="I4723" s="73"/>
      <c r="J4723" s="152">
        <v>0</v>
      </c>
    </row>
    <row r="4724" spans="1:10" ht="15.75" hidden="1" thickBot="1" x14ac:dyDescent="0.3">
      <c r="A4724" s="170" t="s">
        <v>1261</v>
      </c>
      <c r="B4724" s="173" t="str">
        <f>INDEX(Orçamentária!A:B,MATCH(Composições!A4724,Orçamentária!A:A,0),2)</f>
        <v>Brita Nº 2</v>
      </c>
      <c r="C4724" s="40"/>
      <c r="D4724" s="25" t="s">
        <v>80</v>
      </c>
      <c r="E4724" s="26"/>
      <c r="F4724" s="48" t="s">
        <v>416</v>
      </c>
      <c r="G4724" s="27" t="str">
        <f>IF(ISNUMBER(F4724),E4724*F4724,"")</f>
        <v/>
      </c>
      <c r="H4724" s="28"/>
      <c r="I4724" s="29"/>
      <c r="J4724" s="152">
        <v>0</v>
      </c>
    </row>
    <row r="4725" spans="1:10" ht="15.75" hidden="1" thickBot="1" x14ac:dyDescent="0.3">
      <c r="A4725" s="171"/>
      <c r="B4725" s="174"/>
      <c r="C4725" s="31"/>
      <c r="D4725" s="31"/>
      <c r="E4725" s="32"/>
      <c r="F4725" s="53" t="s">
        <v>416</v>
      </c>
      <c r="G4725" s="53" t="str">
        <f>IF(ISNUMBER(F4725),E4725*F4725,"")</f>
        <v/>
      </c>
      <c r="H4725" s="72"/>
      <c r="I4725" s="73"/>
      <c r="J4725" s="152">
        <v>0</v>
      </c>
    </row>
    <row r="4726" spans="1:10" ht="26.25" hidden="1" thickBot="1" x14ac:dyDescent="0.3">
      <c r="A4726" s="171"/>
      <c r="B4726" s="174"/>
      <c r="C4726" s="35" t="s">
        <v>8312</v>
      </c>
      <c r="D4726" s="35" t="s">
        <v>87</v>
      </c>
      <c r="E4726" s="36">
        <v>1</v>
      </c>
      <c r="F4726" s="53">
        <v>177.38399999999999</v>
      </c>
      <c r="G4726" s="53">
        <f>IF(ISNUMBER(F4726),E4726*F4726,"")</f>
        <v>177.38399999999999</v>
      </c>
      <c r="H4726" s="38">
        <f>SUM(G4726:G4728)</f>
        <v>238.46265779999999</v>
      </c>
      <c r="I4726" s="39"/>
      <c r="J4726" s="152">
        <v>0</v>
      </c>
    </row>
    <row r="4727" spans="1:10" ht="51.75" hidden="1" thickBot="1" x14ac:dyDescent="0.3">
      <c r="A4727" s="171"/>
      <c r="B4727" s="174"/>
      <c r="C4727" s="35" t="s">
        <v>3071</v>
      </c>
      <c r="D4727" s="35" t="s">
        <v>80</v>
      </c>
      <c r="E4727" s="36">
        <f>1*E4726</f>
        <v>1</v>
      </c>
      <c r="F4727" s="33">
        <v>7.9257587999999988</v>
      </c>
      <c r="G4727" s="33">
        <f>IF(ISNUMBER(F4727),E4727*F4727,"")</f>
        <v>7.9257587999999988</v>
      </c>
      <c r="H4727" s="34"/>
      <c r="I4727" s="30"/>
      <c r="J4727" s="152">
        <v>0</v>
      </c>
    </row>
    <row r="4728" spans="1:10" ht="39" hidden="1" thickBot="1" x14ac:dyDescent="0.3">
      <c r="A4728" s="171"/>
      <c r="B4728" s="174"/>
      <c r="C4728" s="35" t="s">
        <v>88</v>
      </c>
      <c r="D4728" s="35" t="s">
        <v>89</v>
      </c>
      <c r="E4728" s="36">
        <f>E4726*20</f>
        <v>20</v>
      </c>
      <c r="F4728" s="53">
        <v>2.6576449499999995</v>
      </c>
      <c r="G4728" s="53">
        <f>IF(ISNUMBER(F4728),E4728*F4728,"")</f>
        <v>53.152898999999991</v>
      </c>
      <c r="H4728" s="72"/>
      <c r="I4728" s="73"/>
      <c r="J4728" s="152">
        <v>0</v>
      </c>
    </row>
    <row r="4729" spans="1:10" ht="15.75" hidden="1" thickBot="1" x14ac:dyDescent="0.3">
      <c r="A4729" s="171"/>
      <c r="B4729" s="174"/>
      <c r="C4729" s="35"/>
      <c r="D4729" s="35"/>
      <c r="E4729" s="36"/>
      <c r="F4729" s="53" t="s">
        <v>416</v>
      </c>
      <c r="G4729" s="53" t="str">
        <f>IF(ISNUMBER(F4729),E4729*F4729,"")</f>
        <v/>
      </c>
      <c r="H4729" s="72"/>
      <c r="I4729" s="73"/>
      <c r="J4729" s="152">
        <v>0</v>
      </c>
    </row>
    <row r="4730" spans="1:10" ht="15.75" hidden="1" thickBot="1" x14ac:dyDescent="0.3">
      <c r="A4730" s="171"/>
      <c r="B4730" s="174"/>
      <c r="C4730" s="47" t="s">
        <v>1262</v>
      </c>
      <c r="D4730" s="35"/>
      <c r="E4730" s="36"/>
      <c r="F4730" s="53" t="s">
        <v>416</v>
      </c>
      <c r="G4730" s="53" t="str">
        <f>IF(ISNUMBER(F4730),E4730*F4730,"")</f>
        <v/>
      </c>
      <c r="H4730" s="72"/>
      <c r="I4730" s="73"/>
      <c r="J4730" s="152">
        <v>0</v>
      </c>
    </row>
    <row r="4731" spans="1:10" ht="15.75" hidden="1" thickBot="1" x14ac:dyDescent="0.3">
      <c r="A4731" s="172"/>
      <c r="B4731" s="175"/>
      <c r="C4731" s="54"/>
      <c r="D4731" s="54"/>
      <c r="E4731" s="65"/>
      <c r="F4731" s="75" t="s">
        <v>416</v>
      </c>
      <c r="G4731" s="75" t="str">
        <f>IF(ISNUMBER(F4731),E4731*F4731,"")</f>
        <v/>
      </c>
      <c r="H4731" s="76"/>
      <c r="I4731" s="73"/>
      <c r="J4731" s="152">
        <v>0</v>
      </c>
    </row>
    <row r="4732" spans="1:10" ht="15.75" hidden="1" thickBot="1" x14ac:dyDescent="0.3">
      <c r="A4732" s="170" t="s">
        <v>2761</v>
      </c>
      <c r="B4732" s="173" t="str">
        <f>INDEX(Orçamentária!A:B,MATCH(Composições!A4732,Orçamentária!A:A,0),2)</f>
        <v>Calha em chapa de zinco # 24 - Modelo 1</v>
      </c>
      <c r="C4732" s="40"/>
      <c r="D4732" s="25" t="s">
        <v>69</v>
      </c>
      <c r="E4732" s="26"/>
      <c r="F4732" s="48" t="s">
        <v>416</v>
      </c>
      <c r="G4732" s="27" t="str">
        <f>IF(ISNUMBER(F4732),E4732*F4732,"")</f>
        <v/>
      </c>
      <c r="H4732" s="28"/>
      <c r="I4732" s="29"/>
      <c r="J4732" s="152">
        <v>0</v>
      </c>
    </row>
    <row r="4733" spans="1:10" ht="15.75" hidden="1" thickBot="1" x14ac:dyDescent="0.3">
      <c r="A4733" s="171"/>
      <c r="B4733" s="174"/>
      <c r="C4733" s="31"/>
      <c r="D4733" s="31"/>
      <c r="E4733" s="32"/>
      <c r="F4733" s="53" t="s">
        <v>416</v>
      </c>
      <c r="G4733" s="53" t="str">
        <f>IF(ISNUMBER(F4733),E4733*F4733,"")</f>
        <v/>
      </c>
      <c r="H4733" s="72"/>
      <c r="I4733" s="73"/>
      <c r="J4733" s="152">
        <v>0</v>
      </c>
    </row>
    <row r="4734" spans="1:10" ht="26.25" hidden="1" thickBot="1" x14ac:dyDescent="0.3">
      <c r="A4734" s="171"/>
      <c r="B4734" s="174"/>
      <c r="C4734" s="35" t="s">
        <v>8042</v>
      </c>
      <c r="D4734" s="35" t="s">
        <v>385</v>
      </c>
      <c r="E4734" s="36">
        <f>65/50</f>
        <v>1.3</v>
      </c>
      <c r="F4734" s="53">
        <v>56.524999999999999</v>
      </c>
      <c r="G4734" s="53">
        <f>IF(ISNUMBER(F4734),E4734*F4734,"")</f>
        <v>73.482500000000002</v>
      </c>
      <c r="H4734" s="38">
        <f>SUM(G4734:G4734)</f>
        <v>73.482500000000002</v>
      </c>
      <c r="I4734" s="39"/>
      <c r="J4734" s="152">
        <v>0</v>
      </c>
    </row>
    <row r="4735" spans="1:10" ht="15.75" hidden="1" thickBot="1" x14ac:dyDescent="0.3">
      <c r="A4735" s="172"/>
      <c r="B4735" s="175"/>
      <c r="C4735" s="54"/>
      <c r="D4735" s="54"/>
      <c r="E4735" s="65"/>
      <c r="F4735" s="75" t="s">
        <v>416</v>
      </c>
      <c r="G4735" s="75" t="str">
        <f>IF(ISNUMBER(F4735),E4735*F4735,"")</f>
        <v/>
      </c>
      <c r="H4735" s="76"/>
      <c r="I4735" s="73"/>
      <c r="J4735" s="152">
        <v>0</v>
      </c>
    </row>
    <row r="4736" spans="1:10" ht="15.75" hidden="1" thickBot="1" x14ac:dyDescent="0.3">
      <c r="A4736" s="170" t="s">
        <v>2763</v>
      </c>
      <c r="B4736" s="173" t="str">
        <f>INDEX(Orçamentária!A:B,MATCH(Composições!A4736,Orçamentária!A:A,0),2)</f>
        <v>Calha em chapa de zinco # 24 - Modelo 2</v>
      </c>
      <c r="C4736" s="40"/>
      <c r="D4736" s="25" t="s">
        <v>69</v>
      </c>
      <c r="E4736" s="26"/>
      <c r="F4736" s="48" t="s">
        <v>416</v>
      </c>
      <c r="G4736" s="27" t="str">
        <f>IF(ISNUMBER(F4736),E4736*F4736,"")</f>
        <v/>
      </c>
      <c r="H4736" s="28"/>
      <c r="I4736" s="29"/>
      <c r="J4736" s="152">
        <v>0</v>
      </c>
    </row>
    <row r="4737" spans="1:10" ht="15.75" hidden="1" thickBot="1" x14ac:dyDescent="0.3">
      <c r="A4737" s="171"/>
      <c r="B4737" s="174"/>
      <c r="C4737" s="31"/>
      <c r="D4737" s="31"/>
      <c r="E4737" s="32"/>
      <c r="F4737" s="53" t="s">
        <v>416</v>
      </c>
      <c r="G4737" s="53" t="str">
        <f>IF(ISNUMBER(F4737),E4737*F4737,"")</f>
        <v/>
      </c>
      <c r="H4737" s="72"/>
      <c r="I4737" s="73"/>
      <c r="J4737" s="152">
        <v>0</v>
      </c>
    </row>
    <row r="4738" spans="1:10" ht="26.25" hidden="1" thickBot="1" x14ac:dyDescent="0.3">
      <c r="A4738" s="171"/>
      <c r="B4738" s="174"/>
      <c r="C4738" s="35" t="s">
        <v>1212</v>
      </c>
      <c r="D4738" s="35" t="s">
        <v>385</v>
      </c>
      <c r="E4738" s="36">
        <v>1.1000000000000001</v>
      </c>
      <c r="F4738" s="53">
        <v>110.58</v>
      </c>
      <c r="G4738" s="53">
        <f>IF(ISNUMBER(F4738),E4738*F4738,"")</f>
        <v>121.63800000000001</v>
      </c>
      <c r="H4738" s="38">
        <f>SUM(G4738:G4738)</f>
        <v>121.63800000000001</v>
      </c>
      <c r="I4738" s="39"/>
      <c r="J4738" s="152">
        <v>0</v>
      </c>
    </row>
    <row r="4739" spans="1:10" ht="15.75" hidden="1" thickBot="1" x14ac:dyDescent="0.3">
      <c r="A4739" s="172"/>
      <c r="B4739" s="175"/>
      <c r="C4739" s="54"/>
      <c r="D4739" s="54"/>
      <c r="E4739" s="65"/>
      <c r="F4739" s="75" t="s">
        <v>416</v>
      </c>
      <c r="G4739" s="75" t="str">
        <f>IF(ISNUMBER(F4739),E4739*F4739,"")</f>
        <v/>
      </c>
      <c r="H4739" s="76"/>
      <c r="I4739" s="73"/>
      <c r="J4739" s="152">
        <v>0</v>
      </c>
    </row>
    <row r="4740" spans="1:10" ht="15.75" hidden="1" thickBot="1" x14ac:dyDescent="0.3">
      <c r="A4740" s="170" t="s">
        <v>2790</v>
      </c>
      <c r="B4740" s="173" t="str">
        <f>INDEX(Orçamentária!A:B,MATCH(Composições!A4740,Orçamentária!A:A,0),2)</f>
        <v>Talhadeira</v>
      </c>
      <c r="C4740" s="40"/>
      <c r="D4740" s="25" t="s">
        <v>16</v>
      </c>
      <c r="E4740" s="26"/>
      <c r="F4740" s="48" t="s">
        <v>416</v>
      </c>
      <c r="G4740" s="27" t="str">
        <f>IF(ISNUMBER(F4740),E4740*F4740,"")</f>
        <v/>
      </c>
      <c r="H4740" s="28"/>
      <c r="I4740" s="29"/>
      <c r="J4740" s="152">
        <v>0</v>
      </c>
    </row>
    <row r="4741" spans="1:10" ht="15.75" hidden="1" thickBot="1" x14ac:dyDescent="0.3">
      <c r="A4741" s="171"/>
      <c r="B4741" s="174"/>
      <c r="C4741" s="31"/>
      <c r="D4741" s="31"/>
      <c r="E4741" s="32"/>
      <c r="F4741" s="53" t="s">
        <v>416</v>
      </c>
      <c r="G4741" s="53" t="str">
        <f>IF(ISNUMBER(F4741),E4741*F4741,"")</f>
        <v/>
      </c>
      <c r="H4741" s="72"/>
      <c r="I4741" s="73"/>
      <c r="J4741" s="152">
        <v>0</v>
      </c>
    </row>
    <row r="4742" spans="1:10" ht="15.75" hidden="1" thickBot="1" x14ac:dyDescent="0.3">
      <c r="A4742" s="171"/>
      <c r="B4742" s="174"/>
      <c r="C4742" s="35" t="s">
        <v>8384</v>
      </c>
      <c r="D4742" s="35" t="s">
        <v>213</v>
      </c>
      <c r="E4742" s="36">
        <v>1</v>
      </c>
      <c r="F4742" s="53">
        <v>40.878500000000003</v>
      </c>
      <c r="G4742" s="53">
        <f>IF(ISNUMBER(F4742),E4742*F4742,"")</f>
        <v>40.878500000000003</v>
      </c>
      <c r="H4742" s="38">
        <f>SUM(G4742:G4742)</f>
        <v>40.878500000000003</v>
      </c>
      <c r="I4742" s="39"/>
      <c r="J4742" s="152">
        <v>0</v>
      </c>
    </row>
    <row r="4743" spans="1:10" ht="15.75" hidden="1" thickBot="1" x14ac:dyDescent="0.3">
      <c r="A4743" s="172"/>
      <c r="B4743" s="175"/>
      <c r="C4743" s="54"/>
      <c r="D4743" s="54"/>
      <c r="E4743" s="65"/>
      <c r="F4743" s="75" t="s">
        <v>416</v>
      </c>
      <c r="G4743" s="75" t="str">
        <f>IF(ISNUMBER(F4743),E4743*F4743,"")</f>
        <v/>
      </c>
      <c r="H4743" s="76"/>
      <c r="I4743" s="73"/>
      <c r="J4743" s="152">
        <v>0</v>
      </c>
    </row>
    <row r="4744" spans="1:10" ht="15.75" hidden="1" thickBot="1" x14ac:dyDescent="0.3">
      <c r="A4744" s="170" t="s">
        <v>2797</v>
      </c>
      <c r="B4744" s="173" t="str">
        <f>INDEX(Orçamentária!A:B,MATCH(Composições!A4744,Orçamentária!A:A,0),2)</f>
        <v>Enxada com cabo (2,5 libras)</v>
      </c>
      <c r="C4744" s="40"/>
      <c r="D4744" s="25" t="s">
        <v>16</v>
      </c>
      <c r="E4744" s="26"/>
      <c r="F4744" s="48" t="s">
        <v>416</v>
      </c>
      <c r="G4744" s="27" t="str">
        <f>IF(ISNUMBER(F4744),E4744*F4744,"")</f>
        <v/>
      </c>
      <c r="H4744" s="28"/>
      <c r="I4744" s="29"/>
      <c r="J4744" s="152">
        <v>0</v>
      </c>
    </row>
    <row r="4745" spans="1:10" ht="15.75" hidden="1" thickBot="1" x14ac:dyDescent="0.3">
      <c r="A4745" s="171"/>
      <c r="B4745" s="174"/>
      <c r="C4745" s="31"/>
      <c r="D4745" s="31"/>
      <c r="E4745" s="32"/>
      <c r="F4745" s="53" t="s">
        <v>416</v>
      </c>
      <c r="G4745" s="53" t="str">
        <f>IF(ISNUMBER(F4745),E4745*F4745,"")</f>
        <v/>
      </c>
      <c r="H4745" s="72"/>
      <c r="I4745" s="73"/>
      <c r="J4745" s="152">
        <v>0</v>
      </c>
    </row>
    <row r="4746" spans="1:10" ht="15.75" hidden="1" thickBot="1" x14ac:dyDescent="0.3">
      <c r="A4746" s="171"/>
      <c r="B4746" s="174"/>
      <c r="C4746" s="35" t="s">
        <v>8155</v>
      </c>
      <c r="D4746" s="35" t="s">
        <v>213</v>
      </c>
      <c r="E4746" s="36">
        <v>1</v>
      </c>
      <c r="F4746" s="53">
        <v>56.733999999999995</v>
      </c>
      <c r="G4746" s="53">
        <f>IF(ISNUMBER(F4746),E4746*F4746,"")</f>
        <v>56.733999999999995</v>
      </c>
      <c r="H4746" s="38">
        <f>SUM(G4746:G4746)</f>
        <v>56.733999999999995</v>
      </c>
      <c r="I4746" s="39"/>
      <c r="J4746" s="152">
        <v>0</v>
      </c>
    </row>
    <row r="4747" spans="1:10" ht="15.75" hidden="1" thickBot="1" x14ac:dyDescent="0.3">
      <c r="A4747" s="172"/>
      <c r="B4747" s="175"/>
      <c r="C4747" s="54"/>
      <c r="D4747" s="54"/>
      <c r="E4747" s="65"/>
      <c r="F4747" s="75" t="s">
        <v>416</v>
      </c>
      <c r="G4747" s="75" t="str">
        <f>IF(ISNUMBER(F4747),E4747*F4747,"")</f>
        <v/>
      </c>
      <c r="H4747" s="76"/>
      <c r="I4747" s="73"/>
      <c r="J4747" s="152">
        <v>0</v>
      </c>
    </row>
    <row r="4748" spans="1:10" ht="15.75" hidden="1" thickBot="1" x14ac:dyDescent="0.3">
      <c r="A4748" s="170" t="s">
        <v>2799</v>
      </c>
      <c r="B4748" s="173" t="str">
        <f>INDEX(Orçamentária!A:B,MATCH(Composições!A4748,Orçamentária!A:A,0),2)</f>
        <v>Escada extensível de alumínio dupla 2x8</v>
      </c>
      <c r="C4748" s="40"/>
      <c r="D4748" s="25" t="s">
        <v>16</v>
      </c>
      <c r="E4748" s="26"/>
      <c r="F4748" s="48" t="s">
        <v>416</v>
      </c>
      <c r="G4748" s="27" t="str">
        <f>IF(ISNUMBER(F4748),E4748*F4748,"")</f>
        <v/>
      </c>
      <c r="H4748" s="28"/>
      <c r="I4748" s="29"/>
      <c r="J4748" s="152">
        <v>0</v>
      </c>
    </row>
    <row r="4749" spans="1:10" ht="15.75" hidden="1" thickBot="1" x14ac:dyDescent="0.3">
      <c r="A4749" s="171"/>
      <c r="B4749" s="174"/>
      <c r="C4749" s="31"/>
      <c r="D4749" s="31"/>
      <c r="E4749" s="32"/>
      <c r="F4749" s="53" t="s">
        <v>416</v>
      </c>
      <c r="G4749" s="53" t="str">
        <f>IF(ISNUMBER(F4749),E4749*F4749,"")</f>
        <v/>
      </c>
      <c r="H4749" s="72"/>
      <c r="I4749" s="73"/>
      <c r="J4749" s="152">
        <v>0</v>
      </c>
    </row>
    <row r="4750" spans="1:10" ht="26.25" hidden="1" thickBot="1" x14ac:dyDescent="0.3">
      <c r="A4750" s="171"/>
      <c r="B4750" s="174"/>
      <c r="C4750" s="35" t="s">
        <v>8156</v>
      </c>
      <c r="D4750" s="35" t="s">
        <v>213</v>
      </c>
      <c r="E4750" s="36">
        <v>1</v>
      </c>
      <c r="F4750" s="53">
        <v>426.37899999999996</v>
      </c>
      <c r="G4750" s="53">
        <f>IF(ISNUMBER(F4750),E4750*F4750,"")</f>
        <v>426.37899999999996</v>
      </c>
      <c r="H4750" s="38">
        <f>SUM(G4750:G4750)</f>
        <v>426.37899999999996</v>
      </c>
      <c r="I4750" s="39"/>
      <c r="J4750" s="152">
        <v>0</v>
      </c>
    </row>
    <row r="4751" spans="1:10" ht="15.75" hidden="1" thickBot="1" x14ac:dyDescent="0.3">
      <c r="A4751" s="172"/>
      <c r="B4751" s="175"/>
      <c r="C4751" s="54"/>
      <c r="D4751" s="54"/>
      <c r="E4751" s="65"/>
      <c r="F4751" s="75" t="s">
        <v>416</v>
      </c>
      <c r="G4751" s="75" t="str">
        <f>IF(ISNUMBER(F4751),E4751*F4751,"")</f>
        <v/>
      </c>
      <c r="H4751" s="76"/>
      <c r="I4751" s="73"/>
      <c r="J4751" s="152">
        <v>0</v>
      </c>
    </row>
    <row r="4752" spans="1:10" ht="15.75" hidden="1" thickBot="1" x14ac:dyDescent="0.3">
      <c r="A4752" s="170" t="s">
        <v>2813</v>
      </c>
      <c r="B4752" s="173" t="str">
        <f>INDEX(Orçamentária!A:B,MATCH(Composições!A4752,Orçamentária!A:A,0),2)</f>
        <v>Mangueira de nível de 20 m</v>
      </c>
      <c r="C4752" s="40"/>
      <c r="D4752" s="25" t="s">
        <v>16</v>
      </c>
      <c r="E4752" s="26"/>
      <c r="F4752" s="48" t="s">
        <v>416</v>
      </c>
      <c r="G4752" s="27" t="str">
        <f>IF(ISNUMBER(F4752),E4752*F4752,"")</f>
        <v/>
      </c>
      <c r="H4752" s="28"/>
      <c r="I4752" s="29"/>
      <c r="J4752" s="152">
        <v>0</v>
      </c>
    </row>
    <row r="4753" spans="1:10" ht="15.75" hidden="1" thickBot="1" x14ac:dyDescent="0.3">
      <c r="A4753" s="171"/>
      <c r="B4753" s="174"/>
      <c r="C4753" s="31"/>
      <c r="D4753" s="31"/>
      <c r="E4753" s="32"/>
      <c r="F4753" s="53" t="s">
        <v>416</v>
      </c>
      <c r="G4753" s="53" t="str">
        <f>IF(ISNUMBER(F4753),E4753*F4753,"")</f>
        <v/>
      </c>
      <c r="H4753" s="72"/>
      <c r="I4753" s="73"/>
      <c r="J4753" s="152">
        <v>0</v>
      </c>
    </row>
    <row r="4754" spans="1:10" ht="26.25" hidden="1" thickBot="1" x14ac:dyDescent="0.3">
      <c r="A4754" s="171"/>
      <c r="B4754" s="174"/>
      <c r="C4754" s="35" t="s">
        <v>8283</v>
      </c>
      <c r="D4754" s="35" t="s">
        <v>385</v>
      </c>
      <c r="E4754" s="36">
        <v>20</v>
      </c>
      <c r="F4754" s="53">
        <v>2.3275000000000001</v>
      </c>
      <c r="G4754" s="53">
        <f>IF(ISNUMBER(F4754),E4754*F4754,"")</f>
        <v>46.550000000000004</v>
      </c>
      <c r="H4754" s="38">
        <f>SUM(G4754:G4754)</f>
        <v>46.550000000000004</v>
      </c>
      <c r="I4754" s="39"/>
      <c r="J4754" s="152">
        <v>0</v>
      </c>
    </row>
    <row r="4755" spans="1:10" ht="15.75" hidden="1" thickBot="1" x14ac:dyDescent="0.3">
      <c r="A4755" s="172"/>
      <c r="B4755" s="175"/>
      <c r="C4755" s="54"/>
      <c r="D4755" s="54"/>
      <c r="E4755" s="65"/>
      <c r="F4755" s="75" t="s">
        <v>416</v>
      </c>
      <c r="G4755" s="75" t="str">
        <f>IF(ISNUMBER(F4755),E4755*F4755,"")</f>
        <v/>
      </c>
      <c r="H4755" s="76"/>
      <c r="I4755" s="73"/>
      <c r="J4755" s="152">
        <v>0</v>
      </c>
    </row>
    <row r="4756" spans="1:10" ht="15.75" hidden="1" thickBot="1" x14ac:dyDescent="0.3">
      <c r="A4756" s="170" t="s">
        <v>2821</v>
      </c>
      <c r="B4756" s="173" t="str">
        <f>INDEX(Orçamentária!A:B,MATCH(Composições!A4756,Orçamentária!A:A,0),2)</f>
        <v>Talha Manual para Elevação de Cargas (2 ton)</v>
      </c>
      <c r="C4756" s="40"/>
      <c r="D4756" s="25" t="s">
        <v>16</v>
      </c>
      <c r="E4756" s="26"/>
      <c r="F4756" s="48" t="s">
        <v>416</v>
      </c>
      <c r="G4756" s="27" t="str">
        <f>IF(ISNUMBER(F4756),E4756*F4756,"")</f>
        <v/>
      </c>
      <c r="H4756" s="28"/>
      <c r="I4756" s="29"/>
      <c r="J4756" s="152">
        <v>0</v>
      </c>
    </row>
    <row r="4757" spans="1:10" ht="15.75" hidden="1" thickBot="1" x14ac:dyDescent="0.3">
      <c r="A4757" s="171"/>
      <c r="B4757" s="174"/>
      <c r="C4757" s="31"/>
      <c r="D4757" s="31"/>
      <c r="E4757" s="32"/>
      <c r="F4757" s="53" t="s">
        <v>416</v>
      </c>
      <c r="G4757" s="53" t="str">
        <f>IF(ISNUMBER(F4757),E4757*F4757,"")</f>
        <v/>
      </c>
      <c r="H4757" s="72"/>
      <c r="I4757" s="73"/>
      <c r="J4757" s="152">
        <v>0</v>
      </c>
    </row>
    <row r="4758" spans="1:10" ht="26.25" hidden="1" thickBot="1" x14ac:dyDescent="0.3">
      <c r="A4758" s="171"/>
      <c r="B4758" s="174"/>
      <c r="C4758" s="35" t="s">
        <v>8383</v>
      </c>
      <c r="D4758" s="35" t="s">
        <v>213</v>
      </c>
      <c r="E4758" s="36">
        <v>1</v>
      </c>
      <c r="F4758" s="53">
        <v>1072.4074999999998</v>
      </c>
      <c r="G4758" s="53">
        <f>IF(ISNUMBER(F4758),E4758*F4758,"")</f>
        <v>1072.4074999999998</v>
      </c>
      <c r="H4758" s="38">
        <f>SUM(G4758:G4758)</f>
        <v>1072.4074999999998</v>
      </c>
      <c r="I4758" s="39"/>
      <c r="J4758" s="152">
        <v>0</v>
      </c>
    </row>
    <row r="4759" spans="1:10" ht="15.75" hidden="1" thickBot="1" x14ac:dyDescent="0.3">
      <c r="A4759" s="172"/>
      <c r="B4759" s="175"/>
      <c r="C4759" s="54"/>
      <c r="D4759" s="54"/>
      <c r="E4759" s="65"/>
      <c r="F4759" s="75" t="s">
        <v>416</v>
      </c>
      <c r="G4759" s="75" t="str">
        <f>IF(ISNUMBER(F4759),E4759*F4759,"")</f>
        <v/>
      </c>
      <c r="H4759" s="76"/>
      <c r="I4759" s="73"/>
      <c r="J4759" s="152">
        <v>0</v>
      </c>
    </row>
    <row r="4760" spans="1:10" ht="15.75" hidden="1" thickBot="1" x14ac:dyDescent="0.3">
      <c r="A4760" s="170" t="s">
        <v>2832</v>
      </c>
      <c r="B4760" s="173" t="str">
        <f>INDEX(Orçamentária!A:B,MATCH(Composições!A4760,Orçamentária!A:A,0),2)</f>
        <v>Manta autocolante aluminizada</v>
      </c>
      <c r="C4760" s="40"/>
      <c r="D4760" s="25" t="s">
        <v>70</v>
      </c>
      <c r="E4760" s="26"/>
      <c r="F4760" s="48" t="s">
        <v>416</v>
      </c>
      <c r="G4760" s="27" t="str">
        <f>IF(ISNUMBER(F4760),E4760*F4760,"")</f>
        <v/>
      </c>
      <c r="H4760" s="28"/>
      <c r="I4760" s="29"/>
      <c r="J4760" s="152">
        <v>0</v>
      </c>
    </row>
    <row r="4761" spans="1:10" ht="15.75" hidden="1" thickBot="1" x14ac:dyDescent="0.3">
      <c r="A4761" s="171"/>
      <c r="B4761" s="174"/>
      <c r="C4761" s="31"/>
      <c r="D4761" s="31"/>
      <c r="E4761" s="32"/>
      <c r="F4761" s="53" t="s">
        <v>416</v>
      </c>
      <c r="G4761" s="53" t="str">
        <f>IF(ISNUMBER(F4761),E4761*F4761,"")</f>
        <v/>
      </c>
      <c r="H4761" s="72"/>
      <c r="I4761" s="73"/>
      <c r="J4761" s="152">
        <v>0</v>
      </c>
    </row>
    <row r="4762" spans="1:10" ht="26.25" hidden="1" thickBot="1" x14ac:dyDescent="0.3">
      <c r="A4762" s="171"/>
      <c r="B4762" s="174"/>
      <c r="C4762" s="35" t="s">
        <v>8287</v>
      </c>
      <c r="D4762" s="35" t="s">
        <v>861</v>
      </c>
      <c r="E4762" s="36">
        <v>1</v>
      </c>
      <c r="F4762" s="53">
        <v>43.908999999999999</v>
      </c>
      <c r="G4762" s="53">
        <f>IF(ISNUMBER(F4762),E4762*F4762,"")</f>
        <v>43.908999999999999</v>
      </c>
      <c r="H4762" s="38">
        <f>SUM(G4762:G4762)</f>
        <v>43.908999999999999</v>
      </c>
      <c r="I4762" s="39"/>
      <c r="J4762" s="152">
        <v>0</v>
      </c>
    </row>
    <row r="4763" spans="1:10" ht="15.75" hidden="1" thickBot="1" x14ac:dyDescent="0.3">
      <c r="A4763" s="172"/>
      <c r="B4763" s="175"/>
      <c r="C4763" s="54"/>
      <c r="D4763" s="54"/>
      <c r="E4763" s="65"/>
      <c r="F4763" s="75" t="s">
        <v>416</v>
      </c>
      <c r="G4763" s="75" t="str">
        <f>IF(ISNUMBER(F4763),E4763*F4763,"")</f>
        <v/>
      </c>
      <c r="H4763" s="76"/>
      <c r="I4763" s="73"/>
      <c r="J4763" s="152">
        <v>0</v>
      </c>
    </row>
    <row r="4764" spans="1:10" ht="15.75" hidden="1" thickBot="1" x14ac:dyDescent="0.3">
      <c r="A4764" s="170" t="s">
        <v>2834</v>
      </c>
      <c r="B4764" s="173" t="str">
        <f>INDEX(Orçamentária!A:B,MATCH(Composições!A4764,Orçamentária!A:A,0),2)</f>
        <v>Primer para aplicação de manta autocolante aluminizada</v>
      </c>
      <c r="C4764" s="40"/>
      <c r="D4764" s="25" t="s">
        <v>75</v>
      </c>
      <c r="E4764" s="26"/>
      <c r="F4764" s="48" t="s">
        <v>416</v>
      </c>
      <c r="G4764" s="27" t="str">
        <f>IF(ISNUMBER(F4764),E4764*F4764,"")</f>
        <v/>
      </c>
      <c r="H4764" s="28"/>
      <c r="I4764" s="29"/>
      <c r="J4764" s="152">
        <v>0</v>
      </c>
    </row>
    <row r="4765" spans="1:10" ht="15.75" hidden="1" thickBot="1" x14ac:dyDescent="0.3">
      <c r="A4765" s="171"/>
      <c r="B4765" s="174"/>
      <c r="C4765" s="31"/>
      <c r="D4765" s="31"/>
      <c r="E4765" s="32"/>
      <c r="F4765" s="53" t="s">
        <v>416</v>
      </c>
      <c r="G4765" s="53" t="str">
        <f>IF(ISNUMBER(F4765),E4765*F4765,"")</f>
        <v/>
      </c>
      <c r="H4765" s="72"/>
      <c r="I4765" s="73"/>
      <c r="J4765" s="152">
        <v>0</v>
      </c>
    </row>
    <row r="4766" spans="1:10" ht="26.25" hidden="1" thickBot="1" x14ac:dyDescent="0.3">
      <c r="A4766" s="171"/>
      <c r="B4766" s="174"/>
      <c r="C4766" s="35" t="s">
        <v>1232</v>
      </c>
      <c r="D4766" s="35" t="s">
        <v>75</v>
      </c>
      <c r="E4766" s="36">
        <v>1</v>
      </c>
      <c r="F4766" s="53">
        <v>18.506</v>
      </c>
      <c r="G4766" s="53">
        <f>IF(ISNUMBER(F4766),E4766*F4766,"")</f>
        <v>18.506</v>
      </c>
      <c r="H4766" s="38">
        <f>SUM(G4766:G4766)</f>
        <v>18.506</v>
      </c>
      <c r="I4766" s="39"/>
      <c r="J4766" s="152">
        <v>0</v>
      </c>
    </row>
    <row r="4767" spans="1:10" ht="15.75" hidden="1" thickBot="1" x14ac:dyDescent="0.3">
      <c r="A4767" s="172"/>
      <c r="B4767" s="175"/>
      <c r="C4767" s="54"/>
      <c r="D4767" s="54"/>
      <c r="E4767" s="65"/>
      <c r="F4767" s="75" t="s">
        <v>416</v>
      </c>
      <c r="G4767" s="75" t="str">
        <f>IF(ISNUMBER(F4767),E4767*F4767,"")</f>
        <v/>
      </c>
      <c r="H4767" s="76"/>
      <c r="I4767" s="73"/>
      <c r="J4767" s="152">
        <v>0</v>
      </c>
    </row>
    <row r="4768" spans="1:10" ht="15.75" hidden="1" thickBot="1" x14ac:dyDescent="0.3">
      <c r="A4768" s="170" t="s">
        <v>1263</v>
      </c>
      <c r="B4768" s="173" t="str">
        <f>INDEX(Orçamentária!A:B,MATCH(Composições!A4768,Orçamentária!A:A,0),2)</f>
        <v>Carpete aveludado azul royal - fornecimento e instalação</v>
      </c>
      <c r="C4768" s="40"/>
      <c r="D4768" s="25" t="s">
        <v>70</v>
      </c>
      <c r="E4768" s="26"/>
      <c r="F4768" s="48" t="s">
        <v>416</v>
      </c>
      <c r="G4768" s="27" t="str">
        <f>IF(ISNUMBER(F4768),E4768*F4768,"")</f>
        <v/>
      </c>
      <c r="H4768" s="28"/>
      <c r="I4768" s="29"/>
      <c r="J4768" s="152">
        <v>0</v>
      </c>
    </row>
    <row r="4769" spans="1:10" ht="15.75" hidden="1" thickBot="1" x14ac:dyDescent="0.3">
      <c r="A4769" s="171"/>
      <c r="B4769" s="174"/>
      <c r="C4769" s="31"/>
      <c r="D4769" s="31"/>
      <c r="E4769" s="32"/>
      <c r="F4769" s="53" t="s">
        <v>416</v>
      </c>
      <c r="G4769" s="53" t="str">
        <f>IF(ISNUMBER(F4769),E4769*F4769,"")</f>
        <v/>
      </c>
      <c r="H4769" s="72"/>
      <c r="I4769" s="73"/>
      <c r="J4769" s="152">
        <v>0</v>
      </c>
    </row>
    <row r="4770" spans="1:10" ht="15.75" hidden="1" thickBot="1" x14ac:dyDescent="0.3">
      <c r="A4770" s="171"/>
      <c r="B4770" s="174"/>
      <c r="C4770" s="35" t="s">
        <v>591</v>
      </c>
      <c r="D4770" s="35" t="s">
        <v>583</v>
      </c>
      <c r="E4770" s="36">
        <v>0.1</v>
      </c>
      <c r="F4770" s="53">
        <v>27.160499999999999</v>
      </c>
      <c r="G4770" s="53">
        <f>IF(ISNUMBER(F4770),E4770*F4770,"")</f>
        <v>2.7160500000000001</v>
      </c>
      <c r="H4770" s="38">
        <f>SUM(G4770:G4777)</f>
        <v>15.1563</v>
      </c>
      <c r="I4770" s="39"/>
      <c r="J4770" s="152">
        <v>0</v>
      </c>
    </row>
    <row r="4771" spans="1:10" ht="15.75" hidden="1" thickBot="1" x14ac:dyDescent="0.3">
      <c r="A4771" s="171"/>
      <c r="B4771" s="174"/>
      <c r="C4771" s="35" t="s">
        <v>584</v>
      </c>
      <c r="D4771" s="35" t="s">
        <v>583</v>
      </c>
      <c r="E4771" s="36">
        <v>0.1</v>
      </c>
      <c r="F4771" s="53">
        <v>20.225499999999997</v>
      </c>
      <c r="G4771" s="53">
        <f>IF(ISNUMBER(F4771),E4771*F4771,"")</f>
        <v>2.0225499999999998</v>
      </c>
      <c r="H4771" s="72"/>
      <c r="I4771" s="73"/>
      <c r="J4771" s="152">
        <v>0</v>
      </c>
    </row>
    <row r="4772" spans="1:10" ht="15.75" hidden="1" thickBot="1" x14ac:dyDescent="0.3">
      <c r="A4772" s="171"/>
      <c r="B4772" s="174"/>
      <c r="C4772" s="35" t="s">
        <v>5582</v>
      </c>
      <c r="D4772" s="35" t="s">
        <v>773</v>
      </c>
      <c r="E4772" s="36">
        <v>0.1</v>
      </c>
      <c r="F4772" s="53" t="s">
        <v>416</v>
      </c>
      <c r="G4772" s="53" t="str">
        <f>IF(ISNUMBER(F4772),E4772*F4772,"")</f>
        <v/>
      </c>
      <c r="H4772" s="72"/>
      <c r="I4772" s="73"/>
      <c r="J4772" s="152">
        <v>0</v>
      </c>
    </row>
    <row r="4773" spans="1:10" ht="26.25" hidden="1" thickBot="1" x14ac:dyDescent="0.3">
      <c r="A4773" s="171"/>
      <c r="B4773" s="174"/>
      <c r="C4773" s="35" t="s">
        <v>1265</v>
      </c>
      <c r="D4773" s="35" t="s">
        <v>70</v>
      </c>
      <c r="E4773" s="36">
        <v>1.1000000000000001</v>
      </c>
      <c r="F4773" s="53" t="s">
        <v>416</v>
      </c>
      <c r="G4773" s="53" t="str">
        <f>IF(ISNUMBER(F4773),E4773*F4773,"")</f>
        <v/>
      </c>
      <c r="H4773" s="72"/>
      <c r="I4773" s="73"/>
      <c r="J4773" s="152">
        <v>0</v>
      </c>
    </row>
    <row r="4774" spans="1:10" ht="15.75" hidden="1" thickBot="1" x14ac:dyDescent="0.3">
      <c r="A4774" s="171"/>
      <c r="B4774" s="174"/>
      <c r="C4774" s="35" t="s">
        <v>591</v>
      </c>
      <c r="D4774" s="35" t="s">
        <v>583</v>
      </c>
      <c r="E4774" s="36">
        <v>0.2</v>
      </c>
      <c r="F4774" s="53">
        <v>27.160499999999999</v>
      </c>
      <c r="G4774" s="53">
        <f>IF(ISNUMBER(F4774),E4774*F4774,"")</f>
        <v>5.4321000000000002</v>
      </c>
      <c r="H4774" s="72"/>
      <c r="I4774" s="39"/>
      <c r="J4774" s="152">
        <v>0</v>
      </c>
    </row>
    <row r="4775" spans="1:10" ht="15.75" hidden="1" thickBot="1" x14ac:dyDescent="0.3">
      <c r="A4775" s="171"/>
      <c r="B4775" s="174"/>
      <c r="C4775" s="35" t="s">
        <v>584</v>
      </c>
      <c r="D4775" s="35" t="s">
        <v>583</v>
      </c>
      <c r="E4775" s="36">
        <v>0.2</v>
      </c>
      <c r="F4775" s="53">
        <v>20.225499999999997</v>
      </c>
      <c r="G4775" s="53">
        <f>IF(ISNUMBER(F4775),E4775*F4775,"")</f>
        <v>4.0450999999999997</v>
      </c>
      <c r="H4775" s="72"/>
      <c r="I4775" s="73"/>
      <c r="J4775" s="152">
        <v>0</v>
      </c>
    </row>
    <row r="4776" spans="1:10" ht="15.75" hidden="1" thickBot="1" x14ac:dyDescent="0.3">
      <c r="A4776" s="171"/>
      <c r="B4776" s="174"/>
      <c r="C4776" s="35" t="s">
        <v>8065</v>
      </c>
      <c r="D4776" s="35" t="s">
        <v>773</v>
      </c>
      <c r="E4776" s="36">
        <v>1.5</v>
      </c>
      <c r="F4776" s="53">
        <v>0.627</v>
      </c>
      <c r="G4776" s="53">
        <f>IF(ISNUMBER(F4776),E4776*F4776,"")</f>
        <v>0.9405</v>
      </c>
      <c r="H4776" s="72"/>
      <c r="I4776" s="73"/>
      <c r="J4776" s="152">
        <v>0</v>
      </c>
    </row>
    <row r="4777" spans="1:10" ht="15.75" hidden="1" thickBot="1" x14ac:dyDescent="0.3">
      <c r="A4777" s="171"/>
      <c r="B4777" s="174"/>
      <c r="C4777" s="35" t="s">
        <v>1264</v>
      </c>
      <c r="D4777" s="35" t="s">
        <v>773</v>
      </c>
      <c r="E4777" s="36">
        <f>ROUND(E4776*0.1,2)</f>
        <v>0.15</v>
      </c>
      <c r="F4777" s="53" t="s">
        <v>416</v>
      </c>
      <c r="G4777" s="53" t="str">
        <f>IF(ISNUMBER(F4777),E4777*F4777,"")</f>
        <v/>
      </c>
      <c r="H4777" s="72"/>
      <c r="I4777" s="73"/>
      <c r="J4777" s="152">
        <v>0</v>
      </c>
    </row>
    <row r="4778" spans="1:10" ht="15.75" hidden="1" thickBot="1" x14ac:dyDescent="0.3">
      <c r="A4778" s="171"/>
      <c r="B4778" s="174"/>
      <c r="C4778" s="35"/>
      <c r="D4778" s="35"/>
      <c r="E4778" s="36"/>
      <c r="F4778" s="53" t="s">
        <v>416</v>
      </c>
      <c r="G4778" s="53" t="str">
        <f>IF(ISNUMBER(F4778),E4778*F4778,"")</f>
        <v/>
      </c>
      <c r="H4778" s="72"/>
      <c r="I4778" s="73"/>
      <c r="J4778" s="152">
        <v>0</v>
      </c>
    </row>
    <row r="4779" spans="1:10" ht="15.75" hidden="1" thickBot="1" x14ac:dyDescent="0.3">
      <c r="A4779" s="170" t="s">
        <v>1266</v>
      </c>
      <c r="B4779" s="173" t="str">
        <f>INDEX(Orçamentária!A:B,MATCH(Composições!A4779,Orçamentária!A:A,0),2)</f>
        <v>Demolição de revestimento de piso têxtil (carpete)</v>
      </c>
      <c r="C4779" s="40"/>
      <c r="D4779" s="25" t="s">
        <v>70</v>
      </c>
      <c r="E4779" s="26"/>
      <c r="F4779" s="48" t="s">
        <v>416</v>
      </c>
      <c r="G4779" s="27" t="str">
        <f>IF(ISNUMBER(F4779),E4779*F4779,"")</f>
        <v/>
      </c>
      <c r="H4779" s="28"/>
      <c r="I4779" s="29"/>
      <c r="J4779" s="152">
        <v>0</v>
      </c>
    </row>
    <row r="4780" spans="1:10" ht="15.75" hidden="1" thickBot="1" x14ac:dyDescent="0.3">
      <c r="A4780" s="171"/>
      <c r="B4780" s="174"/>
      <c r="C4780" s="31"/>
      <c r="D4780" s="31"/>
      <c r="E4780" s="32"/>
      <c r="F4780" s="53" t="s">
        <v>416</v>
      </c>
      <c r="G4780" s="53" t="str">
        <f>IF(ISNUMBER(F4780),E4780*F4780,"")</f>
        <v/>
      </c>
      <c r="H4780" s="72"/>
      <c r="I4780" s="73"/>
      <c r="J4780" s="152">
        <v>0</v>
      </c>
    </row>
    <row r="4781" spans="1:10" ht="15.75" hidden="1" thickBot="1" x14ac:dyDescent="0.3">
      <c r="A4781" s="171"/>
      <c r="B4781" s="174"/>
      <c r="C4781" s="35" t="s">
        <v>591</v>
      </c>
      <c r="D4781" s="35" t="s">
        <v>583</v>
      </c>
      <c r="E4781" s="36">
        <v>0.01</v>
      </c>
      <c r="F4781" s="53">
        <v>27.160499999999999</v>
      </c>
      <c r="G4781" s="53">
        <f>IF(ISNUMBER(F4781),E4781*F4781,"")</f>
        <v>0.27160499999999999</v>
      </c>
      <c r="H4781" s="38">
        <f>SUM(G4781:G4782)</f>
        <v>2.2941549999999999</v>
      </c>
      <c r="I4781" s="39"/>
      <c r="J4781" s="152">
        <v>0</v>
      </c>
    </row>
    <row r="4782" spans="1:10" ht="15.75" hidden="1" thickBot="1" x14ac:dyDescent="0.3">
      <c r="A4782" s="171"/>
      <c r="B4782" s="174"/>
      <c r="C4782" s="35" t="s">
        <v>584</v>
      </c>
      <c r="D4782" s="35" t="s">
        <v>583</v>
      </c>
      <c r="E4782" s="36">
        <v>0.1</v>
      </c>
      <c r="F4782" s="53">
        <v>20.225499999999997</v>
      </c>
      <c r="G4782" s="53">
        <f>IF(ISNUMBER(F4782),E4782*F4782,"")</f>
        <v>2.0225499999999998</v>
      </c>
      <c r="H4782" s="72"/>
      <c r="I4782" s="73"/>
      <c r="J4782" s="152">
        <v>0</v>
      </c>
    </row>
    <row r="4783" spans="1:10" ht="15.75" hidden="1" thickBot="1" x14ac:dyDescent="0.3">
      <c r="A4783" s="172"/>
      <c r="B4783" s="175"/>
      <c r="C4783" s="54"/>
      <c r="D4783" s="54"/>
      <c r="E4783" s="65"/>
      <c r="F4783" s="75" t="s">
        <v>416</v>
      </c>
      <c r="G4783" s="75" t="str">
        <f>IF(ISNUMBER(F4783),E4783*F4783,"")</f>
        <v/>
      </c>
      <c r="H4783" s="76"/>
      <c r="I4783" s="73"/>
      <c r="J4783" s="152">
        <v>0</v>
      </c>
    </row>
    <row r="4784" spans="1:10" ht="15.75" hidden="1" thickBot="1" x14ac:dyDescent="0.3">
      <c r="A4784" s="170" t="s">
        <v>2956</v>
      </c>
      <c r="B4784" s="173" t="str">
        <f>INDEX(Orçamentária!A:B,MATCH(Composições!A4784,Orçamentária!A:A,0),2)</f>
        <v>Bancada em granito cinza andorinha polido - 2,40 m x 0,60 m</v>
      </c>
      <c r="C4784" s="40"/>
      <c r="D4784" s="25" t="s">
        <v>16</v>
      </c>
      <c r="E4784" s="26"/>
      <c r="F4784" s="48" t="s">
        <v>416</v>
      </c>
      <c r="G4784" s="27" t="str">
        <f>IF(ISNUMBER(F4784),E4784*F4784,"")</f>
        <v/>
      </c>
      <c r="H4784" s="28"/>
      <c r="I4784" s="29"/>
      <c r="J4784" s="152">
        <v>0</v>
      </c>
    </row>
    <row r="4785" spans="1:10" ht="15.75" hidden="1" thickBot="1" x14ac:dyDescent="0.3">
      <c r="A4785" s="171"/>
      <c r="B4785" s="174"/>
      <c r="C4785" s="31"/>
      <c r="D4785" s="31"/>
      <c r="E4785" s="32"/>
      <c r="F4785" s="53" t="s">
        <v>416</v>
      </c>
      <c r="G4785" s="53" t="str">
        <f>IF(ISNUMBER(F4785),E4785*F4785,"")</f>
        <v/>
      </c>
      <c r="H4785" s="72"/>
      <c r="I4785" s="73"/>
      <c r="J4785" s="152">
        <v>0</v>
      </c>
    </row>
    <row r="4786" spans="1:10" ht="15.75" hidden="1" thickBot="1" x14ac:dyDescent="0.3">
      <c r="A4786" s="171"/>
      <c r="B4786" s="174"/>
      <c r="C4786" s="35" t="s">
        <v>2934</v>
      </c>
      <c r="D4786" s="35" t="s">
        <v>773</v>
      </c>
      <c r="E4786" s="36">
        <f>0.5228*2.4/1.5</f>
        <v>0.83648</v>
      </c>
      <c r="F4786" s="53">
        <v>38.826499999999996</v>
      </c>
      <c r="G4786" s="53">
        <f>IF(ISNUMBER(F4786),E4786*F4786,"")</f>
        <v>32.477590719999995</v>
      </c>
      <c r="H4786" s="38">
        <f>SUM(G4786:G4792)</f>
        <v>925.0633044599997</v>
      </c>
      <c r="I4786" s="39"/>
      <c r="J4786" s="152">
        <v>0</v>
      </c>
    </row>
    <row r="4787" spans="1:10" ht="39" hidden="1" thickBot="1" x14ac:dyDescent="0.3">
      <c r="A4787" s="171"/>
      <c r="B4787" s="174"/>
      <c r="C4787" s="35" t="s">
        <v>991</v>
      </c>
      <c r="D4787" s="35" t="s">
        <v>213</v>
      </c>
      <c r="E4787" s="36">
        <v>9</v>
      </c>
      <c r="F4787" s="53">
        <v>1.1019999999999999</v>
      </c>
      <c r="G4787" s="53">
        <f>IF(ISNUMBER(F4787),E4787*F4787,"")</f>
        <v>9.9179999999999993</v>
      </c>
      <c r="H4787" s="72"/>
      <c r="I4787" s="73"/>
      <c r="J4787" s="152">
        <v>0</v>
      </c>
    </row>
    <row r="4788" spans="1:10" ht="39" hidden="1" thickBot="1" x14ac:dyDescent="0.3">
      <c r="A4788" s="171"/>
      <c r="B4788" s="174"/>
      <c r="C4788" s="35" t="s">
        <v>8532</v>
      </c>
      <c r="D4788" s="35" t="s">
        <v>861</v>
      </c>
      <c r="E4788" s="36">
        <f>1.005*2.4/1.5</f>
        <v>1.6079999999999997</v>
      </c>
      <c r="F4788" s="53">
        <v>462.45049999999998</v>
      </c>
      <c r="G4788" s="53">
        <f>IF(ISNUMBER(F4788),E4788*F4788,"")</f>
        <v>743.62040399999978</v>
      </c>
      <c r="H4788" s="72"/>
      <c r="I4788" s="73"/>
      <c r="J4788" s="152">
        <v>0</v>
      </c>
    </row>
    <row r="4789" spans="1:10" ht="15.75" hidden="1" thickBot="1" x14ac:dyDescent="0.3">
      <c r="A4789" s="171"/>
      <c r="B4789" s="174"/>
      <c r="C4789" s="35" t="s">
        <v>3061</v>
      </c>
      <c r="D4789" s="35" t="s">
        <v>773</v>
      </c>
      <c r="E4789" s="36">
        <f>0.0211*2.4/1.5</f>
        <v>3.3759999999999998E-2</v>
      </c>
      <c r="F4789" s="53">
        <v>72.836500000000001</v>
      </c>
      <c r="G4789" s="53">
        <f>IF(ISNUMBER(F4789),E4789*F4789,"")</f>
        <v>2.4589602400000001</v>
      </c>
      <c r="H4789" s="72"/>
      <c r="I4789" s="73"/>
      <c r="J4789" s="152">
        <v>0</v>
      </c>
    </row>
    <row r="4790" spans="1:10" ht="26.25" hidden="1" thickBot="1" x14ac:dyDescent="0.3">
      <c r="A4790" s="171"/>
      <c r="B4790" s="174"/>
      <c r="C4790" s="35" t="s">
        <v>2941</v>
      </c>
      <c r="D4790" s="35" t="s">
        <v>213</v>
      </c>
      <c r="E4790" s="36">
        <v>3</v>
      </c>
      <c r="F4790" s="53">
        <v>25.4315</v>
      </c>
      <c r="G4790" s="53">
        <f>IF(ISNUMBER(F4790),E4790*F4790,"")</f>
        <v>76.294499999999999</v>
      </c>
      <c r="H4790" s="72"/>
      <c r="I4790" s="39"/>
      <c r="J4790" s="152">
        <v>0</v>
      </c>
    </row>
    <row r="4791" spans="1:10" ht="15.75" hidden="1" thickBot="1" x14ac:dyDescent="0.3">
      <c r="A4791" s="171"/>
      <c r="B4791" s="174"/>
      <c r="C4791" s="35" t="s">
        <v>2906</v>
      </c>
      <c r="D4791" s="35" t="s">
        <v>583</v>
      </c>
      <c r="E4791" s="36">
        <v>1.4944</v>
      </c>
      <c r="F4791" s="53">
        <v>27.036999999999999</v>
      </c>
      <c r="G4791" s="53">
        <f>IF(ISNUMBER(F4791),E4791*F4791,"")</f>
        <v>40.404092799999994</v>
      </c>
      <c r="H4791" s="72"/>
      <c r="I4791" s="73"/>
      <c r="J4791" s="152">
        <v>0</v>
      </c>
    </row>
    <row r="4792" spans="1:10" ht="15.75" hidden="1" thickBot="1" x14ac:dyDescent="0.3">
      <c r="A4792" s="171"/>
      <c r="B4792" s="174"/>
      <c r="C4792" s="35" t="s">
        <v>584</v>
      </c>
      <c r="D4792" s="35" t="s">
        <v>583</v>
      </c>
      <c r="E4792" s="36">
        <v>0.98340000000000005</v>
      </c>
      <c r="F4792" s="53">
        <v>20.225499999999997</v>
      </c>
      <c r="G4792" s="53">
        <f>IF(ISNUMBER(F4792),E4792*F4792,"")</f>
        <v>19.8897567</v>
      </c>
      <c r="H4792" s="72"/>
      <c r="I4792" s="73"/>
      <c r="J4792" s="152">
        <v>0</v>
      </c>
    </row>
    <row r="4793" spans="1:10" ht="15.75" hidden="1" thickBot="1" x14ac:dyDescent="0.3">
      <c r="A4793" s="171"/>
      <c r="B4793" s="174"/>
      <c r="C4793" s="35"/>
      <c r="D4793" s="35"/>
      <c r="E4793" s="36"/>
      <c r="F4793" s="53" t="s">
        <v>416</v>
      </c>
      <c r="G4793" s="53" t="str">
        <f>IF(ISNUMBER(F4793),E4793*F4793,"")</f>
        <v/>
      </c>
      <c r="H4793" s="72"/>
      <c r="I4793" s="73"/>
      <c r="J4793" s="152">
        <v>0</v>
      </c>
    </row>
    <row r="4794" spans="1:10" ht="15.75" hidden="1" thickBot="1" x14ac:dyDescent="0.3">
      <c r="A4794" s="170" t="s">
        <v>2957</v>
      </c>
      <c r="B4794" s="173" t="str">
        <f>INDEX(Orçamentária!A:B,MATCH(Composições!A4794,Orçamentária!A:A,0),2)</f>
        <v>Bancada em granito cinza andorinha polido - 2,50 m x 0,60 m</v>
      </c>
      <c r="C4794" s="40"/>
      <c r="D4794" s="25" t="s">
        <v>16</v>
      </c>
      <c r="E4794" s="26"/>
      <c r="F4794" s="48" t="s">
        <v>416</v>
      </c>
      <c r="G4794" s="27" t="str">
        <f>IF(ISNUMBER(F4794),E4794*F4794,"")</f>
        <v/>
      </c>
      <c r="H4794" s="28"/>
      <c r="I4794" s="29"/>
      <c r="J4794" s="152">
        <v>0</v>
      </c>
    </row>
    <row r="4795" spans="1:10" ht="15.75" hidden="1" thickBot="1" x14ac:dyDescent="0.3">
      <c r="A4795" s="171"/>
      <c r="B4795" s="174"/>
      <c r="C4795" s="31"/>
      <c r="D4795" s="31"/>
      <c r="E4795" s="32"/>
      <c r="F4795" s="53" t="s">
        <v>416</v>
      </c>
      <c r="G4795" s="53" t="str">
        <f>IF(ISNUMBER(F4795),E4795*F4795,"")</f>
        <v/>
      </c>
      <c r="H4795" s="72"/>
      <c r="I4795" s="73"/>
      <c r="J4795" s="152">
        <v>0</v>
      </c>
    </row>
    <row r="4796" spans="1:10" ht="15.75" hidden="1" thickBot="1" x14ac:dyDescent="0.3">
      <c r="A4796" s="171"/>
      <c r="B4796" s="174"/>
      <c r="C4796" s="35" t="s">
        <v>2934</v>
      </c>
      <c r="D4796" s="35" t="s">
        <v>773</v>
      </c>
      <c r="E4796" s="36">
        <f>0.5228*2.5/1.5</f>
        <v>0.8713333333333334</v>
      </c>
      <c r="F4796" s="53">
        <v>38.826499999999996</v>
      </c>
      <c r="G4796" s="53">
        <f>IF(ISNUMBER(F4796),E4796*F4796,"")</f>
        <v>33.830823666666667</v>
      </c>
      <c r="H4796" s="38">
        <f>SUM(G4796:G4802)</f>
        <v>957.50317758333313</v>
      </c>
      <c r="I4796" s="39"/>
      <c r="J4796" s="152">
        <v>0</v>
      </c>
    </row>
    <row r="4797" spans="1:10" ht="39" hidden="1" thickBot="1" x14ac:dyDescent="0.3">
      <c r="A4797" s="171"/>
      <c r="B4797" s="174"/>
      <c r="C4797" s="35" t="s">
        <v>991</v>
      </c>
      <c r="D4797" s="35" t="s">
        <v>213</v>
      </c>
      <c r="E4797" s="36">
        <v>9</v>
      </c>
      <c r="F4797" s="53">
        <v>1.1019999999999999</v>
      </c>
      <c r="G4797" s="53">
        <f>IF(ISNUMBER(F4797),E4797*F4797,"")</f>
        <v>9.9179999999999993</v>
      </c>
      <c r="H4797" s="72"/>
      <c r="I4797" s="73"/>
      <c r="J4797" s="152">
        <v>0</v>
      </c>
    </row>
    <row r="4798" spans="1:10" ht="39" hidden="1" thickBot="1" x14ac:dyDescent="0.3">
      <c r="A4798" s="171"/>
      <c r="B4798" s="174"/>
      <c r="C4798" s="35" t="s">
        <v>8532</v>
      </c>
      <c r="D4798" s="35" t="s">
        <v>861</v>
      </c>
      <c r="E4798" s="36">
        <f>1.005*2.5/1.5</f>
        <v>1.6749999999999998</v>
      </c>
      <c r="F4798" s="53">
        <v>462.45049999999998</v>
      </c>
      <c r="G4798" s="53">
        <f>IF(ISNUMBER(F4798),E4798*F4798,"")</f>
        <v>774.60458749999987</v>
      </c>
      <c r="H4798" s="72"/>
      <c r="I4798" s="73"/>
      <c r="J4798" s="152">
        <v>0</v>
      </c>
    </row>
    <row r="4799" spans="1:10" ht="15.75" hidden="1" thickBot="1" x14ac:dyDescent="0.3">
      <c r="A4799" s="171"/>
      <c r="B4799" s="174"/>
      <c r="C4799" s="35" t="s">
        <v>3061</v>
      </c>
      <c r="D4799" s="35" t="s">
        <v>773</v>
      </c>
      <c r="E4799" s="36">
        <f>0.0211*2.5/1.5</f>
        <v>3.5166666666666672E-2</v>
      </c>
      <c r="F4799" s="53">
        <v>72.836500000000001</v>
      </c>
      <c r="G4799" s="53">
        <f>IF(ISNUMBER(F4799),E4799*F4799,"")</f>
        <v>2.5614169166666669</v>
      </c>
      <c r="H4799" s="72"/>
      <c r="I4799" s="73"/>
      <c r="J4799" s="152">
        <v>0</v>
      </c>
    </row>
    <row r="4800" spans="1:10" ht="26.25" hidden="1" thickBot="1" x14ac:dyDescent="0.3">
      <c r="A4800" s="171"/>
      <c r="B4800" s="174"/>
      <c r="C4800" s="35" t="s">
        <v>2941</v>
      </c>
      <c r="D4800" s="35" t="s">
        <v>213</v>
      </c>
      <c r="E4800" s="36">
        <v>3</v>
      </c>
      <c r="F4800" s="53">
        <v>25.4315</v>
      </c>
      <c r="G4800" s="53">
        <f>IF(ISNUMBER(F4800),E4800*F4800,"")</f>
        <v>76.294499999999999</v>
      </c>
      <c r="H4800" s="72"/>
      <c r="I4800" s="39"/>
      <c r="J4800" s="152">
        <v>0</v>
      </c>
    </row>
    <row r="4801" spans="1:10" ht="15.75" hidden="1" thickBot="1" x14ac:dyDescent="0.3">
      <c r="A4801" s="171"/>
      <c r="B4801" s="174"/>
      <c r="C4801" s="35" t="s">
        <v>2906</v>
      </c>
      <c r="D4801" s="35" t="s">
        <v>583</v>
      </c>
      <c r="E4801" s="36">
        <v>1.4944</v>
      </c>
      <c r="F4801" s="53">
        <v>27.036999999999999</v>
      </c>
      <c r="G4801" s="53">
        <f>IF(ISNUMBER(F4801),E4801*F4801,"")</f>
        <v>40.404092799999994</v>
      </c>
      <c r="H4801" s="72"/>
      <c r="I4801" s="73"/>
      <c r="J4801" s="152">
        <v>0</v>
      </c>
    </row>
    <row r="4802" spans="1:10" ht="15.75" hidden="1" thickBot="1" x14ac:dyDescent="0.3">
      <c r="A4802" s="171"/>
      <c r="B4802" s="174"/>
      <c r="C4802" s="35" t="s">
        <v>584</v>
      </c>
      <c r="D4802" s="35" t="s">
        <v>583</v>
      </c>
      <c r="E4802" s="36">
        <v>0.98340000000000005</v>
      </c>
      <c r="F4802" s="53">
        <v>20.225499999999997</v>
      </c>
      <c r="G4802" s="53">
        <f>IF(ISNUMBER(F4802),E4802*F4802,"")</f>
        <v>19.8897567</v>
      </c>
      <c r="H4802" s="72"/>
      <c r="I4802" s="73"/>
      <c r="J4802" s="152">
        <v>0</v>
      </c>
    </row>
    <row r="4803" spans="1:10" ht="15.75" hidden="1" thickBot="1" x14ac:dyDescent="0.3">
      <c r="A4803" s="171"/>
      <c r="B4803" s="174"/>
      <c r="C4803" s="35"/>
      <c r="D4803" s="35"/>
      <c r="E4803" s="36"/>
      <c r="F4803" s="53" t="s">
        <v>416</v>
      </c>
      <c r="G4803" s="53" t="str">
        <f>IF(ISNUMBER(F4803),E4803*F4803,"")</f>
        <v/>
      </c>
      <c r="H4803" s="72"/>
      <c r="I4803" s="73"/>
      <c r="J4803" s="152">
        <v>0</v>
      </c>
    </row>
    <row r="4804" spans="1:10" ht="15.75" hidden="1" thickBot="1" x14ac:dyDescent="0.3">
      <c r="A4804" s="170" t="s">
        <v>2961</v>
      </c>
      <c r="B4804" s="173" t="str">
        <f>INDEX(Orçamentária!A:B,MATCH(Composições!A4804,Orçamentária!A:A,0),2)</f>
        <v>Batedor/limitador inferior para box de correr</v>
      </c>
      <c r="C4804" s="40"/>
      <c r="D4804" s="25" t="s">
        <v>16</v>
      </c>
      <c r="E4804" s="26"/>
      <c r="F4804" s="41" t="s">
        <v>416</v>
      </c>
      <c r="G4804" s="27" t="str">
        <f>IF(ISNUMBER(F4804),E4804*F4804,"")</f>
        <v/>
      </c>
      <c r="H4804" s="28"/>
      <c r="I4804" s="29"/>
      <c r="J4804" s="152">
        <v>0</v>
      </c>
    </row>
    <row r="4805" spans="1:10" ht="15.75" hidden="1" thickBot="1" x14ac:dyDescent="0.3">
      <c r="A4805" s="176"/>
      <c r="B4805" s="174"/>
      <c r="C4805" s="31"/>
      <c r="D4805" s="31"/>
      <c r="E4805" s="32"/>
      <c r="F4805" s="42" t="s">
        <v>416</v>
      </c>
      <c r="G4805" s="33" t="str">
        <f>IF(ISNUMBER(F4805),E4805*F4805,"")</f>
        <v/>
      </c>
      <c r="H4805" s="34"/>
      <c r="I4805" s="30"/>
      <c r="J4805" s="152">
        <v>0</v>
      </c>
    </row>
    <row r="4806" spans="1:10" ht="15.75" hidden="1" thickBot="1" x14ac:dyDescent="0.3">
      <c r="A4806" s="176"/>
      <c r="B4806" s="174"/>
      <c r="C4806" s="35" t="s">
        <v>2909</v>
      </c>
      <c r="D4806" s="35" t="s">
        <v>583</v>
      </c>
      <c r="E4806" s="36">
        <v>0.15</v>
      </c>
      <c r="F4806" s="33">
        <v>25.060999999999996</v>
      </c>
      <c r="G4806" s="33">
        <f>IF(ISNUMBER(F4806),E4806*F4806,"")</f>
        <v>3.7591499999999991</v>
      </c>
      <c r="H4806" s="38">
        <f>SUM(G4806:G4807)</f>
        <v>3.7591499999999991</v>
      </c>
      <c r="I4806" s="39"/>
      <c r="J4806" s="152">
        <v>0</v>
      </c>
    </row>
    <row r="4807" spans="1:10" ht="26.25" hidden="1" thickBot="1" x14ac:dyDescent="0.3">
      <c r="A4807" s="176"/>
      <c r="B4807" s="174"/>
      <c r="C4807" s="35" t="s">
        <v>3087</v>
      </c>
      <c r="D4807" s="35" t="s">
        <v>16</v>
      </c>
      <c r="E4807" s="36">
        <v>1</v>
      </c>
      <c r="F4807" s="30" t="s">
        <v>416</v>
      </c>
      <c r="G4807" s="33" t="str">
        <f>IF(ISNUMBER(F4807),E4807*F4807,"")</f>
        <v/>
      </c>
      <c r="H4807" s="34"/>
      <c r="I4807" s="30"/>
      <c r="J4807" s="152">
        <v>0</v>
      </c>
    </row>
    <row r="4808" spans="1:10" ht="15.75" hidden="1" thickBot="1" x14ac:dyDescent="0.3">
      <c r="A4808" s="177"/>
      <c r="B4808" s="175"/>
      <c r="C4808" s="35"/>
      <c r="D4808" s="35"/>
      <c r="E4808" s="36"/>
      <c r="F4808" s="30" t="s">
        <v>416</v>
      </c>
      <c r="G4808" s="33" t="str">
        <f>IF(ISNUMBER(F4808),E4808*F4808,"")</f>
        <v/>
      </c>
      <c r="H4808" s="34"/>
      <c r="I4808" s="30"/>
      <c r="J4808" s="152">
        <v>0</v>
      </c>
    </row>
    <row r="4809" spans="1:10" ht="15.75" hidden="1" thickBot="1" x14ac:dyDescent="0.3">
      <c r="A4809" s="170" t="s">
        <v>2962</v>
      </c>
      <c r="B4809" s="173" t="str">
        <f>INDEX(Orçamentária!A:B,MATCH(Composições!A4809,Orçamentária!A:A,0),2)</f>
        <v>Batedor/amortecedor lateral para box de correr</v>
      </c>
      <c r="C4809" s="40"/>
      <c r="D4809" s="25" t="s">
        <v>16</v>
      </c>
      <c r="E4809" s="26"/>
      <c r="F4809" s="41" t="s">
        <v>416</v>
      </c>
      <c r="G4809" s="27" t="str">
        <f>IF(ISNUMBER(F4809),E4809*F4809,"")</f>
        <v/>
      </c>
      <c r="H4809" s="28"/>
      <c r="I4809" s="29"/>
      <c r="J4809" s="152">
        <v>0</v>
      </c>
    </row>
    <row r="4810" spans="1:10" ht="15.75" hidden="1" thickBot="1" x14ac:dyDescent="0.3">
      <c r="A4810" s="176"/>
      <c r="B4810" s="174"/>
      <c r="C4810" s="31"/>
      <c r="D4810" s="31"/>
      <c r="E4810" s="32"/>
      <c r="F4810" s="42" t="s">
        <v>416</v>
      </c>
      <c r="G4810" s="33" t="str">
        <f>IF(ISNUMBER(F4810),E4810*F4810,"")</f>
        <v/>
      </c>
      <c r="H4810" s="34"/>
      <c r="I4810" s="30"/>
      <c r="J4810" s="152">
        <v>0</v>
      </c>
    </row>
    <row r="4811" spans="1:10" ht="15.75" hidden="1" thickBot="1" x14ac:dyDescent="0.3">
      <c r="A4811" s="176"/>
      <c r="B4811" s="174"/>
      <c r="C4811" s="35" t="s">
        <v>2909</v>
      </c>
      <c r="D4811" s="35" t="s">
        <v>583</v>
      </c>
      <c r="E4811" s="36">
        <v>0.15</v>
      </c>
      <c r="F4811" s="33">
        <v>25.060999999999996</v>
      </c>
      <c r="G4811" s="33">
        <f>IF(ISNUMBER(F4811),E4811*F4811,"")</f>
        <v>3.7591499999999991</v>
      </c>
      <c r="H4811" s="38">
        <f>SUM(G4811:G4812)</f>
        <v>3.7591499999999991</v>
      </c>
      <c r="I4811" s="39"/>
      <c r="J4811" s="152">
        <v>0</v>
      </c>
    </row>
    <row r="4812" spans="1:10" ht="15.75" hidden="1" thickBot="1" x14ac:dyDescent="0.3">
      <c r="A4812" s="176"/>
      <c r="B4812" s="174"/>
      <c r="C4812" s="35" t="s">
        <v>3088</v>
      </c>
      <c r="D4812" s="35" t="s">
        <v>16</v>
      </c>
      <c r="E4812" s="36">
        <v>1</v>
      </c>
      <c r="F4812" s="30" t="s">
        <v>416</v>
      </c>
      <c r="G4812" s="33" t="str">
        <f>IF(ISNUMBER(F4812),E4812*F4812,"")</f>
        <v/>
      </c>
      <c r="H4812" s="34"/>
      <c r="I4812" s="30"/>
      <c r="J4812" s="152">
        <v>0</v>
      </c>
    </row>
    <row r="4813" spans="1:10" ht="15.75" hidden="1" thickBot="1" x14ac:dyDescent="0.3">
      <c r="A4813" s="177"/>
      <c r="B4813" s="175"/>
      <c r="C4813" s="35"/>
      <c r="D4813" s="35"/>
      <c r="E4813" s="36"/>
      <c r="F4813" s="30" t="s">
        <v>416</v>
      </c>
      <c r="G4813" s="33" t="str">
        <f>IF(ISNUMBER(F4813),E4813*F4813,"")</f>
        <v/>
      </c>
      <c r="H4813" s="34"/>
      <c r="I4813" s="30"/>
      <c r="J4813" s="152">
        <v>0</v>
      </c>
    </row>
    <row r="4814" spans="1:10" ht="15.75" hidden="1" thickBot="1" x14ac:dyDescent="0.3">
      <c r="A4814" s="170" t="s">
        <v>2963</v>
      </c>
      <c r="B4814" s="173" t="str">
        <f>INDEX(Orçamentária!A:B,MATCH(Composições!A4814,Orçamentária!A:A,0),2)</f>
        <v>Batedor/limitador superior para box de correr</v>
      </c>
      <c r="C4814" s="40"/>
      <c r="D4814" s="25" t="s">
        <v>16</v>
      </c>
      <c r="E4814" s="26"/>
      <c r="F4814" s="41" t="s">
        <v>416</v>
      </c>
      <c r="G4814" s="27" t="str">
        <f>IF(ISNUMBER(F4814),E4814*F4814,"")</f>
        <v/>
      </c>
      <c r="H4814" s="28"/>
      <c r="I4814" s="29"/>
      <c r="J4814" s="152">
        <v>0</v>
      </c>
    </row>
    <row r="4815" spans="1:10" ht="15.75" hidden="1" thickBot="1" x14ac:dyDescent="0.3">
      <c r="A4815" s="176"/>
      <c r="B4815" s="174"/>
      <c r="C4815" s="31"/>
      <c r="D4815" s="31"/>
      <c r="E4815" s="32"/>
      <c r="F4815" s="42" t="s">
        <v>416</v>
      </c>
      <c r="G4815" s="33" t="str">
        <f>IF(ISNUMBER(F4815),E4815*F4815,"")</f>
        <v/>
      </c>
      <c r="H4815" s="34"/>
      <c r="I4815" s="30"/>
      <c r="J4815" s="152">
        <v>0</v>
      </c>
    </row>
    <row r="4816" spans="1:10" ht="15.75" hidden="1" thickBot="1" x14ac:dyDescent="0.3">
      <c r="A4816" s="176"/>
      <c r="B4816" s="174"/>
      <c r="C4816" s="35" t="s">
        <v>2909</v>
      </c>
      <c r="D4816" s="35" t="s">
        <v>583</v>
      </c>
      <c r="E4816" s="36">
        <v>0.15</v>
      </c>
      <c r="F4816" s="33">
        <v>25.060999999999996</v>
      </c>
      <c r="G4816" s="33">
        <f>IF(ISNUMBER(F4816),E4816*F4816,"")</f>
        <v>3.7591499999999991</v>
      </c>
      <c r="H4816" s="38">
        <f>SUM(G4816:G4817)</f>
        <v>3.7591499999999991</v>
      </c>
      <c r="I4816" s="39"/>
      <c r="J4816" s="152">
        <v>0</v>
      </c>
    </row>
    <row r="4817" spans="1:10" ht="26.25" hidden="1" thickBot="1" x14ac:dyDescent="0.3">
      <c r="A4817" s="176"/>
      <c r="B4817" s="174"/>
      <c r="C4817" s="35" t="s">
        <v>3089</v>
      </c>
      <c r="D4817" s="35" t="s">
        <v>16</v>
      </c>
      <c r="E4817" s="36">
        <v>1</v>
      </c>
      <c r="F4817" s="30" t="s">
        <v>416</v>
      </c>
      <c r="G4817" s="33" t="str">
        <f>IF(ISNUMBER(F4817),E4817*F4817,"")</f>
        <v/>
      </c>
      <c r="H4817" s="34"/>
      <c r="I4817" s="30"/>
      <c r="J4817" s="152">
        <v>0</v>
      </c>
    </row>
    <row r="4818" spans="1:10" ht="15.75" hidden="1" thickBot="1" x14ac:dyDescent="0.3">
      <c r="A4818" s="177"/>
      <c r="B4818" s="175"/>
      <c r="C4818" s="35"/>
      <c r="D4818" s="35"/>
      <c r="E4818" s="36"/>
      <c r="F4818" s="30" t="s">
        <v>416</v>
      </c>
      <c r="G4818" s="33" t="str">
        <f>IF(ISNUMBER(F4818),E4818*F4818,"")</f>
        <v/>
      </c>
      <c r="H4818" s="34"/>
      <c r="I4818" s="30"/>
      <c r="J4818" s="152">
        <v>0</v>
      </c>
    </row>
    <row r="4819" spans="1:10" ht="15.75" hidden="1" customHeight="1" thickBot="1" x14ac:dyDescent="0.3">
      <c r="A4819" s="170" t="s">
        <v>2964</v>
      </c>
      <c r="B4819" s="173" t="str">
        <f>INDEX(Orçamentária!A:B,MATCH(Composições!A4819,Orçamentária!A:A,0),2)</f>
        <v>Perfil cadeirinha em alumínio com encaixe para escova de vedação para vidro temperado 8 mm</v>
      </c>
      <c r="C4819" s="40"/>
      <c r="D4819" s="25" t="s">
        <v>69</v>
      </c>
      <c r="E4819" s="26"/>
      <c r="F4819" s="41" t="s">
        <v>416</v>
      </c>
      <c r="G4819" s="27" t="str">
        <f>IF(ISNUMBER(F4819),E4819*F4819,"")</f>
        <v/>
      </c>
      <c r="H4819" s="28"/>
      <c r="I4819" s="29"/>
      <c r="J4819" s="152">
        <v>0</v>
      </c>
    </row>
    <row r="4820" spans="1:10" ht="15.75" hidden="1" thickBot="1" x14ac:dyDescent="0.3">
      <c r="A4820" s="171"/>
      <c r="B4820" s="174"/>
      <c r="C4820" s="31"/>
      <c r="D4820" s="31"/>
      <c r="E4820" s="32"/>
      <c r="F4820" s="42" t="s">
        <v>416</v>
      </c>
      <c r="G4820" s="33" t="str">
        <f>IF(ISNUMBER(F4820),E4820*F4820,"")</f>
        <v/>
      </c>
      <c r="H4820" s="34"/>
      <c r="I4820" s="30"/>
      <c r="J4820" s="152">
        <v>0</v>
      </c>
    </row>
    <row r="4821" spans="1:10" ht="15.75" hidden="1" thickBot="1" x14ac:dyDescent="0.3">
      <c r="A4821" s="171"/>
      <c r="B4821" s="174"/>
      <c r="C4821" s="35" t="s">
        <v>2909</v>
      </c>
      <c r="D4821" s="35" t="s">
        <v>583</v>
      </c>
      <c r="E4821" s="36">
        <v>0.2</v>
      </c>
      <c r="F4821" s="33">
        <v>25.060999999999996</v>
      </c>
      <c r="G4821" s="33">
        <f>IF(ISNUMBER(F4821),E4821*F4821,"")</f>
        <v>5.0122</v>
      </c>
      <c r="H4821" s="38">
        <f>SUM(G4821:G4822)</f>
        <v>9.9342639999999989</v>
      </c>
      <c r="I4821" s="39"/>
      <c r="J4821" s="152">
        <v>0</v>
      </c>
    </row>
    <row r="4822" spans="1:10" ht="15.75" hidden="1" thickBot="1" x14ac:dyDescent="0.3">
      <c r="A4822" s="171"/>
      <c r="B4822" s="174"/>
      <c r="C4822" s="35" t="s">
        <v>709</v>
      </c>
      <c r="D4822" s="35" t="s">
        <v>773</v>
      </c>
      <c r="E4822" s="36">
        <v>0.126</v>
      </c>
      <c r="F4822" s="30">
        <v>39.063999999999993</v>
      </c>
      <c r="G4822" s="33">
        <f>IF(ISNUMBER(F4822),E4822*F4822,"")</f>
        <v>4.9220639999999989</v>
      </c>
      <c r="H4822" s="34"/>
      <c r="I4822" s="30"/>
      <c r="J4822" s="152">
        <v>0</v>
      </c>
    </row>
    <row r="4823" spans="1:10" ht="15.75" hidden="1" thickBot="1" x14ac:dyDescent="0.3">
      <c r="A4823" s="171"/>
      <c r="B4823" s="174"/>
      <c r="C4823" s="35"/>
      <c r="D4823" s="35"/>
      <c r="E4823" s="36"/>
      <c r="F4823" s="30" t="s">
        <v>416</v>
      </c>
      <c r="G4823" s="33"/>
      <c r="H4823" s="34"/>
      <c r="I4823" s="30"/>
      <c r="J4823" s="152">
        <v>0</v>
      </c>
    </row>
    <row r="4824" spans="1:10" ht="15.75" hidden="1" thickBot="1" x14ac:dyDescent="0.3">
      <c r="A4824" s="171"/>
      <c r="B4824" s="174"/>
      <c r="C4824" s="51" t="s">
        <v>3091</v>
      </c>
      <c r="D4824" s="35"/>
      <c r="E4824" s="36"/>
      <c r="F4824" s="30" t="s">
        <v>416</v>
      </c>
      <c r="G4824" s="33"/>
      <c r="H4824" s="34"/>
      <c r="I4824" s="30"/>
      <c r="J4824" s="152">
        <v>0</v>
      </c>
    </row>
    <row r="4825" spans="1:10" ht="15.75" hidden="1" thickBot="1" x14ac:dyDescent="0.3">
      <c r="A4825" s="171"/>
      <c r="B4825" s="174"/>
      <c r="C4825" s="51" t="s">
        <v>3090</v>
      </c>
      <c r="D4825" s="35"/>
      <c r="E4825" s="36"/>
      <c r="F4825" s="30" t="s">
        <v>416</v>
      </c>
      <c r="G4825" s="33" t="str">
        <f>IF(ISNUMBER(F4825),E4825*F4825,"")</f>
        <v/>
      </c>
      <c r="H4825" s="34"/>
      <c r="I4825" s="30"/>
      <c r="J4825" s="152">
        <v>0</v>
      </c>
    </row>
    <row r="4826" spans="1:10" ht="15.75" hidden="1" thickBot="1" x14ac:dyDescent="0.3">
      <c r="A4826" s="172"/>
      <c r="B4826" s="175"/>
      <c r="C4826" s="51"/>
      <c r="D4826" s="35"/>
      <c r="E4826" s="36"/>
      <c r="F4826" s="30" t="s">
        <v>416</v>
      </c>
      <c r="G4826" s="33"/>
      <c r="H4826" s="34"/>
      <c r="I4826" s="30"/>
      <c r="J4826" s="152">
        <v>0</v>
      </c>
    </row>
    <row r="4827" spans="1:10" ht="15.75" hidden="1" thickBot="1" x14ac:dyDescent="0.3">
      <c r="A4827" s="170" t="s">
        <v>2965</v>
      </c>
      <c r="B4827" s="173" t="str">
        <f>INDEX(Orçamentária!A:B,MATCH(Composições!A4827,Orçamentária!A:A,0),2)</f>
        <v>Perfil em alumínio para acabamento de trilho superior - Vidro temperado 8 mm</v>
      </c>
      <c r="C4827" s="40"/>
      <c r="D4827" s="25" t="s">
        <v>69</v>
      </c>
      <c r="E4827" s="26"/>
      <c r="F4827" s="41" t="s">
        <v>416</v>
      </c>
      <c r="G4827" s="27" t="str">
        <f>IF(ISNUMBER(F4827),E4827*F4827,"")</f>
        <v/>
      </c>
      <c r="H4827" s="28"/>
      <c r="I4827" s="29"/>
      <c r="J4827" s="152">
        <v>0</v>
      </c>
    </row>
    <row r="4828" spans="1:10" ht="15.75" hidden="1" thickBot="1" x14ac:dyDescent="0.3">
      <c r="A4828" s="176"/>
      <c r="B4828" s="174"/>
      <c r="C4828" s="31"/>
      <c r="D4828" s="31"/>
      <c r="E4828" s="32"/>
      <c r="F4828" s="42" t="s">
        <v>416</v>
      </c>
      <c r="G4828" s="33" t="str">
        <f>IF(ISNUMBER(F4828),E4828*F4828,"")</f>
        <v/>
      </c>
      <c r="H4828" s="34"/>
      <c r="I4828" s="30"/>
      <c r="J4828" s="152">
        <v>0</v>
      </c>
    </row>
    <row r="4829" spans="1:10" ht="15.75" hidden="1" thickBot="1" x14ac:dyDescent="0.3">
      <c r="A4829" s="176"/>
      <c r="B4829" s="174"/>
      <c r="C4829" s="35" t="s">
        <v>2909</v>
      </c>
      <c r="D4829" s="35" t="s">
        <v>583</v>
      </c>
      <c r="E4829" s="36">
        <v>0.2</v>
      </c>
      <c r="F4829" s="33">
        <v>25.060999999999996</v>
      </c>
      <c r="G4829" s="33">
        <f>IF(ISNUMBER(F4829),E4829*F4829,"")</f>
        <v>5.0122</v>
      </c>
      <c r="H4829" s="38">
        <f>SUM(G4829:G4830)</f>
        <v>13.801599999999999</v>
      </c>
      <c r="I4829" s="39"/>
      <c r="J4829" s="152">
        <v>0</v>
      </c>
    </row>
    <row r="4830" spans="1:10" ht="15.75" hidden="1" thickBot="1" x14ac:dyDescent="0.3">
      <c r="A4830" s="176"/>
      <c r="B4830" s="174"/>
      <c r="C4830" s="35" t="s">
        <v>709</v>
      </c>
      <c r="D4830" s="35" t="s">
        <v>773</v>
      </c>
      <c r="E4830" s="36">
        <v>0.22500000000000001</v>
      </c>
      <c r="F4830" s="30">
        <v>39.063999999999993</v>
      </c>
      <c r="G4830" s="33">
        <f>IF(ISNUMBER(F4830),E4830*F4830,"")</f>
        <v>8.7893999999999988</v>
      </c>
      <c r="H4830" s="34"/>
      <c r="I4830" s="30"/>
      <c r="J4830" s="152">
        <v>0</v>
      </c>
    </row>
    <row r="4831" spans="1:10" ht="15.75" hidden="1" thickBot="1" x14ac:dyDescent="0.3">
      <c r="A4831" s="176"/>
      <c r="B4831" s="174"/>
      <c r="C4831" s="35"/>
      <c r="D4831" s="35"/>
      <c r="E4831" s="36"/>
      <c r="F4831" s="30" t="s">
        <v>416</v>
      </c>
      <c r="G4831" s="33"/>
      <c r="H4831" s="34"/>
      <c r="I4831" s="30"/>
      <c r="J4831" s="152">
        <v>0</v>
      </c>
    </row>
    <row r="4832" spans="1:10" ht="15.75" hidden="1" thickBot="1" x14ac:dyDescent="0.3">
      <c r="A4832" s="176"/>
      <c r="B4832" s="174"/>
      <c r="C4832" s="51" t="s">
        <v>3092</v>
      </c>
      <c r="D4832" s="35"/>
      <c r="E4832" s="36"/>
      <c r="F4832" s="30" t="s">
        <v>416</v>
      </c>
      <c r="G4832" s="33"/>
      <c r="H4832" s="34"/>
      <c r="I4832" s="30"/>
      <c r="J4832" s="152">
        <v>0</v>
      </c>
    </row>
    <row r="4833" spans="1:10" ht="15.75" hidden="1" thickBot="1" x14ac:dyDescent="0.3">
      <c r="A4833" s="176"/>
      <c r="B4833" s="174"/>
      <c r="C4833" s="51" t="s">
        <v>3090</v>
      </c>
      <c r="D4833" s="35"/>
      <c r="E4833" s="36"/>
      <c r="F4833" s="30" t="s">
        <v>416</v>
      </c>
      <c r="G4833" s="33"/>
      <c r="H4833" s="34"/>
      <c r="I4833" s="30"/>
      <c r="J4833" s="152">
        <v>0</v>
      </c>
    </row>
    <row r="4834" spans="1:10" ht="15.75" hidden="1" thickBot="1" x14ac:dyDescent="0.3">
      <c r="A4834" s="177"/>
      <c r="B4834" s="175"/>
      <c r="C4834" s="35"/>
      <c r="D4834" s="35"/>
      <c r="E4834" s="36"/>
      <c r="F4834" s="30" t="s">
        <v>416</v>
      </c>
      <c r="G4834" s="33" t="str">
        <f>IF(ISNUMBER(F4834),E4834*F4834,"")</f>
        <v/>
      </c>
      <c r="H4834" s="34"/>
      <c r="I4834" s="30"/>
      <c r="J4834" s="152">
        <v>0</v>
      </c>
    </row>
    <row r="4835" spans="1:10" ht="15.75" hidden="1" thickBot="1" x14ac:dyDescent="0.3">
      <c r="A4835" s="170" t="s">
        <v>2966</v>
      </c>
      <c r="B4835" s="173" t="str">
        <f>INDEX(Orçamentária!A:B,MATCH(Composições!A4835,Orçamentária!A:A,0),2)</f>
        <v>Capa do Perfil Guia Inferior “Click” - Vidro temperado 8 mm</v>
      </c>
      <c r="C4835" s="40"/>
      <c r="D4835" s="25" t="s">
        <v>69</v>
      </c>
      <c r="E4835" s="26"/>
      <c r="F4835" s="41" t="s">
        <v>416</v>
      </c>
      <c r="G4835" s="27" t="str">
        <f>IF(ISNUMBER(F4835),E4835*F4835,"")</f>
        <v/>
      </c>
      <c r="H4835" s="28"/>
      <c r="I4835" s="29"/>
      <c r="J4835" s="152">
        <v>0</v>
      </c>
    </row>
    <row r="4836" spans="1:10" ht="15.75" hidden="1" thickBot="1" x14ac:dyDescent="0.3">
      <c r="A4836" s="176"/>
      <c r="B4836" s="174"/>
      <c r="C4836" s="31"/>
      <c r="D4836" s="31"/>
      <c r="E4836" s="32"/>
      <c r="F4836" s="42" t="s">
        <v>416</v>
      </c>
      <c r="G4836" s="33" t="str">
        <f>IF(ISNUMBER(F4836),E4836*F4836,"")</f>
        <v/>
      </c>
      <c r="H4836" s="34"/>
      <c r="I4836" s="30"/>
      <c r="J4836" s="152">
        <v>0</v>
      </c>
    </row>
    <row r="4837" spans="1:10" ht="15.75" hidden="1" thickBot="1" x14ac:dyDescent="0.3">
      <c r="A4837" s="176"/>
      <c r="B4837" s="174"/>
      <c r="C4837" s="35" t="s">
        <v>2909</v>
      </c>
      <c r="D4837" s="35" t="s">
        <v>583</v>
      </c>
      <c r="E4837" s="36">
        <v>0.15</v>
      </c>
      <c r="F4837" s="33">
        <v>25.060999999999996</v>
      </c>
      <c r="G4837" s="33">
        <f>IF(ISNUMBER(F4837),E4837*F4837,"")</f>
        <v>3.7591499999999991</v>
      </c>
      <c r="H4837" s="38">
        <f>SUM(G4837:G4838)</f>
        <v>5.9076699999999986</v>
      </c>
      <c r="I4837" s="39"/>
      <c r="J4837" s="152">
        <v>0</v>
      </c>
    </row>
    <row r="4838" spans="1:10" ht="15.75" hidden="1" thickBot="1" x14ac:dyDescent="0.3">
      <c r="A4838" s="176"/>
      <c r="B4838" s="174"/>
      <c r="C4838" s="35" t="s">
        <v>709</v>
      </c>
      <c r="D4838" s="35" t="s">
        <v>773</v>
      </c>
      <c r="E4838" s="36">
        <v>5.5E-2</v>
      </c>
      <c r="F4838" s="30">
        <v>39.063999999999993</v>
      </c>
      <c r="G4838" s="33">
        <f>IF(ISNUMBER(F4838),E4838*F4838,"")</f>
        <v>2.1485199999999995</v>
      </c>
      <c r="H4838" s="34"/>
      <c r="I4838" s="30"/>
      <c r="J4838" s="152">
        <v>0</v>
      </c>
    </row>
    <row r="4839" spans="1:10" ht="15.75" hidden="1" thickBot="1" x14ac:dyDescent="0.3">
      <c r="A4839" s="176"/>
      <c r="B4839" s="174"/>
      <c r="C4839" s="35"/>
      <c r="D4839" s="35"/>
      <c r="E4839" s="36"/>
      <c r="F4839" s="30" t="s">
        <v>416</v>
      </c>
      <c r="G4839" s="33"/>
      <c r="H4839" s="34"/>
      <c r="I4839" s="30"/>
      <c r="J4839" s="152">
        <v>0</v>
      </c>
    </row>
    <row r="4840" spans="1:10" ht="15.75" hidden="1" thickBot="1" x14ac:dyDescent="0.3">
      <c r="A4840" s="176"/>
      <c r="B4840" s="174"/>
      <c r="C4840" s="51" t="s">
        <v>3093</v>
      </c>
      <c r="D4840" s="35"/>
      <c r="E4840" s="36"/>
      <c r="F4840" s="30" t="s">
        <v>416</v>
      </c>
      <c r="G4840" s="33"/>
      <c r="H4840" s="34"/>
      <c r="I4840" s="30"/>
      <c r="J4840" s="152">
        <v>0</v>
      </c>
    </row>
    <row r="4841" spans="1:10" ht="15.75" hidden="1" thickBot="1" x14ac:dyDescent="0.3">
      <c r="A4841" s="176"/>
      <c r="B4841" s="174"/>
      <c r="C4841" s="51" t="s">
        <v>3090</v>
      </c>
      <c r="D4841" s="35"/>
      <c r="E4841" s="36"/>
      <c r="F4841" s="30" t="s">
        <v>416</v>
      </c>
      <c r="G4841" s="33"/>
      <c r="H4841" s="34"/>
      <c r="I4841" s="30"/>
      <c r="J4841" s="152">
        <v>0</v>
      </c>
    </row>
    <row r="4842" spans="1:10" ht="15.75" hidden="1" thickBot="1" x14ac:dyDescent="0.3">
      <c r="A4842" s="177"/>
      <c r="B4842" s="175"/>
      <c r="C4842" s="35"/>
      <c r="D4842" s="35"/>
      <c r="E4842" s="36"/>
      <c r="F4842" s="30" t="s">
        <v>416</v>
      </c>
      <c r="G4842" s="33" t="str">
        <f>IF(ISNUMBER(F4842),E4842*F4842,"")</f>
        <v/>
      </c>
      <c r="H4842" s="34"/>
      <c r="I4842" s="30"/>
      <c r="J4842" s="152">
        <v>0</v>
      </c>
    </row>
    <row r="4843" spans="1:10" ht="15.75" hidden="1" thickBot="1" x14ac:dyDescent="0.3">
      <c r="A4843" s="170" t="s">
        <v>2967</v>
      </c>
      <c r="B4843" s="173" t="str">
        <f>INDEX(Orçamentária!A:B,MATCH(Composições!A4843,Orçamentária!A:A,0),2)</f>
        <v>Perfil guia inferior de alumínio para porta de giro em vidro temperado 8 mm</v>
      </c>
      <c r="C4843" s="40"/>
      <c r="D4843" s="25" t="s">
        <v>69</v>
      </c>
      <c r="E4843" s="26"/>
      <c r="F4843" s="41" t="s">
        <v>416</v>
      </c>
      <c r="G4843" s="27" t="str">
        <f>IF(ISNUMBER(F4843),E4843*F4843,"")</f>
        <v/>
      </c>
      <c r="H4843" s="28"/>
      <c r="I4843" s="29"/>
      <c r="J4843" s="152">
        <v>0</v>
      </c>
    </row>
    <row r="4844" spans="1:10" ht="15.75" hidden="1" thickBot="1" x14ac:dyDescent="0.3">
      <c r="A4844" s="176"/>
      <c r="B4844" s="174"/>
      <c r="C4844" s="31"/>
      <c r="D4844" s="31"/>
      <c r="E4844" s="32"/>
      <c r="F4844" s="42" t="s">
        <v>416</v>
      </c>
      <c r="G4844" s="33" t="str">
        <f>IF(ISNUMBER(F4844),E4844*F4844,"")</f>
        <v/>
      </c>
      <c r="H4844" s="34"/>
      <c r="I4844" s="30"/>
      <c r="J4844" s="152">
        <v>0</v>
      </c>
    </row>
    <row r="4845" spans="1:10" ht="15.75" hidden="1" thickBot="1" x14ac:dyDescent="0.3">
      <c r="A4845" s="176"/>
      <c r="B4845" s="174"/>
      <c r="C4845" s="35" t="s">
        <v>2909</v>
      </c>
      <c r="D4845" s="35" t="s">
        <v>583</v>
      </c>
      <c r="E4845" s="36">
        <v>0.3</v>
      </c>
      <c r="F4845" s="33">
        <v>25.060999999999996</v>
      </c>
      <c r="G4845" s="33">
        <f>IF(ISNUMBER(F4845),E4845*F4845,"")</f>
        <v>7.5182999999999982</v>
      </c>
      <c r="H4845" s="38">
        <f>SUM(G4845:G4846)</f>
        <v>15.643611999999996</v>
      </c>
      <c r="I4845" s="39"/>
      <c r="J4845" s="152">
        <v>0</v>
      </c>
    </row>
    <row r="4846" spans="1:10" ht="15.75" hidden="1" thickBot="1" x14ac:dyDescent="0.3">
      <c r="A4846" s="176"/>
      <c r="B4846" s="174"/>
      <c r="C4846" s="35" t="s">
        <v>709</v>
      </c>
      <c r="D4846" s="35" t="s">
        <v>773</v>
      </c>
      <c r="E4846" s="36">
        <v>0.20799999999999999</v>
      </c>
      <c r="F4846" s="30">
        <v>39.063999999999993</v>
      </c>
      <c r="G4846" s="33">
        <f>IF(ISNUMBER(F4846),E4846*F4846,"")</f>
        <v>8.1253119999999974</v>
      </c>
      <c r="H4846" s="34"/>
      <c r="I4846" s="30"/>
      <c r="J4846" s="152">
        <v>0</v>
      </c>
    </row>
    <row r="4847" spans="1:10" ht="15.75" hidden="1" thickBot="1" x14ac:dyDescent="0.3">
      <c r="A4847" s="176"/>
      <c r="B4847" s="174"/>
      <c r="C4847" s="35"/>
      <c r="D4847" s="35"/>
      <c r="E4847" s="36"/>
      <c r="F4847" s="30" t="s">
        <v>416</v>
      </c>
      <c r="G4847" s="33"/>
      <c r="H4847" s="34"/>
      <c r="I4847" s="30"/>
      <c r="J4847" s="152">
        <v>0</v>
      </c>
    </row>
    <row r="4848" spans="1:10" ht="15.75" hidden="1" thickBot="1" x14ac:dyDescent="0.3">
      <c r="A4848" s="176"/>
      <c r="B4848" s="174"/>
      <c r="C4848" s="51" t="s">
        <v>3094</v>
      </c>
      <c r="D4848" s="35"/>
      <c r="E4848" s="36"/>
      <c r="F4848" s="30" t="s">
        <v>416</v>
      </c>
      <c r="G4848" s="33"/>
      <c r="H4848" s="34"/>
      <c r="I4848" s="30"/>
      <c r="J4848" s="152">
        <v>0</v>
      </c>
    </row>
    <row r="4849" spans="1:10" ht="15.75" hidden="1" thickBot="1" x14ac:dyDescent="0.3">
      <c r="A4849" s="176"/>
      <c r="B4849" s="174"/>
      <c r="C4849" s="51" t="s">
        <v>3090</v>
      </c>
      <c r="D4849" s="35"/>
      <c r="E4849" s="36"/>
      <c r="F4849" s="30" t="s">
        <v>416</v>
      </c>
      <c r="G4849" s="33"/>
      <c r="H4849" s="34"/>
      <c r="I4849" s="30"/>
      <c r="J4849" s="152">
        <v>0</v>
      </c>
    </row>
    <row r="4850" spans="1:10" ht="15.75" hidden="1" thickBot="1" x14ac:dyDescent="0.3">
      <c r="A4850" s="177"/>
      <c r="B4850" s="175"/>
      <c r="C4850" s="35"/>
      <c r="D4850" s="35"/>
      <c r="E4850" s="36"/>
      <c r="F4850" s="30" t="s">
        <v>416</v>
      </c>
      <c r="G4850" s="33" t="str">
        <f>IF(ISNUMBER(F4850),E4850*F4850,"")</f>
        <v/>
      </c>
      <c r="H4850" s="34"/>
      <c r="I4850" s="30"/>
      <c r="J4850" s="152">
        <v>0</v>
      </c>
    </row>
    <row r="4851" spans="1:10" ht="15.75" hidden="1" thickBot="1" x14ac:dyDescent="0.3">
      <c r="A4851" s="170" t="s">
        <v>2968</v>
      </c>
      <c r="B4851" s="173" t="str">
        <f>INDEX(Orçamentária!A:B,MATCH(Composições!A4851,Orçamentária!A:A,0),2)</f>
        <v>Perfil guia inferior de alumínio para porta de correr em vidro temperado 8 mm</v>
      </c>
      <c r="C4851" s="40"/>
      <c r="D4851" s="25" t="s">
        <v>69</v>
      </c>
      <c r="E4851" s="26"/>
      <c r="F4851" s="41" t="s">
        <v>416</v>
      </c>
      <c r="G4851" s="27" t="str">
        <f>IF(ISNUMBER(F4851),E4851*F4851,"")</f>
        <v/>
      </c>
      <c r="H4851" s="28"/>
      <c r="I4851" s="29"/>
      <c r="J4851" s="152">
        <v>0</v>
      </c>
    </row>
    <row r="4852" spans="1:10" ht="15.75" hidden="1" thickBot="1" x14ac:dyDescent="0.3">
      <c r="A4852" s="176"/>
      <c r="B4852" s="174"/>
      <c r="C4852" s="31"/>
      <c r="D4852" s="31"/>
      <c r="E4852" s="32"/>
      <c r="F4852" s="42" t="s">
        <v>416</v>
      </c>
      <c r="G4852" s="33" t="str">
        <f>IF(ISNUMBER(F4852),E4852*F4852,"")</f>
        <v/>
      </c>
      <c r="H4852" s="34"/>
      <c r="I4852" s="30"/>
      <c r="J4852" s="152">
        <v>0</v>
      </c>
    </row>
    <row r="4853" spans="1:10" ht="15.75" hidden="1" thickBot="1" x14ac:dyDescent="0.3">
      <c r="A4853" s="176"/>
      <c r="B4853" s="174"/>
      <c r="C4853" s="35" t="s">
        <v>2909</v>
      </c>
      <c r="D4853" s="35" t="s">
        <v>583</v>
      </c>
      <c r="E4853" s="36">
        <v>0.3</v>
      </c>
      <c r="F4853" s="33">
        <v>25.060999999999996</v>
      </c>
      <c r="G4853" s="33">
        <f>IF(ISNUMBER(F4853),E4853*F4853,"")</f>
        <v>7.5182999999999982</v>
      </c>
      <c r="H4853" s="38">
        <f>SUM(G4853:G4854)</f>
        <v>17.635875999999996</v>
      </c>
      <c r="I4853" s="39"/>
      <c r="J4853" s="152">
        <v>0</v>
      </c>
    </row>
    <row r="4854" spans="1:10" ht="15.75" hidden="1" thickBot="1" x14ac:dyDescent="0.3">
      <c r="A4854" s="176"/>
      <c r="B4854" s="174"/>
      <c r="C4854" s="35" t="s">
        <v>709</v>
      </c>
      <c r="D4854" s="35" t="s">
        <v>773</v>
      </c>
      <c r="E4854" s="36">
        <v>0.25900000000000001</v>
      </c>
      <c r="F4854" s="30">
        <v>39.063999999999993</v>
      </c>
      <c r="G4854" s="33">
        <f>IF(ISNUMBER(F4854),E4854*F4854,"")</f>
        <v>10.117575999999998</v>
      </c>
      <c r="H4854" s="34"/>
      <c r="I4854" s="30"/>
      <c r="J4854" s="152">
        <v>0</v>
      </c>
    </row>
    <row r="4855" spans="1:10" ht="15.75" hidden="1" thickBot="1" x14ac:dyDescent="0.3">
      <c r="A4855" s="176"/>
      <c r="B4855" s="174"/>
      <c r="C4855" s="35"/>
      <c r="D4855" s="35"/>
      <c r="E4855" s="36"/>
      <c r="F4855" s="30" t="s">
        <v>416</v>
      </c>
      <c r="G4855" s="33"/>
      <c r="H4855" s="34"/>
      <c r="I4855" s="30"/>
      <c r="J4855" s="152">
        <v>0</v>
      </c>
    </row>
    <row r="4856" spans="1:10" ht="15.75" hidden="1" thickBot="1" x14ac:dyDescent="0.3">
      <c r="A4856" s="176"/>
      <c r="B4856" s="174"/>
      <c r="C4856" s="51" t="s">
        <v>3095</v>
      </c>
      <c r="D4856" s="35"/>
      <c r="E4856" s="36"/>
      <c r="F4856" s="30" t="s">
        <v>416</v>
      </c>
      <c r="G4856" s="33"/>
      <c r="H4856" s="34"/>
      <c r="I4856" s="30"/>
      <c r="J4856" s="152">
        <v>0</v>
      </c>
    </row>
    <row r="4857" spans="1:10" ht="15.75" hidden="1" thickBot="1" x14ac:dyDescent="0.3">
      <c r="A4857" s="176"/>
      <c r="B4857" s="174"/>
      <c r="C4857" s="51" t="s">
        <v>3090</v>
      </c>
      <c r="D4857" s="35"/>
      <c r="E4857" s="36"/>
      <c r="F4857" s="30" t="s">
        <v>416</v>
      </c>
      <c r="G4857" s="33"/>
      <c r="H4857" s="34"/>
      <c r="I4857" s="30"/>
      <c r="J4857" s="152">
        <v>0</v>
      </c>
    </row>
    <row r="4858" spans="1:10" ht="15.75" hidden="1" thickBot="1" x14ac:dyDescent="0.3">
      <c r="A4858" s="177"/>
      <c r="B4858" s="175"/>
      <c r="C4858" s="35"/>
      <c r="D4858" s="35"/>
      <c r="E4858" s="36"/>
      <c r="F4858" s="30" t="s">
        <v>416</v>
      </c>
      <c r="G4858" s="33" t="str">
        <f>IF(ISNUMBER(F4858),E4858*F4858,"")</f>
        <v/>
      </c>
      <c r="H4858" s="34"/>
      <c r="I4858" s="30"/>
      <c r="J4858" s="152">
        <v>0</v>
      </c>
    </row>
    <row r="4859" spans="1:10" ht="15.75" hidden="1" thickBot="1" x14ac:dyDescent="0.3">
      <c r="A4859" s="170" t="s">
        <v>2969</v>
      </c>
      <c r="B4859" s="173" t="str">
        <f>INDEX(Orçamentária!A:B,MATCH(Composições!A4859,Orçamentária!A:A,0),2)</f>
        <v>Trilho superior em alumínio 53,8 mm x 49,6 mm, para vidro temperado</v>
      </c>
      <c r="C4859" s="40"/>
      <c r="D4859" s="25" t="s">
        <v>69</v>
      </c>
      <c r="E4859" s="26"/>
      <c r="F4859" s="41" t="s">
        <v>416</v>
      </c>
      <c r="G4859" s="27" t="str">
        <f>IF(ISNUMBER(F4859),E4859*F4859,"")</f>
        <v/>
      </c>
      <c r="H4859" s="28"/>
      <c r="I4859" s="29"/>
      <c r="J4859" s="152">
        <v>0</v>
      </c>
    </row>
    <row r="4860" spans="1:10" ht="15.75" hidden="1" thickBot="1" x14ac:dyDescent="0.3">
      <c r="A4860" s="176"/>
      <c r="B4860" s="174"/>
      <c r="C4860" s="31"/>
      <c r="D4860" s="31"/>
      <c r="E4860" s="32"/>
      <c r="F4860" s="42" t="s">
        <v>416</v>
      </c>
      <c r="G4860" s="33" t="str">
        <f>IF(ISNUMBER(F4860),E4860*F4860,"")</f>
        <v/>
      </c>
      <c r="H4860" s="34"/>
      <c r="I4860" s="30"/>
      <c r="J4860" s="152">
        <v>0</v>
      </c>
    </row>
    <row r="4861" spans="1:10" ht="15.75" hidden="1" thickBot="1" x14ac:dyDescent="0.3">
      <c r="A4861" s="176"/>
      <c r="B4861" s="174"/>
      <c r="C4861" s="35" t="s">
        <v>2909</v>
      </c>
      <c r="D4861" s="35" t="s">
        <v>583</v>
      </c>
      <c r="E4861" s="36">
        <v>0.3</v>
      </c>
      <c r="F4861" s="33">
        <v>25.060999999999996</v>
      </c>
      <c r="G4861" s="33">
        <f>IF(ISNUMBER(F4861),E4861*F4861,"")</f>
        <v>7.5182999999999982</v>
      </c>
      <c r="H4861" s="38">
        <f>SUM(G4861:G4862)</f>
        <v>28.456603999999999</v>
      </c>
      <c r="I4861" s="39"/>
      <c r="J4861" s="152">
        <v>0</v>
      </c>
    </row>
    <row r="4862" spans="1:10" ht="15.75" hidden="1" thickBot="1" x14ac:dyDescent="0.3">
      <c r="A4862" s="176"/>
      <c r="B4862" s="174"/>
      <c r="C4862" s="35" t="s">
        <v>709</v>
      </c>
      <c r="D4862" s="35" t="s">
        <v>773</v>
      </c>
      <c r="E4862" s="36">
        <v>0.53600000000000003</v>
      </c>
      <c r="F4862" s="30">
        <v>39.063999999999993</v>
      </c>
      <c r="G4862" s="33">
        <f>IF(ISNUMBER(F4862),E4862*F4862,"")</f>
        <v>20.938303999999999</v>
      </c>
      <c r="H4862" s="34"/>
      <c r="I4862" s="30"/>
      <c r="J4862" s="152">
        <v>0</v>
      </c>
    </row>
    <row r="4863" spans="1:10" ht="15.75" hidden="1" thickBot="1" x14ac:dyDescent="0.3">
      <c r="A4863" s="176"/>
      <c r="B4863" s="174"/>
      <c r="C4863" s="35"/>
      <c r="D4863" s="35"/>
      <c r="E4863" s="36"/>
      <c r="F4863" s="30" t="s">
        <v>416</v>
      </c>
      <c r="G4863" s="33"/>
      <c r="H4863" s="34"/>
      <c r="I4863" s="30"/>
      <c r="J4863" s="152">
        <v>0</v>
      </c>
    </row>
    <row r="4864" spans="1:10" ht="15.75" hidden="1" thickBot="1" x14ac:dyDescent="0.3">
      <c r="A4864" s="176"/>
      <c r="B4864" s="174"/>
      <c r="C4864" s="51" t="s">
        <v>3096</v>
      </c>
      <c r="D4864" s="35"/>
      <c r="E4864" s="36"/>
      <c r="F4864" s="30" t="s">
        <v>416</v>
      </c>
      <c r="G4864" s="33"/>
      <c r="H4864" s="34"/>
      <c r="I4864" s="30"/>
      <c r="J4864" s="152">
        <v>0</v>
      </c>
    </row>
    <row r="4865" spans="1:10" ht="15.75" hidden="1" thickBot="1" x14ac:dyDescent="0.3">
      <c r="A4865" s="176"/>
      <c r="B4865" s="174"/>
      <c r="C4865" s="51" t="s">
        <v>3090</v>
      </c>
      <c r="D4865" s="35"/>
      <c r="E4865" s="36"/>
      <c r="F4865" s="30" t="s">
        <v>416</v>
      </c>
      <c r="G4865" s="33"/>
      <c r="H4865" s="34"/>
      <c r="I4865" s="30"/>
      <c r="J4865" s="152">
        <v>0</v>
      </c>
    </row>
    <row r="4866" spans="1:10" ht="15.75" hidden="1" thickBot="1" x14ac:dyDescent="0.3">
      <c r="A4866" s="177"/>
      <c r="B4866" s="175"/>
      <c r="C4866" s="35"/>
      <c r="D4866" s="35"/>
      <c r="E4866" s="36"/>
      <c r="F4866" s="30" t="s">
        <v>416</v>
      </c>
      <c r="G4866" s="33" t="str">
        <f>IF(ISNUMBER(F4866),E4866*F4866,"")</f>
        <v/>
      </c>
      <c r="H4866" s="34"/>
      <c r="I4866" s="30"/>
      <c r="J4866" s="152">
        <v>0</v>
      </c>
    </row>
    <row r="4867" spans="1:10" ht="15.75" hidden="1" thickBot="1" x14ac:dyDescent="0.3">
      <c r="A4867" s="170" t="s">
        <v>2970</v>
      </c>
      <c r="B4867" s="173" t="str">
        <f>INDEX(Orçamentária!A:B,MATCH(Composições!A4867,Orçamentária!A:A,0),2)</f>
        <v>Perfil em alumínio, tipo U - 10,5 x 20 mm - para box de vidro temperado 8 mm</v>
      </c>
      <c r="C4867" s="40"/>
      <c r="D4867" s="25" t="s">
        <v>69</v>
      </c>
      <c r="E4867" s="26"/>
      <c r="F4867" s="41" t="s">
        <v>416</v>
      </c>
      <c r="G4867" s="27" t="str">
        <f>IF(ISNUMBER(F4867),E4867*F4867,"")</f>
        <v/>
      </c>
      <c r="H4867" s="28"/>
      <c r="I4867" s="29"/>
      <c r="J4867" s="152">
        <v>0</v>
      </c>
    </row>
    <row r="4868" spans="1:10" ht="15.75" hidden="1" thickBot="1" x14ac:dyDescent="0.3">
      <c r="A4868" s="176"/>
      <c r="B4868" s="174"/>
      <c r="C4868" s="31"/>
      <c r="D4868" s="31"/>
      <c r="E4868" s="32"/>
      <c r="F4868" s="42" t="s">
        <v>416</v>
      </c>
      <c r="G4868" s="33" t="str">
        <f>IF(ISNUMBER(F4868),E4868*F4868,"")</f>
        <v/>
      </c>
      <c r="H4868" s="34"/>
      <c r="I4868" s="30"/>
      <c r="J4868" s="152">
        <v>0</v>
      </c>
    </row>
    <row r="4869" spans="1:10" ht="15.75" hidden="1" thickBot="1" x14ac:dyDescent="0.3">
      <c r="A4869" s="176"/>
      <c r="B4869" s="174"/>
      <c r="C4869" s="35" t="s">
        <v>2909</v>
      </c>
      <c r="D4869" s="35" t="s">
        <v>583</v>
      </c>
      <c r="E4869" s="36">
        <v>0.2</v>
      </c>
      <c r="F4869" s="33">
        <v>25.060999999999996</v>
      </c>
      <c r="G4869" s="33">
        <f>IF(ISNUMBER(F4869),E4869*F4869,"")</f>
        <v>5.0122</v>
      </c>
      <c r="H4869" s="38">
        <f>SUM(G4869:G4870)</f>
        <v>9.1139200000000002</v>
      </c>
      <c r="I4869" s="39"/>
      <c r="J4869" s="152">
        <v>0</v>
      </c>
    </row>
    <row r="4870" spans="1:10" ht="15.75" hidden="1" thickBot="1" x14ac:dyDescent="0.3">
      <c r="A4870" s="176"/>
      <c r="B4870" s="174"/>
      <c r="C4870" s="35" t="s">
        <v>709</v>
      </c>
      <c r="D4870" s="35" t="s">
        <v>773</v>
      </c>
      <c r="E4870" s="36">
        <v>0.105</v>
      </c>
      <c r="F4870" s="30">
        <v>39.063999999999993</v>
      </c>
      <c r="G4870" s="33">
        <f>IF(ISNUMBER(F4870),E4870*F4870,"")</f>
        <v>4.1017199999999994</v>
      </c>
      <c r="H4870" s="34"/>
      <c r="I4870" s="30"/>
      <c r="J4870" s="152">
        <v>0</v>
      </c>
    </row>
    <row r="4871" spans="1:10" ht="15.75" hidden="1" thickBot="1" x14ac:dyDescent="0.3">
      <c r="A4871" s="176"/>
      <c r="B4871" s="174"/>
      <c r="C4871" s="35"/>
      <c r="D4871" s="35"/>
      <c r="E4871" s="36"/>
      <c r="F4871" s="30" t="s">
        <v>416</v>
      </c>
      <c r="G4871" s="33"/>
      <c r="H4871" s="34"/>
      <c r="I4871" s="30"/>
      <c r="J4871" s="152">
        <v>0</v>
      </c>
    </row>
    <row r="4872" spans="1:10" ht="15.75" hidden="1" thickBot="1" x14ac:dyDescent="0.3">
      <c r="A4872" s="176"/>
      <c r="B4872" s="174"/>
      <c r="C4872" s="51" t="s">
        <v>3097</v>
      </c>
      <c r="D4872" s="35"/>
      <c r="E4872" s="36"/>
      <c r="F4872" s="30" t="s">
        <v>416</v>
      </c>
      <c r="G4872" s="33"/>
      <c r="H4872" s="34"/>
      <c r="I4872" s="30"/>
      <c r="J4872" s="152">
        <v>0</v>
      </c>
    </row>
    <row r="4873" spans="1:10" ht="15.75" hidden="1" thickBot="1" x14ac:dyDescent="0.3">
      <c r="A4873" s="176"/>
      <c r="B4873" s="174"/>
      <c r="C4873" s="51" t="s">
        <v>3090</v>
      </c>
      <c r="D4873" s="35"/>
      <c r="E4873" s="36"/>
      <c r="F4873" s="30" t="s">
        <v>416</v>
      </c>
      <c r="G4873" s="33"/>
      <c r="H4873" s="34"/>
      <c r="I4873" s="30"/>
      <c r="J4873" s="152">
        <v>0</v>
      </c>
    </row>
    <row r="4874" spans="1:10" ht="15.75" hidden="1" thickBot="1" x14ac:dyDescent="0.3">
      <c r="A4874" s="177"/>
      <c r="B4874" s="175"/>
      <c r="C4874" s="35"/>
      <c r="D4874" s="35"/>
      <c r="E4874" s="36"/>
      <c r="F4874" s="30" t="s">
        <v>416</v>
      </c>
      <c r="G4874" s="33" t="str">
        <f>IF(ISNUMBER(F4874),E4874*F4874,"")</f>
        <v/>
      </c>
      <c r="H4874" s="34"/>
      <c r="I4874" s="30"/>
      <c r="J4874" s="152">
        <v>0</v>
      </c>
    </row>
    <row r="4875" spans="1:10" ht="15.75" hidden="1" thickBot="1" x14ac:dyDescent="0.3">
      <c r="A4875" s="170" t="s">
        <v>2971</v>
      </c>
      <c r="B4875" s="173" t="str">
        <f>INDEX(Orçamentária!A:B,MATCH(Composições!A4875,Orçamentária!A:A,0),2)</f>
        <v>Perfil em alumínio , tipo U –  14 x 20 mm - para box de vidro temperado 8 mm</v>
      </c>
      <c r="C4875" s="40"/>
      <c r="D4875" s="25" t="s">
        <v>69</v>
      </c>
      <c r="E4875" s="26"/>
      <c r="F4875" s="41" t="s">
        <v>416</v>
      </c>
      <c r="G4875" s="27" t="str">
        <f>IF(ISNUMBER(F4875),E4875*F4875,"")</f>
        <v/>
      </c>
      <c r="H4875" s="28"/>
      <c r="I4875" s="29"/>
      <c r="J4875" s="152">
        <v>0</v>
      </c>
    </row>
    <row r="4876" spans="1:10" ht="15.75" hidden="1" thickBot="1" x14ac:dyDescent="0.3">
      <c r="A4876" s="176"/>
      <c r="B4876" s="174"/>
      <c r="C4876" s="31"/>
      <c r="D4876" s="31"/>
      <c r="E4876" s="32"/>
      <c r="F4876" s="42" t="s">
        <v>416</v>
      </c>
      <c r="G4876" s="33" t="str">
        <f>IF(ISNUMBER(F4876),E4876*F4876,"")</f>
        <v/>
      </c>
      <c r="H4876" s="34"/>
      <c r="I4876" s="30"/>
      <c r="J4876" s="152">
        <v>0</v>
      </c>
    </row>
    <row r="4877" spans="1:10" ht="15.75" hidden="1" thickBot="1" x14ac:dyDescent="0.3">
      <c r="A4877" s="176"/>
      <c r="B4877" s="174"/>
      <c r="C4877" s="35" t="s">
        <v>2909</v>
      </c>
      <c r="D4877" s="35" t="s">
        <v>583</v>
      </c>
      <c r="E4877" s="36">
        <v>0.2</v>
      </c>
      <c r="F4877" s="33">
        <v>25.060999999999996</v>
      </c>
      <c r="G4877" s="33">
        <f>IF(ISNUMBER(F4877),E4877*F4877,"")</f>
        <v>5.0122</v>
      </c>
      <c r="H4877" s="38">
        <f>SUM(G4877:G4878)</f>
        <v>9.6608159999999987</v>
      </c>
      <c r="I4877" s="39"/>
      <c r="J4877" s="152">
        <v>0</v>
      </c>
    </row>
    <row r="4878" spans="1:10" ht="15.75" hidden="1" thickBot="1" x14ac:dyDescent="0.3">
      <c r="A4878" s="176"/>
      <c r="B4878" s="174"/>
      <c r="C4878" s="35" t="s">
        <v>709</v>
      </c>
      <c r="D4878" s="35" t="s">
        <v>773</v>
      </c>
      <c r="E4878" s="36">
        <v>0.11899999999999999</v>
      </c>
      <c r="F4878" s="30">
        <v>39.063999999999993</v>
      </c>
      <c r="G4878" s="33">
        <f>IF(ISNUMBER(F4878),E4878*F4878,"")</f>
        <v>4.6486159999999987</v>
      </c>
      <c r="H4878" s="34"/>
      <c r="I4878" s="30"/>
      <c r="J4878" s="152">
        <v>0</v>
      </c>
    </row>
    <row r="4879" spans="1:10" ht="15.75" hidden="1" thickBot="1" x14ac:dyDescent="0.3">
      <c r="A4879" s="176"/>
      <c r="B4879" s="174"/>
      <c r="C4879" s="35"/>
      <c r="D4879" s="35"/>
      <c r="E4879" s="36"/>
      <c r="F4879" s="30" t="s">
        <v>416</v>
      </c>
      <c r="G4879" s="33"/>
      <c r="H4879" s="34"/>
      <c r="I4879" s="30"/>
      <c r="J4879" s="152">
        <v>0</v>
      </c>
    </row>
    <row r="4880" spans="1:10" ht="15.75" hidden="1" thickBot="1" x14ac:dyDescent="0.3">
      <c r="A4880" s="176"/>
      <c r="B4880" s="174"/>
      <c r="C4880" s="51" t="s">
        <v>3098</v>
      </c>
      <c r="D4880" s="35"/>
      <c r="E4880" s="36"/>
      <c r="F4880" s="30" t="s">
        <v>416</v>
      </c>
      <c r="G4880" s="33"/>
      <c r="H4880" s="34"/>
      <c r="I4880" s="30"/>
      <c r="J4880" s="152">
        <v>0</v>
      </c>
    </row>
    <row r="4881" spans="1:10" ht="15.75" hidden="1" thickBot="1" x14ac:dyDescent="0.3">
      <c r="A4881" s="176"/>
      <c r="B4881" s="174"/>
      <c r="C4881" s="51" t="s">
        <v>3090</v>
      </c>
      <c r="D4881" s="35"/>
      <c r="E4881" s="36"/>
      <c r="F4881" s="30" t="s">
        <v>416</v>
      </c>
      <c r="G4881" s="33"/>
      <c r="H4881" s="34"/>
      <c r="I4881" s="30"/>
      <c r="J4881" s="152">
        <v>0</v>
      </c>
    </row>
    <row r="4882" spans="1:10" ht="15.75" hidden="1" thickBot="1" x14ac:dyDescent="0.3">
      <c r="A4882" s="177"/>
      <c r="B4882" s="175"/>
      <c r="C4882" s="35"/>
      <c r="D4882" s="35"/>
      <c r="E4882" s="36"/>
      <c r="F4882" s="30" t="s">
        <v>416</v>
      </c>
      <c r="G4882" s="33" t="str">
        <f>IF(ISNUMBER(F4882),E4882*F4882,"")</f>
        <v/>
      </c>
      <c r="H4882" s="34"/>
      <c r="I4882" s="30"/>
      <c r="J4882" s="152">
        <v>0</v>
      </c>
    </row>
    <row r="4883" spans="1:10" ht="15.75" hidden="1" thickBot="1" x14ac:dyDescent="0.3">
      <c r="A4883" s="170" t="s">
        <v>2972</v>
      </c>
      <c r="B4883" s="173" t="str">
        <f>INDEX(Orçamentária!A:B,MATCH(Composições!A4883,Orçamentária!A:A,0),2)</f>
        <v>Bacia convencional – Linha Residencial</v>
      </c>
      <c r="C4883" s="40"/>
      <c r="D4883" s="25" t="s">
        <v>16</v>
      </c>
      <c r="E4883" s="26"/>
      <c r="F4883" s="41" t="s">
        <v>416</v>
      </c>
      <c r="G4883" s="27" t="str">
        <f>IF(ISNUMBER(F4883),E4883*F4883,"")</f>
        <v/>
      </c>
      <c r="H4883" s="28"/>
      <c r="I4883" s="29"/>
      <c r="J4883" s="152">
        <v>0</v>
      </c>
    </row>
    <row r="4884" spans="1:10" ht="15.75" hidden="1" thickBot="1" x14ac:dyDescent="0.3">
      <c r="A4884" s="176"/>
      <c r="B4884" s="174"/>
      <c r="C4884" s="31"/>
      <c r="D4884" s="31"/>
      <c r="E4884" s="32"/>
      <c r="F4884" s="42" t="s">
        <v>416</v>
      </c>
      <c r="G4884" s="30" t="str">
        <f>IF(ISNUMBER(F4884),E4884*F4884,"")</f>
        <v/>
      </c>
      <c r="H4884" s="34"/>
      <c r="I4884" s="30"/>
      <c r="J4884" s="152">
        <v>0</v>
      </c>
    </row>
    <row r="4885" spans="1:10" ht="26.25" hidden="1" thickBot="1" x14ac:dyDescent="0.3">
      <c r="A4885" s="176"/>
      <c r="B4885" s="174"/>
      <c r="C4885" s="35" t="s">
        <v>3103</v>
      </c>
      <c r="D4885" s="46" t="s">
        <v>213</v>
      </c>
      <c r="E4885" s="36">
        <v>1</v>
      </c>
      <c r="F4885" s="33" t="s">
        <v>416</v>
      </c>
      <c r="G4885" s="33" t="str">
        <f>IF(ISNUMBER(F4885),E4885*F4885,"")</f>
        <v/>
      </c>
      <c r="H4885" s="38">
        <f>SUM(G4885:G4891)</f>
        <v>86.792199499999981</v>
      </c>
      <c r="I4885" s="39"/>
      <c r="J4885" s="152">
        <v>0</v>
      </c>
    </row>
    <row r="4886" spans="1:10" ht="26.25" hidden="1" thickBot="1" x14ac:dyDescent="0.3">
      <c r="A4886" s="176"/>
      <c r="B4886" s="174"/>
      <c r="C4886" s="35" t="s">
        <v>233</v>
      </c>
      <c r="D4886" s="35" t="s">
        <v>16</v>
      </c>
      <c r="E4886" s="36">
        <v>1</v>
      </c>
      <c r="F4886" s="33" t="s">
        <v>416</v>
      </c>
      <c r="G4886" s="33" t="str">
        <f>IF(ISNUMBER(F4886),E4886*F4886,"")</f>
        <v/>
      </c>
      <c r="H4886" s="34"/>
      <c r="I4886" s="30"/>
      <c r="J4886" s="152">
        <v>0</v>
      </c>
    </row>
    <row r="4887" spans="1:10" ht="39" hidden="1" thickBot="1" x14ac:dyDescent="0.3">
      <c r="A4887" s="176"/>
      <c r="B4887" s="174"/>
      <c r="C4887" s="35" t="s">
        <v>8308</v>
      </c>
      <c r="D4887" s="35" t="s">
        <v>213</v>
      </c>
      <c r="E4887" s="36">
        <v>2</v>
      </c>
      <c r="F4887" s="33">
        <v>22.799999999999997</v>
      </c>
      <c r="G4887" s="33">
        <f>IF(ISNUMBER(F4887),E4887*F4887,"")</f>
        <v>45.599999999999994</v>
      </c>
      <c r="H4887" s="34"/>
      <c r="I4887" s="30"/>
      <c r="J4887" s="152">
        <v>0</v>
      </c>
    </row>
    <row r="4888" spans="1:10" ht="26.25" hidden="1" thickBot="1" x14ac:dyDescent="0.3">
      <c r="A4888" s="176"/>
      <c r="B4888" s="174"/>
      <c r="C4888" s="35" t="s">
        <v>7982</v>
      </c>
      <c r="D4888" s="35" t="s">
        <v>213</v>
      </c>
      <c r="E4888" s="36">
        <v>1</v>
      </c>
      <c r="F4888" s="33">
        <v>14.3925</v>
      </c>
      <c r="G4888" s="53">
        <f>IF(ISNUMBER(F4888),E4888*F4888,"")</f>
        <v>14.3925</v>
      </c>
      <c r="H4888" s="34"/>
      <c r="I4888" s="30"/>
      <c r="J4888" s="152">
        <v>0</v>
      </c>
    </row>
    <row r="4889" spans="1:10" ht="15.75" hidden="1" thickBot="1" x14ac:dyDescent="0.3">
      <c r="A4889" s="176"/>
      <c r="B4889" s="174"/>
      <c r="C4889" s="35" t="s">
        <v>3061</v>
      </c>
      <c r="D4889" s="35" t="s">
        <v>773</v>
      </c>
      <c r="E4889" s="36">
        <v>8.8099999999999998E-2</v>
      </c>
      <c r="F4889" s="33">
        <v>72.836500000000001</v>
      </c>
      <c r="G4889" s="33">
        <f>IF(ISNUMBER(F4889),E4889*F4889,"")</f>
        <v>6.4168956499999998</v>
      </c>
      <c r="H4889" s="34"/>
      <c r="I4889" s="30"/>
      <c r="J4889" s="152">
        <v>0</v>
      </c>
    </row>
    <row r="4890" spans="1:10" ht="26.25" hidden="1" thickBot="1" x14ac:dyDescent="0.3">
      <c r="A4890" s="176"/>
      <c r="B4890" s="174"/>
      <c r="C4890" s="35" t="s">
        <v>825</v>
      </c>
      <c r="D4890" s="35" t="s">
        <v>583</v>
      </c>
      <c r="E4890" s="36">
        <v>0.49680000000000002</v>
      </c>
      <c r="F4890" s="30">
        <v>26.799499999999998</v>
      </c>
      <c r="G4890" s="33">
        <f>IF(ISNUMBER(F4890),E4890*F4890,"")</f>
        <v>13.3139916</v>
      </c>
      <c r="H4890" s="34"/>
      <c r="I4890" s="30"/>
      <c r="J4890" s="152">
        <v>0</v>
      </c>
    </row>
    <row r="4891" spans="1:10" ht="15.75" hidden="1" thickBot="1" x14ac:dyDescent="0.3">
      <c r="A4891" s="176"/>
      <c r="B4891" s="174"/>
      <c r="C4891" s="35" t="s">
        <v>584</v>
      </c>
      <c r="D4891" s="35" t="s">
        <v>583</v>
      </c>
      <c r="E4891" s="36">
        <v>0.34949999999999998</v>
      </c>
      <c r="F4891" s="30">
        <v>20.225499999999997</v>
      </c>
      <c r="G4891" s="33">
        <f>IF(ISNUMBER(F4891),E4891*F4891,"")</f>
        <v>7.0688122499999988</v>
      </c>
      <c r="H4891" s="34"/>
      <c r="I4891" s="30"/>
      <c r="J4891" s="152">
        <v>0</v>
      </c>
    </row>
    <row r="4892" spans="1:10" ht="15.75" hidden="1" thickBot="1" x14ac:dyDescent="0.3">
      <c r="A4892" s="177"/>
      <c r="B4892" s="175"/>
      <c r="C4892" s="35"/>
      <c r="D4892" s="35"/>
      <c r="E4892" s="36"/>
      <c r="F4892" s="30" t="s">
        <v>416</v>
      </c>
      <c r="G4892" s="30" t="str">
        <f>IF(ISNUMBER(F4892),E4892*F4892,"")</f>
        <v/>
      </c>
      <c r="H4892" s="34"/>
      <c r="I4892" s="30"/>
      <c r="J4892" s="152">
        <v>0</v>
      </c>
    </row>
    <row r="4893" spans="1:10" ht="15.75" hidden="1" thickBot="1" x14ac:dyDescent="0.3">
      <c r="A4893" s="170" t="s">
        <v>2973</v>
      </c>
      <c r="B4893" s="173" t="str">
        <f>INDEX(Orçamentária!A:B,MATCH(Composições!A4893,Orçamentária!A:A,0),2)</f>
        <v>Bidê 3 furos - Linha Residencial</v>
      </c>
      <c r="C4893" s="40"/>
      <c r="D4893" s="25" t="s">
        <v>16</v>
      </c>
      <c r="E4893" s="26"/>
      <c r="F4893" s="41" t="s">
        <v>416</v>
      </c>
      <c r="G4893" s="27" t="str">
        <f>IF(ISNUMBER(F4893),E4893*F4893,"")</f>
        <v/>
      </c>
      <c r="H4893" s="28"/>
      <c r="I4893" s="29"/>
      <c r="J4893" s="152">
        <v>0</v>
      </c>
    </row>
    <row r="4894" spans="1:10" ht="15.75" hidden="1" thickBot="1" x14ac:dyDescent="0.3">
      <c r="A4894" s="176"/>
      <c r="B4894" s="174"/>
      <c r="C4894" s="31"/>
      <c r="D4894" s="31"/>
      <c r="E4894" s="32"/>
      <c r="F4894" s="42" t="s">
        <v>416</v>
      </c>
      <c r="G4894" s="30" t="str">
        <f>IF(ISNUMBER(F4894),E4894*F4894,"")</f>
        <v/>
      </c>
      <c r="H4894" s="34"/>
      <c r="I4894" s="30"/>
      <c r="J4894" s="152">
        <v>0</v>
      </c>
    </row>
    <row r="4895" spans="1:10" ht="15.75" hidden="1" thickBot="1" x14ac:dyDescent="0.3">
      <c r="A4895" s="176"/>
      <c r="B4895" s="174"/>
      <c r="C4895" s="35" t="s">
        <v>3101</v>
      </c>
      <c r="D4895" s="46" t="s">
        <v>213</v>
      </c>
      <c r="E4895" s="36">
        <v>1</v>
      </c>
      <c r="F4895" s="33" t="s">
        <v>416</v>
      </c>
      <c r="G4895" s="33" t="str">
        <f>IF(ISNUMBER(F4895),E4895*F4895,"")</f>
        <v/>
      </c>
      <c r="H4895" s="38">
        <f>SUM(G4895:G4900)</f>
        <v>86.792199499999981</v>
      </c>
      <c r="I4895" s="39"/>
      <c r="J4895" s="152">
        <v>0</v>
      </c>
    </row>
    <row r="4896" spans="1:10" ht="26.25" hidden="1" thickBot="1" x14ac:dyDescent="0.3">
      <c r="A4896" s="176"/>
      <c r="B4896" s="174"/>
      <c r="C4896" s="35" t="s">
        <v>7982</v>
      </c>
      <c r="D4896" s="35" t="s">
        <v>213</v>
      </c>
      <c r="E4896" s="36">
        <v>1</v>
      </c>
      <c r="F4896" s="33">
        <v>14.3925</v>
      </c>
      <c r="G4896" s="53">
        <f>IF(ISNUMBER(F4896),E4896*F4896,"")</f>
        <v>14.3925</v>
      </c>
      <c r="H4896" s="34"/>
      <c r="I4896" s="30"/>
      <c r="J4896" s="152">
        <v>0</v>
      </c>
    </row>
    <row r="4897" spans="1:10" ht="39" hidden="1" thickBot="1" x14ac:dyDescent="0.3">
      <c r="A4897" s="176"/>
      <c r="B4897" s="174"/>
      <c r="C4897" s="35" t="s">
        <v>8308</v>
      </c>
      <c r="D4897" s="35" t="s">
        <v>213</v>
      </c>
      <c r="E4897" s="36">
        <v>2</v>
      </c>
      <c r="F4897" s="33">
        <v>22.799999999999997</v>
      </c>
      <c r="G4897" s="33">
        <f>IF(ISNUMBER(F4897),E4897*F4897,"")</f>
        <v>45.599999999999994</v>
      </c>
      <c r="H4897" s="34"/>
      <c r="I4897" s="30"/>
      <c r="J4897" s="152">
        <v>0</v>
      </c>
    </row>
    <row r="4898" spans="1:10" ht="15.75" hidden="1" thickBot="1" x14ac:dyDescent="0.3">
      <c r="A4898" s="176"/>
      <c r="B4898" s="174"/>
      <c r="C4898" s="35" t="s">
        <v>3061</v>
      </c>
      <c r="D4898" s="35" t="s">
        <v>773</v>
      </c>
      <c r="E4898" s="36">
        <v>8.8099999999999998E-2</v>
      </c>
      <c r="F4898" s="33">
        <v>72.836500000000001</v>
      </c>
      <c r="G4898" s="33">
        <f>IF(ISNUMBER(F4898),E4898*F4898,"")</f>
        <v>6.4168956499999998</v>
      </c>
      <c r="H4898" s="34"/>
      <c r="I4898" s="30"/>
      <c r="J4898" s="152">
        <v>0</v>
      </c>
    </row>
    <row r="4899" spans="1:10" ht="26.25" hidden="1" thickBot="1" x14ac:dyDescent="0.3">
      <c r="A4899" s="176"/>
      <c r="B4899" s="174"/>
      <c r="C4899" s="35" t="s">
        <v>825</v>
      </c>
      <c r="D4899" s="35" t="s">
        <v>583</v>
      </c>
      <c r="E4899" s="36">
        <v>0.49680000000000002</v>
      </c>
      <c r="F4899" s="30">
        <v>26.799499999999998</v>
      </c>
      <c r="G4899" s="33">
        <f>IF(ISNUMBER(F4899),E4899*F4899,"")</f>
        <v>13.3139916</v>
      </c>
      <c r="H4899" s="34"/>
      <c r="I4899" s="30"/>
      <c r="J4899" s="152">
        <v>0</v>
      </c>
    </row>
    <row r="4900" spans="1:10" ht="15.75" hidden="1" thickBot="1" x14ac:dyDescent="0.3">
      <c r="A4900" s="176"/>
      <c r="B4900" s="174"/>
      <c r="C4900" s="35" t="s">
        <v>584</v>
      </c>
      <c r="D4900" s="35" t="s">
        <v>583</v>
      </c>
      <c r="E4900" s="36">
        <v>0.34949999999999998</v>
      </c>
      <c r="F4900" s="30">
        <v>20.225499999999997</v>
      </c>
      <c r="G4900" s="33">
        <f>IF(ISNUMBER(F4900),E4900*F4900,"")</f>
        <v>7.0688122499999988</v>
      </c>
      <c r="H4900" s="34"/>
      <c r="I4900" s="30"/>
      <c r="J4900" s="152">
        <v>0</v>
      </c>
    </row>
    <row r="4901" spans="1:10" ht="15.75" hidden="1" thickBot="1" x14ac:dyDescent="0.3">
      <c r="A4901" s="177"/>
      <c r="B4901" s="175"/>
      <c r="C4901" s="35"/>
      <c r="D4901" s="35"/>
      <c r="E4901" s="36"/>
      <c r="F4901" s="30" t="s">
        <v>416</v>
      </c>
      <c r="G4901" s="30" t="str">
        <f>IF(ISNUMBER(F4901),E4901*F4901,"")</f>
        <v/>
      </c>
      <c r="H4901" s="34"/>
      <c r="I4901" s="30"/>
      <c r="J4901" s="152">
        <v>0</v>
      </c>
    </row>
    <row r="4902" spans="1:10" ht="15.75" hidden="1" thickBot="1" x14ac:dyDescent="0.3">
      <c r="A4902" s="170" t="s">
        <v>2976</v>
      </c>
      <c r="B4902" s="173" t="str">
        <f>INDEX(Orçamentária!A:B,MATCH(Composições!A4902,Orçamentária!A:A,0),2)</f>
        <v>Chuveiro de metal com tubo de parede – Linha Residencial</v>
      </c>
      <c r="C4902" s="40"/>
      <c r="D4902" s="25" t="s">
        <v>16</v>
      </c>
      <c r="E4902" s="26"/>
      <c r="F4902" s="48" t="s">
        <v>416</v>
      </c>
      <c r="G4902" s="27" t="str">
        <f>IF(ISNUMBER(F4902),E4902*F4902,"")</f>
        <v/>
      </c>
      <c r="H4902" s="28"/>
      <c r="I4902" s="29"/>
      <c r="J4902" s="152">
        <v>0</v>
      </c>
    </row>
    <row r="4903" spans="1:10" ht="15.75" hidden="1" thickBot="1" x14ac:dyDescent="0.3">
      <c r="A4903" s="171"/>
      <c r="B4903" s="174"/>
      <c r="C4903" s="31"/>
      <c r="D4903" s="31"/>
      <c r="E4903" s="32"/>
      <c r="F4903" s="53" t="s">
        <v>416</v>
      </c>
      <c r="G4903" s="53" t="str">
        <f>IF(ISNUMBER(F4903),E4903*F4903,"")</f>
        <v/>
      </c>
      <c r="H4903" s="72"/>
      <c r="I4903" s="73"/>
      <c r="J4903" s="152">
        <v>0</v>
      </c>
    </row>
    <row r="4904" spans="1:10" ht="26.25" hidden="1" thickBot="1" x14ac:dyDescent="0.3">
      <c r="A4904" s="171"/>
      <c r="B4904" s="174"/>
      <c r="C4904" s="35" t="s">
        <v>3102</v>
      </c>
      <c r="D4904" s="35" t="s">
        <v>213</v>
      </c>
      <c r="E4904" s="36">
        <v>1</v>
      </c>
      <c r="F4904" s="53" t="s">
        <v>416</v>
      </c>
      <c r="G4904" s="53" t="str">
        <f>IF(ISNUMBER(F4904),E4904*F4904,"")</f>
        <v/>
      </c>
      <c r="H4904" s="38">
        <f>SUM(G4904:G4907)</f>
        <v>14.901851999999998</v>
      </c>
      <c r="I4904" s="39"/>
      <c r="J4904" s="152">
        <v>0</v>
      </c>
    </row>
    <row r="4905" spans="1:10" ht="15.75" hidden="1" thickBot="1" x14ac:dyDescent="0.3">
      <c r="A4905" s="171"/>
      <c r="B4905" s="174"/>
      <c r="C4905" s="35" t="s">
        <v>8171</v>
      </c>
      <c r="D4905" s="35" t="s">
        <v>213</v>
      </c>
      <c r="E4905" s="36">
        <v>2.1000000000000001E-2</v>
      </c>
      <c r="F4905" s="53">
        <v>4.0374999999999996</v>
      </c>
      <c r="G4905" s="53">
        <f>IF(ISNUMBER(F4905),E4905*F4905,"")</f>
        <v>8.4787500000000002E-2</v>
      </c>
      <c r="H4905" s="72"/>
      <c r="I4905" s="73"/>
      <c r="J4905" s="152">
        <v>0</v>
      </c>
    </row>
    <row r="4906" spans="1:10" ht="26.25" hidden="1" thickBot="1" x14ac:dyDescent="0.3">
      <c r="A4906" s="171"/>
      <c r="B4906" s="174"/>
      <c r="C4906" s="35" t="s">
        <v>825</v>
      </c>
      <c r="D4906" s="35" t="s">
        <v>583</v>
      </c>
      <c r="E4906" s="36">
        <v>0.44669999999999999</v>
      </c>
      <c r="F4906" s="53">
        <v>26.799499999999998</v>
      </c>
      <c r="G4906" s="53">
        <f>IF(ISNUMBER(F4906),E4906*F4906,"")</f>
        <v>11.97133665</v>
      </c>
      <c r="H4906" s="72"/>
      <c r="I4906" s="73"/>
      <c r="J4906" s="152">
        <v>0</v>
      </c>
    </row>
    <row r="4907" spans="1:10" ht="15.75" hidden="1" thickBot="1" x14ac:dyDescent="0.3">
      <c r="A4907" s="171"/>
      <c r="B4907" s="174"/>
      <c r="C4907" s="35" t="s">
        <v>584</v>
      </c>
      <c r="D4907" s="35" t="s">
        <v>583</v>
      </c>
      <c r="E4907" s="36">
        <v>0.14069999999999999</v>
      </c>
      <c r="F4907" s="53">
        <v>20.225499999999997</v>
      </c>
      <c r="G4907" s="53">
        <f>IF(ISNUMBER(F4907),E4907*F4907,"")</f>
        <v>2.8457278499999994</v>
      </c>
      <c r="H4907" s="72"/>
      <c r="I4907" s="73"/>
      <c r="J4907" s="152">
        <v>0</v>
      </c>
    </row>
    <row r="4908" spans="1:10" ht="15.75" hidden="1" thickBot="1" x14ac:dyDescent="0.3">
      <c r="A4908" s="172"/>
      <c r="B4908" s="175"/>
      <c r="C4908" s="35"/>
      <c r="D4908" s="35"/>
      <c r="E4908" s="36"/>
      <c r="F4908" s="53" t="s">
        <v>416</v>
      </c>
      <c r="G4908" s="53" t="str">
        <f>IF(ISNUMBER(F4908),E4908*F4908,"")</f>
        <v/>
      </c>
      <c r="H4908" s="72"/>
      <c r="I4908" s="73"/>
      <c r="J4908" s="152">
        <v>0</v>
      </c>
    </row>
    <row r="4909" spans="1:10" ht="15.75" hidden="1" thickBot="1" x14ac:dyDescent="0.3">
      <c r="A4909" s="170" t="s">
        <v>2977</v>
      </c>
      <c r="B4909" s="173" t="str">
        <f>INDEX(Orçamentária!A:B,MATCH(Composições!A4909,Orçamentária!A:A,0),2)</f>
        <v>Misturador para bidê – Linha Residencial</v>
      </c>
      <c r="C4909" s="40"/>
      <c r="D4909" s="25" t="s">
        <v>16</v>
      </c>
      <c r="E4909" s="26"/>
      <c r="F4909" s="48" t="s">
        <v>416</v>
      </c>
      <c r="G4909" s="27" t="str">
        <f>IF(ISNUMBER(F4909),E4909*F4909,"")</f>
        <v/>
      </c>
      <c r="H4909" s="28"/>
      <c r="I4909" s="29"/>
      <c r="J4909" s="152">
        <v>0</v>
      </c>
    </row>
    <row r="4910" spans="1:10" ht="15.75" hidden="1" thickBot="1" x14ac:dyDescent="0.3">
      <c r="A4910" s="171"/>
      <c r="B4910" s="174"/>
      <c r="C4910" s="31"/>
      <c r="D4910" s="31"/>
      <c r="E4910" s="32"/>
      <c r="F4910" s="53" t="s">
        <v>416</v>
      </c>
      <c r="G4910" s="53" t="str">
        <f>IF(ISNUMBER(F4910),E4910*F4910,"")</f>
        <v/>
      </c>
      <c r="H4910" s="72"/>
      <c r="I4910" s="73"/>
      <c r="J4910" s="152">
        <v>0</v>
      </c>
    </row>
    <row r="4911" spans="1:10" ht="15.75" hidden="1" thickBot="1" x14ac:dyDescent="0.3">
      <c r="A4911" s="171"/>
      <c r="B4911" s="174"/>
      <c r="C4911" s="35" t="s">
        <v>8171</v>
      </c>
      <c r="D4911" s="35" t="s">
        <v>213</v>
      </c>
      <c r="E4911" s="36">
        <v>4.2000000000000003E-2</v>
      </c>
      <c r="F4911" s="53">
        <v>4.0374999999999996</v>
      </c>
      <c r="G4911" s="53">
        <f>IF(ISNUMBER(F4911),E4911*F4911,"")</f>
        <v>0.169575</v>
      </c>
      <c r="H4911" s="38">
        <f>SUM(G4911:G4914)</f>
        <v>15.538706349999998</v>
      </c>
      <c r="I4911" s="39"/>
      <c r="J4911" s="152">
        <v>0</v>
      </c>
    </row>
    <row r="4912" spans="1:10" ht="15.75" hidden="1" thickBot="1" x14ac:dyDescent="0.3">
      <c r="A4912" s="171"/>
      <c r="B4912" s="174"/>
      <c r="C4912" s="35" t="s">
        <v>3100</v>
      </c>
      <c r="D4912" s="35" t="s">
        <v>213</v>
      </c>
      <c r="E4912" s="36">
        <v>1</v>
      </c>
      <c r="F4912" s="53" t="s">
        <v>416</v>
      </c>
      <c r="G4912" s="53" t="str">
        <f>IF(ISNUMBER(F4912),E4912*F4912,"")</f>
        <v/>
      </c>
      <c r="H4912" s="72"/>
      <c r="I4912" s="73"/>
      <c r="J4912" s="152">
        <v>0</v>
      </c>
    </row>
    <row r="4913" spans="1:10" ht="26.25" hidden="1" thickBot="1" x14ac:dyDescent="0.3">
      <c r="A4913" s="171"/>
      <c r="B4913" s="174"/>
      <c r="C4913" s="35" t="s">
        <v>825</v>
      </c>
      <c r="D4913" s="35" t="s">
        <v>583</v>
      </c>
      <c r="E4913" s="36">
        <v>0.46329999999999999</v>
      </c>
      <c r="F4913" s="53">
        <v>26.799499999999998</v>
      </c>
      <c r="G4913" s="53">
        <f>IF(ISNUMBER(F4913),E4913*F4913,"")</f>
        <v>12.41620835</v>
      </c>
      <c r="H4913" s="72"/>
      <c r="I4913" s="73"/>
      <c r="J4913" s="152">
        <v>0</v>
      </c>
    </row>
    <row r="4914" spans="1:10" ht="15.75" hidden="1" thickBot="1" x14ac:dyDescent="0.3">
      <c r="A4914" s="171"/>
      <c r="B4914" s="174"/>
      <c r="C4914" s="35" t="s">
        <v>584</v>
      </c>
      <c r="D4914" s="35" t="s">
        <v>583</v>
      </c>
      <c r="E4914" s="36">
        <v>0.14599999999999999</v>
      </c>
      <c r="F4914" s="53">
        <v>20.225499999999997</v>
      </c>
      <c r="G4914" s="53">
        <f>IF(ISNUMBER(F4914),E4914*F4914,"")</f>
        <v>2.9529229999999993</v>
      </c>
      <c r="H4914" s="72"/>
      <c r="I4914" s="73"/>
      <c r="J4914" s="152">
        <v>0</v>
      </c>
    </row>
    <row r="4915" spans="1:10" ht="15.75" hidden="1" thickBot="1" x14ac:dyDescent="0.3">
      <c r="A4915" s="172"/>
      <c r="B4915" s="175"/>
      <c r="C4915" s="35"/>
      <c r="D4915" s="35"/>
      <c r="E4915" s="36"/>
      <c r="F4915" s="53" t="s">
        <v>416</v>
      </c>
      <c r="G4915" s="53" t="str">
        <f>IF(ISNUMBER(F4915),E4915*F4915,"")</f>
        <v/>
      </c>
      <c r="H4915" s="72"/>
      <c r="I4915" s="73"/>
      <c r="J4915" s="152">
        <v>0</v>
      </c>
    </row>
    <row r="4916" spans="1:10" ht="15.75" hidden="1" thickBot="1" x14ac:dyDescent="0.3">
      <c r="A4916" s="170" t="s">
        <v>2978</v>
      </c>
      <c r="B4916" s="173" t="str">
        <f>INDEX(Orçamentária!A:B,MATCH(Composições!A4916,Orçamentária!A:A,0),2)</f>
        <v>Misturador de mesa para cozinha bica móvel – Linha Residencial</v>
      </c>
      <c r="C4916" s="40"/>
      <c r="D4916" s="25" t="s">
        <v>16</v>
      </c>
      <c r="E4916" s="26"/>
      <c r="F4916" s="48" t="s">
        <v>416</v>
      </c>
      <c r="G4916" s="27" t="str">
        <f>IF(ISNUMBER(F4916),E4916*F4916,"")</f>
        <v/>
      </c>
      <c r="H4916" s="28"/>
      <c r="I4916" s="29"/>
      <c r="J4916" s="152">
        <v>0</v>
      </c>
    </row>
    <row r="4917" spans="1:10" ht="15.75" hidden="1" thickBot="1" x14ac:dyDescent="0.3">
      <c r="A4917" s="171"/>
      <c r="B4917" s="174"/>
      <c r="C4917" s="31"/>
      <c r="D4917" s="31"/>
      <c r="E4917" s="32"/>
      <c r="F4917" s="53" t="s">
        <v>416</v>
      </c>
      <c r="G4917" s="53" t="str">
        <f>IF(ISNUMBER(F4917),E4917*F4917,"")</f>
        <v/>
      </c>
      <c r="H4917" s="72"/>
      <c r="I4917" s="73"/>
      <c r="J4917" s="152">
        <v>0</v>
      </c>
    </row>
    <row r="4918" spans="1:10" ht="15.75" hidden="1" thickBot="1" x14ac:dyDescent="0.3">
      <c r="A4918" s="171"/>
      <c r="B4918" s="174"/>
      <c r="C4918" s="35" t="s">
        <v>8171</v>
      </c>
      <c r="D4918" s="35" t="s">
        <v>213</v>
      </c>
      <c r="E4918" s="36">
        <v>4.2000000000000003E-2</v>
      </c>
      <c r="F4918" s="53">
        <v>4.0374999999999996</v>
      </c>
      <c r="G4918" s="53">
        <f>IF(ISNUMBER(F4918),E4918*F4918,"")</f>
        <v>0.169575</v>
      </c>
      <c r="H4918" s="38">
        <f>SUM(G4918:G4921)</f>
        <v>7.6864423999999998</v>
      </c>
      <c r="I4918" s="39"/>
      <c r="J4918" s="152">
        <v>0</v>
      </c>
    </row>
    <row r="4919" spans="1:10" ht="26.25" hidden="1" thickBot="1" x14ac:dyDescent="0.3">
      <c r="A4919" s="171"/>
      <c r="B4919" s="174"/>
      <c r="C4919" s="35" t="s">
        <v>3099</v>
      </c>
      <c r="D4919" s="35" t="s">
        <v>213</v>
      </c>
      <c r="E4919" s="36">
        <v>1</v>
      </c>
      <c r="F4919" s="53" t="s">
        <v>416</v>
      </c>
      <c r="G4919" s="53" t="str">
        <f>IF(ISNUMBER(F4919),E4919*F4919,"")</f>
        <v/>
      </c>
      <c r="H4919" s="72"/>
      <c r="I4919" s="73"/>
      <c r="J4919" s="152">
        <v>0</v>
      </c>
    </row>
    <row r="4920" spans="1:10" ht="26.25" hidden="1" thickBot="1" x14ac:dyDescent="0.3">
      <c r="A4920" s="171"/>
      <c r="B4920" s="174"/>
      <c r="C4920" s="35" t="s">
        <v>825</v>
      </c>
      <c r="D4920" s="35" t="s">
        <v>583</v>
      </c>
      <c r="E4920" s="36">
        <v>0.2266</v>
      </c>
      <c r="F4920" s="53">
        <v>26.799499999999998</v>
      </c>
      <c r="G4920" s="53">
        <f>IF(ISNUMBER(F4920),E4920*F4920,"")</f>
        <v>6.0727666999999999</v>
      </c>
      <c r="H4920" s="72"/>
      <c r="I4920" s="73"/>
      <c r="J4920" s="152">
        <v>0</v>
      </c>
    </row>
    <row r="4921" spans="1:10" ht="15.75" hidden="1" thickBot="1" x14ac:dyDescent="0.3">
      <c r="A4921" s="171"/>
      <c r="B4921" s="174"/>
      <c r="C4921" s="35" t="s">
        <v>584</v>
      </c>
      <c r="D4921" s="35" t="s">
        <v>583</v>
      </c>
      <c r="E4921" s="36">
        <v>7.1400000000000005E-2</v>
      </c>
      <c r="F4921" s="53">
        <v>20.225499999999997</v>
      </c>
      <c r="G4921" s="53">
        <f>IF(ISNUMBER(F4921),E4921*F4921,"")</f>
        <v>1.4441006999999999</v>
      </c>
      <c r="H4921" s="72"/>
      <c r="I4921" s="73"/>
      <c r="J4921" s="152">
        <v>0</v>
      </c>
    </row>
    <row r="4922" spans="1:10" ht="15.75" hidden="1" thickBot="1" x14ac:dyDescent="0.3">
      <c r="A4922" s="172"/>
      <c r="B4922" s="175"/>
      <c r="C4922" s="35"/>
      <c r="D4922" s="35"/>
      <c r="E4922" s="36"/>
      <c r="F4922" s="53" t="s">
        <v>416</v>
      </c>
      <c r="G4922" s="53" t="str">
        <f>IF(ISNUMBER(F4922),E4922*F4922,"")</f>
        <v/>
      </c>
      <c r="H4922" s="72"/>
      <c r="I4922" s="73"/>
      <c r="J4922" s="152">
        <v>0</v>
      </c>
    </row>
    <row r="4923" spans="1:10" ht="15.75" hidden="1" thickBot="1" x14ac:dyDescent="0.3">
      <c r="A4923" s="170" t="s">
        <v>2979</v>
      </c>
      <c r="B4923" s="173" t="str">
        <f>INDEX(Orçamentária!A:B,MATCH(Composições!A4923,Orçamentária!A:A,0),2)</f>
        <v>Misturador de mesa para lavatório bica alta – Linha Residencial</v>
      </c>
      <c r="C4923" s="40"/>
      <c r="D4923" s="25" t="s">
        <v>16</v>
      </c>
      <c r="E4923" s="26"/>
      <c r="F4923" s="48" t="s">
        <v>416</v>
      </c>
      <c r="G4923" s="27" t="str">
        <f>IF(ISNUMBER(F4923),E4923*F4923,"")</f>
        <v/>
      </c>
      <c r="H4923" s="28"/>
      <c r="I4923" s="29"/>
      <c r="J4923" s="152">
        <v>0</v>
      </c>
    </row>
    <row r="4924" spans="1:10" ht="15.75" hidden="1" thickBot="1" x14ac:dyDescent="0.3">
      <c r="A4924" s="171"/>
      <c r="B4924" s="174"/>
      <c r="C4924" s="31"/>
      <c r="D4924" s="31"/>
      <c r="E4924" s="32"/>
      <c r="F4924" s="53" t="s">
        <v>416</v>
      </c>
      <c r="G4924" s="53" t="str">
        <f>IF(ISNUMBER(F4924),E4924*F4924,"")</f>
        <v/>
      </c>
      <c r="H4924" s="72"/>
      <c r="I4924" s="73"/>
      <c r="J4924" s="152">
        <v>0</v>
      </c>
    </row>
    <row r="4925" spans="1:10" ht="15.75" hidden="1" thickBot="1" x14ac:dyDescent="0.3">
      <c r="A4925" s="171"/>
      <c r="B4925" s="174"/>
      <c r="C4925" s="35" t="s">
        <v>8171</v>
      </c>
      <c r="D4925" s="35" t="s">
        <v>213</v>
      </c>
      <c r="E4925" s="36">
        <v>4.2000000000000003E-2</v>
      </c>
      <c r="F4925" s="53">
        <v>4.0374999999999996</v>
      </c>
      <c r="G4925" s="53">
        <f>IF(ISNUMBER(F4925),E4925*F4925,"")</f>
        <v>0.169575</v>
      </c>
      <c r="H4925" s="38">
        <f>SUM(G4925:G4928)</f>
        <v>15.538706349999998</v>
      </c>
      <c r="I4925" s="39"/>
      <c r="J4925" s="152">
        <v>0</v>
      </c>
    </row>
    <row r="4926" spans="1:10" ht="26.25" hidden="1" thickBot="1" x14ac:dyDescent="0.3">
      <c r="A4926" s="171"/>
      <c r="B4926" s="174"/>
      <c r="C4926" s="35" t="s">
        <v>3104</v>
      </c>
      <c r="D4926" s="35" t="s">
        <v>213</v>
      </c>
      <c r="E4926" s="36">
        <v>1</v>
      </c>
      <c r="F4926" s="53" t="s">
        <v>416</v>
      </c>
      <c r="G4926" s="53" t="str">
        <f>IF(ISNUMBER(F4926),E4926*F4926,"")</f>
        <v/>
      </c>
      <c r="H4926" s="72"/>
      <c r="I4926" s="73"/>
      <c r="J4926" s="152">
        <v>0</v>
      </c>
    </row>
    <row r="4927" spans="1:10" ht="26.25" hidden="1" thickBot="1" x14ac:dyDescent="0.3">
      <c r="A4927" s="171"/>
      <c r="B4927" s="174"/>
      <c r="C4927" s="35" t="s">
        <v>825</v>
      </c>
      <c r="D4927" s="35" t="s">
        <v>583</v>
      </c>
      <c r="E4927" s="36">
        <v>0.46329999999999999</v>
      </c>
      <c r="F4927" s="53">
        <v>26.799499999999998</v>
      </c>
      <c r="G4927" s="53">
        <f>IF(ISNUMBER(F4927),E4927*F4927,"")</f>
        <v>12.41620835</v>
      </c>
      <c r="H4927" s="72"/>
      <c r="I4927" s="73"/>
      <c r="J4927" s="152">
        <v>0</v>
      </c>
    </row>
    <row r="4928" spans="1:10" ht="15.75" hidden="1" thickBot="1" x14ac:dyDescent="0.3">
      <c r="A4928" s="171"/>
      <c r="B4928" s="174"/>
      <c r="C4928" s="35" t="s">
        <v>584</v>
      </c>
      <c r="D4928" s="35" t="s">
        <v>583</v>
      </c>
      <c r="E4928" s="36">
        <v>0.14599999999999999</v>
      </c>
      <c r="F4928" s="53">
        <v>20.225499999999997</v>
      </c>
      <c r="G4928" s="53">
        <f>IF(ISNUMBER(F4928),E4928*F4928,"")</f>
        <v>2.9529229999999993</v>
      </c>
      <c r="H4928" s="72"/>
      <c r="I4928" s="73"/>
      <c r="J4928" s="152">
        <v>0</v>
      </c>
    </row>
    <row r="4929" spans="1:10" ht="15.75" hidden="1" thickBot="1" x14ac:dyDescent="0.3">
      <c r="A4929" s="172"/>
      <c r="B4929" s="175"/>
      <c r="C4929" s="35"/>
      <c r="D4929" s="35"/>
      <c r="E4929" s="36"/>
      <c r="F4929" s="53" t="s">
        <v>416</v>
      </c>
      <c r="G4929" s="53" t="str">
        <f>IF(ISNUMBER(F4929),E4929*F4929,"")</f>
        <v/>
      </c>
      <c r="H4929" s="72"/>
      <c r="I4929" s="73"/>
      <c r="J4929" s="152">
        <v>0</v>
      </c>
    </row>
    <row r="4930" spans="1:10" ht="15.75" hidden="1" thickBot="1" x14ac:dyDescent="0.3">
      <c r="A4930" s="170" t="s">
        <v>2980</v>
      </c>
      <c r="B4930" s="173" t="str">
        <f>INDEX(Orçamentária!A:B,MATCH(Composições!A4930,Orçamentária!A:A,0),2)</f>
        <v>Misturador de parede para cozinha bica móvel – Linha Residencial</v>
      </c>
      <c r="C4930" s="40"/>
      <c r="D4930" s="25" t="s">
        <v>16</v>
      </c>
      <c r="E4930" s="26"/>
      <c r="F4930" s="48" t="s">
        <v>416</v>
      </c>
      <c r="G4930" s="27" t="str">
        <f>IF(ISNUMBER(F4930),E4930*F4930,"")</f>
        <v/>
      </c>
      <c r="H4930" s="28"/>
      <c r="I4930" s="29"/>
      <c r="J4930" s="152">
        <v>0</v>
      </c>
    </row>
    <row r="4931" spans="1:10" ht="15.75" hidden="1" thickBot="1" x14ac:dyDescent="0.3">
      <c r="A4931" s="171"/>
      <c r="B4931" s="174"/>
      <c r="C4931" s="31"/>
      <c r="D4931" s="31"/>
      <c r="E4931" s="32"/>
      <c r="F4931" s="53" t="s">
        <v>416</v>
      </c>
      <c r="G4931" s="53" t="str">
        <f>IF(ISNUMBER(F4931),E4931*F4931,"")</f>
        <v/>
      </c>
      <c r="H4931" s="72"/>
      <c r="I4931" s="73"/>
      <c r="J4931" s="152">
        <v>0</v>
      </c>
    </row>
    <row r="4932" spans="1:10" ht="15.75" hidden="1" thickBot="1" x14ac:dyDescent="0.3">
      <c r="A4932" s="171"/>
      <c r="B4932" s="174"/>
      <c r="C4932" s="35" t="s">
        <v>8171</v>
      </c>
      <c r="D4932" s="35" t="s">
        <v>213</v>
      </c>
      <c r="E4932" s="36">
        <v>4.2000000000000003E-2</v>
      </c>
      <c r="F4932" s="53">
        <v>4.0374999999999996</v>
      </c>
      <c r="G4932" s="53">
        <f>IF(ISNUMBER(F4932),E4932*F4932,"")</f>
        <v>0.169575</v>
      </c>
      <c r="H4932" s="38">
        <f>SUM(G4932:G4935)</f>
        <v>7.6864423999999998</v>
      </c>
      <c r="I4932" s="39"/>
      <c r="J4932" s="152">
        <v>0</v>
      </c>
    </row>
    <row r="4933" spans="1:10" ht="26.25" hidden="1" thickBot="1" x14ac:dyDescent="0.3">
      <c r="A4933" s="171"/>
      <c r="B4933" s="174"/>
      <c r="C4933" s="35" t="s">
        <v>3105</v>
      </c>
      <c r="D4933" s="35" t="s">
        <v>213</v>
      </c>
      <c r="E4933" s="36">
        <v>1</v>
      </c>
      <c r="F4933" s="53" t="s">
        <v>416</v>
      </c>
      <c r="G4933" s="53" t="str">
        <f>IF(ISNUMBER(F4933),E4933*F4933,"")</f>
        <v/>
      </c>
      <c r="H4933" s="72"/>
      <c r="I4933" s="73"/>
      <c r="J4933" s="152">
        <v>0</v>
      </c>
    </row>
    <row r="4934" spans="1:10" ht="26.25" hidden="1" thickBot="1" x14ac:dyDescent="0.3">
      <c r="A4934" s="171"/>
      <c r="B4934" s="174"/>
      <c r="C4934" s="35" t="s">
        <v>825</v>
      </c>
      <c r="D4934" s="35" t="s">
        <v>583</v>
      </c>
      <c r="E4934" s="36">
        <v>0.2266</v>
      </c>
      <c r="F4934" s="53">
        <v>26.799499999999998</v>
      </c>
      <c r="G4934" s="53">
        <f>IF(ISNUMBER(F4934),E4934*F4934,"")</f>
        <v>6.0727666999999999</v>
      </c>
      <c r="H4934" s="72"/>
      <c r="I4934" s="73"/>
      <c r="J4934" s="152">
        <v>0</v>
      </c>
    </row>
    <row r="4935" spans="1:10" ht="15.75" hidden="1" thickBot="1" x14ac:dyDescent="0.3">
      <c r="A4935" s="171"/>
      <c r="B4935" s="174"/>
      <c r="C4935" s="35" t="s">
        <v>584</v>
      </c>
      <c r="D4935" s="35" t="s">
        <v>583</v>
      </c>
      <c r="E4935" s="36">
        <v>7.1400000000000005E-2</v>
      </c>
      <c r="F4935" s="53">
        <v>20.225499999999997</v>
      </c>
      <c r="G4935" s="53">
        <f>IF(ISNUMBER(F4935),E4935*F4935,"")</f>
        <v>1.4441006999999999</v>
      </c>
      <c r="H4935" s="72"/>
      <c r="I4935" s="73"/>
      <c r="J4935" s="152">
        <v>0</v>
      </c>
    </row>
    <row r="4936" spans="1:10" ht="15.75" hidden="1" thickBot="1" x14ac:dyDescent="0.3">
      <c r="A4936" s="172"/>
      <c r="B4936" s="175"/>
      <c r="C4936" s="35"/>
      <c r="D4936" s="35"/>
      <c r="E4936" s="36"/>
      <c r="F4936" s="53" t="s">
        <v>416</v>
      </c>
      <c r="G4936" s="53" t="str">
        <f>IF(ISNUMBER(F4936),E4936*F4936,"")</f>
        <v/>
      </c>
      <c r="H4936" s="72"/>
      <c r="I4936" s="73"/>
      <c r="J4936" s="152">
        <v>0</v>
      </c>
    </row>
    <row r="4937" spans="1:10" ht="15.75" hidden="1" thickBot="1" x14ac:dyDescent="0.3">
      <c r="A4937" s="170" t="s">
        <v>2981</v>
      </c>
      <c r="B4937" s="173" t="str">
        <f>INDEX(Orçamentária!A:B,MATCH(Composições!A4937,Orçamentária!A:A,0),2)</f>
        <v>Dobradiça automática vidro/vidro para box de vidro temperado</v>
      </c>
      <c r="C4937" s="40"/>
      <c r="D4937" s="25" t="s">
        <v>16</v>
      </c>
      <c r="E4937" s="26"/>
      <c r="F4937" s="41" t="s">
        <v>416</v>
      </c>
      <c r="G4937" s="27" t="str">
        <f>IF(ISNUMBER(F4937),E4937*F4937,"")</f>
        <v/>
      </c>
      <c r="H4937" s="28"/>
      <c r="I4937" s="29"/>
      <c r="J4937" s="152">
        <v>0</v>
      </c>
    </row>
    <row r="4938" spans="1:10" ht="15.75" hidden="1" thickBot="1" x14ac:dyDescent="0.3">
      <c r="A4938" s="176"/>
      <c r="B4938" s="174"/>
      <c r="C4938" s="31"/>
      <c r="D4938" s="31"/>
      <c r="E4938" s="32"/>
      <c r="F4938" s="42" t="s">
        <v>416</v>
      </c>
      <c r="G4938" s="33" t="str">
        <f>IF(ISNUMBER(F4938),E4938*F4938,"")</f>
        <v/>
      </c>
      <c r="H4938" s="34"/>
      <c r="I4938" s="30"/>
      <c r="J4938" s="152">
        <v>0</v>
      </c>
    </row>
    <row r="4939" spans="1:10" ht="15.75" hidden="1" thickBot="1" x14ac:dyDescent="0.3">
      <c r="A4939" s="176"/>
      <c r="B4939" s="174"/>
      <c r="C4939" s="35" t="s">
        <v>2909</v>
      </c>
      <c r="D4939" s="35" t="s">
        <v>583</v>
      </c>
      <c r="E4939" s="36">
        <v>0.3</v>
      </c>
      <c r="F4939" s="33">
        <v>25.060999999999996</v>
      </c>
      <c r="G4939" s="33">
        <f>IF(ISNUMBER(F4939),E4939*F4939,"")</f>
        <v>7.5182999999999982</v>
      </c>
      <c r="H4939" s="38">
        <f>SUM(G4939:G4940)</f>
        <v>7.5182999999999982</v>
      </c>
      <c r="I4939" s="39"/>
      <c r="J4939" s="152">
        <v>0</v>
      </c>
    </row>
    <row r="4940" spans="1:10" ht="26.25" hidden="1" thickBot="1" x14ac:dyDescent="0.3">
      <c r="A4940" s="176"/>
      <c r="B4940" s="174"/>
      <c r="C4940" s="35" t="s">
        <v>3106</v>
      </c>
      <c r="D4940" s="46" t="s">
        <v>16</v>
      </c>
      <c r="E4940" s="36">
        <v>1</v>
      </c>
      <c r="F4940" s="30" t="s">
        <v>416</v>
      </c>
      <c r="G4940" s="33" t="str">
        <f>IF(ISNUMBER(F4940),E4940*F4940,"")</f>
        <v/>
      </c>
      <c r="H4940" s="34"/>
      <c r="I4940" s="30"/>
      <c r="J4940" s="152">
        <v>0</v>
      </c>
    </row>
    <row r="4941" spans="1:10" ht="15.75" hidden="1" thickBot="1" x14ac:dyDescent="0.3">
      <c r="A4941" s="177"/>
      <c r="B4941" s="175"/>
      <c r="C4941" s="35"/>
      <c r="D4941" s="35"/>
      <c r="E4941" s="36"/>
      <c r="F4941" s="30" t="s">
        <v>416</v>
      </c>
      <c r="G4941" s="33" t="str">
        <f>IF(ISNUMBER(F4941),E4941*F4941,"")</f>
        <v/>
      </c>
      <c r="H4941" s="34"/>
      <c r="I4941" s="30"/>
      <c r="J4941" s="152">
        <v>0</v>
      </c>
    </row>
    <row r="4942" spans="1:10" ht="15.75" hidden="1" thickBot="1" x14ac:dyDescent="0.3">
      <c r="A4942" s="170" t="s">
        <v>2982</v>
      </c>
      <c r="B4942" s="173" t="str">
        <f>INDEX(Orçamentária!A:B,MATCH(Composições!A4942,Orçamentária!A:A,0),2)</f>
        <v>Luminária tipo arandela – Linha Residencial</v>
      </c>
      <c r="C4942" s="40"/>
      <c r="D4942" s="25" t="s">
        <v>16</v>
      </c>
      <c r="E4942" s="26"/>
      <c r="F4942" s="41" t="s">
        <v>416</v>
      </c>
      <c r="G4942" s="27" t="str">
        <f>IF(ISNUMBER(F4942),E4942*F4942,"")</f>
        <v/>
      </c>
      <c r="H4942" s="28"/>
      <c r="I4942" s="29"/>
      <c r="J4942" s="152">
        <v>0</v>
      </c>
    </row>
    <row r="4943" spans="1:10" ht="15.75" hidden="1" thickBot="1" x14ac:dyDescent="0.3">
      <c r="A4943" s="176"/>
      <c r="B4943" s="174"/>
      <c r="C4943" s="31"/>
      <c r="D4943" s="31"/>
      <c r="E4943" s="32"/>
      <c r="F4943" s="42" t="s">
        <v>416</v>
      </c>
      <c r="G4943" s="30" t="str">
        <f>IF(ISNUMBER(F4943),E4943*F4943,"")</f>
        <v/>
      </c>
      <c r="H4943" s="34"/>
      <c r="I4943" s="30"/>
      <c r="J4943" s="152">
        <v>0</v>
      </c>
    </row>
    <row r="4944" spans="1:10" ht="26.25" hidden="1" thickBot="1" x14ac:dyDescent="0.3">
      <c r="A4944" s="176"/>
      <c r="B4944" s="174"/>
      <c r="C4944" s="35" t="s">
        <v>3108</v>
      </c>
      <c r="D4944" s="35" t="s">
        <v>107</v>
      </c>
      <c r="E4944" s="36">
        <v>1</v>
      </c>
      <c r="F4944" s="33" t="s">
        <v>416</v>
      </c>
      <c r="G4944" s="33" t="str">
        <f>IF(ISNUMBER(F4944),E4944*F4944,"")</f>
        <v/>
      </c>
      <c r="H4944" s="38">
        <f>SUM(G4944:G4947)</f>
        <v>17.427886800000003</v>
      </c>
      <c r="I4944" s="39"/>
      <c r="J4944" s="152">
        <v>0</v>
      </c>
    </row>
    <row r="4945" spans="1:10" ht="26.25" hidden="1" thickBot="1" x14ac:dyDescent="0.3">
      <c r="A4945" s="176"/>
      <c r="B4945" s="174"/>
      <c r="C4945" s="35" t="s">
        <v>3107</v>
      </c>
      <c r="D4945" s="35" t="s">
        <v>107</v>
      </c>
      <c r="E4945" s="36">
        <v>1</v>
      </c>
      <c r="F4945" s="33" t="s">
        <v>416</v>
      </c>
      <c r="G4945" s="33" t="str">
        <f>IF(ISNUMBER(F4945),E4945*F4945,"")</f>
        <v/>
      </c>
      <c r="H4945" s="44"/>
      <c r="I4945" s="45"/>
      <c r="J4945" s="152">
        <v>0</v>
      </c>
    </row>
    <row r="4946" spans="1:10" ht="15.75" hidden="1" thickBot="1" x14ac:dyDescent="0.3">
      <c r="A4946" s="176"/>
      <c r="B4946" s="174"/>
      <c r="C4946" s="35" t="s">
        <v>1017</v>
      </c>
      <c r="D4946" s="35" t="s">
        <v>583</v>
      </c>
      <c r="E4946" s="36">
        <v>0.19719999999999999</v>
      </c>
      <c r="F4946" s="30">
        <v>21.584</v>
      </c>
      <c r="G4946" s="30">
        <f>IF(ISNUMBER(F4946),E4946*F4946,"")</f>
        <v>4.2563648000000001</v>
      </c>
      <c r="H4946" s="34"/>
      <c r="I4946" s="30"/>
      <c r="J4946" s="152">
        <v>0</v>
      </c>
    </row>
    <row r="4947" spans="1:10" ht="15.75" hidden="1" thickBot="1" x14ac:dyDescent="0.3">
      <c r="A4947" s="176"/>
      <c r="B4947" s="174"/>
      <c r="C4947" s="35" t="s">
        <v>1018</v>
      </c>
      <c r="D4947" s="35" t="s">
        <v>583</v>
      </c>
      <c r="E4947" s="36">
        <v>0.47320000000000001</v>
      </c>
      <c r="F4947" s="30">
        <v>27.835000000000001</v>
      </c>
      <c r="G4947" s="30">
        <f>IF(ISNUMBER(F4947),E4947*F4947,"")</f>
        <v>13.171522000000001</v>
      </c>
      <c r="H4947" s="34"/>
      <c r="I4947" s="30"/>
      <c r="J4947" s="152">
        <v>0</v>
      </c>
    </row>
    <row r="4948" spans="1:10" ht="15.75" hidden="1" thickBot="1" x14ac:dyDescent="0.3">
      <c r="A4948" s="177"/>
      <c r="B4948" s="175"/>
      <c r="C4948" s="35"/>
      <c r="D4948" s="35"/>
      <c r="E4948" s="36"/>
      <c r="F4948" s="30" t="s">
        <v>416</v>
      </c>
      <c r="G4948" s="30" t="str">
        <f>IF(ISNUMBER(F4948),E4948*F4948,"")</f>
        <v/>
      </c>
      <c r="H4948" s="34"/>
      <c r="I4948" s="30"/>
      <c r="J4948" s="152">
        <v>0</v>
      </c>
    </row>
    <row r="4949" spans="1:10" ht="15.75" hidden="1" thickBot="1" x14ac:dyDescent="0.3">
      <c r="A4949" s="170" t="s">
        <v>2983</v>
      </c>
      <c r="B4949" s="173" t="str">
        <f>INDEX(Orçamentária!A:B,MATCH(Composições!A4949,Orçamentária!A:A,0),2)</f>
        <v>Tê misturador de transição 1/2” ou 3/4” – Linha Residencial</v>
      </c>
      <c r="C4949" s="40"/>
      <c r="D4949" s="25" t="s">
        <v>16</v>
      </c>
      <c r="E4949" s="26"/>
      <c r="F4949" s="41" t="s">
        <v>416</v>
      </c>
      <c r="G4949" s="27" t="str">
        <f>IF(ISNUMBER(F4949),E4949*F4949,"")</f>
        <v/>
      </c>
      <c r="H4949" s="28"/>
      <c r="I4949" s="29"/>
      <c r="J4949" s="152">
        <v>0</v>
      </c>
    </row>
    <row r="4950" spans="1:10" ht="15.75" hidden="1" thickBot="1" x14ac:dyDescent="0.3">
      <c r="A4950" s="176"/>
      <c r="B4950" s="174"/>
      <c r="C4950" s="31"/>
      <c r="D4950" s="31"/>
      <c r="E4950" s="32"/>
      <c r="F4950" s="42" t="s">
        <v>416</v>
      </c>
      <c r="G4950" s="30" t="str">
        <f>IF(ISNUMBER(F4950),E4950*F4950,"")</f>
        <v/>
      </c>
      <c r="H4950" s="34"/>
      <c r="I4950" s="30"/>
      <c r="J4950" s="152">
        <v>0</v>
      </c>
    </row>
    <row r="4951" spans="1:10" ht="15.75" hidden="1" thickBot="1" x14ac:dyDescent="0.3">
      <c r="A4951" s="176"/>
      <c r="B4951" s="174"/>
      <c r="C4951" s="35" t="s">
        <v>2922</v>
      </c>
      <c r="D4951" s="35" t="s">
        <v>213</v>
      </c>
      <c r="E4951" s="36">
        <v>1.2E-2</v>
      </c>
      <c r="F4951" s="33">
        <v>34.028999999999996</v>
      </c>
      <c r="G4951" s="33">
        <f>IF(ISNUMBER(F4951),E4951*F4951,"")</f>
        <v>0.40834799999999999</v>
      </c>
      <c r="H4951" s="38">
        <f>SUM(G4951:G4954)</f>
        <v>33.392034500000001</v>
      </c>
      <c r="I4951" s="39"/>
      <c r="J4951" s="152">
        <v>0</v>
      </c>
    </row>
    <row r="4952" spans="1:10" ht="26.25" hidden="1" thickBot="1" x14ac:dyDescent="0.3">
      <c r="A4952" s="176"/>
      <c r="B4952" s="174"/>
      <c r="C4952" s="35" t="s">
        <v>2942</v>
      </c>
      <c r="D4952" s="35" t="s">
        <v>213</v>
      </c>
      <c r="E4952" s="36">
        <v>1</v>
      </c>
      <c r="F4952" s="33">
        <v>24.206</v>
      </c>
      <c r="G4952" s="33">
        <f>IF(ISNUMBER(F4952),E4952*F4952,"")</f>
        <v>24.206</v>
      </c>
      <c r="H4952" s="44"/>
      <c r="I4952" s="45"/>
      <c r="J4952" s="152">
        <v>0</v>
      </c>
    </row>
    <row r="4953" spans="1:10" ht="26.25" hidden="1" thickBot="1" x14ac:dyDescent="0.3">
      <c r="A4953" s="176"/>
      <c r="B4953" s="174"/>
      <c r="C4953" s="35" t="s">
        <v>824</v>
      </c>
      <c r="D4953" s="35" t="s">
        <v>583</v>
      </c>
      <c r="E4953" s="36">
        <v>0.183</v>
      </c>
      <c r="F4953" s="30">
        <v>21.166</v>
      </c>
      <c r="G4953" s="30">
        <f>IF(ISNUMBER(F4953),E4953*F4953,"")</f>
        <v>3.8733779999999998</v>
      </c>
      <c r="H4953" s="34"/>
      <c r="I4953" s="30"/>
      <c r="J4953" s="152">
        <v>0</v>
      </c>
    </row>
    <row r="4954" spans="1:10" ht="26.25" hidden="1" thickBot="1" x14ac:dyDescent="0.3">
      <c r="A4954" s="176"/>
      <c r="B4954" s="174"/>
      <c r="C4954" s="35" t="s">
        <v>825</v>
      </c>
      <c r="D4954" s="35" t="s">
        <v>583</v>
      </c>
      <c r="E4954" s="36">
        <v>0.183</v>
      </c>
      <c r="F4954" s="30">
        <v>26.799499999999998</v>
      </c>
      <c r="G4954" s="30">
        <f>IF(ISNUMBER(F4954),E4954*F4954,"")</f>
        <v>4.9043085</v>
      </c>
      <c r="H4954" s="34"/>
      <c r="I4954" s="30"/>
      <c r="J4954" s="152">
        <v>0</v>
      </c>
    </row>
    <row r="4955" spans="1:10" ht="15.75" hidden="1" thickBot="1" x14ac:dyDescent="0.3">
      <c r="A4955" s="177"/>
      <c r="B4955" s="175"/>
      <c r="C4955" s="35"/>
      <c r="D4955" s="35"/>
      <c r="E4955" s="36"/>
      <c r="F4955" s="30" t="s">
        <v>416</v>
      </c>
      <c r="G4955" s="30" t="str">
        <f>IF(ISNUMBER(F4955),E4955*F4955,"")</f>
        <v/>
      </c>
      <c r="H4955" s="34"/>
      <c r="I4955" s="30"/>
      <c r="J4955" s="152">
        <v>0</v>
      </c>
    </row>
    <row r="4956" spans="1:10" ht="15.75" hidden="1" thickBot="1" x14ac:dyDescent="0.3">
      <c r="A4956" s="170" t="s">
        <v>2984</v>
      </c>
      <c r="B4956" s="173" t="str">
        <f>INDEX(Orçamentária!A:B,MATCH(Composições!A4956,Orçamentária!A:A,0),2)</f>
        <v>Base para válvula de descarga 1 1/2”</v>
      </c>
      <c r="C4956" s="40"/>
      <c r="D4956" s="25" t="s">
        <v>16</v>
      </c>
      <c r="E4956" s="26"/>
      <c r="F4956" s="41" t="s">
        <v>416</v>
      </c>
      <c r="G4956" s="27" t="str">
        <f>IF(ISNUMBER(F4956),E4956*F4956,"")</f>
        <v/>
      </c>
      <c r="H4956" s="28"/>
      <c r="I4956" s="29"/>
      <c r="J4956" s="152">
        <v>0</v>
      </c>
    </row>
    <row r="4957" spans="1:10" ht="15.75" hidden="1" thickBot="1" x14ac:dyDescent="0.3">
      <c r="A4957" s="176"/>
      <c r="B4957" s="174"/>
      <c r="C4957" s="31"/>
      <c r="D4957" s="31"/>
      <c r="E4957" s="32"/>
      <c r="F4957" s="42" t="s">
        <v>416</v>
      </c>
      <c r="G4957" s="30" t="str">
        <f>IF(ISNUMBER(F4957),E4957*F4957,"")</f>
        <v/>
      </c>
      <c r="H4957" s="34"/>
      <c r="I4957" s="30"/>
      <c r="J4957" s="152">
        <v>0</v>
      </c>
    </row>
    <row r="4958" spans="1:10" ht="15.75" hidden="1" thickBot="1" x14ac:dyDescent="0.3">
      <c r="A4958" s="176"/>
      <c r="B4958" s="174"/>
      <c r="C4958" s="35" t="s">
        <v>244</v>
      </c>
      <c r="D4958" s="35" t="s">
        <v>213</v>
      </c>
      <c r="E4958" s="36">
        <v>1.9199999999999998E-2</v>
      </c>
      <c r="F4958" s="33">
        <v>14.8865</v>
      </c>
      <c r="G4958" s="33">
        <f>IF(ISNUMBER(F4958),E4958*F4958,"")</f>
        <v>0.28582079999999999</v>
      </c>
      <c r="H4958" s="38">
        <f>SUM(G4958:G4961)</f>
        <v>35.775494250000001</v>
      </c>
      <c r="I4958" s="39"/>
      <c r="J4958" s="152">
        <v>0</v>
      </c>
    </row>
    <row r="4959" spans="1:10" ht="15.75" hidden="1" thickBot="1" x14ac:dyDescent="0.3">
      <c r="A4959" s="176"/>
      <c r="B4959" s="174"/>
      <c r="C4959" s="35" t="s">
        <v>3109</v>
      </c>
      <c r="D4959" s="35" t="s">
        <v>213</v>
      </c>
      <c r="E4959" s="36">
        <v>1</v>
      </c>
      <c r="F4959" s="33" t="s">
        <v>416</v>
      </c>
      <c r="G4959" s="33" t="str">
        <f>IF(ISNUMBER(F4959),E4959*F4959,"")</f>
        <v/>
      </c>
      <c r="H4959" s="44"/>
      <c r="I4959" s="45"/>
      <c r="J4959" s="152">
        <v>0</v>
      </c>
    </row>
    <row r="4960" spans="1:10" ht="26.25" hidden="1" thickBot="1" x14ac:dyDescent="0.3">
      <c r="A4960" s="176"/>
      <c r="B4960" s="174"/>
      <c r="C4960" s="35" t="s">
        <v>824</v>
      </c>
      <c r="D4960" s="35" t="s">
        <v>583</v>
      </c>
      <c r="E4960" s="36">
        <f>ROUND(0.9249*0.8,4)</f>
        <v>0.7399</v>
      </c>
      <c r="F4960" s="30">
        <v>21.166</v>
      </c>
      <c r="G4960" s="30">
        <f>IF(ISNUMBER(F4960),E4960*F4960,"")</f>
        <v>15.6607234</v>
      </c>
      <c r="H4960" s="34"/>
      <c r="I4960" s="30"/>
      <c r="J4960" s="152">
        <v>0</v>
      </c>
    </row>
    <row r="4961" spans="1:10" ht="26.25" hidden="1" thickBot="1" x14ac:dyDescent="0.3">
      <c r="A4961" s="176"/>
      <c r="B4961" s="174"/>
      <c r="C4961" s="35" t="s">
        <v>825</v>
      </c>
      <c r="D4961" s="35" t="s">
        <v>583</v>
      </c>
      <c r="E4961" s="36">
        <f>ROUND(0.9249*0.8,4)</f>
        <v>0.7399</v>
      </c>
      <c r="F4961" s="30">
        <v>26.799499999999998</v>
      </c>
      <c r="G4961" s="30">
        <f>IF(ISNUMBER(F4961),E4961*F4961,"")</f>
        <v>19.82895005</v>
      </c>
      <c r="H4961" s="34"/>
      <c r="I4961" s="30"/>
      <c r="J4961" s="152">
        <v>0</v>
      </c>
    </row>
    <row r="4962" spans="1:10" ht="15.75" hidden="1" thickBot="1" x14ac:dyDescent="0.3">
      <c r="A4962" s="177"/>
      <c r="B4962" s="175"/>
      <c r="C4962" s="35"/>
      <c r="D4962" s="35"/>
      <c r="E4962" s="36"/>
      <c r="F4962" s="30" t="s">
        <v>416</v>
      </c>
      <c r="G4962" s="30" t="str">
        <f>IF(ISNUMBER(F4962),E4962*F4962,"")</f>
        <v/>
      </c>
      <c r="H4962" s="34"/>
      <c r="I4962" s="30"/>
      <c r="J4962" s="152">
        <v>0</v>
      </c>
    </row>
    <row r="4963" spans="1:10" ht="15.75" hidden="1" thickBot="1" x14ac:dyDescent="0.3">
      <c r="A4963" s="170" t="s">
        <v>2985</v>
      </c>
      <c r="B4963" s="173" t="str">
        <f>INDEX(Orçamentária!A:B,MATCH(Composições!A4963,Orçamentária!A:A,0),2)</f>
        <v>Base para válvula de descarga 1 1/4”</v>
      </c>
      <c r="C4963" s="40"/>
      <c r="D4963" s="25" t="s">
        <v>16</v>
      </c>
      <c r="E4963" s="26"/>
      <c r="F4963" s="41" t="s">
        <v>416</v>
      </c>
      <c r="G4963" s="27" t="str">
        <f>IF(ISNUMBER(F4963),E4963*F4963,"")</f>
        <v/>
      </c>
      <c r="H4963" s="28"/>
      <c r="I4963" s="29"/>
      <c r="J4963" s="152">
        <v>0</v>
      </c>
    </row>
    <row r="4964" spans="1:10" ht="15.75" hidden="1" thickBot="1" x14ac:dyDescent="0.3">
      <c r="A4964" s="176"/>
      <c r="B4964" s="174"/>
      <c r="C4964" s="31"/>
      <c r="D4964" s="31"/>
      <c r="E4964" s="32"/>
      <c r="F4964" s="42" t="s">
        <v>416</v>
      </c>
      <c r="G4964" s="30" t="str">
        <f>IF(ISNUMBER(F4964),E4964*F4964,"")</f>
        <v/>
      </c>
      <c r="H4964" s="34"/>
      <c r="I4964" s="30"/>
      <c r="J4964" s="152">
        <v>0</v>
      </c>
    </row>
    <row r="4965" spans="1:10" ht="15.75" hidden="1" thickBot="1" x14ac:dyDescent="0.3">
      <c r="A4965" s="176"/>
      <c r="B4965" s="174"/>
      <c r="C4965" s="35" t="s">
        <v>244</v>
      </c>
      <c r="D4965" s="35" t="s">
        <v>213</v>
      </c>
      <c r="E4965" s="36">
        <v>1.9199999999999998E-2</v>
      </c>
      <c r="F4965" s="33">
        <v>14.8865</v>
      </c>
      <c r="G4965" s="33">
        <f>IF(ISNUMBER(F4965),E4965*F4965,"")</f>
        <v>0.28582079999999999</v>
      </c>
      <c r="H4965" s="38">
        <f>SUM(G4965:G4968)</f>
        <v>35.775494250000001</v>
      </c>
      <c r="I4965" s="39"/>
      <c r="J4965" s="152">
        <v>0</v>
      </c>
    </row>
    <row r="4966" spans="1:10" ht="15.75" hidden="1" thickBot="1" x14ac:dyDescent="0.3">
      <c r="A4966" s="176"/>
      <c r="B4966" s="174"/>
      <c r="C4966" s="35" t="s">
        <v>3110</v>
      </c>
      <c r="D4966" s="35" t="s">
        <v>213</v>
      </c>
      <c r="E4966" s="36">
        <v>1</v>
      </c>
      <c r="F4966" s="33" t="s">
        <v>416</v>
      </c>
      <c r="G4966" s="33" t="str">
        <f>IF(ISNUMBER(F4966),E4966*F4966,"")</f>
        <v/>
      </c>
      <c r="H4966" s="44"/>
      <c r="I4966" s="45"/>
      <c r="J4966" s="152">
        <v>0</v>
      </c>
    </row>
    <row r="4967" spans="1:10" ht="26.25" hidden="1" thickBot="1" x14ac:dyDescent="0.3">
      <c r="A4967" s="176"/>
      <c r="B4967" s="174"/>
      <c r="C4967" s="35" t="s">
        <v>824</v>
      </c>
      <c r="D4967" s="35" t="s">
        <v>583</v>
      </c>
      <c r="E4967" s="36">
        <f t="shared" ref="E4967:E4968" si="8">ROUND(0.9249*0.8,4)</f>
        <v>0.7399</v>
      </c>
      <c r="F4967" s="30">
        <v>21.166</v>
      </c>
      <c r="G4967" s="30">
        <f>IF(ISNUMBER(F4967),E4967*F4967,"")</f>
        <v>15.6607234</v>
      </c>
      <c r="H4967" s="34"/>
      <c r="I4967" s="30"/>
      <c r="J4967" s="152">
        <v>0</v>
      </c>
    </row>
    <row r="4968" spans="1:10" ht="26.25" hidden="1" thickBot="1" x14ac:dyDescent="0.3">
      <c r="A4968" s="176"/>
      <c r="B4968" s="174"/>
      <c r="C4968" s="35" t="s">
        <v>825</v>
      </c>
      <c r="D4968" s="35" t="s">
        <v>583</v>
      </c>
      <c r="E4968" s="36">
        <f t="shared" si="8"/>
        <v>0.7399</v>
      </c>
      <c r="F4968" s="30">
        <v>26.799499999999998</v>
      </c>
      <c r="G4968" s="30">
        <f>IF(ISNUMBER(F4968),E4968*F4968,"")</f>
        <v>19.82895005</v>
      </c>
      <c r="H4968" s="34"/>
      <c r="I4968" s="30"/>
      <c r="J4968" s="152">
        <v>0</v>
      </c>
    </row>
    <row r="4969" spans="1:10" ht="15.75" hidden="1" thickBot="1" x14ac:dyDescent="0.3">
      <c r="A4969" s="177"/>
      <c r="B4969" s="175"/>
      <c r="C4969" s="35"/>
      <c r="D4969" s="35"/>
      <c r="E4969" s="36"/>
      <c r="F4969" s="30" t="s">
        <v>416</v>
      </c>
      <c r="G4969" s="30" t="str">
        <f>IF(ISNUMBER(F4969),E4969*F4969,"")</f>
        <v/>
      </c>
      <c r="H4969" s="34"/>
      <c r="I4969" s="30"/>
      <c r="J4969" s="152">
        <v>0</v>
      </c>
    </row>
    <row r="4970" spans="1:10" ht="15.75" hidden="1" thickBot="1" x14ac:dyDescent="0.3">
      <c r="A4970" s="170" t="s">
        <v>2986</v>
      </c>
      <c r="B4970" s="173" t="str">
        <f>INDEX(Orçamentária!A:B,MATCH(Composições!A4970,Orçamentária!A:A,0),2)</f>
        <v>Anel de Vedação para bacia sanitária</v>
      </c>
      <c r="C4970" s="40"/>
      <c r="D4970" s="25" t="s">
        <v>16</v>
      </c>
      <c r="E4970" s="26"/>
      <c r="F4970" s="41" t="s">
        <v>416</v>
      </c>
      <c r="G4970" s="27" t="str">
        <f>IF(ISNUMBER(F4970),E4970*F4970,"")</f>
        <v/>
      </c>
      <c r="H4970" s="28"/>
      <c r="I4970" s="29"/>
      <c r="J4970" s="152">
        <v>0</v>
      </c>
    </row>
    <row r="4971" spans="1:10" ht="15.75" hidden="1" thickBot="1" x14ac:dyDescent="0.3">
      <c r="A4971" s="176"/>
      <c r="B4971" s="174"/>
      <c r="C4971" s="31"/>
      <c r="D4971" s="31"/>
      <c r="E4971" s="32"/>
      <c r="F4971" s="42" t="s">
        <v>416</v>
      </c>
      <c r="G4971" s="33" t="str">
        <f>IF(ISNUMBER(F4971),E4971*F4971,"")</f>
        <v/>
      </c>
      <c r="H4971" s="34"/>
      <c r="I4971" s="30"/>
      <c r="J4971" s="152">
        <v>0</v>
      </c>
    </row>
    <row r="4972" spans="1:10" ht="26.25" hidden="1" thickBot="1" x14ac:dyDescent="0.3">
      <c r="A4972" s="176"/>
      <c r="B4972" s="174"/>
      <c r="C4972" s="35" t="s">
        <v>7982</v>
      </c>
      <c r="D4972" s="35" t="s">
        <v>213</v>
      </c>
      <c r="E4972" s="36">
        <v>1</v>
      </c>
      <c r="F4972" s="33">
        <v>14.3925</v>
      </c>
      <c r="G4972" s="53">
        <f>IF(ISNUMBER(F4972),E4972*F4972,"")</f>
        <v>14.3925</v>
      </c>
      <c r="H4972" s="38">
        <f>SUM(G4972:G4973)</f>
        <v>17.07245</v>
      </c>
      <c r="I4972" s="30"/>
      <c r="J4972" s="152">
        <v>0</v>
      </c>
    </row>
    <row r="4973" spans="1:10" ht="26.25" hidden="1" thickBot="1" x14ac:dyDescent="0.3">
      <c r="A4973" s="176"/>
      <c r="B4973" s="174"/>
      <c r="C4973" s="35" t="s">
        <v>825</v>
      </c>
      <c r="D4973" s="35" t="s">
        <v>583</v>
      </c>
      <c r="E4973" s="36">
        <v>0.1</v>
      </c>
      <c r="F4973" s="30">
        <v>26.799499999999998</v>
      </c>
      <c r="G4973" s="30">
        <f>IF(ISNUMBER(F4973),E4973*F4973,"")</f>
        <v>2.6799499999999998</v>
      </c>
      <c r="H4973" s="34"/>
      <c r="I4973" s="30"/>
      <c r="J4973" s="152">
        <v>0</v>
      </c>
    </row>
    <row r="4974" spans="1:10" ht="15.75" hidden="1" thickBot="1" x14ac:dyDescent="0.3">
      <c r="A4974" s="177"/>
      <c r="B4974" s="175"/>
      <c r="C4974" s="35"/>
      <c r="D4974" s="35"/>
      <c r="E4974" s="36"/>
      <c r="F4974" s="30" t="s">
        <v>416</v>
      </c>
      <c r="G4974" s="33" t="str">
        <f>IF(ISNUMBER(F4974),E4974*F4974,"")</f>
        <v/>
      </c>
      <c r="H4974" s="34"/>
      <c r="I4974" s="30"/>
      <c r="J4974" s="152">
        <v>0</v>
      </c>
    </row>
    <row r="4975" spans="1:10" ht="15.75" hidden="1" thickBot="1" x14ac:dyDescent="0.3">
      <c r="A4975" s="170" t="s">
        <v>2987</v>
      </c>
      <c r="B4975" s="173" t="str">
        <f>INDEX(Orçamentária!A:B,MATCH(Composições!A4975,Orçamentária!A:A,0),2)</f>
        <v>Folha de porta em madeira e MDF 2,10 x 0,60 m</v>
      </c>
      <c r="C4975" s="40"/>
      <c r="D4975" s="25" t="s">
        <v>16</v>
      </c>
      <c r="E4975" s="26"/>
      <c r="F4975" s="41" t="s">
        <v>416</v>
      </c>
      <c r="G4975" s="27" t="str">
        <f>IF(ISNUMBER(F4975),E4975*F4975,"")</f>
        <v/>
      </c>
      <c r="H4975" s="28"/>
      <c r="I4975" s="29"/>
      <c r="J4975" s="152">
        <v>0</v>
      </c>
    </row>
    <row r="4976" spans="1:10" ht="15.75" hidden="1" thickBot="1" x14ac:dyDescent="0.3">
      <c r="A4976" s="176"/>
      <c r="B4976" s="174"/>
      <c r="C4976" s="31"/>
      <c r="D4976" s="31"/>
      <c r="E4976" s="32"/>
      <c r="F4976" s="42" t="s">
        <v>416</v>
      </c>
      <c r="G4976" s="30" t="str">
        <f>IF(ISNUMBER(F4976),E4976*F4976,"")</f>
        <v/>
      </c>
      <c r="H4976" s="34"/>
      <c r="I4976" s="30"/>
      <c r="J4976" s="152">
        <v>0</v>
      </c>
    </row>
    <row r="4977" spans="1:10" ht="51.75" hidden="1" thickBot="1" x14ac:dyDescent="0.3">
      <c r="A4977" s="176"/>
      <c r="B4977" s="174"/>
      <c r="C4977" s="35" t="s">
        <v>8334</v>
      </c>
      <c r="D4977" s="35" t="s">
        <v>213</v>
      </c>
      <c r="E4977" s="36">
        <v>1</v>
      </c>
      <c r="F4977" s="33">
        <v>235.5145</v>
      </c>
      <c r="G4977" s="33">
        <f>IF(ISNUMBER(F4977),E4977*F4977,"")</f>
        <v>235.5145</v>
      </c>
      <c r="H4977" s="38">
        <f>SUM(G4977:G4979)</f>
        <v>272.27072199999998</v>
      </c>
      <c r="I4977" s="39"/>
      <c r="J4977" s="152">
        <v>0</v>
      </c>
    </row>
    <row r="4978" spans="1:10" ht="15.75" hidden="1" thickBot="1" x14ac:dyDescent="0.3">
      <c r="A4978" s="176"/>
      <c r="B4978" s="174"/>
      <c r="C4978" s="35" t="s">
        <v>582</v>
      </c>
      <c r="D4978" s="35" t="s">
        <v>583</v>
      </c>
      <c r="E4978" s="36">
        <f>ROUND(1.282*0.8,4)</f>
        <v>1.0256000000000001</v>
      </c>
      <c r="F4978" s="30">
        <v>25.725999999999996</v>
      </c>
      <c r="G4978" s="33">
        <f>IF(ISNUMBER(F4978),E4978*F4978,"")</f>
        <v>26.384585599999998</v>
      </c>
      <c r="H4978" s="34"/>
      <c r="I4978" s="30"/>
      <c r="J4978" s="152">
        <v>0</v>
      </c>
    </row>
    <row r="4979" spans="1:10" ht="15.75" hidden="1" thickBot="1" x14ac:dyDescent="0.3">
      <c r="A4979" s="176"/>
      <c r="B4979" s="174"/>
      <c r="C4979" s="35" t="s">
        <v>584</v>
      </c>
      <c r="D4979" s="35" t="s">
        <v>583</v>
      </c>
      <c r="E4979" s="36">
        <f>ROUND(0.641*0.8,4)</f>
        <v>0.51280000000000003</v>
      </c>
      <c r="F4979" s="30">
        <v>20.225499999999997</v>
      </c>
      <c r="G4979" s="33">
        <f>IF(ISNUMBER(F4979),E4979*F4979,"")</f>
        <v>10.3716364</v>
      </c>
      <c r="H4979" s="34"/>
      <c r="I4979" s="30"/>
      <c r="J4979" s="152">
        <v>0</v>
      </c>
    </row>
    <row r="4980" spans="1:10" ht="15.75" hidden="1" thickBot="1" x14ac:dyDescent="0.3">
      <c r="A4980" s="176"/>
      <c r="B4980" s="174"/>
      <c r="C4980" s="35"/>
      <c r="D4980" s="46"/>
      <c r="E4980" s="36"/>
      <c r="F4980" s="33" t="s">
        <v>416</v>
      </c>
      <c r="G4980" s="33" t="str">
        <f>IF(ISNUMBER(F4980),E4980*F4980,"")</f>
        <v/>
      </c>
      <c r="H4980" s="34"/>
      <c r="I4980" s="30"/>
      <c r="J4980" s="152">
        <v>0</v>
      </c>
    </row>
    <row r="4981" spans="1:10" ht="15.75" hidden="1" thickBot="1" x14ac:dyDescent="0.3">
      <c r="A4981" s="170" t="s">
        <v>2988</v>
      </c>
      <c r="B4981" s="173" t="str">
        <f>INDEX(Orçamentária!A:B,MATCH(Composições!A4981,Orçamentária!A:A,0),2)</f>
        <v>Folha de porta em madeira e MDF 2,10 x 0,70 m</v>
      </c>
      <c r="C4981" s="40"/>
      <c r="D4981" s="25" t="s">
        <v>16</v>
      </c>
      <c r="E4981" s="26"/>
      <c r="F4981" s="41" t="s">
        <v>416</v>
      </c>
      <c r="G4981" s="27" t="str">
        <f>IF(ISNUMBER(F4981),E4981*F4981,"")</f>
        <v/>
      </c>
      <c r="H4981" s="28"/>
      <c r="I4981" s="29"/>
      <c r="J4981" s="152">
        <v>0</v>
      </c>
    </row>
    <row r="4982" spans="1:10" ht="15.75" hidden="1" thickBot="1" x14ac:dyDescent="0.3">
      <c r="A4982" s="176"/>
      <c r="B4982" s="174"/>
      <c r="C4982" s="31"/>
      <c r="D4982" s="31"/>
      <c r="E4982" s="32"/>
      <c r="F4982" s="42" t="s">
        <v>416</v>
      </c>
      <c r="G4982" s="30" t="str">
        <f>IF(ISNUMBER(F4982),E4982*F4982,"")</f>
        <v/>
      </c>
      <c r="H4982" s="34"/>
      <c r="I4982" s="30"/>
      <c r="J4982" s="152">
        <v>0</v>
      </c>
    </row>
    <row r="4983" spans="1:10" ht="51.75" hidden="1" thickBot="1" x14ac:dyDescent="0.3">
      <c r="A4983" s="176"/>
      <c r="B4983" s="174"/>
      <c r="C4983" s="35" t="s">
        <v>8329</v>
      </c>
      <c r="D4983" s="35" t="s">
        <v>213</v>
      </c>
      <c r="E4983" s="36">
        <v>1</v>
      </c>
      <c r="F4983" s="33">
        <v>255.99650000000003</v>
      </c>
      <c r="G4983" s="33">
        <f>IF(ISNUMBER(F4983),E4983*F4983,"")</f>
        <v>255.99650000000003</v>
      </c>
      <c r="H4983" s="38">
        <f>SUM(G4983:G4985)</f>
        <v>296.53729399999997</v>
      </c>
      <c r="I4983" s="39"/>
      <c r="J4983" s="152">
        <v>0</v>
      </c>
    </row>
    <row r="4984" spans="1:10" ht="15.75" hidden="1" thickBot="1" x14ac:dyDescent="0.3">
      <c r="A4984" s="176"/>
      <c r="B4984" s="174"/>
      <c r="C4984" s="35" t="s">
        <v>582</v>
      </c>
      <c r="D4984" s="35" t="s">
        <v>583</v>
      </c>
      <c r="E4984" s="36">
        <f>ROUND(1.414*0.8,4)</f>
        <v>1.1312</v>
      </c>
      <c r="F4984" s="30">
        <v>25.725999999999996</v>
      </c>
      <c r="G4984" s="33">
        <f>IF(ISNUMBER(F4984),E4984*F4984,"")</f>
        <v>29.101251199999993</v>
      </c>
      <c r="H4984" s="34"/>
      <c r="I4984" s="30"/>
      <c r="J4984" s="152">
        <v>0</v>
      </c>
    </row>
    <row r="4985" spans="1:10" ht="15.75" hidden="1" thickBot="1" x14ac:dyDescent="0.3">
      <c r="A4985" s="176"/>
      <c r="B4985" s="174"/>
      <c r="C4985" s="35" t="s">
        <v>584</v>
      </c>
      <c r="D4985" s="35" t="s">
        <v>583</v>
      </c>
      <c r="E4985" s="36">
        <f>ROUND(0.707*0.8,4)</f>
        <v>0.56559999999999999</v>
      </c>
      <c r="F4985" s="30">
        <v>20.225499999999997</v>
      </c>
      <c r="G4985" s="33">
        <f>IF(ISNUMBER(F4985),E4985*F4985,"")</f>
        <v>11.439542799999998</v>
      </c>
      <c r="H4985" s="34"/>
      <c r="I4985" s="30"/>
      <c r="J4985" s="152">
        <v>0</v>
      </c>
    </row>
    <row r="4986" spans="1:10" ht="15.75" hidden="1" thickBot="1" x14ac:dyDescent="0.3">
      <c r="A4986" s="176"/>
      <c r="B4986" s="174"/>
      <c r="C4986" s="35"/>
      <c r="D4986" s="46"/>
      <c r="E4986" s="36"/>
      <c r="F4986" s="33" t="s">
        <v>416</v>
      </c>
      <c r="G4986" s="33" t="str">
        <f>IF(ISNUMBER(F4986),E4986*F4986,"")</f>
        <v/>
      </c>
      <c r="H4986" s="34"/>
      <c r="I4986" s="30"/>
      <c r="J4986" s="152">
        <v>0</v>
      </c>
    </row>
    <row r="4987" spans="1:10" ht="15.75" hidden="1" thickBot="1" x14ac:dyDescent="0.3">
      <c r="A4987" s="170" t="s">
        <v>2989</v>
      </c>
      <c r="B4987" s="173" t="str">
        <f>INDEX(Orçamentária!A:B,MATCH(Composições!A4987,Orçamentária!A:A,0),2)</f>
        <v>Folha de porta em madeira e MDF 2,10 x 0,80 m</v>
      </c>
      <c r="C4987" s="40"/>
      <c r="D4987" s="25" t="s">
        <v>16</v>
      </c>
      <c r="E4987" s="26"/>
      <c r="F4987" s="41" t="s">
        <v>416</v>
      </c>
      <c r="G4987" s="27" t="str">
        <f>IF(ISNUMBER(F4987),E4987*F4987,"")</f>
        <v/>
      </c>
      <c r="H4987" s="28"/>
      <c r="I4987" s="29"/>
      <c r="J4987" s="152">
        <v>0</v>
      </c>
    </row>
    <row r="4988" spans="1:10" ht="15.75" hidden="1" thickBot="1" x14ac:dyDescent="0.3">
      <c r="A4988" s="176"/>
      <c r="B4988" s="174"/>
      <c r="C4988" s="31"/>
      <c r="D4988" s="31"/>
      <c r="E4988" s="32"/>
      <c r="F4988" s="42" t="s">
        <v>416</v>
      </c>
      <c r="G4988" s="30" t="str">
        <f>IF(ISNUMBER(F4988),E4988*F4988,"")</f>
        <v/>
      </c>
      <c r="H4988" s="34"/>
      <c r="I4988" s="30"/>
      <c r="J4988" s="152">
        <v>0</v>
      </c>
    </row>
    <row r="4989" spans="1:10" ht="51.75" hidden="1" thickBot="1" x14ac:dyDescent="0.3">
      <c r="A4989" s="176"/>
      <c r="B4989" s="174"/>
      <c r="C4989" s="35" t="s">
        <v>8331</v>
      </c>
      <c r="D4989" s="35" t="s">
        <v>213</v>
      </c>
      <c r="E4989" s="36">
        <v>1</v>
      </c>
      <c r="F4989" s="33">
        <v>289.12299999999999</v>
      </c>
      <c r="G4989" s="33">
        <f>IF(ISNUMBER(F4989),E4989*F4989,"")</f>
        <v>289.12299999999999</v>
      </c>
      <c r="H4989" s="38">
        <f>SUM(G4989:G4991)</f>
        <v>333.44836599999996</v>
      </c>
      <c r="I4989" s="39"/>
      <c r="J4989" s="152">
        <v>0</v>
      </c>
    </row>
    <row r="4990" spans="1:10" ht="15.75" hidden="1" thickBot="1" x14ac:dyDescent="0.3">
      <c r="A4990" s="176"/>
      <c r="B4990" s="174"/>
      <c r="C4990" s="35" t="s">
        <v>582</v>
      </c>
      <c r="D4990" s="35" t="s">
        <v>583</v>
      </c>
      <c r="E4990" s="36">
        <f>ROUND(1.546*0.8,4)</f>
        <v>1.2367999999999999</v>
      </c>
      <c r="F4990" s="30">
        <v>25.725999999999996</v>
      </c>
      <c r="G4990" s="33">
        <f>IF(ISNUMBER(F4990),E4990*F4990,"")</f>
        <v>31.817916799999992</v>
      </c>
      <c r="H4990" s="34"/>
      <c r="I4990" s="30"/>
      <c r="J4990" s="152">
        <v>0</v>
      </c>
    </row>
    <row r="4991" spans="1:10" ht="15.75" hidden="1" thickBot="1" x14ac:dyDescent="0.3">
      <c r="A4991" s="176"/>
      <c r="B4991" s="174"/>
      <c r="C4991" s="35" t="s">
        <v>584</v>
      </c>
      <c r="D4991" s="35" t="s">
        <v>583</v>
      </c>
      <c r="E4991" s="36">
        <f>ROUND(0.773*0.8,4)</f>
        <v>0.61839999999999995</v>
      </c>
      <c r="F4991" s="30">
        <v>20.225499999999997</v>
      </c>
      <c r="G4991" s="33">
        <f>IF(ISNUMBER(F4991),E4991*F4991,"")</f>
        <v>12.507449199999996</v>
      </c>
      <c r="H4991" s="34"/>
      <c r="I4991" s="30"/>
      <c r="J4991" s="152">
        <v>0</v>
      </c>
    </row>
    <row r="4992" spans="1:10" ht="15.75" hidden="1" thickBot="1" x14ac:dyDescent="0.3">
      <c r="A4992" s="176"/>
      <c r="B4992" s="174"/>
      <c r="C4992" s="35"/>
      <c r="D4992" s="46"/>
      <c r="E4992" s="36"/>
      <c r="F4992" s="33" t="s">
        <v>416</v>
      </c>
      <c r="G4992" s="33" t="str">
        <f>IF(ISNUMBER(F4992),E4992*F4992,"")</f>
        <v/>
      </c>
      <c r="H4992" s="34"/>
      <c r="I4992" s="30"/>
      <c r="J4992" s="152">
        <v>0</v>
      </c>
    </row>
    <row r="4993" spans="1:10" ht="15.75" hidden="1" thickBot="1" x14ac:dyDescent="0.3">
      <c r="A4993" s="170" t="s">
        <v>2990</v>
      </c>
      <c r="B4993" s="173" t="str">
        <f>INDEX(Orçamentária!A:B,MATCH(Composições!A4993,Orçamentária!A:A,0),2)</f>
        <v>Folha de porta em madeira e MDF 2,10 x 0,90 m</v>
      </c>
      <c r="C4993" s="40"/>
      <c r="D4993" s="25" t="s">
        <v>16</v>
      </c>
      <c r="E4993" s="26"/>
      <c r="F4993" s="41" t="s">
        <v>416</v>
      </c>
      <c r="G4993" s="27" t="str">
        <f>IF(ISNUMBER(F4993),E4993*F4993,"")</f>
        <v/>
      </c>
      <c r="H4993" s="28"/>
      <c r="I4993" s="29"/>
      <c r="J4993" s="152">
        <v>0</v>
      </c>
    </row>
    <row r="4994" spans="1:10" ht="15.75" hidden="1" thickBot="1" x14ac:dyDescent="0.3">
      <c r="A4994" s="176"/>
      <c r="B4994" s="174"/>
      <c r="C4994" s="31"/>
      <c r="D4994" s="31"/>
      <c r="E4994" s="32"/>
      <c r="F4994" s="42" t="s">
        <v>416</v>
      </c>
      <c r="G4994" s="30" t="str">
        <f>IF(ISNUMBER(F4994),E4994*F4994,"")</f>
        <v/>
      </c>
      <c r="H4994" s="34"/>
      <c r="I4994" s="30"/>
      <c r="J4994" s="152">
        <v>0</v>
      </c>
    </row>
    <row r="4995" spans="1:10" ht="51.75" hidden="1" thickBot="1" x14ac:dyDescent="0.3">
      <c r="A4995" s="176"/>
      <c r="B4995" s="174"/>
      <c r="C4995" s="35" t="s">
        <v>8333</v>
      </c>
      <c r="D4995" s="35" t="s">
        <v>213</v>
      </c>
      <c r="E4995" s="36">
        <v>1</v>
      </c>
      <c r="F4995" s="33">
        <v>323.11399999999998</v>
      </c>
      <c r="G4995" s="33">
        <f>IF(ISNUMBER(F4995),E4995*F4995,"")</f>
        <v>323.11399999999998</v>
      </c>
      <c r="H4995" s="38">
        <f>SUM(G4995:G4997)</f>
        <v>371.22393799999998</v>
      </c>
      <c r="I4995" s="39"/>
      <c r="J4995" s="152">
        <v>0</v>
      </c>
    </row>
    <row r="4996" spans="1:10" ht="15.75" hidden="1" thickBot="1" x14ac:dyDescent="0.3">
      <c r="A4996" s="176"/>
      <c r="B4996" s="174"/>
      <c r="C4996" s="35" t="s">
        <v>582</v>
      </c>
      <c r="D4996" s="35" t="s">
        <v>583</v>
      </c>
      <c r="E4996" s="36">
        <f>ROUND(1.678*0.8,4)</f>
        <v>1.3424</v>
      </c>
      <c r="F4996" s="30">
        <v>25.725999999999996</v>
      </c>
      <c r="G4996" s="33">
        <f>IF(ISNUMBER(F4996),E4996*F4996,"")</f>
        <v>34.534582399999998</v>
      </c>
      <c r="H4996" s="34"/>
      <c r="I4996" s="30"/>
      <c r="J4996" s="152">
        <v>0</v>
      </c>
    </row>
    <row r="4997" spans="1:10" ht="15.75" hidden="1" thickBot="1" x14ac:dyDescent="0.3">
      <c r="A4997" s="176"/>
      <c r="B4997" s="174"/>
      <c r="C4997" s="35" t="s">
        <v>584</v>
      </c>
      <c r="D4997" s="35" t="s">
        <v>583</v>
      </c>
      <c r="E4997" s="36">
        <f>ROUND(0.839*0.8,4)</f>
        <v>0.67120000000000002</v>
      </c>
      <c r="F4997" s="30">
        <v>20.225499999999997</v>
      </c>
      <c r="G4997" s="33">
        <f>IF(ISNUMBER(F4997),E4997*F4997,"")</f>
        <v>13.575355599999998</v>
      </c>
      <c r="H4997" s="34"/>
      <c r="I4997" s="30"/>
      <c r="J4997" s="152">
        <v>0</v>
      </c>
    </row>
    <row r="4998" spans="1:10" ht="15.75" hidden="1" thickBot="1" x14ac:dyDescent="0.3">
      <c r="A4998" s="176"/>
      <c r="B4998" s="174"/>
      <c r="C4998" s="35"/>
      <c r="D4998" s="46"/>
      <c r="E4998" s="36"/>
      <c r="F4998" s="33" t="s">
        <v>416</v>
      </c>
      <c r="G4998" s="33" t="str">
        <f>IF(ISNUMBER(F4998),E4998*F4998,"")</f>
        <v/>
      </c>
      <c r="H4998" s="34"/>
      <c r="I4998" s="30"/>
      <c r="J4998" s="152">
        <v>0</v>
      </c>
    </row>
    <row r="4999" spans="1:10" ht="15.75" hidden="1" thickBot="1" x14ac:dyDescent="0.3">
      <c r="A4999" s="170" t="s">
        <v>2991</v>
      </c>
      <c r="B4999" s="173" t="str">
        <f>INDEX(Orçamentária!A:B,MATCH(Composições!A4999,Orçamentária!A:A,0),2)</f>
        <v>Remoção de boiler</v>
      </c>
      <c r="C4999" s="40"/>
      <c r="D4999" s="25" t="s">
        <v>16</v>
      </c>
      <c r="E4999" s="26"/>
      <c r="F4999" s="41" t="s">
        <v>416</v>
      </c>
      <c r="G4999" s="27" t="str">
        <f>IF(ISNUMBER(F4999),E4999*F4999,"")</f>
        <v/>
      </c>
      <c r="H4999" s="28"/>
      <c r="I4999" s="29"/>
      <c r="J4999" s="152">
        <v>0</v>
      </c>
    </row>
    <row r="5000" spans="1:10" ht="15.75" hidden="1" thickBot="1" x14ac:dyDescent="0.3">
      <c r="A5000" s="176"/>
      <c r="B5000" s="174"/>
      <c r="C5000" s="31"/>
      <c r="D5000" s="31"/>
      <c r="E5000" s="32"/>
      <c r="F5000" s="42" t="s">
        <v>416</v>
      </c>
      <c r="G5000" s="30" t="str">
        <f>IF(ISNUMBER(F5000),E5000*F5000,"")</f>
        <v/>
      </c>
      <c r="H5000" s="34"/>
      <c r="I5000" s="30"/>
      <c r="J5000" s="152">
        <v>0</v>
      </c>
    </row>
    <row r="5001" spans="1:10" ht="26.25" hidden="1" thickBot="1" x14ac:dyDescent="0.3">
      <c r="A5001" s="176"/>
      <c r="B5001" s="174"/>
      <c r="C5001" s="35" t="s">
        <v>824</v>
      </c>
      <c r="D5001" s="35" t="s">
        <v>583</v>
      </c>
      <c r="E5001" s="36">
        <f>4*0.3</f>
        <v>1.2</v>
      </c>
      <c r="F5001" s="30">
        <v>21.166</v>
      </c>
      <c r="G5001" s="30">
        <f>IF(ISNUMBER(F5001),E5001*F5001,"")</f>
        <v>25.3992</v>
      </c>
      <c r="H5001" s="38">
        <f>SUM(G5001:G5004)</f>
        <v>87.210000000000008</v>
      </c>
      <c r="I5001" s="39"/>
      <c r="J5001" s="152">
        <v>0</v>
      </c>
    </row>
    <row r="5002" spans="1:10" ht="26.25" hidden="1" thickBot="1" x14ac:dyDescent="0.3">
      <c r="A5002" s="176"/>
      <c r="B5002" s="174"/>
      <c r="C5002" s="35" t="s">
        <v>825</v>
      </c>
      <c r="D5002" s="35" t="s">
        <v>583</v>
      </c>
      <c r="E5002" s="36">
        <f>4*0.3</f>
        <v>1.2</v>
      </c>
      <c r="F5002" s="30">
        <v>26.799499999999998</v>
      </c>
      <c r="G5002" s="30">
        <f>IF(ISNUMBER(F5002),E5002*F5002,"")</f>
        <v>32.159399999999998</v>
      </c>
      <c r="H5002" s="44"/>
      <c r="I5002" s="45"/>
      <c r="J5002" s="152">
        <v>0</v>
      </c>
    </row>
    <row r="5003" spans="1:10" ht="15.75" hidden="1" thickBot="1" x14ac:dyDescent="0.3">
      <c r="A5003" s="176"/>
      <c r="B5003" s="174"/>
      <c r="C5003" s="35" t="s">
        <v>1017</v>
      </c>
      <c r="D5003" s="35" t="s">
        <v>583</v>
      </c>
      <c r="E5003" s="36">
        <f>2*0.3</f>
        <v>0.6</v>
      </c>
      <c r="F5003" s="30">
        <v>21.584</v>
      </c>
      <c r="G5003" s="30">
        <f>IF(ISNUMBER(F5003),E5003*F5003,"")</f>
        <v>12.9504</v>
      </c>
      <c r="H5003" s="34"/>
      <c r="I5003" s="30"/>
      <c r="J5003" s="152">
        <v>0</v>
      </c>
    </row>
    <row r="5004" spans="1:10" ht="15.75" hidden="1" thickBot="1" x14ac:dyDescent="0.3">
      <c r="A5004" s="176"/>
      <c r="B5004" s="174"/>
      <c r="C5004" s="35" t="s">
        <v>1018</v>
      </c>
      <c r="D5004" s="35" t="s">
        <v>583</v>
      </c>
      <c r="E5004" s="36">
        <f>2*0.3</f>
        <v>0.6</v>
      </c>
      <c r="F5004" s="30">
        <v>27.835000000000001</v>
      </c>
      <c r="G5004" s="30">
        <f>IF(ISNUMBER(F5004),E5004*F5004,"")</f>
        <v>16.701000000000001</v>
      </c>
      <c r="H5004" s="34"/>
      <c r="I5004" s="30"/>
      <c r="J5004" s="152">
        <v>0</v>
      </c>
    </row>
    <row r="5005" spans="1:10" ht="15.75" hidden="1" thickBot="1" x14ac:dyDescent="0.3">
      <c r="A5005" s="177"/>
      <c r="B5005" s="175"/>
      <c r="C5005" s="35"/>
      <c r="D5005" s="35"/>
      <c r="E5005" s="36"/>
      <c r="F5005" s="30" t="s">
        <v>416</v>
      </c>
      <c r="G5005" s="30" t="str">
        <f>IF(ISNUMBER(F5005),E5005*F5005,"")</f>
        <v/>
      </c>
      <c r="H5005" s="34"/>
      <c r="I5005" s="30"/>
      <c r="J5005" s="152">
        <v>0</v>
      </c>
    </row>
    <row r="5006" spans="1:10" ht="15.75" hidden="1" thickBot="1" x14ac:dyDescent="0.3">
      <c r="A5006" s="170" t="s">
        <v>2992</v>
      </c>
      <c r="B5006" s="173" t="str">
        <f>INDEX(Orçamentária!A:B,MATCH(Composições!A5006,Orçamentária!A:A,0),2)</f>
        <v>Remoção de tacos de madeira</v>
      </c>
      <c r="C5006" s="40"/>
      <c r="D5006" s="25" t="s">
        <v>70</v>
      </c>
      <c r="E5006" s="26"/>
      <c r="F5006" s="41" t="s">
        <v>416</v>
      </c>
      <c r="G5006" s="27" t="str">
        <f>IF(ISNUMBER(F5006),E5006*F5006,"")</f>
        <v/>
      </c>
      <c r="H5006" s="28"/>
      <c r="I5006" s="29"/>
      <c r="J5006" s="152">
        <v>0</v>
      </c>
    </row>
    <row r="5007" spans="1:10" ht="15.75" hidden="1" thickBot="1" x14ac:dyDescent="0.3">
      <c r="A5007" s="176"/>
      <c r="B5007" s="174"/>
      <c r="C5007" s="31"/>
      <c r="D5007" s="31"/>
      <c r="E5007" s="32"/>
      <c r="F5007" s="42" t="s">
        <v>416</v>
      </c>
      <c r="G5007" s="30" t="str">
        <f>IF(ISNUMBER(F5007),E5007*F5007,"")</f>
        <v/>
      </c>
      <c r="H5007" s="34"/>
      <c r="I5007" s="30"/>
      <c r="J5007" s="152">
        <v>0</v>
      </c>
    </row>
    <row r="5008" spans="1:10" ht="15.75" hidden="1" thickBot="1" x14ac:dyDescent="0.3">
      <c r="A5008" s="176"/>
      <c r="B5008" s="174"/>
      <c r="C5008" s="35" t="s">
        <v>582</v>
      </c>
      <c r="D5008" s="35" t="s">
        <v>583</v>
      </c>
      <c r="E5008" s="36">
        <v>0.12</v>
      </c>
      <c r="F5008" s="33">
        <v>25.725999999999996</v>
      </c>
      <c r="G5008" s="33">
        <f>IF(ISNUMBER(F5008),E5008*F5008,"")</f>
        <v>3.0871199999999992</v>
      </c>
      <c r="H5008" s="38">
        <f>SUM(G5008:G5009)</f>
        <v>28.691519999999997</v>
      </c>
      <c r="I5008" s="39"/>
      <c r="J5008" s="152">
        <v>0</v>
      </c>
    </row>
    <row r="5009" spans="1:10" ht="15.75" hidden="1" thickBot="1" x14ac:dyDescent="0.3">
      <c r="A5009" s="176"/>
      <c r="B5009" s="174"/>
      <c r="C5009" s="35" t="s">
        <v>660</v>
      </c>
      <c r="D5009" s="35" t="s">
        <v>583</v>
      </c>
      <c r="E5009" s="36">
        <v>1.2</v>
      </c>
      <c r="F5009" s="33">
        <v>21.337</v>
      </c>
      <c r="G5009" s="33">
        <f>IF(ISNUMBER(F5009),E5009*F5009,"")</f>
        <v>25.604399999999998</v>
      </c>
      <c r="H5009" s="44"/>
      <c r="I5009" s="45"/>
      <c r="J5009" s="152">
        <v>0</v>
      </c>
    </row>
    <row r="5010" spans="1:10" ht="15.75" hidden="1" thickBot="1" x14ac:dyDescent="0.3">
      <c r="A5010" s="177"/>
      <c r="B5010" s="175"/>
      <c r="C5010" s="35"/>
      <c r="D5010" s="35"/>
      <c r="E5010" s="36"/>
      <c r="F5010" s="30" t="s">
        <v>416</v>
      </c>
      <c r="G5010" s="30" t="str">
        <f>IF(ISNUMBER(F5010),E5010*F5010,"")</f>
        <v/>
      </c>
      <c r="H5010" s="34"/>
      <c r="I5010" s="30"/>
      <c r="J5010" s="152">
        <v>0</v>
      </c>
    </row>
    <row r="5011" spans="1:10" ht="15.75" hidden="1" thickBot="1" x14ac:dyDescent="0.3">
      <c r="A5011" s="170" t="s">
        <v>2993</v>
      </c>
      <c r="B5011" s="173" t="str">
        <f>INDEX(Orçamentária!A:B,MATCH(Composições!A5011,Orçamentária!A:A,0),2)</f>
        <v>Cerâmica 30 x 60 cm - Glacier White - Portobello – Linha Residencial</v>
      </c>
      <c r="C5011" s="40"/>
      <c r="D5011" s="25" t="s">
        <v>70</v>
      </c>
      <c r="E5011" s="26"/>
      <c r="F5011" s="48" t="s">
        <v>416</v>
      </c>
      <c r="G5011" s="27" t="str">
        <f>IF(ISNUMBER(F5011),E5011*F5011,"")</f>
        <v/>
      </c>
      <c r="H5011" s="28"/>
      <c r="I5011" s="29"/>
      <c r="J5011" s="152">
        <v>0</v>
      </c>
    </row>
    <row r="5012" spans="1:10" ht="15.75" hidden="1" thickBot="1" x14ac:dyDescent="0.3">
      <c r="A5012" s="171"/>
      <c r="B5012" s="174"/>
      <c r="C5012" s="31"/>
      <c r="D5012" s="31"/>
      <c r="E5012" s="32"/>
      <c r="F5012" s="53" t="s">
        <v>416</v>
      </c>
      <c r="G5012" s="53" t="str">
        <f>IF(ISNUMBER(F5012),E5012*F5012,"")</f>
        <v/>
      </c>
      <c r="H5012" s="72"/>
      <c r="I5012" s="73"/>
      <c r="J5012" s="152">
        <v>0</v>
      </c>
    </row>
    <row r="5013" spans="1:10" ht="26.25" hidden="1" thickBot="1" x14ac:dyDescent="0.3">
      <c r="A5013" s="171"/>
      <c r="B5013" s="174"/>
      <c r="C5013" s="35" t="s">
        <v>3111</v>
      </c>
      <c r="D5013" s="35" t="s">
        <v>70</v>
      </c>
      <c r="E5013" s="36">
        <v>1.08</v>
      </c>
      <c r="F5013" s="53" t="s">
        <v>416</v>
      </c>
      <c r="G5013" s="53" t="str">
        <f>IF(ISNUMBER(F5013),E5013*F5013,"")</f>
        <v/>
      </c>
      <c r="H5013" s="38">
        <f>SUM(G5013:G5017)</f>
        <v>32.594309999999993</v>
      </c>
      <c r="I5013" s="39"/>
      <c r="J5013" s="152">
        <v>0</v>
      </c>
    </row>
    <row r="5014" spans="1:10" ht="15.75" hidden="1" thickBot="1" x14ac:dyDescent="0.3">
      <c r="A5014" s="171"/>
      <c r="B5014" s="174"/>
      <c r="C5014" s="35" t="s">
        <v>7986</v>
      </c>
      <c r="D5014" s="35" t="s">
        <v>773</v>
      </c>
      <c r="E5014" s="36">
        <v>6.14</v>
      </c>
      <c r="F5014" s="53">
        <v>1.0924999999999998</v>
      </c>
      <c r="G5014" s="53">
        <f>IF(ISNUMBER(F5014),E5014*F5014,"")</f>
        <v>6.7079499999999985</v>
      </c>
      <c r="H5014" s="72"/>
      <c r="I5014" s="73"/>
      <c r="J5014" s="152">
        <v>0</v>
      </c>
    </row>
    <row r="5015" spans="1:10" ht="15.75" hidden="1" thickBot="1" x14ac:dyDescent="0.3">
      <c r="A5015" s="171"/>
      <c r="B5015" s="174"/>
      <c r="C5015" s="35" t="s">
        <v>8367</v>
      </c>
      <c r="D5015" s="35" t="s">
        <v>773</v>
      </c>
      <c r="E5015" s="36">
        <v>0.22</v>
      </c>
      <c r="F5015" s="53">
        <v>3.4579999999999997</v>
      </c>
      <c r="G5015" s="53">
        <f>IF(ISNUMBER(F5015),E5015*F5015,"")</f>
        <v>0.76075999999999999</v>
      </c>
      <c r="H5015" s="72"/>
      <c r="I5015" s="73"/>
      <c r="J5015" s="152">
        <v>0</v>
      </c>
    </row>
    <row r="5016" spans="1:10" ht="15.75" hidden="1" thickBot="1" x14ac:dyDescent="0.3">
      <c r="A5016" s="171"/>
      <c r="B5016" s="174"/>
      <c r="C5016" s="35" t="s">
        <v>1079</v>
      </c>
      <c r="D5016" s="35" t="s">
        <v>583</v>
      </c>
      <c r="E5016" s="36">
        <v>0.66</v>
      </c>
      <c r="F5016" s="53">
        <v>27.036999999999999</v>
      </c>
      <c r="G5016" s="53">
        <f>IF(ISNUMBER(F5016),E5016*F5016,"")</f>
        <v>17.84442</v>
      </c>
      <c r="H5016" s="72"/>
      <c r="I5016" s="73"/>
      <c r="J5016" s="152">
        <v>0</v>
      </c>
    </row>
    <row r="5017" spans="1:10" ht="15.75" hidden="1" thickBot="1" x14ac:dyDescent="0.3">
      <c r="A5017" s="171"/>
      <c r="B5017" s="174"/>
      <c r="C5017" s="35" t="s">
        <v>584</v>
      </c>
      <c r="D5017" s="35" t="s">
        <v>583</v>
      </c>
      <c r="E5017" s="36">
        <v>0.36</v>
      </c>
      <c r="F5017" s="53">
        <v>20.225499999999997</v>
      </c>
      <c r="G5017" s="53">
        <f>IF(ISNUMBER(F5017),E5017*F5017,"")</f>
        <v>7.2811799999999982</v>
      </c>
      <c r="H5017" s="72"/>
      <c r="I5017" s="73"/>
      <c r="J5017" s="152">
        <v>0</v>
      </c>
    </row>
    <row r="5018" spans="1:10" ht="15.75" hidden="1" thickBot="1" x14ac:dyDescent="0.3">
      <c r="A5018" s="171"/>
      <c r="B5018" s="174"/>
      <c r="C5018" s="35"/>
      <c r="D5018" s="46"/>
      <c r="E5018" s="36"/>
      <c r="F5018" s="53" t="s">
        <v>416</v>
      </c>
      <c r="G5018" s="53" t="str">
        <f>IF(ISNUMBER(F5018),E5018*F5018,"")</f>
        <v/>
      </c>
      <c r="H5018" s="72"/>
      <c r="I5018" s="73"/>
      <c r="J5018" s="152">
        <v>0</v>
      </c>
    </row>
    <row r="5019" spans="1:10" ht="15.75" hidden="1" thickBot="1" x14ac:dyDescent="0.3">
      <c r="A5019" s="170" t="s">
        <v>2994</v>
      </c>
      <c r="B5019" s="173" t="str">
        <f>INDEX(Orçamentária!A:B,MATCH(Composições!A5019,Orçamentária!A:A,0),2)</f>
        <v>Instalação de tacos de madeira reaproveitados</v>
      </c>
      <c r="C5019" s="40"/>
      <c r="D5019" s="25" t="s">
        <v>70</v>
      </c>
      <c r="E5019" s="26"/>
      <c r="F5019" s="41" t="s">
        <v>416</v>
      </c>
      <c r="G5019" s="27" t="str">
        <f>IF(ISNUMBER(F5019),E5019*F5019,"")</f>
        <v/>
      </c>
      <c r="H5019" s="28"/>
      <c r="I5019" s="29"/>
      <c r="J5019" s="152">
        <v>0</v>
      </c>
    </row>
    <row r="5020" spans="1:10" ht="15.75" hidden="1" thickBot="1" x14ac:dyDescent="0.3">
      <c r="A5020" s="176"/>
      <c r="B5020" s="174"/>
      <c r="C5020" s="31"/>
      <c r="D5020" s="31"/>
      <c r="E5020" s="32"/>
      <c r="F5020" s="42" t="s">
        <v>416</v>
      </c>
      <c r="G5020" s="30" t="str">
        <f>IF(ISNUMBER(F5020),E5020*F5020,"")</f>
        <v/>
      </c>
      <c r="H5020" s="34"/>
      <c r="I5020" s="30"/>
      <c r="J5020" s="152">
        <v>0</v>
      </c>
    </row>
    <row r="5021" spans="1:10" ht="15.75" hidden="1" thickBot="1" x14ac:dyDescent="0.3">
      <c r="A5021" s="176"/>
      <c r="B5021" s="174"/>
      <c r="C5021" s="35" t="s">
        <v>1092</v>
      </c>
      <c r="D5021" s="35" t="s">
        <v>773</v>
      </c>
      <c r="E5021" s="36">
        <v>0.57499999999999996</v>
      </c>
      <c r="F5021" s="33">
        <v>42.730999999999995</v>
      </c>
      <c r="G5021" s="33">
        <f>IF(ISNUMBER(F5021),E5021*F5021,"")</f>
        <v>24.570324999999993</v>
      </c>
      <c r="H5021" s="38">
        <f>SUM(G5021:G5023)</f>
        <v>44.856254499999991</v>
      </c>
      <c r="I5021" s="39"/>
      <c r="J5021" s="152">
        <v>0</v>
      </c>
    </row>
    <row r="5022" spans="1:10" ht="15.75" hidden="1" thickBot="1" x14ac:dyDescent="0.3">
      <c r="A5022" s="176"/>
      <c r="B5022" s="174"/>
      <c r="C5022" s="35" t="s">
        <v>584</v>
      </c>
      <c r="D5022" s="35" t="s">
        <v>583</v>
      </c>
      <c r="E5022" s="36">
        <v>0.2399</v>
      </c>
      <c r="F5022" s="33">
        <v>20.225499999999997</v>
      </c>
      <c r="G5022" s="33">
        <f>IF(ISNUMBER(F5022),E5022*F5022,"")</f>
        <v>4.8520974499999996</v>
      </c>
      <c r="H5022" s="44"/>
      <c r="I5022" s="45"/>
      <c r="J5022" s="152">
        <v>0</v>
      </c>
    </row>
    <row r="5023" spans="1:10" ht="15.75" hidden="1" thickBot="1" x14ac:dyDescent="0.3">
      <c r="A5023" s="176"/>
      <c r="B5023" s="174"/>
      <c r="C5023" s="35" t="s">
        <v>1071</v>
      </c>
      <c r="D5023" s="35" t="s">
        <v>583</v>
      </c>
      <c r="E5023" s="36">
        <v>0.57589999999999997</v>
      </c>
      <c r="F5023" s="30">
        <v>26.799499999999998</v>
      </c>
      <c r="G5023" s="30">
        <f>IF(ISNUMBER(F5023),E5023*F5023,"")</f>
        <v>15.433832049999998</v>
      </c>
      <c r="H5023" s="34"/>
      <c r="I5023" s="30"/>
      <c r="J5023" s="152">
        <v>0</v>
      </c>
    </row>
    <row r="5024" spans="1:10" ht="15.75" hidden="1" thickBot="1" x14ac:dyDescent="0.3">
      <c r="A5024" s="177"/>
      <c r="B5024" s="175"/>
      <c r="C5024" s="35"/>
      <c r="D5024" s="35"/>
      <c r="E5024" s="36"/>
      <c r="F5024" s="30" t="s">
        <v>416</v>
      </c>
      <c r="G5024" s="30" t="str">
        <f>IF(ISNUMBER(F5024),E5024*F5024,"")</f>
        <v/>
      </c>
      <c r="H5024" s="34"/>
      <c r="I5024" s="30"/>
      <c r="J5024" s="152">
        <v>0</v>
      </c>
    </row>
    <row r="5025" spans="1:10" ht="15.75" hidden="1" thickBot="1" x14ac:dyDescent="0.3">
      <c r="A5025" s="170" t="s">
        <v>2999</v>
      </c>
      <c r="B5025" s="173" t="str">
        <f>INDEX(Orçamentária!A:B,MATCH(Composições!A5025,Orçamentária!A:A,0),2)</f>
        <v>Instalação de cortinas reaproveitadas</v>
      </c>
      <c r="C5025" s="40"/>
      <c r="D5025" s="25" t="s">
        <v>69</v>
      </c>
      <c r="E5025" s="26"/>
      <c r="F5025" s="41" t="s">
        <v>416</v>
      </c>
      <c r="G5025" s="27" t="str">
        <f>IF(ISNUMBER(F5025),E5025*F5025,"")</f>
        <v/>
      </c>
      <c r="H5025" s="28"/>
      <c r="I5025" s="29"/>
      <c r="J5025" s="152">
        <v>0</v>
      </c>
    </row>
    <row r="5026" spans="1:10" ht="15.75" hidden="1" thickBot="1" x14ac:dyDescent="0.3">
      <c r="A5026" s="176"/>
      <c r="B5026" s="174"/>
      <c r="C5026" s="31"/>
      <c r="D5026" s="31"/>
      <c r="E5026" s="32"/>
      <c r="F5026" s="42" t="s">
        <v>416</v>
      </c>
      <c r="G5026" s="30" t="str">
        <f>IF(ISNUMBER(F5026),E5026*F5026,"")</f>
        <v/>
      </c>
      <c r="H5026" s="34"/>
      <c r="I5026" s="30"/>
      <c r="J5026" s="152">
        <v>0</v>
      </c>
    </row>
    <row r="5027" spans="1:10" ht="15.75" hidden="1" thickBot="1" x14ac:dyDescent="0.3">
      <c r="A5027" s="176"/>
      <c r="B5027" s="174"/>
      <c r="C5027" s="35" t="s">
        <v>1233</v>
      </c>
      <c r="D5027" s="35" t="s">
        <v>583</v>
      </c>
      <c r="E5027" s="36">
        <v>0.5</v>
      </c>
      <c r="F5027" s="33">
        <v>21.318000000000001</v>
      </c>
      <c r="G5027" s="33">
        <f>IF(ISNUMBER(F5027),E5027*F5027,"")</f>
        <v>10.659000000000001</v>
      </c>
      <c r="H5027" s="38">
        <f>SUM(G5027:G5027)</f>
        <v>10.659000000000001</v>
      </c>
      <c r="I5027" s="39"/>
      <c r="J5027" s="152">
        <v>0</v>
      </c>
    </row>
    <row r="5028" spans="1:10" ht="15.75" hidden="1" thickBot="1" x14ac:dyDescent="0.3">
      <c r="A5028" s="177"/>
      <c r="B5028" s="175"/>
      <c r="C5028" s="35"/>
      <c r="D5028" s="35"/>
      <c r="E5028" s="36"/>
      <c r="F5028" s="30" t="s">
        <v>416</v>
      </c>
      <c r="G5028" s="30" t="str">
        <f>IF(ISNUMBER(F5028),E5028*F5028,"")</f>
        <v/>
      </c>
      <c r="H5028" s="34"/>
      <c r="I5028" s="30"/>
      <c r="J5028" s="152">
        <v>0</v>
      </c>
    </row>
    <row r="5029" spans="1:10" ht="15.75" hidden="1" thickBot="1" x14ac:dyDescent="0.3">
      <c r="A5029" s="170" t="s">
        <v>3000</v>
      </c>
      <c r="B5029" s="173" t="str">
        <f>INDEX(Orçamentária!A:B,MATCH(Composições!A5029,Orçamentária!A:A,0),2)</f>
        <v>Tubo CPVC soldável 22 mm – Linha Residencial</v>
      </c>
      <c r="C5029" s="40"/>
      <c r="D5029" s="25" t="s">
        <v>69</v>
      </c>
      <c r="E5029" s="26"/>
      <c r="F5029" s="41" t="s">
        <v>416</v>
      </c>
      <c r="G5029" s="27" t="str">
        <f>IF(ISNUMBER(F5029),E5029*F5029,"")</f>
        <v/>
      </c>
      <c r="H5029" s="28"/>
      <c r="I5029" s="29"/>
      <c r="J5029" s="152">
        <v>0</v>
      </c>
    </row>
    <row r="5030" spans="1:10" ht="15.75" hidden="1" thickBot="1" x14ac:dyDescent="0.3">
      <c r="A5030" s="176"/>
      <c r="B5030" s="174"/>
      <c r="C5030" s="31"/>
      <c r="D5030" s="31"/>
      <c r="E5030" s="32"/>
      <c r="F5030" s="42" t="s">
        <v>416</v>
      </c>
      <c r="G5030" s="30" t="str">
        <f>IF(ISNUMBER(F5030),E5030*F5030,"")</f>
        <v/>
      </c>
      <c r="H5030" s="34"/>
      <c r="I5030" s="30"/>
      <c r="J5030" s="152">
        <v>0</v>
      </c>
    </row>
    <row r="5031" spans="1:10" ht="26.25" hidden="1" thickBot="1" x14ac:dyDescent="0.3">
      <c r="A5031" s="176"/>
      <c r="B5031" s="174"/>
      <c r="C5031" s="35" t="s">
        <v>2948</v>
      </c>
      <c r="D5031" s="35" t="s">
        <v>385</v>
      </c>
      <c r="E5031" s="36">
        <v>1.0609999999999999</v>
      </c>
      <c r="F5031" s="33">
        <v>13.034000000000001</v>
      </c>
      <c r="G5031" s="33">
        <f>IF(ISNUMBER(F5031),E5031*F5031,"")</f>
        <v>13.829074</v>
      </c>
      <c r="H5031" s="38">
        <f>SUM(G5031:G5033)</f>
        <v>30.089378500000002</v>
      </c>
      <c r="I5031" s="39"/>
      <c r="J5031" s="152">
        <v>0</v>
      </c>
    </row>
    <row r="5032" spans="1:10" ht="26.25" hidden="1" thickBot="1" x14ac:dyDescent="0.3">
      <c r="A5032" s="176"/>
      <c r="B5032" s="174"/>
      <c r="C5032" s="35" t="s">
        <v>824</v>
      </c>
      <c r="D5032" s="35" t="s">
        <v>583</v>
      </c>
      <c r="E5032" s="36">
        <v>0.33900000000000002</v>
      </c>
      <c r="F5032" s="33">
        <v>21.166</v>
      </c>
      <c r="G5032" s="33">
        <f>IF(ISNUMBER(F5032),E5032*F5032,"")</f>
        <v>7.1752740000000008</v>
      </c>
      <c r="H5032" s="44"/>
      <c r="I5032" s="45"/>
      <c r="J5032" s="152">
        <v>0</v>
      </c>
    </row>
    <row r="5033" spans="1:10" ht="26.25" hidden="1" thickBot="1" x14ac:dyDescent="0.3">
      <c r="A5033" s="176"/>
      <c r="B5033" s="174"/>
      <c r="C5033" s="35" t="s">
        <v>825</v>
      </c>
      <c r="D5033" s="35" t="s">
        <v>583</v>
      </c>
      <c r="E5033" s="36">
        <v>0.33900000000000002</v>
      </c>
      <c r="F5033" s="30">
        <v>26.799499999999998</v>
      </c>
      <c r="G5033" s="30">
        <f>IF(ISNUMBER(F5033),E5033*F5033,"")</f>
        <v>9.0850305000000002</v>
      </c>
      <c r="H5033" s="34"/>
      <c r="I5033" s="30"/>
      <c r="J5033" s="152">
        <v>0</v>
      </c>
    </row>
    <row r="5034" spans="1:10" ht="15.75" hidden="1" thickBot="1" x14ac:dyDescent="0.3">
      <c r="A5034" s="177"/>
      <c r="B5034" s="175"/>
      <c r="C5034" s="35"/>
      <c r="D5034" s="35"/>
      <c r="E5034" s="36"/>
      <c r="F5034" s="30" t="s">
        <v>416</v>
      </c>
      <c r="G5034" s="30" t="str">
        <f>IF(ISNUMBER(F5034),E5034*F5034,"")</f>
        <v/>
      </c>
      <c r="H5034" s="34"/>
      <c r="I5034" s="30"/>
      <c r="J5034" s="152">
        <v>0</v>
      </c>
    </row>
    <row r="5035" spans="1:10" ht="15.75" hidden="1" thickBot="1" x14ac:dyDescent="0.3">
      <c r="A5035" s="170" t="s">
        <v>3001</v>
      </c>
      <c r="B5035" s="173" t="str">
        <f>INDEX(Orçamentária!A:B,MATCH(Composições!A5035,Orçamentária!A:A,0),2)</f>
        <v>Tubo CPVC soldável 28 mm – Linha Residencial</v>
      </c>
      <c r="C5035" s="40"/>
      <c r="D5035" s="25" t="s">
        <v>69</v>
      </c>
      <c r="E5035" s="26"/>
      <c r="F5035" s="41" t="s">
        <v>416</v>
      </c>
      <c r="G5035" s="27" t="str">
        <f>IF(ISNUMBER(F5035),E5035*F5035,"")</f>
        <v/>
      </c>
      <c r="H5035" s="28"/>
      <c r="I5035" s="29"/>
      <c r="J5035" s="152">
        <v>0</v>
      </c>
    </row>
    <row r="5036" spans="1:10" ht="15.75" hidden="1" thickBot="1" x14ac:dyDescent="0.3">
      <c r="A5036" s="176"/>
      <c r="B5036" s="174"/>
      <c r="C5036" s="31"/>
      <c r="D5036" s="31"/>
      <c r="E5036" s="32"/>
      <c r="F5036" s="42" t="s">
        <v>416</v>
      </c>
      <c r="G5036" s="30" t="str">
        <f>IF(ISNUMBER(F5036),E5036*F5036,"")</f>
        <v/>
      </c>
      <c r="H5036" s="34"/>
      <c r="I5036" s="30"/>
      <c r="J5036" s="152">
        <v>0</v>
      </c>
    </row>
    <row r="5037" spans="1:10" ht="26.25" hidden="1" thickBot="1" x14ac:dyDescent="0.3">
      <c r="A5037" s="176"/>
      <c r="B5037" s="174"/>
      <c r="C5037" s="35" t="s">
        <v>2949</v>
      </c>
      <c r="D5037" s="35" t="s">
        <v>385</v>
      </c>
      <c r="E5037" s="36">
        <v>1.0609999999999999</v>
      </c>
      <c r="F5037" s="33">
        <v>22.448499999999999</v>
      </c>
      <c r="G5037" s="33">
        <f>IF(ISNUMBER(F5037),E5037*F5037,"")</f>
        <v>23.817858499999996</v>
      </c>
      <c r="H5037" s="38">
        <f>SUM(G5037:G5039)</f>
        <v>43.004058499999992</v>
      </c>
      <c r="I5037" s="39"/>
      <c r="J5037" s="152">
        <v>0</v>
      </c>
    </row>
    <row r="5038" spans="1:10" ht="26.25" hidden="1" thickBot="1" x14ac:dyDescent="0.3">
      <c r="A5038" s="176"/>
      <c r="B5038" s="174"/>
      <c r="C5038" s="35" t="s">
        <v>824</v>
      </c>
      <c r="D5038" s="35" t="s">
        <v>583</v>
      </c>
      <c r="E5038" s="36">
        <v>0.4</v>
      </c>
      <c r="F5038" s="33">
        <v>21.166</v>
      </c>
      <c r="G5038" s="33">
        <f>IF(ISNUMBER(F5038),E5038*F5038,"")</f>
        <v>8.4664000000000001</v>
      </c>
      <c r="H5038" s="44"/>
      <c r="I5038" s="45"/>
      <c r="J5038" s="152">
        <v>0</v>
      </c>
    </row>
    <row r="5039" spans="1:10" ht="26.25" hidden="1" thickBot="1" x14ac:dyDescent="0.3">
      <c r="A5039" s="176"/>
      <c r="B5039" s="174"/>
      <c r="C5039" s="35" t="s">
        <v>825</v>
      </c>
      <c r="D5039" s="35" t="s">
        <v>583</v>
      </c>
      <c r="E5039" s="36">
        <v>0.4</v>
      </c>
      <c r="F5039" s="30">
        <v>26.799499999999998</v>
      </c>
      <c r="G5039" s="30">
        <f>IF(ISNUMBER(F5039),E5039*F5039,"")</f>
        <v>10.719799999999999</v>
      </c>
      <c r="H5039" s="34"/>
      <c r="I5039" s="30"/>
      <c r="J5039" s="152">
        <v>0</v>
      </c>
    </row>
    <row r="5040" spans="1:10" ht="15.75" hidden="1" thickBot="1" x14ac:dyDescent="0.3">
      <c r="A5040" s="177"/>
      <c r="B5040" s="175"/>
      <c r="C5040" s="35"/>
      <c r="D5040" s="35"/>
      <c r="E5040" s="36"/>
      <c r="F5040" s="30" t="s">
        <v>416</v>
      </c>
      <c r="G5040" s="30" t="str">
        <f>IF(ISNUMBER(F5040),E5040*F5040,"")</f>
        <v/>
      </c>
      <c r="H5040" s="34"/>
      <c r="I5040" s="30"/>
      <c r="J5040" s="152">
        <v>0</v>
      </c>
    </row>
    <row r="5041" spans="1:10" ht="15.75" hidden="1" thickBot="1" x14ac:dyDescent="0.3">
      <c r="A5041" s="170" t="s">
        <v>3002</v>
      </c>
      <c r="B5041" s="173" t="str">
        <f>INDEX(Orçamentária!A:B,MATCH(Composições!A5041,Orçamentária!A:A,0),2)</f>
        <v>Instalação de bidê reaproveitado</v>
      </c>
      <c r="C5041" s="40"/>
      <c r="D5041" s="25" t="s">
        <v>16</v>
      </c>
      <c r="E5041" s="26"/>
      <c r="F5041" s="41" t="s">
        <v>416</v>
      </c>
      <c r="G5041" s="27" t="str">
        <f>IF(ISNUMBER(F5041),E5041*F5041,"")</f>
        <v/>
      </c>
      <c r="H5041" s="28"/>
      <c r="I5041" s="29"/>
      <c r="J5041" s="152">
        <v>0</v>
      </c>
    </row>
    <row r="5042" spans="1:10" ht="15.75" hidden="1" thickBot="1" x14ac:dyDescent="0.3">
      <c r="A5042" s="176"/>
      <c r="B5042" s="174"/>
      <c r="C5042" s="31"/>
      <c r="D5042" s="31"/>
      <c r="E5042" s="32"/>
      <c r="F5042" s="42" t="s">
        <v>416</v>
      </c>
      <c r="G5042" s="30" t="str">
        <f>IF(ISNUMBER(F5042),E5042*F5042,"")</f>
        <v/>
      </c>
      <c r="H5042" s="34"/>
      <c r="I5042" s="30"/>
      <c r="J5042" s="152">
        <v>0</v>
      </c>
    </row>
    <row r="5043" spans="1:10" ht="39" hidden="1" thickBot="1" x14ac:dyDescent="0.3">
      <c r="A5043" s="176"/>
      <c r="B5043" s="174"/>
      <c r="C5043" s="35" t="s">
        <v>8308</v>
      </c>
      <c r="D5043" s="35" t="s">
        <v>213</v>
      </c>
      <c r="E5043" s="36">
        <v>2</v>
      </c>
      <c r="F5043" s="33">
        <v>22.799999999999997</v>
      </c>
      <c r="G5043" s="33">
        <f>IF(ISNUMBER(F5043),E5043*F5043,"")</f>
        <v>45.599999999999994</v>
      </c>
      <c r="H5043" s="38">
        <f>SUM(G5043:G5047)</f>
        <v>86.792199499999981</v>
      </c>
      <c r="I5043" s="39"/>
      <c r="J5043" s="152">
        <v>0</v>
      </c>
    </row>
    <row r="5044" spans="1:10" ht="26.25" hidden="1" thickBot="1" x14ac:dyDescent="0.3">
      <c r="A5044" s="176"/>
      <c r="B5044" s="174"/>
      <c r="C5044" s="35" t="s">
        <v>7982</v>
      </c>
      <c r="D5044" s="35" t="s">
        <v>213</v>
      </c>
      <c r="E5044" s="36">
        <v>1</v>
      </c>
      <c r="F5044" s="33">
        <v>14.3925</v>
      </c>
      <c r="G5044" s="33">
        <f>IF(ISNUMBER(F5044),E5044*F5044,"")</f>
        <v>14.3925</v>
      </c>
      <c r="H5044" s="34"/>
      <c r="I5044" s="39"/>
      <c r="J5044" s="152">
        <v>0</v>
      </c>
    </row>
    <row r="5045" spans="1:10" ht="15.75" hidden="1" thickBot="1" x14ac:dyDescent="0.3">
      <c r="A5045" s="176"/>
      <c r="B5045" s="174"/>
      <c r="C5045" s="35" t="s">
        <v>3061</v>
      </c>
      <c r="D5045" s="35" t="s">
        <v>773</v>
      </c>
      <c r="E5045" s="36">
        <v>8.8099999999999998E-2</v>
      </c>
      <c r="F5045" s="33">
        <v>72.836500000000001</v>
      </c>
      <c r="G5045" s="33">
        <f>IF(ISNUMBER(F5045),E5045*F5045,"")</f>
        <v>6.4168956499999998</v>
      </c>
      <c r="H5045" s="34"/>
      <c r="I5045" s="30"/>
      <c r="J5045" s="152">
        <v>0</v>
      </c>
    </row>
    <row r="5046" spans="1:10" ht="26.25" hidden="1" thickBot="1" x14ac:dyDescent="0.3">
      <c r="A5046" s="176"/>
      <c r="B5046" s="174"/>
      <c r="C5046" s="35" t="s">
        <v>825</v>
      </c>
      <c r="D5046" s="35" t="s">
        <v>583</v>
      </c>
      <c r="E5046" s="36">
        <v>0.49680000000000002</v>
      </c>
      <c r="F5046" s="30">
        <v>26.799499999999998</v>
      </c>
      <c r="G5046" s="33">
        <f>IF(ISNUMBER(F5046),E5046*F5046,"")</f>
        <v>13.3139916</v>
      </c>
      <c r="H5046" s="34"/>
      <c r="I5046" s="30"/>
      <c r="J5046" s="152">
        <v>0</v>
      </c>
    </row>
    <row r="5047" spans="1:10" ht="15.75" hidden="1" thickBot="1" x14ac:dyDescent="0.3">
      <c r="A5047" s="176"/>
      <c r="B5047" s="174"/>
      <c r="C5047" s="35" t="s">
        <v>584</v>
      </c>
      <c r="D5047" s="35" t="s">
        <v>583</v>
      </c>
      <c r="E5047" s="36">
        <v>0.34949999999999998</v>
      </c>
      <c r="F5047" s="30">
        <v>20.225499999999997</v>
      </c>
      <c r="G5047" s="33">
        <f>IF(ISNUMBER(F5047),E5047*F5047,"")</f>
        <v>7.0688122499999988</v>
      </c>
      <c r="H5047" s="34"/>
      <c r="I5047" s="30"/>
      <c r="J5047" s="152">
        <v>0</v>
      </c>
    </row>
    <row r="5048" spans="1:10" ht="15.75" hidden="1" thickBot="1" x14ac:dyDescent="0.3">
      <c r="A5048" s="177"/>
      <c r="B5048" s="175"/>
      <c r="C5048" s="35"/>
      <c r="D5048" s="35"/>
      <c r="E5048" s="36"/>
      <c r="F5048" s="30" t="s">
        <v>416</v>
      </c>
      <c r="G5048" s="30" t="str">
        <f>IF(ISNUMBER(F5048),E5048*F5048,"")</f>
        <v/>
      </c>
      <c r="H5048" s="34"/>
      <c r="I5048" s="30"/>
      <c r="J5048" s="152">
        <v>0</v>
      </c>
    </row>
    <row r="5049" spans="1:10" ht="15.75" hidden="1" thickBot="1" x14ac:dyDescent="0.3">
      <c r="A5049" s="170" t="s">
        <v>3003</v>
      </c>
      <c r="B5049" s="173" t="str">
        <f>INDEX(Orçamentária!A:B,MATCH(Composições!A5049,Orçamentária!A:A,0),2)</f>
        <v>Aquecedor elétrico para pia – Linha Residencial</v>
      </c>
      <c r="C5049" s="40"/>
      <c r="D5049" s="25" t="s">
        <v>16</v>
      </c>
      <c r="E5049" s="26"/>
      <c r="F5049" s="41" t="s">
        <v>416</v>
      </c>
      <c r="G5049" s="27" t="str">
        <f>IF(ISNUMBER(F5049),E5049*F5049,"")</f>
        <v/>
      </c>
      <c r="H5049" s="28"/>
      <c r="I5049" s="29"/>
      <c r="J5049" s="152">
        <v>0</v>
      </c>
    </row>
    <row r="5050" spans="1:10" ht="15.75" hidden="1" thickBot="1" x14ac:dyDescent="0.3">
      <c r="A5050" s="176"/>
      <c r="B5050" s="174"/>
      <c r="C5050" s="31"/>
      <c r="D5050" s="31"/>
      <c r="E5050" s="32"/>
      <c r="F5050" s="42" t="s">
        <v>416</v>
      </c>
      <c r="G5050" s="30" t="str">
        <f>IF(ISNUMBER(F5050),E5050*F5050,"")</f>
        <v/>
      </c>
      <c r="H5050" s="34"/>
      <c r="I5050" s="30"/>
      <c r="J5050" s="152">
        <v>0</v>
      </c>
    </row>
    <row r="5051" spans="1:10" ht="26.25" hidden="1" thickBot="1" x14ac:dyDescent="0.3">
      <c r="A5051" s="176"/>
      <c r="B5051" s="174"/>
      <c r="C5051" s="35" t="s">
        <v>825</v>
      </c>
      <c r="D5051" s="35" t="s">
        <v>583</v>
      </c>
      <c r="E5051" s="36">
        <v>0.5</v>
      </c>
      <c r="F5051" s="30">
        <v>26.799499999999998</v>
      </c>
      <c r="G5051" s="30">
        <f>IF(ISNUMBER(F5051),E5051*F5051,"")</f>
        <v>13.399749999999999</v>
      </c>
      <c r="H5051" s="38">
        <f>SUM(G5051:G5054)</f>
        <v>24.1226831</v>
      </c>
      <c r="I5051" s="39"/>
      <c r="J5051" s="152">
        <v>0</v>
      </c>
    </row>
    <row r="5052" spans="1:10" ht="26.25" hidden="1" thickBot="1" x14ac:dyDescent="0.3">
      <c r="A5052" s="176"/>
      <c r="B5052" s="174"/>
      <c r="C5052" s="35" t="s">
        <v>824</v>
      </c>
      <c r="D5052" s="35" t="s">
        <v>583</v>
      </c>
      <c r="E5052" s="36">
        <v>0.5</v>
      </c>
      <c r="F5052" s="33">
        <v>21.166</v>
      </c>
      <c r="G5052" s="33">
        <f>IF(ISNUMBER(F5052),E5052*F5052,"")</f>
        <v>10.583</v>
      </c>
      <c r="H5052" s="34"/>
      <c r="I5052" s="30"/>
      <c r="J5052" s="152">
        <v>0</v>
      </c>
    </row>
    <row r="5053" spans="1:10" ht="15.75" hidden="1" thickBot="1" x14ac:dyDescent="0.3">
      <c r="A5053" s="176"/>
      <c r="B5053" s="174"/>
      <c r="C5053" s="35" t="s">
        <v>244</v>
      </c>
      <c r="D5053" s="35" t="s">
        <v>213</v>
      </c>
      <c r="E5053" s="36">
        <f>0.47/50</f>
        <v>9.3999999999999986E-3</v>
      </c>
      <c r="F5053" s="33">
        <v>14.8865</v>
      </c>
      <c r="G5053" s="33">
        <f>IF(ISNUMBER(F5053),E5053*F5053,"")</f>
        <v>0.13993309999999998</v>
      </c>
      <c r="H5053" s="34"/>
      <c r="I5053" s="30"/>
      <c r="J5053" s="152">
        <v>0</v>
      </c>
    </row>
    <row r="5054" spans="1:10" ht="15.75" hidden="1" thickBot="1" x14ac:dyDescent="0.3">
      <c r="A5054" s="176"/>
      <c r="B5054" s="174"/>
      <c r="C5054" s="35" t="s">
        <v>3112</v>
      </c>
      <c r="D5054" s="35" t="s">
        <v>213</v>
      </c>
      <c r="E5054" s="36">
        <v>1</v>
      </c>
      <c r="F5054" s="30" t="s">
        <v>416</v>
      </c>
      <c r="G5054" s="33" t="str">
        <f>IF(ISNUMBER(F5054),E5054*F5054,"")</f>
        <v/>
      </c>
      <c r="H5054" s="34"/>
      <c r="I5054" s="30"/>
      <c r="J5054" s="152">
        <v>0</v>
      </c>
    </row>
    <row r="5055" spans="1:10" ht="15.75" hidden="1" thickBot="1" x14ac:dyDescent="0.3">
      <c r="A5055" s="177"/>
      <c r="B5055" s="175"/>
      <c r="C5055" s="35"/>
      <c r="D5055" s="35"/>
      <c r="E5055" s="36"/>
      <c r="F5055" s="30" t="s">
        <v>416</v>
      </c>
      <c r="G5055" s="30" t="str">
        <f>IF(ISNUMBER(F5055),E5055*F5055,"")</f>
        <v/>
      </c>
      <c r="H5055" s="34"/>
      <c r="I5055" s="30"/>
      <c r="J5055" s="152">
        <v>0</v>
      </c>
    </row>
    <row r="5056" spans="1:10" ht="15.75" hidden="1" thickBot="1" x14ac:dyDescent="0.3">
      <c r="A5056" s="170" t="s">
        <v>3004</v>
      </c>
      <c r="B5056" s="173" t="str">
        <f>INDEX(Orçamentária!A:B,MATCH(Composições!A5056,Orçamentária!A:A,0),2)</f>
        <v>Chuveiro elétrico – Linha Residencial</v>
      </c>
      <c r="C5056" s="40"/>
      <c r="D5056" s="25" t="s">
        <v>16</v>
      </c>
      <c r="E5056" s="26"/>
      <c r="F5056" s="48" t="s">
        <v>416</v>
      </c>
      <c r="G5056" s="27" t="str">
        <f>IF(ISNUMBER(F5056),E5056*F5056,"")</f>
        <v/>
      </c>
      <c r="H5056" s="28"/>
      <c r="I5056" s="29"/>
      <c r="J5056" s="152">
        <v>0</v>
      </c>
    </row>
    <row r="5057" spans="1:10" ht="15.75" hidden="1" thickBot="1" x14ac:dyDescent="0.3">
      <c r="A5057" s="171"/>
      <c r="B5057" s="174"/>
      <c r="C5057" s="31"/>
      <c r="D5057" s="31"/>
      <c r="E5057" s="32"/>
      <c r="F5057" s="53" t="s">
        <v>416</v>
      </c>
      <c r="G5057" s="53" t="str">
        <f>IF(ISNUMBER(F5057),E5057*F5057,"")</f>
        <v/>
      </c>
      <c r="H5057" s="72"/>
      <c r="I5057" s="73"/>
      <c r="J5057" s="152">
        <v>0</v>
      </c>
    </row>
    <row r="5058" spans="1:10" ht="15.75" hidden="1" thickBot="1" x14ac:dyDescent="0.3">
      <c r="A5058" s="171"/>
      <c r="B5058" s="174"/>
      <c r="C5058" s="35" t="s">
        <v>3217</v>
      </c>
      <c r="D5058" s="35" t="s">
        <v>213</v>
      </c>
      <c r="E5058" s="36">
        <v>1</v>
      </c>
      <c r="F5058" s="53" t="s">
        <v>416</v>
      </c>
      <c r="G5058" s="53" t="str">
        <f>IF(ISNUMBER(F5058),E5058*F5058,"")</f>
        <v/>
      </c>
      <c r="H5058" s="38">
        <f>SUM(G5058:G5061)</f>
        <v>14.901851999999998</v>
      </c>
      <c r="I5058" s="39"/>
      <c r="J5058" s="152">
        <v>0</v>
      </c>
    </row>
    <row r="5059" spans="1:10" ht="15.75" hidden="1" thickBot="1" x14ac:dyDescent="0.3">
      <c r="A5059" s="171"/>
      <c r="B5059" s="174"/>
      <c r="C5059" s="35" t="s">
        <v>8171</v>
      </c>
      <c r="D5059" s="35" t="s">
        <v>213</v>
      </c>
      <c r="E5059" s="36">
        <v>2.1000000000000001E-2</v>
      </c>
      <c r="F5059" s="53">
        <v>4.0374999999999996</v>
      </c>
      <c r="G5059" s="53">
        <f>IF(ISNUMBER(F5059),E5059*F5059,"")</f>
        <v>8.4787500000000002E-2</v>
      </c>
      <c r="H5059" s="72"/>
      <c r="I5059" s="73"/>
      <c r="J5059" s="152">
        <v>0</v>
      </c>
    </row>
    <row r="5060" spans="1:10" ht="26.25" hidden="1" thickBot="1" x14ac:dyDescent="0.3">
      <c r="A5060" s="171"/>
      <c r="B5060" s="174"/>
      <c r="C5060" s="35" t="s">
        <v>825</v>
      </c>
      <c r="D5060" s="35" t="s">
        <v>583</v>
      </c>
      <c r="E5060" s="36">
        <v>0.44669999999999999</v>
      </c>
      <c r="F5060" s="53">
        <v>26.799499999999998</v>
      </c>
      <c r="G5060" s="53">
        <f>IF(ISNUMBER(F5060),E5060*F5060,"")</f>
        <v>11.97133665</v>
      </c>
      <c r="H5060" s="72"/>
      <c r="I5060" s="73"/>
      <c r="J5060" s="152">
        <v>0</v>
      </c>
    </row>
    <row r="5061" spans="1:10" ht="15.75" hidden="1" thickBot="1" x14ac:dyDescent="0.3">
      <c r="A5061" s="171"/>
      <c r="B5061" s="174"/>
      <c r="C5061" s="35" t="s">
        <v>584</v>
      </c>
      <c r="D5061" s="35" t="s">
        <v>583</v>
      </c>
      <c r="E5061" s="36">
        <v>0.14069999999999999</v>
      </c>
      <c r="F5061" s="53">
        <v>20.225499999999997</v>
      </c>
      <c r="G5061" s="53">
        <f>IF(ISNUMBER(F5061),E5061*F5061,"")</f>
        <v>2.8457278499999994</v>
      </c>
      <c r="H5061" s="72"/>
      <c r="I5061" s="73"/>
      <c r="J5061" s="152">
        <v>0</v>
      </c>
    </row>
    <row r="5062" spans="1:10" ht="15.75" hidden="1" thickBot="1" x14ac:dyDescent="0.3">
      <c r="A5062" s="172"/>
      <c r="B5062" s="175"/>
      <c r="C5062" s="35"/>
      <c r="D5062" s="35"/>
      <c r="E5062" s="36"/>
      <c r="F5062" s="53" t="s">
        <v>416</v>
      </c>
      <c r="G5062" s="53" t="str">
        <f>IF(ISNUMBER(F5062),E5062*F5062,"")</f>
        <v/>
      </c>
      <c r="H5062" s="72"/>
      <c r="I5062" s="73"/>
      <c r="J5062" s="152">
        <v>0</v>
      </c>
    </row>
    <row r="5063" spans="1:10" ht="15.75" hidden="1" thickBot="1" x14ac:dyDescent="0.3">
      <c r="A5063" s="170" t="s">
        <v>3005</v>
      </c>
      <c r="B5063" s="173" t="str">
        <f>INDEX(Orçamentária!A:B,MATCH(Composições!A5063,Orçamentária!A:A,0),2)</f>
        <v>Instalação de boiler reaproveitado</v>
      </c>
      <c r="C5063" s="40"/>
      <c r="D5063" s="25" t="s">
        <v>16</v>
      </c>
      <c r="E5063" s="26"/>
      <c r="F5063" s="48" t="s">
        <v>416</v>
      </c>
      <c r="G5063" s="27" t="str">
        <f>IF(ISNUMBER(F5063),E5063*F5063,"")</f>
        <v/>
      </c>
      <c r="H5063" s="28"/>
      <c r="I5063" s="29"/>
      <c r="J5063" s="152">
        <v>0</v>
      </c>
    </row>
    <row r="5064" spans="1:10" ht="15.75" hidden="1" thickBot="1" x14ac:dyDescent="0.3">
      <c r="A5064" s="171"/>
      <c r="B5064" s="174"/>
      <c r="C5064" s="31"/>
      <c r="D5064" s="31"/>
      <c r="E5064" s="32"/>
      <c r="F5064" s="53" t="s">
        <v>416</v>
      </c>
      <c r="G5064" s="53" t="str">
        <f>IF(ISNUMBER(F5064),E5064*F5064,"")</f>
        <v/>
      </c>
      <c r="H5064" s="72"/>
      <c r="I5064" s="73"/>
      <c r="J5064" s="152">
        <v>0</v>
      </c>
    </row>
    <row r="5065" spans="1:10" ht="26.25" hidden="1" thickBot="1" x14ac:dyDescent="0.3">
      <c r="A5065" s="171"/>
      <c r="B5065" s="174"/>
      <c r="C5065" s="35" t="s">
        <v>824</v>
      </c>
      <c r="D5065" s="35" t="s">
        <v>583</v>
      </c>
      <c r="E5065" s="36">
        <v>4</v>
      </c>
      <c r="F5065" s="30">
        <v>21.166</v>
      </c>
      <c r="G5065" s="53">
        <f>IF(ISNUMBER(F5065),E5065*F5065,"")</f>
        <v>84.664000000000001</v>
      </c>
      <c r="H5065" s="38">
        <f>SUM(G5065:G5069)</f>
        <v>291.18450000000001</v>
      </c>
      <c r="I5065" s="39"/>
      <c r="J5065" s="152">
        <v>0</v>
      </c>
    </row>
    <row r="5066" spans="1:10" ht="26.25" hidden="1" thickBot="1" x14ac:dyDescent="0.3">
      <c r="A5066" s="171"/>
      <c r="B5066" s="174"/>
      <c r="C5066" s="35" t="s">
        <v>825</v>
      </c>
      <c r="D5066" s="35" t="s">
        <v>583</v>
      </c>
      <c r="E5066" s="36">
        <v>4</v>
      </c>
      <c r="F5066" s="30">
        <v>26.799499999999998</v>
      </c>
      <c r="G5066" s="53">
        <f>IF(ISNUMBER(F5066),E5066*F5066,"")</f>
        <v>107.19799999999999</v>
      </c>
      <c r="H5066" s="72"/>
      <c r="I5066" s="73"/>
      <c r="J5066" s="152">
        <v>0</v>
      </c>
    </row>
    <row r="5067" spans="1:10" ht="15.75" hidden="1" thickBot="1" x14ac:dyDescent="0.3">
      <c r="A5067" s="171"/>
      <c r="B5067" s="174"/>
      <c r="C5067" s="35" t="s">
        <v>1017</v>
      </c>
      <c r="D5067" s="35" t="s">
        <v>583</v>
      </c>
      <c r="E5067" s="36">
        <v>2</v>
      </c>
      <c r="F5067" s="30">
        <v>21.584</v>
      </c>
      <c r="G5067" s="53">
        <f>IF(ISNUMBER(F5067),E5067*F5067,"")</f>
        <v>43.167999999999999</v>
      </c>
      <c r="H5067" s="72"/>
      <c r="I5067" s="73"/>
      <c r="J5067" s="152">
        <v>0</v>
      </c>
    </row>
    <row r="5068" spans="1:10" ht="15.75" hidden="1" thickBot="1" x14ac:dyDescent="0.3">
      <c r="A5068" s="171"/>
      <c r="B5068" s="174"/>
      <c r="C5068" s="35" t="s">
        <v>1018</v>
      </c>
      <c r="D5068" s="35" t="s">
        <v>583</v>
      </c>
      <c r="E5068" s="36">
        <v>2</v>
      </c>
      <c r="F5068" s="30">
        <v>27.835000000000001</v>
      </c>
      <c r="G5068" s="53">
        <f>IF(ISNUMBER(F5068),E5068*F5068,"")</f>
        <v>55.67</v>
      </c>
      <c r="H5068" s="72"/>
      <c r="I5068" s="73"/>
      <c r="J5068" s="152">
        <v>0</v>
      </c>
    </row>
    <row r="5069" spans="1:10" ht="15.75" hidden="1" thickBot="1" x14ac:dyDescent="0.3">
      <c r="A5069" s="171"/>
      <c r="B5069" s="174"/>
      <c r="C5069" s="35" t="s">
        <v>8171</v>
      </c>
      <c r="D5069" s="35" t="s">
        <v>213</v>
      </c>
      <c r="E5069" s="36">
        <f>1.2/10</f>
        <v>0.12</v>
      </c>
      <c r="F5069" s="53">
        <v>4.0374999999999996</v>
      </c>
      <c r="G5069" s="53">
        <f>IF(ISNUMBER(F5069),E5069*F5069,"")</f>
        <v>0.48449999999999993</v>
      </c>
      <c r="H5069" s="72"/>
      <c r="I5069" s="73"/>
      <c r="J5069" s="152">
        <v>0</v>
      </c>
    </row>
    <row r="5070" spans="1:10" ht="15.75" hidden="1" thickBot="1" x14ac:dyDescent="0.3">
      <c r="A5070" s="171"/>
      <c r="B5070" s="174"/>
      <c r="C5070" s="35"/>
      <c r="D5070" s="46"/>
      <c r="E5070" s="36"/>
      <c r="F5070" s="53" t="s">
        <v>416</v>
      </c>
      <c r="G5070" s="53" t="str">
        <f>IF(ISNUMBER(F5070),E5070*F5070,"")</f>
        <v/>
      </c>
      <c r="H5070" s="72"/>
      <c r="I5070" s="73"/>
      <c r="J5070" s="152">
        <v>0</v>
      </c>
    </row>
    <row r="5071" spans="1:10" ht="15.75" hidden="1" thickBot="1" x14ac:dyDescent="0.3">
      <c r="A5071" s="170" t="s">
        <v>3006</v>
      </c>
      <c r="B5071" s="173" t="str">
        <f>INDEX(Orçamentária!A:B,MATCH(Composições!A5071,Orçamentária!A:A,0),2)</f>
        <v>Prateleira – Linha Residencial</v>
      </c>
      <c r="C5071" s="40"/>
      <c r="D5071" s="25" t="s">
        <v>16</v>
      </c>
      <c r="E5071" s="26"/>
      <c r="F5071" s="41" t="s">
        <v>416</v>
      </c>
      <c r="G5071" s="27" t="str">
        <f>IF(ISNUMBER(F5071),E5071*F5071,"")</f>
        <v/>
      </c>
      <c r="H5071" s="28"/>
      <c r="I5071" s="29"/>
      <c r="J5071" s="152">
        <v>0</v>
      </c>
    </row>
    <row r="5072" spans="1:10" ht="15.75" hidden="1" thickBot="1" x14ac:dyDescent="0.3">
      <c r="A5072" s="176"/>
      <c r="B5072" s="174"/>
      <c r="C5072" s="31"/>
      <c r="D5072" s="31"/>
      <c r="E5072" s="32"/>
      <c r="F5072" s="42" t="s">
        <v>416</v>
      </c>
      <c r="G5072" s="30" t="str">
        <f>IF(ISNUMBER(F5072),E5072*F5072,"")</f>
        <v/>
      </c>
      <c r="H5072" s="34"/>
      <c r="I5072" s="30"/>
      <c r="J5072" s="152">
        <v>0</v>
      </c>
    </row>
    <row r="5073" spans="1:10" ht="26.25" hidden="1" thickBot="1" x14ac:dyDescent="0.3">
      <c r="A5073" s="176"/>
      <c r="B5073" s="174"/>
      <c r="C5073" s="35" t="s">
        <v>3113</v>
      </c>
      <c r="D5073" s="46" t="s">
        <v>107</v>
      </c>
      <c r="E5073" s="36">
        <v>1</v>
      </c>
      <c r="F5073" s="33" t="s">
        <v>416</v>
      </c>
      <c r="G5073" s="33" t="str">
        <f>IF(ISNUMBER(F5073),E5073*F5073,"")</f>
        <v/>
      </c>
      <c r="H5073" s="38">
        <f>SUM(G5073:G5075)</f>
        <v>20.974243449999996</v>
      </c>
      <c r="I5073" s="39"/>
      <c r="J5073" s="152">
        <v>0</v>
      </c>
    </row>
    <row r="5074" spans="1:10" ht="26.25" hidden="1" thickBot="1" x14ac:dyDescent="0.3">
      <c r="A5074" s="176"/>
      <c r="B5074" s="174"/>
      <c r="C5074" s="35" t="s">
        <v>825</v>
      </c>
      <c r="D5074" s="35" t="s">
        <v>583</v>
      </c>
      <c r="E5074" s="36">
        <v>0.63229999999999997</v>
      </c>
      <c r="F5074" s="30">
        <v>26.799499999999998</v>
      </c>
      <c r="G5074" s="33">
        <f>IF(ISNUMBER(F5074),E5074*F5074,"")</f>
        <v>16.945323849999998</v>
      </c>
      <c r="H5074" s="34"/>
      <c r="I5074" s="30"/>
      <c r="J5074" s="152">
        <v>0</v>
      </c>
    </row>
    <row r="5075" spans="1:10" ht="15.75" hidden="1" thickBot="1" x14ac:dyDescent="0.3">
      <c r="A5075" s="176"/>
      <c r="B5075" s="174"/>
      <c r="C5075" s="35" t="s">
        <v>584</v>
      </c>
      <c r="D5075" s="35" t="s">
        <v>583</v>
      </c>
      <c r="E5075" s="36">
        <v>0.19919999999999999</v>
      </c>
      <c r="F5075" s="30">
        <v>20.225499999999997</v>
      </c>
      <c r="G5075" s="33">
        <f>IF(ISNUMBER(F5075),E5075*F5075,"")</f>
        <v>4.0289195999999992</v>
      </c>
      <c r="H5075" s="34"/>
      <c r="I5075" s="30"/>
      <c r="J5075" s="152">
        <v>0</v>
      </c>
    </row>
    <row r="5076" spans="1:10" ht="15.75" hidden="1" thickBot="1" x14ac:dyDescent="0.3">
      <c r="A5076" s="177"/>
      <c r="B5076" s="175"/>
      <c r="C5076" s="35"/>
      <c r="D5076" s="35"/>
      <c r="E5076" s="36"/>
      <c r="F5076" s="30" t="s">
        <v>416</v>
      </c>
      <c r="G5076" s="30" t="str">
        <f>IF(ISNUMBER(F5076),E5076*F5076,"")</f>
        <v/>
      </c>
      <c r="H5076" s="34"/>
      <c r="I5076" s="30"/>
      <c r="J5076" s="152">
        <v>0</v>
      </c>
    </row>
    <row r="5077" spans="1:10" ht="15.75" hidden="1" thickBot="1" x14ac:dyDescent="0.3">
      <c r="A5077" s="170" t="s">
        <v>3007</v>
      </c>
      <c r="B5077" s="173" t="str">
        <f>INDEX(Orçamentária!A:B,MATCH(Composições!A5077,Orçamentária!A:A,0),2)</f>
        <v>Saboneteira – Linha Residencial</v>
      </c>
      <c r="C5077" s="40"/>
      <c r="D5077" s="25" t="s">
        <v>16</v>
      </c>
      <c r="E5077" s="26"/>
      <c r="F5077" s="41" t="s">
        <v>416</v>
      </c>
      <c r="G5077" s="27" t="str">
        <f>IF(ISNUMBER(F5077),E5077*F5077,"")</f>
        <v/>
      </c>
      <c r="H5077" s="28"/>
      <c r="I5077" s="29"/>
      <c r="J5077" s="152">
        <v>0</v>
      </c>
    </row>
    <row r="5078" spans="1:10" ht="15.75" hidden="1" thickBot="1" x14ac:dyDescent="0.3">
      <c r="A5078" s="176"/>
      <c r="B5078" s="174"/>
      <c r="C5078" s="31"/>
      <c r="D5078" s="31"/>
      <c r="E5078" s="32"/>
      <c r="F5078" s="42" t="s">
        <v>416</v>
      </c>
      <c r="G5078" s="30" t="str">
        <f>IF(ISNUMBER(F5078),E5078*F5078,"")</f>
        <v/>
      </c>
      <c r="H5078" s="34"/>
      <c r="I5078" s="30"/>
      <c r="J5078" s="152">
        <v>0</v>
      </c>
    </row>
    <row r="5079" spans="1:10" ht="26.25" hidden="1" thickBot="1" x14ac:dyDescent="0.3">
      <c r="A5079" s="176"/>
      <c r="B5079" s="174"/>
      <c r="C5079" s="35" t="s">
        <v>3114</v>
      </c>
      <c r="D5079" s="46" t="s">
        <v>107</v>
      </c>
      <c r="E5079" s="36">
        <v>1</v>
      </c>
      <c r="F5079" s="33" t="s">
        <v>416</v>
      </c>
      <c r="G5079" s="33" t="str">
        <f>IF(ISNUMBER(F5079),E5079*F5079,"")</f>
        <v/>
      </c>
      <c r="H5079" s="38">
        <f>SUM(G5079:G5081)</f>
        <v>10.488461699999998</v>
      </c>
      <c r="I5079" s="39"/>
      <c r="J5079" s="152">
        <v>0</v>
      </c>
    </row>
    <row r="5080" spans="1:10" ht="26.25" hidden="1" thickBot="1" x14ac:dyDescent="0.3">
      <c r="A5080" s="176"/>
      <c r="B5080" s="174"/>
      <c r="C5080" s="35" t="s">
        <v>825</v>
      </c>
      <c r="D5080" s="35" t="s">
        <v>583</v>
      </c>
      <c r="E5080" s="36">
        <v>0.31619999999999998</v>
      </c>
      <c r="F5080" s="30">
        <v>26.799499999999998</v>
      </c>
      <c r="G5080" s="33">
        <f>IF(ISNUMBER(F5080),E5080*F5080,"")</f>
        <v>8.4740018999999993</v>
      </c>
      <c r="H5080" s="34"/>
      <c r="I5080" s="30"/>
      <c r="J5080" s="152">
        <v>0</v>
      </c>
    </row>
    <row r="5081" spans="1:10" ht="15.75" hidden="1" thickBot="1" x14ac:dyDescent="0.3">
      <c r="A5081" s="176"/>
      <c r="B5081" s="174"/>
      <c r="C5081" s="35" t="s">
        <v>584</v>
      </c>
      <c r="D5081" s="35" t="s">
        <v>583</v>
      </c>
      <c r="E5081" s="36">
        <v>9.9599999999999994E-2</v>
      </c>
      <c r="F5081" s="30">
        <v>20.225499999999997</v>
      </c>
      <c r="G5081" s="33">
        <f>IF(ISNUMBER(F5081),E5081*F5081,"")</f>
        <v>2.0144597999999996</v>
      </c>
      <c r="H5081" s="34"/>
      <c r="I5081" s="30"/>
      <c r="J5081" s="152">
        <v>0</v>
      </c>
    </row>
    <row r="5082" spans="1:10" ht="15.75" hidden="1" thickBot="1" x14ac:dyDescent="0.3">
      <c r="A5082" s="177"/>
      <c r="B5082" s="175"/>
      <c r="C5082" s="35"/>
      <c r="D5082" s="35"/>
      <c r="E5082" s="36"/>
      <c r="F5082" s="30" t="s">
        <v>416</v>
      </c>
      <c r="G5082" s="30" t="str">
        <f>IF(ISNUMBER(F5082),E5082*F5082,"")</f>
        <v/>
      </c>
      <c r="H5082" s="34"/>
      <c r="I5082" s="30"/>
      <c r="J5082" s="152">
        <v>0</v>
      </c>
    </row>
    <row r="5083" spans="1:10" ht="15.75" hidden="1" thickBot="1" x14ac:dyDescent="0.3">
      <c r="A5083" s="170" t="s">
        <v>3008</v>
      </c>
      <c r="B5083" s="173" t="str">
        <f>INDEX(Orçamentária!A:B,MATCH(Composições!A5083,Orçamentária!A:A,0),2)</f>
        <v>Módulo campainha eletrônica – Linha Residencial</v>
      </c>
      <c r="C5083" s="40"/>
      <c r="D5083" s="25" t="s">
        <v>16</v>
      </c>
      <c r="E5083" s="26"/>
      <c r="F5083" s="41" t="s">
        <v>416</v>
      </c>
      <c r="G5083" s="27" t="str">
        <f>IF(ISNUMBER(F5083),E5083*F5083,"")</f>
        <v/>
      </c>
      <c r="H5083" s="28"/>
      <c r="I5083" s="29"/>
      <c r="J5083" s="152">
        <v>0</v>
      </c>
    </row>
    <row r="5084" spans="1:10" ht="15.75" hidden="1" thickBot="1" x14ac:dyDescent="0.3">
      <c r="A5084" s="176"/>
      <c r="B5084" s="174"/>
      <c r="C5084" s="31"/>
      <c r="D5084" s="31"/>
      <c r="E5084" s="32"/>
      <c r="F5084" s="42" t="s">
        <v>416</v>
      </c>
      <c r="G5084" s="30" t="str">
        <f>IF(ISNUMBER(F5084),E5084*F5084,"")</f>
        <v/>
      </c>
      <c r="H5084" s="34"/>
      <c r="I5084" s="30"/>
      <c r="J5084" s="152">
        <v>0</v>
      </c>
    </row>
    <row r="5085" spans="1:10" ht="15.75" hidden="1" thickBot="1" x14ac:dyDescent="0.3">
      <c r="A5085" s="176"/>
      <c r="B5085" s="174"/>
      <c r="C5085" s="35" t="s">
        <v>3115</v>
      </c>
      <c r="D5085" s="35" t="s">
        <v>16</v>
      </c>
      <c r="E5085" s="36">
        <v>1</v>
      </c>
      <c r="F5085" s="33" t="s">
        <v>416</v>
      </c>
      <c r="G5085" s="30" t="str">
        <f>IF(ISNUMBER(F5085),E5085*F5085,"")</f>
        <v/>
      </c>
      <c r="H5085" s="38">
        <f>SUM(G5085:G5087)</f>
        <v>17.346069</v>
      </c>
      <c r="I5085" s="39"/>
      <c r="J5085" s="152">
        <v>0</v>
      </c>
    </row>
    <row r="5086" spans="1:10" ht="15.75" hidden="1" thickBot="1" x14ac:dyDescent="0.3">
      <c r="A5086" s="176"/>
      <c r="B5086" s="174"/>
      <c r="C5086" s="35" t="s">
        <v>1017</v>
      </c>
      <c r="D5086" s="35" t="s">
        <v>583</v>
      </c>
      <c r="E5086" s="36">
        <v>0.35099999999999998</v>
      </c>
      <c r="F5086" s="30">
        <v>21.584</v>
      </c>
      <c r="G5086" s="33">
        <f>IF(ISNUMBER(F5086),E5086*F5086,"")</f>
        <v>7.5759839999999992</v>
      </c>
      <c r="H5086" s="34"/>
      <c r="I5086" s="30"/>
      <c r="J5086" s="152">
        <v>0</v>
      </c>
    </row>
    <row r="5087" spans="1:10" ht="15.75" hidden="1" thickBot="1" x14ac:dyDescent="0.3">
      <c r="A5087" s="176"/>
      <c r="B5087" s="174"/>
      <c r="C5087" s="35" t="s">
        <v>1018</v>
      </c>
      <c r="D5087" s="35" t="s">
        <v>583</v>
      </c>
      <c r="E5087" s="36">
        <v>0.35099999999999998</v>
      </c>
      <c r="F5087" s="30">
        <v>27.835000000000001</v>
      </c>
      <c r="G5087" s="33">
        <f>IF(ISNUMBER(F5087),E5087*F5087,"")</f>
        <v>9.7700849999999999</v>
      </c>
      <c r="H5087" s="34"/>
      <c r="I5087" s="30"/>
      <c r="J5087" s="152">
        <v>0</v>
      </c>
    </row>
    <row r="5088" spans="1:10" ht="15.75" hidden="1" thickBot="1" x14ac:dyDescent="0.3">
      <c r="A5088" s="177"/>
      <c r="B5088" s="175"/>
      <c r="C5088" s="35"/>
      <c r="D5088" s="35"/>
      <c r="E5088" s="36"/>
      <c r="F5088" s="30" t="s">
        <v>416</v>
      </c>
      <c r="G5088" s="30" t="str">
        <f>IF(ISNUMBER(F5088),E5088*F5088,"")</f>
        <v/>
      </c>
      <c r="H5088" s="34"/>
      <c r="I5088" s="30"/>
      <c r="J5088" s="152">
        <v>0</v>
      </c>
    </row>
    <row r="5089" spans="1:10" ht="15.75" hidden="1" thickBot="1" x14ac:dyDescent="0.3">
      <c r="A5089" s="170" t="s">
        <v>3009</v>
      </c>
      <c r="B5089" s="173" t="str">
        <f>INDEX(Orçamentária!A:B,MATCH(Composições!A5089,Orçamentária!A:A,0),2)</f>
        <v>Módulo pulsador – Linha Residencial</v>
      </c>
      <c r="C5089" s="40"/>
      <c r="D5089" s="25" t="s">
        <v>16</v>
      </c>
      <c r="E5089" s="26"/>
      <c r="F5089" s="41" t="s">
        <v>416</v>
      </c>
      <c r="G5089" s="27" t="str">
        <f>IF(ISNUMBER(F5089),E5089*F5089,"")</f>
        <v/>
      </c>
      <c r="H5089" s="28"/>
      <c r="I5089" s="29"/>
      <c r="J5089" s="152">
        <v>0</v>
      </c>
    </row>
    <row r="5090" spans="1:10" ht="15.75" hidden="1" thickBot="1" x14ac:dyDescent="0.3">
      <c r="A5090" s="176"/>
      <c r="B5090" s="174"/>
      <c r="C5090" s="31"/>
      <c r="D5090" s="31"/>
      <c r="E5090" s="32"/>
      <c r="F5090" s="42" t="s">
        <v>416</v>
      </c>
      <c r="G5090" s="30" t="str">
        <f>IF(ISNUMBER(F5090),E5090*F5090,"")</f>
        <v/>
      </c>
      <c r="H5090" s="34"/>
      <c r="I5090" s="30"/>
      <c r="J5090" s="152">
        <v>0</v>
      </c>
    </row>
    <row r="5091" spans="1:10" ht="15.75" hidden="1" thickBot="1" x14ac:dyDescent="0.3">
      <c r="A5091" s="176"/>
      <c r="B5091" s="174"/>
      <c r="C5091" s="35" t="s">
        <v>2938</v>
      </c>
      <c r="D5091" s="35" t="s">
        <v>213</v>
      </c>
      <c r="E5091" s="36">
        <v>1</v>
      </c>
      <c r="F5091" s="33">
        <v>6.3650000000000002</v>
      </c>
      <c r="G5091" s="30">
        <f>IF(ISNUMBER(F5091),E5091*F5091,"")</f>
        <v>6.3650000000000002</v>
      </c>
      <c r="H5091" s="38">
        <f>SUM(G5091:G5093)</f>
        <v>17.484275</v>
      </c>
      <c r="I5091" s="39"/>
      <c r="J5091" s="152">
        <v>0</v>
      </c>
    </row>
    <row r="5092" spans="1:10" ht="15.75" hidden="1" thickBot="1" x14ac:dyDescent="0.3">
      <c r="A5092" s="176"/>
      <c r="B5092" s="174"/>
      <c r="C5092" s="35" t="s">
        <v>1017</v>
      </c>
      <c r="D5092" s="35" t="s">
        <v>583</v>
      </c>
      <c r="E5092" s="36">
        <v>0.22500000000000001</v>
      </c>
      <c r="F5092" s="30">
        <v>21.584</v>
      </c>
      <c r="G5092" s="33">
        <f>IF(ISNUMBER(F5092),E5092*F5092,"")</f>
        <v>4.8563999999999998</v>
      </c>
      <c r="H5092" s="34"/>
      <c r="I5092" s="30"/>
      <c r="J5092" s="152">
        <v>0</v>
      </c>
    </row>
    <row r="5093" spans="1:10" ht="15.75" hidden="1" thickBot="1" x14ac:dyDescent="0.3">
      <c r="A5093" s="176"/>
      <c r="B5093" s="174"/>
      <c r="C5093" s="35" t="s">
        <v>1018</v>
      </c>
      <c r="D5093" s="35" t="s">
        <v>583</v>
      </c>
      <c r="E5093" s="36">
        <v>0.22500000000000001</v>
      </c>
      <c r="F5093" s="30">
        <v>27.835000000000001</v>
      </c>
      <c r="G5093" s="33">
        <f>IF(ISNUMBER(F5093),E5093*F5093,"")</f>
        <v>6.2628750000000002</v>
      </c>
      <c r="H5093" s="34"/>
      <c r="I5093" s="30"/>
      <c r="J5093" s="152">
        <v>0</v>
      </c>
    </row>
    <row r="5094" spans="1:10" ht="15.75" hidden="1" thickBot="1" x14ac:dyDescent="0.3">
      <c r="A5094" s="177"/>
      <c r="B5094" s="175"/>
      <c r="C5094" s="35"/>
      <c r="D5094" s="35"/>
      <c r="E5094" s="36"/>
      <c r="F5094" s="30" t="s">
        <v>416</v>
      </c>
      <c r="G5094" s="30" t="str">
        <f>IF(ISNUMBER(F5094),E5094*F5094,"")</f>
        <v/>
      </c>
      <c r="H5094" s="34"/>
      <c r="I5094" s="30"/>
      <c r="J5094" s="152">
        <v>0</v>
      </c>
    </row>
    <row r="5095" spans="1:10" ht="15.75" hidden="1" thickBot="1" x14ac:dyDescent="0.3">
      <c r="A5095" s="170" t="s">
        <v>3010</v>
      </c>
      <c r="B5095" s="173" t="str">
        <f>INDEX(Orçamentária!A:B,MATCH(Composições!A5095,Orçamentária!A:A,0),2)</f>
        <v>Luminária redonda de sobrepor (plafond) – Linha Residencial</v>
      </c>
      <c r="C5095" s="40"/>
      <c r="D5095" s="25" t="s">
        <v>16</v>
      </c>
      <c r="E5095" s="26"/>
      <c r="F5095" s="41" t="s">
        <v>416</v>
      </c>
      <c r="G5095" s="27" t="str">
        <f>IF(ISNUMBER(F5095),E5095*F5095,"")</f>
        <v/>
      </c>
      <c r="H5095" s="28"/>
      <c r="I5095" s="29"/>
      <c r="J5095" s="152">
        <v>0</v>
      </c>
    </row>
    <row r="5096" spans="1:10" ht="15.75" hidden="1" thickBot="1" x14ac:dyDescent="0.3">
      <c r="A5096" s="176"/>
      <c r="B5096" s="174"/>
      <c r="C5096" s="31"/>
      <c r="D5096" s="31"/>
      <c r="E5096" s="32"/>
      <c r="F5096" s="42" t="s">
        <v>416</v>
      </c>
      <c r="G5096" s="30" t="str">
        <f>IF(ISNUMBER(F5096),E5096*F5096,"")</f>
        <v/>
      </c>
      <c r="H5096" s="34"/>
      <c r="I5096" s="30"/>
      <c r="J5096" s="152">
        <v>0</v>
      </c>
    </row>
    <row r="5097" spans="1:10" ht="39" hidden="1" thickBot="1" x14ac:dyDescent="0.3">
      <c r="A5097" s="176"/>
      <c r="B5097" s="174"/>
      <c r="C5097" s="35" t="s">
        <v>2933</v>
      </c>
      <c r="D5097" s="35" t="s">
        <v>213</v>
      </c>
      <c r="E5097" s="36">
        <v>1</v>
      </c>
      <c r="F5097" s="33">
        <v>70.708500000000001</v>
      </c>
      <c r="G5097" s="33">
        <f>IF(ISNUMBER(F5097),E5097*F5097,"")</f>
        <v>70.708500000000001</v>
      </c>
      <c r="H5097" s="38">
        <f>SUM(G5097:G5100)</f>
        <v>124.6169872</v>
      </c>
      <c r="I5097" s="39"/>
      <c r="J5097" s="152">
        <v>0</v>
      </c>
    </row>
    <row r="5098" spans="1:10" ht="26.25" hidden="1" thickBot="1" x14ac:dyDescent="0.3">
      <c r="A5098" s="176"/>
      <c r="B5098" s="174"/>
      <c r="C5098" s="35" t="s">
        <v>2932</v>
      </c>
      <c r="D5098" s="35" t="s">
        <v>213</v>
      </c>
      <c r="E5098" s="36">
        <v>2</v>
      </c>
      <c r="F5098" s="33">
        <v>14.212</v>
      </c>
      <c r="G5098" s="33">
        <f>IF(ISNUMBER(F5098),E5098*F5098,"")</f>
        <v>28.423999999999999</v>
      </c>
      <c r="H5098" s="44"/>
      <c r="I5098" s="45"/>
      <c r="J5098" s="152">
        <v>0</v>
      </c>
    </row>
    <row r="5099" spans="1:10" ht="15.75" hidden="1" thickBot="1" x14ac:dyDescent="0.3">
      <c r="A5099" s="176"/>
      <c r="B5099" s="174"/>
      <c r="C5099" s="35" t="s">
        <v>1017</v>
      </c>
      <c r="D5099" s="35" t="s">
        <v>583</v>
      </c>
      <c r="E5099" s="36">
        <v>0.2883</v>
      </c>
      <c r="F5099" s="30">
        <v>21.584</v>
      </c>
      <c r="G5099" s="30">
        <f>IF(ISNUMBER(F5099),E5099*F5099,"")</f>
        <v>6.2226672000000001</v>
      </c>
      <c r="H5099" s="34"/>
      <c r="I5099" s="30"/>
      <c r="J5099" s="152">
        <v>0</v>
      </c>
    </row>
    <row r="5100" spans="1:10" ht="15.75" hidden="1" thickBot="1" x14ac:dyDescent="0.3">
      <c r="A5100" s="176"/>
      <c r="B5100" s="174"/>
      <c r="C5100" s="35" t="s">
        <v>1018</v>
      </c>
      <c r="D5100" s="35" t="s">
        <v>583</v>
      </c>
      <c r="E5100" s="36">
        <v>0.69199999999999995</v>
      </c>
      <c r="F5100" s="30">
        <v>27.835000000000001</v>
      </c>
      <c r="G5100" s="30">
        <f>IF(ISNUMBER(F5100),E5100*F5100,"")</f>
        <v>19.26182</v>
      </c>
      <c r="H5100" s="34"/>
      <c r="I5100" s="30"/>
      <c r="J5100" s="152">
        <v>0</v>
      </c>
    </row>
    <row r="5101" spans="1:10" ht="15.75" hidden="1" thickBot="1" x14ac:dyDescent="0.3">
      <c r="A5101" s="177"/>
      <c r="B5101" s="175"/>
      <c r="C5101" s="35"/>
      <c r="D5101" s="35"/>
      <c r="E5101" s="36"/>
      <c r="F5101" s="30" t="s">
        <v>416</v>
      </c>
      <c r="G5101" s="30" t="str">
        <f>IF(ISNUMBER(F5101),E5101*F5101,"")</f>
        <v/>
      </c>
      <c r="H5101" s="34"/>
      <c r="I5101" s="30"/>
      <c r="J5101" s="152">
        <v>0</v>
      </c>
    </row>
    <row r="5102" spans="1:10" ht="15.75" hidden="1" thickBot="1" x14ac:dyDescent="0.3">
      <c r="A5102" s="170" t="s">
        <v>3116</v>
      </c>
      <c r="B5102" s="173" t="str">
        <f>INDEX(Orçamentária!A:B,MATCH(Composições!A5102,Orçamentária!A:A,0),2)</f>
        <v>Bandeira de porta, em madeira e MDF</v>
      </c>
      <c r="C5102" s="40"/>
      <c r="D5102" s="25" t="s">
        <v>70</v>
      </c>
      <c r="E5102" s="26"/>
      <c r="F5102" s="41" t="s">
        <v>416</v>
      </c>
      <c r="G5102" s="27" t="str">
        <f>IF(ISNUMBER(F5102),E5102*F5102,"")</f>
        <v/>
      </c>
      <c r="H5102" s="28"/>
      <c r="I5102" s="29"/>
      <c r="J5102" s="152">
        <v>0</v>
      </c>
    </row>
    <row r="5103" spans="1:10" ht="15.75" hidden="1" thickBot="1" x14ac:dyDescent="0.3">
      <c r="A5103" s="176"/>
      <c r="B5103" s="174"/>
      <c r="C5103" s="31"/>
      <c r="D5103" s="31"/>
      <c r="E5103" s="32"/>
      <c r="F5103" s="42" t="s">
        <v>416</v>
      </c>
      <c r="G5103" s="30" t="str">
        <f>IF(ISNUMBER(F5103),E5103*F5103,"")</f>
        <v/>
      </c>
      <c r="H5103" s="34"/>
      <c r="I5103" s="30"/>
      <c r="J5103" s="152">
        <v>0</v>
      </c>
    </row>
    <row r="5104" spans="1:10" ht="51.75" hidden="1" thickBot="1" x14ac:dyDescent="0.3">
      <c r="A5104" s="176"/>
      <c r="B5104" s="174"/>
      <c r="C5104" s="35" t="s">
        <v>8331</v>
      </c>
      <c r="D5104" s="35" t="s">
        <v>213</v>
      </c>
      <c r="E5104" s="36">
        <f>1/(0.8*2.1)</f>
        <v>0.59523809523809523</v>
      </c>
      <c r="F5104" s="33">
        <v>289.12299999999999</v>
      </c>
      <c r="G5104" s="33">
        <f>IF(ISNUMBER(F5104),E5104*F5104,"")</f>
        <v>172.09702380952379</v>
      </c>
      <c r="H5104" s="38">
        <f>SUM(G5104:G5107)</f>
        <v>223.08651155952376</v>
      </c>
      <c r="I5104" s="39"/>
      <c r="J5104" s="152">
        <v>0</v>
      </c>
    </row>
    <row r="5105" spans="1:10" ht="15.75" hidden="1" thickBot="1" x14ac:dyDescent="0.3">
      <c r="A5105" s="176"/>
      <c r="B5105" s="174"/>
      <c r="C5105" s="35" t="s">
        <v>2924</v>
      </c>
      <c r="D5105" s="35" t="s">
        <v>385</v>
      </c>
      <c r="E5105" s="36">
        <f>1/0.8</f>
        <v>1.25</v>
      </c>
      <c r="F5105" s="30">
        <v>19.683999999999997</v>
      </c>
      <c r="G5105" s="33">
        <f>IF(ISNUMBER(F5105),E5105*F5105,"")</f>
        <v>24.604999999999997</v>
      </c>
      <c r="H5105" s="34"/>
      <c r="I5105" s="30"/>
      <c r="J5105" s="152">
        <v>0</v>
      </c>
    </row>
    <row r="5106" spans="1:10" ht="15.75" hidden="1" thickBot="1" x14ac:dyDescent="0.3">
      <c r="A5106" s="176"/>
      <c r="B5106" s="174"/>
      <c r="C5106" s="35" t="s">
        <v>582</v>
      </c>
      <c r="D5106" s="35" t="s">
        <v>583</v>
      </c>
      <c r="E5106" s="36">
        <f>ROUND(1.546*0.8/(2.1*0.8),4)</f>
        <v>0.73619999999999997</v>
      </c>
      <c r="F5106" s="30">
        <v>25.725999999999996</v>
      </c>
      <c r="G5106" s="33">
        <f>IF(ISNUMBER(F5106),E5106*F5106,"")</f>
        <v>18.939481199999996</v>
      </c>
      <c r="H5106" s="34"/>
      <c r="I5106" s="30"/>
      <c r="J5106" s="152">
        <v>0</v>
      </c>
    </row>
    <row r="5107" spans="1:10" ht="15.75" hidden="1" thickBot="1" x14ac:dyDescent="0.3">
      <c r="A5107" s="176"/>
      <c r="B5107" s="174"/>
      <c r="C5107" s="35" t="s">
        <v>584</v>
      </c>
      <c r="D5107" s="35" t="s">
        <v>583</v>
      </c>
      <c r="E5107" s="36">
        <f>ROUND(0.773*0.8/(2.1*0.8),4)</f>
        <v>0.36809999999999998</v>
      </c>
      <c r="F5107" s="30">
        <v>20.225499999999997</v>
      </c>
      <c r="G5107" s="33">
        <f>IF(ISNUMBER(F5107),E5107*F5107,"")</f>
        <v>7.4450065499999987</v>
      </c>
      <c r="H5107" s="34"/>
      <c r="I5107" s="30"/>
      <c r="J5107" s="152">
        <v>0</v>
      </c>
    </row>
    <row r="5108" spans="1:10" ht="15.75" hidden="1" thickBot="1" x14ac:dyDescent="0.3">
      <c r="A5108" s="176"/>
      <c r="B5108" s="174"/>
      <c r="C5108" s="35"/>
      <c r="D5108" s="46"/>
      <c r="E5108" s="36"/>
      <c r="F5108" s="33" t="s">
        <v>416</v>
      </c>
      <c r="G5108" s="33" t="str">
        <f>IF(ISNUMBER(F5108),E5108*F5108,"")</f>
        <v/>
      </c>
      <c r="H5108" s="34"/>
      <c r="I5108" s="30"/>
      <c r="J5108" s="152">
        <v>0</v>
      </c>
    </row>
    <row r="5109" spans="1:10" ht="15.75" hidden="1" thickBot="1" x14ac:dyDescent="0.3">
      <c r="A5109" s="170" t="s">
        <v>3118</v>
      </c>
      <c r="B5109" s="173" t="str">
        <f>INDEX(Orçamentária!A:B,MATCH(Composições!A5109,Orçamentária!A:A,0),2)</f>
        <v>Bandeira de porta, em madeira pintada</v>
      </c>
      <c r="C5109" s="40"/>
      <c r="D5109" s="25" t="s">
        <v>70</v>
      </c>
      <c r="E5109" s="26"/>
      <c r="F5109" s="41" t="s">
        <v>416</v>
      </c>
      <c r="G5109" s="27" t="str">
        <f>IF(ISNUMBER(F5109),E5109*F5109,"")</f>
        <v/>
      </c>
      <c r="H5109" s="28"/>
      <c r="I5109" s="29"/>
      <c r="J5109" s="152">
        <v>0</v>
      </c>
    </row>
    <row r="5110" spans="1:10" ht="15.75" hidden="1" thickBot="1" x14ac:dyDescent="0.3">
      <c r="A5110" s="176"/>
      <c r="B5110" s="174"/>
      <c r="C5110" s="31"/>
      <c r="D5110" s="31"/>
      <c r="E5110" s="32"/>
      <c r="F5110" s="42" t="s">
        <v>416</v>
      </c>
      <c r="G5110" s="30" t="str">
        <f>IF(ISNUMBER(F5110),E5110*F5110,"")</f>
        <v/>
      </c>
      <c r="H5110" s="34"/>
      <c r="I5110" s="30"/>
      <c r="J5110" s="152">
        <v>0</v>
      </c>
    </row>
    <row r="5111" spans="1:10" ht="51.75" hidden="1" thickBot="1" x14ac:dyDescent="0.3">
      <c r="A5111" s="176"/>
      <c r="B5111" s="174"/>
      <c r="C5111" s="35" t="s">
        <v>8332</v>
      </c>
      <c r="D5111" s="35" t="s">
        <v>213</v>
      </c>
      <c r="E5111" s="36">
        <f>1/(0.8*2.1)</f>
        <v>0.59523809523809523</v>
      </c>
      <c r="F5111" s="33">
        <v>282.4255</v>
      </c>
      <c r="G5111" s="33">
        <f>IF(ISNUMBER(F5111),E5111*F5111,"")</f>
        <v>168.11041666666665</v>
      </c>
      <c r="H5111" s="38">
        <f>SUM(G5111:G5116)</f>
        <v>239.38078181666663</v>
      </c>
      <c r="I5111" s="39"/>
      <c r="J5111" s="152">
        <v>0</v>
      </c>
    </row>
    <row r="5112" spans="1:10" ht="15.75" hidden="1" thickBot="1" x14ac:dyDescent="0.3">
      <c r="A5112" s="176"/>
      <c r="B5112" s="174"/>
      <c r="C5112" s="35" t="s">
        <v>2924</v>
      </c>
      <c r="D5112" s="35" t="s">
        <v>385</v>
      </c>
      <c r="E5112" s="36">
        <f>1/0.8</f>
        <v>1.25</v>
      </c>
      <c r="F5112" s="30">
        <v>19.683999999999997</v>
      </c>
      <c r="G5112" s="33">
        <f>IF(ISNUMBER(F5112),E5112*F5112,"")</f>
        <v>24.604999999999997</v>
      </c>
      <c r="H5112" s="34"/>
      <c r="I5112" s="30"/>
      <c r="J5112" s="152">
        <v>0</v>
      </c>
    </row>
    <row r="5113" spans="1:10" ht="15.75" hidden="1" thickBot="1" x14ac:dyDescent="0.3">
      <c r="A5113" s="176"/>
      <c r="B5113" s="174"/>
      <c r="C5113" s="35" t="s">
        <v>582</v>
      </c>
      <c r="D5113" s="35" t="s">
        <v>583</v>
      </c>
      <c r="E5113" s="36">
        <f>ROUND(1.546*0.8/(0.8*2.1),4)</f>
        <v>0.73619999999999997</v>
      </c>
      <c r="F5113" s="30">
        <v>25.725999999999996</v>
      </c>
      <c r="G5113" s="33">
        <f>IF(ISNUMBER(F5113),E5113*F5113,"")</f>
        <v>18.939481199999996</v>
      </c>
      <c r="H5113" s="34"/>
      <c r="I5113" s="30"/>
      <c r="J5113" s="152">
        <v>0</v>
      </c>
    </row>
    <row r="5114" spans="1:10" ht="15.75" hidden="1" thickBot="1" x14ac:dyDescent="0.3">
      <c r="A5114" s="176"/>
      <c r="B5114" s="174"/>
      <c r="C5114" s="35" t="s">
        <v>584</v>
      </c>
      <c r="D5114" s="35" t="s">
        <v>583</v>
      </c>
      <c r="E5114" s="36">
        <f>ROUND(0.773*0.8/(0.8*2.1),4)</f>
        <v>0.36809999999999998</v>
      </c>
      <c r="F5114" s="30">
        <v>20.225499999999997</v>
      </c>
      <c r="G5114" s="33">
        <f>IF(ISNUMBER(F5114),E5114*F5114,"")</f>
        <v>7.4450065499999987</v>
      </c>
      <c r="H5114" s="34"/>
      <c r="I5114" s="30"/>
      <c r="J5114" s="152">
        <v>0</v>
      </c>
    </row>
    <row r="5115" spans="1:10" ht="15.75" hidden="1" thickBot="1" x14ac:dyDescent="0.3">
      <c r="A5115" s="176"/>
      <c r="B5115" s="174"/>
      <c r="C5115" s="35" t="s">
        <v>143</v>
      </c>
      <c r="D5115" s="49" t="s">
        <v>75</v>
      </c>
      <c r="E5115" s="36">
        <v>0.108</v>
      </c>
      <c r="F5115" s="33" t="s">
        <v>416</v>
      </c>
      <c r="G5115" s="30" t="str">
        <f>IF(ISNUMBER(F5115),E5115*F5115,"")</f>
        <v/>
      </c>
      <c r="H5115" s="34"/>
      <c r="I5115" s="30"/>
      <c r="J5115" s="152">
        <v>0</v>
      </c>
    </row>
    <row r="5116" spans="1:10" ht="15.75" hidden="1" thickBot="1" x14ac:dyDescent="0.3">
      <c r="A5116" s="176"/>
      <c r="B5116" s="174"/>
      <c r="C5116" s="35" t="s">
        <v>956</v>
      </c>
      <c r="D5116" s="35" t="s">
        <v>583</v>
      </c>
      <c r="E5116" s="36">
        <v>0.70760000000000001</v>
      </c>
      <c r="F5116" s="30">
        <v>28.6615</v>
      </c>
      <c r="G5116" s="30">
        <f>IF(ISNUMBER(F5116),E5116*F5116,"")</f>
        <v>20.280877400000001</v>
      </c>
      <c r="H5116" s="34"/>
      <c r="I5116" s="30"/>
      <c r="J5116" s="152">
        <v>0</v>
      </c>
    </row>
    <row r="5117" spans="1:10" ht="15.75" hidden="1" thickBot="1" x14ac:dyDescent="0.3">
      <c r="A5117" s="176"/>
      <c r="B5117" s="174"/>
      <c r="C5117" s="35"/>
      <c r="D5117" s="35"/>
      <c r="E5117" s="36"/>
      <c r="F5117" s="30" t="s">
        <v>416</v>
      </c>
      <c r="G5117" s="30"/>
      <c r="H5117" s="34"/>
      <c r="I5117" s="30"/>
      <c r="J5117" s="152">
        <v>0</v>
      </c>
    </row>
    <row r="5118" spans="1:10" ht="39" hidden="1" thickBot="1" x14ac:dyDescent="0.3">
      <c r="A5118" s="176"/>
      <c r="B5118" s="174"/>
      <c r="C5118" s="51" t="s">
        <v>2954</v>
      </c>
      <c r="D5118" s="35"/>
      <c r="E5118" s="36"/>
      <c r="F5118" s="30" t="s">
        <v>416</v>
      </c>
      <c r="G5118" s="30"/>
      <c r="H5118" s="34"/>
      <c r="I5118" s="30"/>
      <c r="J5118" s="152">
        <v>0</v>
      </c>
    </row>
    <row r="5119" spans="1:10" ht="15.75" hidden="1" thickBot="1" x14ac:dyDescent="0.3">
      <c r="A5119" s="176"/>
      <c r="B5119" s="174"/>
      <c r="C5119" s="35"/>
      <c r="D5119" s="46"/>
      <c r="E5119" s="36"/>
      <c r="F5119" s="33" t="s">
        <v>416</v>
      </c>
      <c r="G5119" s="33" t="str">
        <f>IF(ISNUMBER(F5119),E5119*F5119,"")</f>
        <v/>
      </c>
      <c r="H5119" s="34"/>
      <c r="I5119" s="30"/>
      <c r="J5119" s="152">
        <v>0</v>
      </c>
    </row>
    <row r="5120" spans="1:10" ht="15.75" hidden="1" thickBot="1" x14ac:dyDescent="0.3">
      <c r="A5120" s="170" t="s">
        <v>3146</v>
      </c>
      <c r="B5120" s="173" t="str">
        <f>INDEX(Orçamentária!A:B,MATCH(Composições!A5120,Orçamentária!A:A,0),2)</f>
        <v>Cambota elastomérica de 8”</v>
      </c>
      <c r="C5120" s="40"/>
      <c r="D5120" s="25" t="s">
        <v>16</v>
      </c>
      <c r="E5120" s="26"/>
      <c r="F5120" s="48" t="s">
        <v>416</v>
      </c>
      <c r="G5120" s="27" t="str">
        <f>IF(ISNUMBER(F5120),E5120*F5120,"")</f>
        <v/>
      </c>
      <c r="H5120" s="28"/>
      <c r="I5120" s="29"/>
      <c r="J5120" s="152">
        <v>0</v>
      </c>
    </row>
    <row r="5121" spans="1:10" ht="15.75" hidden="1" thickBot="1" x14ac:dyDescent="0.3">
      <c r="A5121" s="171"/>
      <c r="B5121" s="174"/>
      <c r="C5121" s="31"/>
      <c r="D5121" s="31"/>
      <c r="E5121" s="32"/>
      <c r="F5121" s="53" t="s">
        <v>416</v>
      </c>
      <c r="G5121" s="53" t="str">
        <f>IF(ISNUMBER(F5121),E5121*F5121,"")</f>
        <v/>
      </c>
      <c r="H5121" s="72"/>
      <c r="I5121" s="73"/>
      <c r="J5121" s="152">
        <v>0</v>
      </c>
    </row>
    <row r="5122" spans="1:10" ht="26.25" hidden="1" thickBot="1" x14ac:dyDescent="0.3">
      <c r="A5122" s="171"/>
      <c r="B5122" s="174"/>
      <c r="C5122" s="35" t="s">
        <v>824</v>
      </c>
      <c r="D5122" s="35" t="s">
        <v>583</v>
      </c>
      <c r="E5122" s="36">
        <v>0.93</v>
      </c>
      <c r="F5122" s="30">
        <v>21.166</v>
      </c>
      <c r="G5122" s="53">
        <f>IF(ISNUMBER(F5122),E5122*F5122,"")</f>
        <v>19.684380000000001</v>
      </c>
      <c r="H5122" s="38">
        <f>SUM(G5122:G5124)</f>
        <v>44.607915000000006</v>
      </c>
      <c r="I5122" s="39"/>
      <c r="J5122" s="152">
        <v>0</v>
      </c>
    </row>
    <row r="5123" spans="1:10" ht="26.25" hidden="1" thickBot="1" x14ac:dyDescent="0.3">
      <c r="A5123" s="171"/>
      <c r="B5123" s="174"/>
      <c r="C5123" s="35" t="s">
        <v>825</v>
      </c>
      <c r="D5123" s="35" t="s">
        <v>583</v>
      </c>
      <c r="E5123" s="36">
        <v>0.93</v>
      </c>
      <c r="F5123" s="30">
        <v>26.799499999999998</v>
      </c>
      <c r="G5123" s="53">
        <f>IF(ISNUMBER(F5123),E5123*F5123,"")</f>
        <v>24.923535000000001</v>
      </c>
      <c r="H5123" s="72"/>
      <c r="I5123" s="73"/>
      <c r="J5123" s="152">
        <v>0</v>
      </c>
    </row>
    <row r="5124" spans="1:10" ht="15.75" hidden="1" thickBot="1" x14ac:dyDescent="0.3">
      <c r="A5124" s="171"/>
      <c r="B5124" s="174"/>
      <c r="C5124" s="35" t="s">
        <v>3204</v>
      </c>
      <c r="D5124" s="35" t="s">
        <v>213</v>
      </c>
      <c r="E5124" s="36">
        <v>1</v>
      </c>
      <c r="F5124" s="30" t="s">
        <v>416</v>
      </c>
      <c r="G5124" s="53" t="str">
        <f>IF(ISNUMBER(F5124),E5124*F5124,"")</f>
        <v/>
      </c>
      <c r="H5124" s="72"/>
      <c r="I5124" s="73"/>
      <c r="J5124" s="152">
        <v>0</v>
      </c>
    </row>
    <row r="5125" spans="1:10" ht="15.75" hidden="1" thickBot="1" x14ac:dyDescent="0.3">
      <c r="A5125" s="171"/>
      <c r="B5125" s="174"/>
      <c r="C5125" s="35"/>
      <c r="D5125" s="46"/>
      <c r="E5125" s="36"/>
      <c r="F5125" s="53" t="s">
        <v>416</v>
      </c>
      <c r="G5125" s="53" t="str">
        <f>IF(ISNUMBER(F5125),E5125*F5125,"")</f>
        <v/>
      </c>
      <c r="H5125" s="72"/>
      <c r="I5125" s="73"/>
      <c r="J5125" s="152">
        <v>0</v>
      </c>
    </row>
    <row r="5126" spans="1:10" ht="15.75" hidden="1" thickBot="1" x14ac:dyDescent="0.3">
      <c r="A5126" s="170" t="s">
        <v>3148</v>
      </c>
      <c r="B5126" s="173" t="str">
        <f>INDEX(Orçamentária!A:B,MATCH(Composições!A5126,Orçamentária!A:A,0),2)</f>
        <v>Curva raio curto 45° em aço carbono para solda de topo DN 125 (5" NPS)</v>
      </c>
      <c r="C5126" s="40"/>
      <c r="D5126" s="25" t="s">
        <v>16</v>
      </c>
      <c r="E5126" s="26"/>
      <c r="F5126" s="48" t="s">
        <v>416</v>
      </c>
      <c r="G5126" s="27" t="str">
        <f>IF(ISNUMBER(F5126),E5126*F5126,"")</f>
        <v/>
      </c>
      <c r="H5126" s="28"/>
      <c r="I5126" s="29"/>
      <c r="J5126" s="152">
        <v>0</v>
      </c>
    </row>
    <row r="5127" spans="1:10" ht="15.75" hidden="1" thickBot="1" x14ac:dyDescent="0.3">
      <c r="A5127" s="171"/>
      <c r="B5127" s="174"/>
      <c r="C5127" s="31"/>
      <c r="D5127" s="31"/>
      <c r="E5127" s="32"/>
      <c r="F5127" s="53" t="s">
        <v>416</v>
      </c>
      <c r="G5127" s="53" t="str">
        <f>IF(ISNUMBER(F5127),E5127*F5127,"")</f>
        <v/>
      </c>
      <c r="H5127" s="72"/>
      <c r="I5127" s="73"/>
      <c r="J5127" s="152">
        <v>0</v>
      </c>
    </row>
    <row r="5128" spans="1:10" ht="15.75" hidden="1" thickBot="1" x14ac:dyDescent="0.3">
      <c r="A5128" s="171"/>
      <c r="B5128" s="174"/>
      <c r="C5128" s="35" t="s">
        <v>1037</v>
      </c>
      <c r="D5128" s="35" t="s">
        <v>773</v>
      </c>
      <c r="E5128" s="36">
        <f>ROUND(0.089*1.3,4)</f>
        <v>0.1157</v>
      </c>
      <c r="F5128" s="30">
        <v>36.489499999999992</v>
      </c>
      <c r="G5128" s="53">
        <f>IF(ISNUMBER(F5128),E5128*F5128,"")</f>
        <v>4.2218351499999986</v>
      </c>
      <c r="H5128" s="38">
        <f>SUM(G5128:G5132)</f>
        <v>95.78424115</v>
      </c>
      <c r="I5128" s="39"/>
      <c r="J5128" s="152">
        <v>0</v>
      </c>
    </row>
    <row r="5129" spans="1:10" ht="26.25" hidden="1" thickBot="1" x14ac:dyDescent="0.3">
      <c r="A5129" s="171"/>
      <c r="B5129" s="174"/>
      <c r="C5129" s="35" t="s">
        <v>3205</v>
      </c>
      <c r="D5129" s="35" t="s">
        <v>213</v>
      </c>
      <c r="E5129" s="36">
        <v>1</v>
      </c>
      <c r="F5129" s="30" t="s">
        <v>416</v>
      </c>
      <c r="G5129" s="53" t="str">
        <f>IF(ISNUMBER(F5129),E5129*F5129,"")</f>
        <v/>
      </c>
      <c r="H5129" s="72"/>
      <c r="I5129" s="73"/>
      <c r="J5129" s="152">
        <v>0</v>
      </c>
    </row>
    <row r="5130" spans="1:10" ht="26.25" hidden="1" thickBot="1" x14ac:dyDescent="0.3">
      <c r="A5130" s="171"/>
      <c r="B5130" s="174"/>
      <c r="C5130" s="35" t="s">
        <v>824</v>
      </c>
      <c r="D5130" s="35" t="s">
        <v>583</v>
      </c>
      <c r="E5130" s="36">
        <f>ROUND(0.93*1.3,4)</f>
        <v>1.2090000000000001</v>
      </c>
      <c r="F5130" s="30">
        <v>21.166</v>
      </c>
      <c r="G5130" s="53">
        <f>IF(ISNUMBER(F5130),E5130*F5130,"")</f>
        <v>25.589694000000001</v>
      </c>
      <c r="H5130" s="72"/>
      <c r="I5130" s="73"/>
      <c r="J5130" s="152">
        <v>0</v>
      </c>
    </row>
    <row r="5131" spans="1:10" ht="26.25" hidden="1" thickBot="1" x14ac:dyDescent="0.3">
      <c r="A5131" s="171"/>
      <c r="B5131" s="174"/>
      <c r="C5131" s="35" t="s">
        <v>825</v>
      </c>
      <c r="D5131" s="35" t="s">
        <v>583</v>
      </c>
      <c r="E5131" s="36">
        <f>ROUND(0.93*1.3,4)</f>
        <v>1.2090000000000001</v>
      </c>
      <c r="F5131" s="30">
        <v>26.799499999999998</v>
      </c>
      <c r="G5131" s="53">
        <f>IF(ISNUMBER(F5131),E5131*F5131,"")</f>
        <v>32.400595500000001</v>
      </c>
      <c r="H5131" s="72"/>
      <c r="I5131" s="73"/>
      <c r="J5131" s="152">
        <v>0</v>
      </c>
    </row>
    <row r="5132" spans="1:10" ht="15.75" hidden="1" thickBot="1" x14ac:dyDescent="0.3">
      <c r="A5132" s="171"/>
      <c r="B5132" s="174"/>
      <c r="C5132" s="35" t="s">
        <v>2908</v>
      </c>
      <c r="D5132" s="35" t="s">
        <v>583</v>
      </c>
      <c r="E5132" s="36">
        <f>ROUND(0.93*1.3,4)</f>
        <v>1.2090000000000001</v>
      </c>
      <c r="F5132" s="53">
        <v>27.7685</v>
      </c>
      <c r="G5132" s="53">
        <f>IF(ISNUMBER(F5132),E5132*F5132,"")</f>
        <v>33.5721165</v>
      </c>
      <c r="H5132" s="72"/>
      <c r="I5132" s="73"/>
      <c r="J5132" s="152">
        <v>0</v>
      </c>
    </row>
    <row r="5133" spans="1:10" ht="15.75" hidden="1" thickBot="1" x14ac:dyDescent="0.3">
      <c r="A5133" s="171"/>
      <c r="B5133" s="174"/>
      <c r="C5133" s="35"/>
      <c r="D5133" s="46"/>
      <c r="E5133" s="36"/>
      <c r="F5133" s="53" t="s">
        <v>416</v>
      </c>
      <c r="G5133" s="53" t="str">
        <f>IF(ISNUMBER(F5133),E5133*F5133,"")</f>
        <v/>
      </c>
      <c r="H5133" s="72"/>
      <c r="I5133" s="73"/>
      <c r="J5133" s="152">
        <v>0</v>
      </c>
    </row>
    <row r="5134" spans="1:10" ht="15.75" hidden="1" thickBot="1" x14ac:dyDescent="0.3">
      <c r="A5134" s="170" t="s">
        <v>3150</v>
      </c>
      <c r="B5134" s="173" t="str">
        <f>INDEX(Orçamentária!A:B,MATCH(Composições!A5134,Orçamentária!A:A,0),2)</f>
        <v>Curva raio curto 90° em aço carbono para solda de topo DN 125 (5" NPS)</v>
      </c>
      <c r="C5134" s="40"/>
      <c r="D5134" s="25" t="s">
        <v>16</v>
      </c>
      <c r="E5134" s="26"/>
      <c r="F5134" s="48" t="s">
        <v>416</v>
      </c>
      <c r="G5134" s="27" t="str">
        <f>IF(ISNUMBER(F5134),E5134*F5134,"")</f>
        <v/>
      </c>
      <c r="H5134" s="28"/>
      <c r="I5134" s="29"/>
      <c r="J5134" s="152">
        <v>0</v>
      </c>
    </row>
    <row r="5135" spans="1:10" ht="15.75" hidden="1" thickBot="1" x14ac:dyDescent="0.3">
      <c r="A5135" s="171"/>
      <c r="B5135" s="174"/>
      <c r="C5135" s="31"/>
      <c r="D5135" s="31"/>
      <c r="E5135" s="32"/>
      <c r="F5135" s="53" t="s">
        <v>416</v>
      </c>
      <c r="G5135" s="53" t="str">
        <f>IF(ISNUMBER(F5135),E5135*F5135,"")</f>
        <v/>
      </c>
      <c r="H5135" s="72"/>
      <c r="I5135" s="73"/>
      <c r="J5135" s="152">
        <v>0</v>
      </c>
    </row>
    <row r="5136" spans="1:10" ht="15.75" hidden="1" thickBot="1" x14ac:dyDescent="0.3">
      <c r="A5136" s="171"/>
      <c r="B5136" s="174"/>
      <c r="C5136" s="35" t="s">
        <v>1037</v>
      </c>
      <c r="D5136" s="35" t="s">
        <v>773</v>
      </c>
      <c r="E5136" s="36">
        <f>ROUND(0.089*1.3,4)</f>
        <v>0.1157</v>
      </c>
      <c r="F5136" s="30">
        <v>36.489499999999992</v>
      </c>
      <c r="G5136" s="53">
        <f>IF(ISNUMBER(F5136),E5136*F5136,"")</f>
        <v>4.2218351499999986</v>
      </c>
      <c r="H5136" s="38">
        <f>SUM(G5136:G5140)</f>
        <v>95.78424115</v>
      </c>
      <c r="I5136" s="39"/>
      <c r="J5136" s="152">
        <v>0</v>
      </c>
    </row>
    <row r="5137" spans="1:10" ht="26.25" hidden="1" thickBot="1" x14ac:dyDescent="0.3">
      <c r="A5137" s="171"/>
      <c r="B5137" s="174"/>
      <c r="C5137" s="35" t="s">
        <v>3206</v>
      </c>
      <c r="D5137" s="35" t="s">
        <v>213</v>
      </c>
      <c r="E5137" s="36">
        <v>1</v>
      </c>
      <c r="F5137" s="30" t="s">
        <v>416</v>
      </c>
      <c r="G5137" s="53" t="str">
        <f>IF(ISNUMBER(F5137),E5137*F5137,"")</f>
        <v/>
      </c>
      <c r="H5137" s="72"/>
      <c r="I5137" s="73"/>
      <c r="J5137" s="152">
        <v>0</v>
      </c>
    </row>
    <row r="5138" spans="1:10" ht="26.25" hidden="1" thickBot="1" x14ac:dyDescent="0.3">
      <c r="A5138" s="171"/>
      <c r="B5138" s="174"/>
      <c r="C5138" s="35" t="s">
        <v>824</v>
      </c>
      <c r="D5138" s="35" t="s">
        <v>583</v>
      </c>
      <c r="E5138" s="36">
        <f>ROUND(0.93*1.3,4)</f>
        <v>1.2090000000000001</v>
      </c>
      <c r="F5138" s="30">
        <v>21.166</v>
      </c>
      <c r="G5138" s="53">
        <f>IF(ISNUMBER(F5138),E5138*F5138,"")</f>
        <v>25.589694000000001</v>
      </c>
      <c r="H5138" s="72"/>
      <c r="I5138" s="73"/>
      <c r="J5138" s="152">
        <v>0</v>
      </c>
    </row>
    <row r="5139" spans="1:10" ht="26.25" hidden="1" thickBot="1" x14ac:dyDescent="0.3">
      <c r="A5139" s="171"/>
      <c r="B5139" s="174"/>
      <c r="C5139" s="35" t="s">
        <v>825</v>
      </c>
      <c r="D5139" s="35" t="s">
        <v>583</v>
      </c>
      <c r="E5139" s="36">
        <f>ROUND(0.93*1.3,4)</f>
        <v>1.2090000000000001</v>
      </c>
      <c r="F5139" s="30">
        <v>26.799499999999998</v>
      </c>
      <c r="G5139" s="53">
        <f>IF(ISNUMBER(F5139),E5139*F5139,"")</f>
        <v>32.400595500000001</v>
      </c>
      <c r="H5139" s="72"/>
      <c r="I5139" s="73"/>
      <c r="J5139" s="152">
        <v>0</v>
      </c>
    </row>
    <row r="5140" spans="1:10" ht="15.75" hidden="1" thickBot="1" x14ac:dyDescent="0.3">
      <c r="A5140" s="171"/>
      <c r="B5140" s="174"/>
      <c r="C5140" s="35" t="s">
        <v>2908</v>
      </c>
      <c r="D5140" s="35" t="s">
        <v>583</v>
      </c>
      <c r="E5140" s="36">
        <f>ROUND(0.93*1.3,4)</f>
        <v>1.2090000000000001</v>
      </c>
      <c r="F5140" s="53">
        <v>27.7685</v>
      </c>
      <c r="G5140" s="53">
        <f>IF(ISNUMBER(F5140),E5140*F5140,"")</f>
        <v>33.5721165</v>
      </c>
      <c r="H5140" s="72"/>
      <c r="I5140" s="73"/>
      <c r="J5140" s="152">
        <v>0</v>
      </c>
    </row>
    <row r="5141" spans="1:10" ht="15.75" hidden="1" thickBot="1" x14ac:dyDescent="0.3">
      <c r="A5141" s="171"/>
      <c r="B5141" s="174"/>
      <c r="C5141" s="35"/>
      <c r="D5141" s="46"/>
      <c r="E5141" s="36"/>
      <c r="F5141" s="53" t="s">
        <v>416</v>
      </c>
      <c r="G5141" s="53" t="str">
        <f>IF(ISNUMBER(F5141),E5141*F5141,"")</f>
        <v/>
      </c>
      <c r="H5141" s="72"/>
      <c r="I5141" s="73"/>
      <c r="J5141" s="152">
        <v>0</v>
      </c>
    </row>
    <row r="5142" spans="1:10" ht="15.75" hidden="1" thickBot="1" x14ac:dyDescent="0.3">
      <c r="A5142" s="170" t="s">
        <v>3152</v>
      </c>
      <c r="B5142" s="173" t="str">
        <f>INDEX(Orçamentária!A:B,MATCH(Composições!A5142,Orçamentária!A:A,0),2)</f>
        <v>Curva raio longo 90° em aço carbono para solda de topo DN 125 (5" NPS)</v>
      </c>
      <c r="C5142" s="40"/>
      <c r="D5142" s="25" t="s">
        <v>16</v>
      </c>
      <c r="E5142" s="26"/>
      <c r="F5142" s="48" t="s">
        <v>416</v>
      </c>
      <c r="G5142" s="27" t="str">
        <f>IF(ISNUMBER(F5142),E5142*F5142,"")</f>
        <v/>
      </c>
      <c r="H5142" s="28"/>
      <c r="I5142" s="29"/>
      <c r="J5142" s="152">
        <v>0</v>
      </c>
    </row>
    <row r="5143" spans="1:10" ht="15.75" hidden="1" thickBot="1" x14ac:dyDescent="0.3">
      <c r="A5143" s="171"/>
      <c r="B5143" s="174"/>
      <c r="C5143" s="31"/>
      <c r="D5143" s="31"/>
      <c r="E5143" s="32"/>
      <c r="F5143" s="53" t="s">
        <v>416</v>
      </c>
      <c r="G5143" s="53" t="str">
        <f>IF(ISNUMBER(F5143),E5143*F5143,"")</f>
        <v/>
      </c>
      <c r="H5143" s="72"/>
      <c r="I5143" s="73"/>
      <c r="J5143" s="152">
        <v>0</v>
      </c>
    </row>
    <row r="5144" spans="1:10" ht="15.75" hidden="1" thickBot="1" x14ac:dyDescent="0.3">
      <c r="A5144" s="171"/>
      <c r="B5144" s="174"/>
      <c r="C5144" s="35" t="s">
        <v>1037</v>
      </c>
      <c r="D5144" s="35" t="s">
        <v>773</v>
      </c>
      <c r="E5144" s="36">
        <f>ROUND(0.089*1.3,4)</f>
        <v>0.1157</v>
      </c>
      <c r="F5144" s="30">
        <v>36.489499999999992</v>
      </c>
      <c r="G5144" s="53">
        <f>IF(ISNUMBER(F5144),E5144*F5144,"")</f>
        <v>4.2218351499999986</v>
      </c>
      <c r="H5144" s="38">
        <f>SUM(G5144:G5148)</f>
        <v>95.78424115</v>
      </c>
      <c r="I5144" s="39"/>
      <c r="J5144" s="152">
        <v>0</v>
      </c>
    </row>
    <row r="5145" spans="1:10" ht="26.25" hidden="1" thickBot="1" x14ac:dyDescent="0.3">
      <c r="A5145" s="171"/>
      <c r="B5145" s="174"/>
      <c r="C5145" s="35" t="s">
        <v>3207</v>
      </c>
      <c r="D5145" s="35" t="s">
        <v>213</v>
      </c>
      <c r="E5145" s="36">
        <v>1</v>
      </c>
      <c r="F5145" s="30" t="s">
        <v>416</v>
      </c>
      <c r="G5145" s="53" t="str">
        <f>IF(ISNUMBER(F5145),E5145*F5145,"")</f>
        <v/>
      </c>
      <c r="H5145" s="72"/>
      <c r="I5145" s="73"/>
      <c r="J5145" s="152">
        <v>0</v>
      </c>
    </row>
    <row r="5146" spans="1:10" ht="26.25" hidden="1" thickBot="1" x14ac:dyDescent="0.3">
      <c r="A5146" s="171"/>
      <c r="B5146" s="174"/>
      <c r="C5146" s="35" t="s">
        <v>824</v>
      </c>
      <c r="D5146" s="35" t="s">
        <v>583</v>
      </c>
      <c r="E5146" s="36">
        <f>ROUND(0.93*1.3,4)</f>
        <v>1.2090000000000001</v>
      </c>
      <c r="F5146" s="30">
        <v>21.166</v>
      </c>
      <c r="G5146" s="53">
        <f>IF(ISNUMBER(F5146),E5146*F5146,"")</f>
        <v>25.589694000000001</v>
      </c>
      <c r="H5146" s="72"/>
      <c r="I5146" s="73"/>
      <c r="J5146" s="152">
        <v>0</v>
      </c>
    </row>
    <row r="5147" spans="1:10" ht="26.25" hidden="1" thickBot="1" x14ac:dyDescent="0.3">
      <c r="A5147" s="171"/>
      <c r="B5147" s="174"/>
      <c r="C5147" s="35" t="s">
        <v>825</v>
      </c>
      <c r="D5147" s="35" t="s">
        <v>583</v>
      </c>
      <c r="E5147" s="36">
        <f>ROUND(0.93*1.3,4)</f>
        <v>1.2090000000000001</v>
      </c>
      <c r="F5147" s="30">
        <v>26.799499999999998</v>
      </c>
      <c r="G5147" s="53">
        <f>IF(ISNUMBER(F5147),E5147*F5147,"")</f>
        <v>32.400595500000001</v>
      </c>
      <c r="H5147" s="72"/>
      <c r="I5147" s="73"/>
      <c r="J5147" s="152">
        <v>0</v>
      </c>
    </row>
    <row r="5148" spans="1:10" ht="15.75" hidden="1" thickBot="1" x14ac:dyDescent="0.3">
      <c r="A5148" s="171"/>
      <c r="B5148" s="174"/>
      <c r="C5148" s="35" t="s">
        <v>2908</v>
      </c>
      <c r="D5148" s="35" t="s">
        <v>583</v>
      </c>
      <c r="E5148" s="36">
        <f>ROUND(0.93*1.3,4)</f>
        <v>1.2090000000000001</v>
      </c>
      <c r="F5148" s="53">
        <v>27.7685</v>
      </c>
      <c r="G5148" s="53">
        <f>IF(ISNUMBER(F5148),E5148*F5148,"")</f>
        <v>33.5721165</v>
      </c>
      <c r="H5148" s="72"/>
      <c r="I5148" s="73"/>
      <c r="J5148" s="152">
        <v>0</v>
      </c>
    </row>
    <row r="5149" spans="1:10" ht="15.75" hidden="1" thickBot="1" x14ac:dyDescent="0.3">
      <c r="A5149" s="171"/>
      <c r="B5149" s="174"/>
      <c r="C5149" s="35"/>
      <c r="D5149" s="46"/>
      <c r="E5149" s="36"/>
      <c r="F5149" s="53" t="s">
        <v>416</v>
      </c>
      <c r="G5149" s="53" t="str">
        <f>IF(ISNUMBER(F5149),E5149*F5149,"")</f>
        <v/>
      </c>
      <c r="H5149" s="72"/>
      <c r="I5149" s="73"/>
      <c r="J5149" s="152">
        <v>0</v>
      </c>
    </row>
    <row r="5150" spans="1:10" ht="15.75" hidden="1" thickBot="1" x14ac:dyDescent="0.3">
      <c r="A5150" s="170" t="s">
        <v>3154</v>
      </c>
      <c r="B5150" s="173" t="str">
        <f>INDEX(Orçamentária!A:B,MATCH(Composições!A5150,Orçamentária!A:A,0),2)</f>
        <v>Curva raio longo 90° em aço carbono para solda de topo DN 200 (8" NPS)</v>
      </c>
      <c r="C5150" s="40"/>
      <c r="D5150" s="25" t="s">
        <v>16</v>
      </c>
      <c r="E5150" s="26"/>
      <c r="F5150" s="48" t="s">
        <v>416</v>
      </c>
      <c r="G5150" s="27" t="str">
        <f>IF(ISNUMBER(F5150),E5150*F5150,"")</f>
        <v/>
      </c>
      <c r="H5150" s="28"/>
      <c r="I5150" s="29"/>
      <c r="J5150" s="152">
        <v>0</v>
      </c>
    </row>
    <row r="5151" spans="1:10" ht="15.75" hidden="1" thickBot="1" x14ac:dyDescent="0.3">
      <c r="A5151" s="171"/>
      <c r="B5151" s="174"/>
      <c r="C5151" s="31"/>
      <c r="D5151" s="31"/>
      <c r="E5151" s="32"/>
      <c r="F5151" s="53" t="s">
        <v>416</v>
      </c>
      <c r="G5151" s="53" t="str">
        <f>IF(ISNUMBER(F5151),E5151*F5151,"")</f>
        <v/>
      </c>
      <c r="H5151" s="72"/>
      <c r="I5151" s="73"/>
      <c r="J5151" s="152">
        <v>0</v>
      </c>
    </row>
    <row r="5152" spans="1:10" ht="15.75" hidden="1" thickBot="1" x14ac:dyDescent="0.3">
      <c r="A5152" s="171"/>
      <c r="B5152" s="174"/>
      <c r="C5152" s="35" t="s">
        <v>1037</v>
      </c>
      <c r="D5152" s="35" t="s">
        <v>773</v>
      </c>
      <c r="E5152" s="36">
        <f>ROUND(0.089*1.5,4)</f>
        <v>0.13350000000000001</v>
      </c>
      <c r="F5152" s="30">
        <v>36.489499999999992</v>
      </c>
      <c r="G5152" s="53">
        <f>IF(ISNUMBER(F5152),E5152*F5152,"")</f>
        <v>4.8713482499999996</v>
      </c>
      <c r="H5152" s="38">
        <f>SUM(G5152:G5156)</f>
        <v>110.52027824999999</v>
      </c>
      <c r="I5152" s="39"/>
      <c r="J5152" s="152">
        <v>0</v>
      </c>
    </row>
    <row r="5153" spans="1:10" ht="26.25" hidden="1" thickBot="1" x14ac:dyDescent="0.3">
      <c r="A5153" s="171"/>
      <c r="B5153" s="174"/>
      <c r="C5153" s="35" t="s">
        <v>3208</v>
      </c>
      <c r="D5153" s="35" t="s">
        <v>213</v>
      </c>
      <c r="E5153" s="36">
        <v>1</v>
      </c>
      <c r="F5153" s="30" t="s">
        <v>416</v>
      </c>
      <c r="G5153" s="53" t="str">
        <f>IF(ISNUMBER(F5153),E5153*F5153,"")</f>
        <v/>
      </c>
      <c r="H5153" s="72"/>
      <c r="I5153" s="73"/>
      <c r="J5153" s="152">
        <v>0</v>
      </c>
    </row>
    <row r="5154" spans="1:10" ht="26.25" hidden="1" thickBot="1" x14ac:dyDescent="0.3">
      <c r="A5154" s="171"/>
      <c r="B5154" s="174"/>
      <c r="C5154" s="35" t="s">
        <v>824</v>
      </c>
      <c r="D5154" s="35" t="s">
        <v>583</v>
      </c>
      <c r="E5154" s="36">
        <f>ROUND(0.93*1.5,4)</f>
        <v>1.395</v>
      </c>
      <c r="F5154" s="30">
        <v>21.166</v>
      </c>
      <c r="G5154" s="53">
        <f>IF(ISNUMBER(F5154),E5154*F5154,"")</f>
        <v>29.52657</v>
      </c>
      <c r="H5154" s="72"/>
      <c r="I5154" s="73"/>
      <c r="J5154" s="152">
        <v>0</v>
      </c>
    </row>
    <row r="5155" spans="1:10" ht="26.25" hidden="1" thickBot="1" x14ac:dyDescent="0.3">
      <c r="A5155" s="171"/>
      <c r="B5155" s="174"/>
      <c r="C5155" s="35" t="s">
        <v>825</v>
      </c>
      <c r="D5155" s="35" t="s">
        <v>583</v>
      </c>
      <c r="E5155" s="36">
        <f>ROUND(0.93*1.5,4)</f>
        <v>1.395</v>
      </c>
      <c r="F5155" s="30">
        <v>26.799499999999998</v>
      </c>
      <c r="G5155" s="53">
        <f>IF(ISNUMBER(F5155),E5155*F5155,"")</f>
        <v>37.385302500000002</v>
      </c>
      <c r="H5155" s="72"/>
      <c r="I5155" s="73"/>
      <c r="J5155" s="152">
        <v>0</v>
      </c>
    </row>
    <row r="5156" spans="1:10" ht="15.75" hidden="1" thickBot="1" x14ac:dyDescent="0.3">
      <c r="A5156" s="171"/>
      <c r="B5156" s="174"/>
      <c r="C5156" s="35" t="s">
        <v>2908</v>
      </c>
      <c r="D5156" s="35" t="s">
        <v>583</v>
      </c>
      <c r="E5156" s="36">
        <f>ROUND(0.93*1.5,4)</f>
        <v>1.395</v>
      </c>
      <c r="F5156" s="53">
        <v>27.7685</v>
      </c>
      <c r="G5156" s="53">
        <f>IF(ISNUMBER(F5156),E5156*F5156,"")</f>
        <v>38.737057499999999</v>
      </c>
      <c r="H5156" s="72"/>
      <c r="I5156" s="73"/>
      <c r="J5156" s="152">
        <v>0</v>
      </c>
    </row>
    <row r="5157" spans="1:10" ht="15.75" hidden="1" thickBot="1" x14ac:dyDescent="0.3">
      <c r="A5157" s="171"/>
      <c r="B5157" s="174"/>
      <c r="C5157" s="35"/>
      <c r="D5157" s="46"/>
      <c r="E5157" s="36"/>
      <c r="F5157" s="53" t="s">
        <v>416</v>
      </c>
      <c r="G5157" s="53" t="str">
        <f>IF(ISNUMBER(F5157),E5157*F5157,"")</f>
        <v/>
      </c>
      <c r="H5157" s="72"/>
      <c r="I5157" s="73"/>
      <c r="J5157" s="152">
        <v>0</v>
      </c>
    </row>
    <row r="5158" spans="1:10" ht="15.75" hidden="1" thickBot="1" x14ac:dyDescent="0.3">
      <c r="A5158" s="170" t="s">
        <v>3156</v>
      </c>
      <c r="B5158" s="173" t="str">
        <f>INDEX(Orçamentária!A:B,MATCH(Composições!A5158,Orçamentária!A:A,0),2)</f>
        <v>Eliminador de ar para líquidos DN 20 (3/4" NPS)</v>
      </c>
      <c r="C5158" s="40"/>
      <c r="D5158" s="25" t="s">
        <v>16</v>
      </c>
      <c r="E5158" s="26"/>
      <c r="F5158" s="48" t="s">
        <v>416</v>
      </c>
      <c r="G5158" s="27" t="str">
        <f>IF(ISNUMBER(F5158),E5158*F5158,"")</f>
        <v/>
      </c>
      <c r="H5158" s="28"/>
      <c r="I5158" s="29"/>
      <c r="J5158" s="152">
        <v>0</v>
      </c>
    </row>
    <row r="5159" spans="1:10" ht="15.75" hidden="1" thickBot="1" x14ac:dyDescent="0.3">
      <c r="A5159" s="171"/>
      <c r="B5159" s="174"/>
      <c r="C5159" s="31"/>
      <c r="D5159" s="31"/>
      <c r="E5159" s="32"/>
      <c r="F5159" s="53" t="s">
        <v>416</v>
      </c>
      <c r="G5159" s="53" t="str">
        <f>IF(ISNUMBER(F5159),E5159*F5159,"")</f>
        <v/>
      </c>
      <c r="H5159" s="72"/>
      <c r="I5159" s="73"/>
      <c r="J5159" s="152">
        <v>0</v>
      </c>
    </row>
    <row r="5160" spans="1:10" ht="26.25" hidden="1" thickBot="1" x14ac:dyDescent="0.3">
      <c r="A5160" s="171"/>
      <c r="B5160" s="174"/>
      <c r="C5160" s="35" t="s">
        <v>3209</v>
      </c>
      <c r="D5160" s="35" t="s">
        <v>213</v>
      </c>
      <c r="E5160" s="36">
        <v>1</v>
      </c>
      <c r="F5160" s="30" t="s">
        <v>416</v>
      </c>
      <c r="G5160" s="53" t="str">
        <f>IF(ISNUMBER(F5160),E5160*F5160,"")</f>
        <v/>
      </c>
      <c r="H5160" s="38">
        <f>SUM(G5160:G5162)</f>
        <v>18.802475999999999</v>
      </c>
      <c r="I5160" s="39"/>
      <c r="J5160" s="152">
        <v>0</v>
      </c>
    </row>
    <row r="5161" spans="1:10" ht="26.25" hidden="1" thickBot="1" x14ac:dyDescent="0.3">
      <c r="A5161" s="171"/>
      <c r="B5161" s="174"/>
      <c r="C5161" s="35" t="s">
        <v>824</v>
      </c>
      <c r="D5161" s="35" t="s">
        <v>583</v>
      </c>
      <c r="E5161" s="36">
        <v>0.39200000000000002</v>
      </c>
      <c r="F5161" s="30">
        <v>21.166</v>
      </c>
      <c r="G5161" s="53">
        <f>IF(ISNUMBER(F5161),E5161*F5161,"")</f>
        <v>8.297072</v>
      </c>
      <c r="H5161" s="72"/>
      <c r="I5161" s="73"/>
      <c r="J5161" s="152">
        <v>0</v>
      </c>
    </row>
    <row r="5162" spans="1:10" ht="26.25" hidden="1" thickBot="1" x14ac:dyDescent="0.3">
      <c r="A5162" s="171"/>
      <c r="B5162" s="174"/>
      <c r="C5162" s="35" t="s">
        <v>825</v>
      </c>
      <c r="D5162" s="35" t="s">
        <v>583</v>
      </c>
      <c r="E5162" s="36">
        <v>0.39200000000000002</v>
      </c>
      <c r="F5162" s="30">
        <v>26.799499999999998</v>
      </c>
      <c r="G5162" s="53">
        <f>IF(ISNUMBER(F5162),E5162*F5162,"")</f>
        <v>10.505404</v>
      </c>
      <c r="H5162" s="72"/>
      <c r="I5162" s="73"/>
      <c r="J5162" s="152">
        <v>0</v>
      </c>
    </row>
    <row r="5163" spans="1:10" ht="15.75" hidden="1" thickBot="1" x14ac:dyDescent="0.3">
      <c r="A5163" s="171"/>
      <c r="B5163" s="174"/>
      <c r="C5163" s="35"/>
      <c r="D5163" s="46"/>
      <c r="E5163" s="36"/>
      <c r="F5163" s="53" t="s">
        <v>416</v>
      </c>
      <c r="G5163" s="53" t="str">
        <f>IF(ISNUMBER(F5163),E5163*F5163,"")</f>
        <v/>
      </c>
      <c r="H5163" s="72"/>
      <c r="I5163" s="73"/>
      <c r="J5163" s="152">
        <v>0</v>
      </c>
    </row>
    <row r="5164" spans="1:10" ht="15.75" hidden="1" thickBot="1" x14ac:dyDescent="0.3">
      <c r="A5164" s="170" t="s">
        <v>3158</v>
      </c>
      <c r="B5164" s="173" t="str">
        <f>INDEX(Orçamentária!A:B,MATCH(Composições!A5164,Orçamentária!A:A,0),2)</f>
        <v>Flange de pescoço, aço carbono, classe 150, DN 125 (5" NPS)</v>
      </c>
      <c r="C5164" s="40"/>
      <c r="D5164" s="25" t="s">
        <v>16</v>
      </c>
      <c r="E5164" s="26"/>
      <c r="F5164" s="48" t="s">
        <v>416</v>
      </c>
      <c r="G5164" s="27" t="str">
        <f>IF(ISNUMBER(F5164),E5164*F5164,"")</f>
        <v/>
      </c>
      <c r="H5164" s="28"/>
      <c r="I5164" s="29"/>
      <c r="J5164" s="152">
        <v>0</v>
      </c>
    </row>
    <row r="5165" spans="1:10" ht="15.75" hidden="1" thickBot="1" x14ac:dyDescent="0.3">
      <c r="A5165" s="171"/>
      <c r="B5165" s="174"/>
      <c r="C5165" s="31"/>
      <c r="D5165" s="31"/>
      <c r="E5165" s="32"/>
      <c r="F5165" s="53" t="s">
        <v>416</v>
      </c>
      <c r="G5165" s="53" t="str">
        <f>IF(ISNUMBER(F5165),E5165*F5165,"")</f>
        <v/>
      </c>
      <c r="H5165" s="72"/>
      <c r="I5165" s="73"/>
      <c r="J5165" s="152">
        <v>0</v>
      </c>
    </row>
    <row r="5166" spans="1:10" ht="15.75" hidden="1" thickBot="1" x14ac:dyDescent="0.3">
      <c r="A5166" s="171"/>
      <c r="B5166" s="174"/>
      <c r="C5166" s="35" t="s">
        <v>1037</v>
      </c>
      <c r="D5166" s="35" t="s">
        <v>773</v>
      </c>
      <c r="E5166" s="36">
        <f>ROUND(0.089*1.3,4)</f>
        <v>0.1157</v>
      </c>
      <c r="F5166" s="30">
        <v>36.489499999999992</v>
      </c>
      <c r="G5166" s="53">
        <f>IF(ISNUMBER(F5166),E5166*F5166,"")</f>
        <v>4.2218351499999986</v>
      </c>
      <c r="H5166" s="38">
        <f>SUM(G5166:G5170)</f>
        <v>95.78424115</v>
      </c>
      <c r="I5166" s="39"/>
      <c r="J5166" s="152">
        <v>0</v>
      </c>
    </row>
    <row r="5167" spans="1:10" ht="15.75" hidden="1" thickBot="1" x14ac:dyDescent="0.3">
      <c r="A5167" s="171"/>
      <c r="B5167" s="174"/>
      <c r="C5167" s="35" t="s">
        <v>3210</v>
      </c>
      <c r="D5167" s="35" t="s">
        <v>213</v>
      </c>
      <c r="E5167" s="36">
        <v>1</v>
      </c>
      <c r="F5167" s="30" t="s">
        <v>416</v>
      </c>
      <c r="G5167" s="53" t="str">
        <f>IF(ISNUMBER(F5167),E5167*F5167,"")</f>
        <v/>
      </c>
      <c r="H5167" s="72"/>
      <c r="I5167" s="73"/>
      <c r="J5167" s="152">
        <v>0</v>
      </c>
    </row>
    <row r="5168" spans="1:10" ht="26.25" hidden="1" thickBot="1" x14ac:dyDescent="0.3">
      <c r="A5168" s="171"/>
      <c r="B5168" s="174"/>
      <c r="C5168" s="35" t="s">
        <v>824</v>
      </c>
      <c r="D5168" s="35" t="s">
        <v>583</v>
      </c>
      <c r="E5168" s="36">
        <f>ROUND(0.93*1.3,4)</f>
        <v>1.2090000000000001</v>
      </c>
      <c r="F5168" s="30">
        <v>21.166</v>
      </c>
      <c r="G5168" s="53">
        <f>IF(ISNUMBER(F5168),E5168*F5168,"")</f>
        <v>25.589694000000001</v>
      </c>
      <c r="H5168" s="72"/>
      <c r="I5168" s="73"/>
      <c r="J5168" s="152">
        <v>0</v>
      </c>
    </row>
    <row r="5169" spans="1:10" ht="26.25" hidden="1" thickBot="1" x14ac:dyDescent="0.3">
      <c r="A5169" s="171"/>
      <c r="B5169" s="174"/>
      <c r="C5169" s="35" t="s">
        <v>825</v>
      </c>
      <c r="D5169" s="35" t="s">
        <v>583</v>
      </c>
      <c r="E5169" s="36">
        <f>ROUND(0.93*1.3,4)</f>
        <v>1.2090000000000001</v>
      </c>
      <c r="F5169" s="30">
        <v>26.799499999999998</v>
      </c>
      <c r="G5169" s="53">
        <f>IF(ISNUMBER(F5169),E5169*F5169,"")</f>
        <v>32.400595500000001</v>
      </c>
      <c r="H5169" s="72"/>
      <c r="I5169" s="73"/>
      <c r="J5169" s="152">
        <v>0</v>
      </c>
    </row>
    <row r="5170" spans="1:10" ht="15.75" hidden="1" thickBot="1" x14ac:dyDescent="0.3">
      <c r="A5170" s="171"/>
      <c r="B5170" s="174"/>
      <c r="C5170" s="35" t="s">
        <v>2908</v>
      </c>
      <c r="D5170" s="35" t="s">
        <v>583</v>
      </c>
      <c r="E5170" s="36">
        <f>ROUND(0.93*1.3,4)</f>
        <v>1.2090000000000001</v>
      </c>
      <c r="F5170" s="53">
        <v>27.7685</v>
      </c>
      <c r="G5170" s="53">
        <f>IF(ISNUMBER(F5170),E5170*F5170,"")</f>
        <v>33.5721165</v>
      </c>
      <c r="H5170" s="72"/>
      <c r="I5170" s="73"/>
      <c r="J5170" s="152">
        <v>0</v>
      </c>
    </row>
    <row r="5171" spans="1:10" ht="15.75" hidden="1" thickBot="1" x14ac:dyDescent="0.3">
      <c r="A5171" s="171"/>
      <c r="B5171" s="174"/>
      <c r="C5171" s="35"/>
      <c r="D5171" s="46"/>
      <c r="E5171" s="36"/>
      <c r="F5171" s="53" t="s">
        <v>416</v>
      </c>
      <c r="G5171" s="53" t="str">
        <f>IF(ISNUMBER(F5171),E5171*F5171,"")</f>
        <v/>
      </c>
      <c r="H5171" s="72"/>
      <c r="I5171" s="73"/>
      <c r="J5171" s="152">
        <v>0</v>
      </c>
    </row>
    <row r="5172" spans="1:10" ht="15.75" hidden="1" thickBot="1" x14ac:dyDescent="0.3">
      <c r="A5172" s="170" t="s">
        <v>3160</v>
      </c>
      <c r="B5172" s="173" t="str">
        <f>INDEX(Orçamentária!A:B,MATCH(Composições!A5172,Orçamentária!A:A,0),2)</f>
        <v>Isolamento elastomérico para tubulações de ferro de 5”</v>
      </c>
      <c r="C5172" s="40"/>
      <c r="D5172" s="25" t="s">
        <v>69</v>
      </c>
      <c r="E5172" s="26"/>
      <c r="F5172" s="48" t="s">
        <v>416</v>
      </c>
      <c r="G5172" s="27" t="str">
        <f>IF(ISNUMBER(F5172),E5172*F5172,"")</f>
        <v/>
      </c>
      <c r="H5172" s="28"/>
      <c r="I5172" s="29"/>
      <c r="J5172" s="152">
        <v>0</v>
      </c>
    </row>
    <row r="5173" spans="1:10" ht="15.75" hidden="1" thickBot="1" x14ac:dyDescent="0.3">
      <c r="A5173" s="171"/>
      <c r="B5173" s="174"/>
      <c r="C5173" s="31"/>
      <c r="D5173" s="31"/>
      <c r="E5173" s="32"/>
      <c r="F5173" s="53" t="s">
        <v>416</v>
      </c>
      <c r="G5173" s="53" t="str">
        <f>IF(ISNUMBER(F5173),E5173*F5173,"")</f>
        <v/>
      </c>
      <c r="H5173" s="72"/>
      <c r="I5173" s="73"/>
      <c r="J5173" s="152">
        <v>0</v>
      </c>
    </row>
    <row r="5174" spans="1:10" ht="39" hidden="1" thickBot="1" x14ac:dyDescent="0.3">
      <c r="A5174" s="171"/>
      <c r="B5174" s="174"/>
      <c r="C5174" s="35" t="s">
        <v>3211</v>
      </c>
      <c r="D5174" s="35" t="s">
        <v>69</v>
      </c>
      <c r="E5174" s="36">
        <v>1.0210999999999999</v>
      </c>
      <c r="F5174" s="30" t="s">
        <v>416</v>
      </c>
      <c r="G5174" s="53" t="str">
        <f>IF(ISNUMBER(F5174),E5174*F5174,"")</f>
        <v/>
      </c>
      <c r="H5174" s="38">
        <f>SUM(G5174:G5176)</f>
        <v>4.6046879999999994</v>
      </c>
      <c r="I5174" s="39"/>
      <c r="J5174" s="152">
        <v>0</v>
      </c>
    </row>
    <row r="5175" spans="1:10" ht="26.25" hidden="1" thickBot="1" x14ac:dyDescent="0.3">
      <c r="A5175" s="171"/>
      <c r="B5175" s="174"/>
      <c r="C5175" s="35" t="s">
        <v>824</v>
      </c>
      <c r="D5175" s="35" t="s">
        <v>583</v>
      </c>
      <c r="E5175" s="36">
        <f>5*0.064*0.3</f>
        <v>9.6000000000000002E-2</v>
      </c>
      <c r="F5175" s="30">
        <v>21.166</v>
      </c>
      <c r="G5175" s="53">
        <f>IF(ISNUMBER(F5175),E5175*F5175,"")</f>
        <v>2.031936</v>
      </c>
      <c r="H5175" s="72"/>
      <c r="I5175" s="73"/>
      <c r="J5175" s="152">
        <v>0</v>
      </c>
    </row>
    <row r="5176" spans="1:10" ht="26.25" hidden="1" thickBot="1" x14ac:dyDescent="0.3">
      <c r="A5176" s="171"/>
      <c r="B5176" s="174"/>
      <c r="C5176" s="35" t="s">
        <v>825</v>
      </c>
      <c r="D5176" s="35" t="s">
        <v>583</v>
      </c>
      <c r="E5176" s="36">
        <f>5*0.064*0.3</f>
        <v>9.6000000000000002E-2</v>
      </c>
      <c r="F5176" s="30">
        <v>26.799499999999998</v>
      </c>
      <c r="G5176" s="53">
        <f>IF(ISNUMBER(F5176),E5176*F5176,"")</f>
        <v>2.5727519999999999</v>
      </c>
      <c r="H5176" s="72"/>
      <c r="I5176" s="73"/>
      <c r="J5176" s="152">
        <v>0</v>
      </c>
    </row>
    <row r="5177" spans="1:10" ht="15.75" hidden="1" thickBot="1" x14ac:dyDescent="0.3">
      <c r="A5177" s="171"/>
      <c r="B5177" s="174"/>
      <c r="C5177" s="35"/>
      <c r="D5177" s="46"/>
      <c r="E5177" s="36"/>
      <c r="F5177" s="53" t="s">
        <v>416</v>
      </c>
      <c r="G5177" s="53" t="str">
        <f>IF(ISNUMBER(F5177),E5177*F5177,"")</f>
        <v/>
      </c>
      <c r="H5177" s="72"/>
      <c r="I5177" s="73"/>
      <c r="J5177" s="152">
        <v>0</v>
      </c>
    </row>
    <row r="5178" spans="1:10" ht="15.75" hidden="1" thickBot="1" x14ac:dyDescent="0.3">
      <c r="A5178" s="170" t="s">
        <v>3162</v>
      </c>
      <c r="B5178" s="173" t="str">
        <f>INDEX(Orçamentária!A:B,MATCH(Composições!A5178,Orçamentária!A:A,0),2)</f>
        <v>Meia luva em aço carbono DN 15 (1/2" NPS)</v>
      </c>
      <c r="C5178" s="40"/>
      <c r="D5178" s="25" t="s">
        <v>16</v>
      </c>
      <c r="E5178" s="26"/>
      <c r="F5178" s="48" t="s">
        <v>416</v>
      </c>
      <c r="G5178" s="27" t="str">
        <f>IF(ISNUMBER(F5178),E5178*F5178,"")</f>
        <v/>
      </c>
      <c r="H5178" s="28"/>
      <c r="I5178" s="29"/>
      <c r="J5178" s="152">
        <v>0</v>
      </c>
    </row>
    <row r="5179" spans="1:10" ht="15.75" hidden="1" thickBot="1" x14ac:dyDescent="0.3">
      <c r="A5179" s="171"/>
      <c r="B5179" s="174"/>
      <c r="C5179" s="31"/>
      <c r="D5179" s="31"/>
      <c r="E5179" s="32"/>
      <c r="F5179" s="53" t="s">
        <v>416</v>
      </c>
      <c r="G5179" s="53" t="str">
        <f>IF(ISNUMBER(F5179),E5179*F5179,"")</f>
        <v/>
      </c>
      <c r="H5179" s="72"/>
      <c r="I5179" s="73"/>
      <c r="J5179" s="152">
        <v>0</v>
      </c>
    </row>
    <row r="5180" spans="1:10" ht="15.75" hidden="1" thickBot="1" x14ac:dyDescent="0.3">
      <c r="A5180" s="171"/>
      <c r="B5180" s="174"/>
      <c r="C5180" s="35" t="s">
        <v>1037</v>
      </c>
      <c r="D5180" s="35" t="s">
        <v>773</v>
      </c>
      <c r="E5180" s="36">
        <v>8.9999999999999993E-3</v>
      </c>
      <c r="F5180" s="30">
        <v>36.489499999999992</v>
      </c>
      <c r="G5180" s="53">
        <f>IF(ISNUMBER(F5180),E5180*F5180,"")</f>
        <v>0.32840549999999991</v>
      </c>
      <c r="H5180" s="38">
        <f>SUM(G5180:G5184)</f>
        <v>8.9620815</v>
      </c>
      <c r="I5180" s="39"/>
      <c r="J5180" s="152">
        <v>0</v>
      </c>
    </row>
    <row r="5181" spans="1:10" ht="26.25" hidden="1" thickBot="1" x14ac:dyDescent="0.3">
      <c r="A5181" s="171"/>
      <c r="B5181" s="174"/>
      <c r="C5181" s="35" t="s">
        <v>3212</v>
      </c>
      <c r="D5181" s="35" t="s">
        <v>213</v>
      </c>
      <c r="E5181" s="36">
        <v>1</v>
      </c>
      <c r="F5181" s="30" t="s">
        <v>416</v>
      </c>
      <c r="G5181" s="53" t="str">
        <f>IF(ISNUMBER(F5181),E5181*F5181,"")</f>
        <v/>
      </c>
      <c r="H5181" s="72"/>
      <c r="I5181" s="73"/>
      <c r="J5181" s="152">
        <v>0</v>
      </c>
    </row>
    <row r="5182" spans="1:10" ht="26.25" hidden="1" thickBot="1" x14ac:dyDescent="0.3">
      <c r="A5182" s="171"/>
      <c r="B5182" s="174"/>
      <c r="C5182" s="35" t="s">
        <v>824</v>
      </c>
      <c r="D5182" s="35" t="s">
        <v>583</v>
      </c>
      <c r="E5182" s="36">
        <v>0.114</v>
      </c>
      <c r="F5182" s="30">
        <v>21.166</v>
      </c>
      <c r="G5182" s="53">
        <f>IF(ISNUMBER(F5182),E5182*F5182,"")</f>
        <v>2.4129240000000003</v>
      </c>
      <c r="H5182" s="72"/>
      <c r="I5182" s="73"/>
      <c r="J5182" s="152">
        <v>0</v>
      </c>
    </row>
    <row r="5183" spans="1:10" ht="26.25" hidden="1" thickBot="1" x14ac:dyDescent="0.3">
      <c r="A5183" s="171"/>
      <c r="B5183" s="174"/>
      <c r="C5183" s="35" t="s">
        <v>825</v>
      </c>
      <c r="D5183" s="35" t="s">
        <v>583</v>
      </c>
      <c r="E5183" s="36">
        <v>0.114</v>
      </c>
      <c r="F5183" s="30">
        <v>26.799499999999998</v>
      </c>
      <c r="G5183" s="53">
        <f>IF(ISNUMBER(F5183),E5183*F5183,"")</f>
        <v>3.0551429999999997</v>
      </c>
      <c r="H5183" s="72"/>
      <c r="I5183" s="73"/>
      <c r="J5183" s="152">
        <v>0</v>
      </c>
    </row>
    <row r="5184" spans="1:10" ht="15.75" hidden="1" thickBot="1" x14ac:dyDescent="0.3">
      <c r="A5184" s="171"/>
      <c r="B5184" s="174"/>
      <c r="C5184" s="35" t="s">
        <v>2908</v>
      </c>
      <c r="D5184" s="35" t="s">
        <v>583</v>
      </c>
      <c r="E5184" s="36">
        <v>0.114</v>
      </c>
      <c r="F5184" s="53">
        <v>27.7685</v>
      </c>
      <c r="G5184" s="53">
        <f>IF(ISNUMBER(F5184),E5184*F5184,"")</f>
        <v>3.1656089999999999</v>
      </c>
      <c r="H5184" s="72"/>
      <c r="I5184" s="73"/>
      <c r="J5184" s="152">
        <v>0</v>
      </c>
    </row>
    <row r="5185" spans="1:10" ht="15.75" hidden="1" thickBot="1" x14ac:dyDescent="0.3">
      <c r="A5185" s="171"/>
      <c r="B5185" s="174"/>
      <c r="C5185" s="35"/>
      <c r="D5185" s="46"/>
      <c r="E5185" s="36"/>
      <c r="F5185" s="53" t="s">
        <v>416</v>
      </c>
      <c r="G5185" s="53" t="str">
        <f>IF(ISNUMBER(F5185),E5185*F5185,"")</f>
        <v/>
      </c>
      <c r="H5185" s="72"/>
      <c r="I5185" s="73"/>
      <c r="J5185" s="152">
        <v>0</v>
      </c>
    </row>
    <row r="5186" spans="1:10" ht="15.75" hidden="1" thickBot="1" x14ac:dyDescent="0.3">
      <c r="A5186" s="170" t="s">
        <v>3164</v>
      </c>
      <c r="B5186" s="173" t="str">
        <f>INDEX(Orçamentária!A:B,MATCH(Composições!A5186,Orçamentária!A:A,0),2)</f>
        <v>Redução concêntrica em aço carbono para solda de topo DN 200 (8" NPS) × DN 125 (5" NPS)</v>
      </c>
      <c r="C5186" s="40"/>
      <c r="D5186" s="25" t="s">
        <v>16</v>
      </c>
      <c r="E5186" s="26"/>
      <c r="F5186" s="48" t="s">
        <v>416</v>
      </c>
      <c r="G5186" s="27" t="str">
        <f>IF(ISNUMBER(F5186),E5186*F5186,"")</f>
        <v/>
      </c>
      <c r="H5186" s="28"/>
      <c r="I5186" s="29"/>
      <c r="J5186" s="152">
        <v>0</v>
      </c>
    </row>
    <row r="5187" spans="1:10" ht="15.75" hidden="1" thickBot="1" x14ac:dyDescent="0.3">
      <c r="A5187" s="171"/>
      <c r="B5187" s="174"/>
      <c r="C5187" s="31"/>
      <c r="D5187" s="31"/>
      <c r="E5187" s="32"/>
      <c r="F5187" s="53" t="s">
        <v>416</v>
      </c>
      <c r="G5187" s="53" t="str">
        <f>IF(ISNUMBER(F5187),E5187*F5187,"")</f>
        <v/>
      </c>
      <c r="H5187" s="72"/>
      <c r="I5187" s="73"/>
      <c r="J5187" s="152">
        <v>0</v>
      </c>
    </row>
    <row r="5188" spans="1:10" ht="15.75" hidden="1" thickBot="1" x14ac:dyDescent="0.3">
      <c r="A5188" s="171"/>
      <c r="B5188" s="174"/>
      <c r="C5188" s="35" t="s">
        <v>1037</v>
      </c>
      <c r="D5188" s="35" t="s">
        <v>773</v>
      </c>
      <c r="E5188" s="36">
        <f>ROUND(0.089*1.3,4)</f>
        <v>0.1157</v>
      </c>
      <c r="F5188" s="30">
        <v>36.489499999999992</v>
      </c>
      <c r="G5188" s="53">
        <f>IF(ISNUMBER(F5188),E5188*F5188,"")</f>
        <v>4.2218351499999986</v>
      </c>
      <c r="H5188" s="38">
        <f>SUM(G5188:G5192)</f>
        <v>65.263439150000011</v>
      </c>
      <c r="I5188" s="39"/>
      <c r="J5188" s="152">
        <v>0</v>
      </c>
    </row>
    <row r="5189" spans="1:10" ht="26.25" hidden="1" thickBot="1" x14ac:dyDescent="0.3">
      <c r="A5189" s="171"/>
      <c r="B5189" s="174"/>
      <c r="C5189" s="35" t="s">
        <v>3213</v>
      </c>
      <c r="D5189" s="35" t="s">
        <v>213</v>
      </c>
      <c r="E5189" s="36">
        <v>1</v>
      </c>
      <c r="F5189" s="30" t="s">
        <v>416</v>
      </c>
      <c r="G5189" s="53" t="str">
        <f>IF(ISNUMBER(F5189),E5189*F5189,"")</f>
        <v/>
      </c>
      <c r="H5189" s="72"/>
      <c r="I5189" s="73"/>
      <c r="J5189" s="152">
        <v>0</v>
      </c>
    </row>
    <row r="5190" spans="1:10" ht="26.25" hidden="1" thickBot="1" x14ac:dyDescent="0.3">
      <c r="A5190" s="171"/>
      <c r="B5190" s="174"/>
      <c r="C5190" s="35" t="s">
        <v>824</v>
      </c>
      <c r="D5190" s="35" t="s">
        <v>583</v>
      </c>
      <c r="E5190" s="36">
        <f>ROUND(0.62*1.3,4)</f>
        <v>0.80600000000000005</v>
      </c>
      <c r="F5190" s="30">
        <v>21.166</v>
      </c>
      <c r="G5190" s="53">
        <f>IF(ISNUMBER(F5190),E5190*F5190,"")</f>
        <v>17.059796000000002</v>
      </c>
      <c r="H5190" s="72"/>
      <c r="I5190" s="73"/>
      <c r="J5190" s="152">
        <v>0</v>
      </c>
    </row>
    <row r="5191" spans="1:10" ht="26.25" hidden="1" thickBot="1" x14ac:dyDescent="0.3">
      <c r="A5191" s="171"/>
      <c r="B5191" s="174"/>
      <c r="C5191" s="35" t="s">
        <v>825</v>
      </c>
      <c r="D5191" s="35" t="s">
        <v>583</v>
      </c>
      <c r="E5191" s="36">
        <f>ROUND(0.62*1.3,4)</f>
        <v>0.80600000000000005</v>
      </c>
      <c r="F5191" s="30">
        <v>26.799499999999998</v>
      </c>
      <c r="G5191" s="53">
        <f>IF(ISNUMBER(F5191),E5191*F5191,"")</f>
        <v>21.600397000000001</v>
      </c>
      <c r="H5191" s="72"/>
      <c r="I5191" s="73"/>
      <c r="J5191" s="152">
        <v>0</v>
      </c>
    </row>
    <row r="5192" spans="1:10" ht="15.75" hidden="1" thickBot="1" x14ac:dyDescent="0.3">
      <c r="A5192" s="171"/>
      <c r="B5192" s="174"/>
      <c r="C5192" s="35" t="s">
        <v>2908</v>
      </c>
      <c r="D5192" s="35" t="s">
        <v>583</v>
      </c>
      <c r="E5192" s="36">
        <f>ROUND(0.62*1.3,4)</f>
        <v>0.80600000000000005</v>
      </c>
      <c r="F5192" s="53">
        <v>27.7685</v>
      </c>
      <c r="G5192" s="53">
        <f>IF(ISNUMBER(F5192),E5192*F5192,"")</f>
        <v>22.381411</v>
      </c>
      <c r="H5192" s="72"/>
      <c r="I5192" s="73"/>
      <c r="J5192" s="152">
        <v>0</v>
      </c>
    </row>
    <row r="5193" spans="1:10" ht="15.75" hidden="1" thickBot="1" x14ac:dyDescent="0.3">
      <c r="A5193" s="171"/>
      <c r="B5193" s="174"/>
      <c r="C5193" s="35"/>
      <c r="D5193" s="46"/>
      <c r="E5193" s="36"/>
      <c r="F5193" s="53" t="s">
        <v>416</v>
      </c>
      <c r="G5193" s="53" t="str">
        <f>IF(ISNUMBER(F5193),E5193*F5193,"")</f>
        <v/>
      </c>
      <c r="H5193" s="72"/>
      <c r="I5193" s="73"/>
      <c r="J5193" s="152">
        <v>0</v>
      </c>
    </row>
    <row r="5194" spans="1:10" ht="15.75" hidden="1" thickBot="1" x14ac:dyDescent="0.3">
      <c r="A5194" s="170" t="s">
        <v>3176</v>
      </c>
      <c r="B5194" s="173" t="str">
        <f>INDEX(Orçamentária!A:B,MATCH(Composições!A5194,Orçamentária!A:A,0),2)</f>
        <v>Tê em aço carbono para solda de topo DN 200 (8" NPS)</v>
      </c>
      <c r="C5194" s="40"/>
      <c r="D5194" s="25" t="s">
        <v>16</v>
      </c>
      <c r="E5194" s="26"/>
      <c r="F5194" s="48" t="s">
        <v>416</v>
      </c>
      <c r="G5194" s="27" t="str">
        <f>IF(ISNUMBER(F5194),E5194*F5194,"")</f>
        <v/>
      </c>
      <c r="H5194" s="28"/>
      <c r="I5194" s="29"/>
      <c r="J5194" s="152">
        <v>0</v>
      </c>
    </row>
    <row r="5195" spans="1:10" ht="15.75" hidden="1" thickBot="1" x14ac:dyDescent="0.3">
      <c r="A5195" s="171"/>
      <c r="B5195" s="174"/>
      <c r="C5195" s="31"/>
      <c r="D5195" s="31"/>
      <c r="E5195" s="32"/>
      <c r="F5195" s="53" t="s">
        <v>416</v>
      </c>
      <c r="G5195" s="53" t="str">
        <f>IF(ISNUMBER(F5195),E5195*F5195,"")</f>
        <v/>
      </c>
      <c r="H5195" s="72"/>
      <c r="I5195" s="73"/>
      <c r="J5195" s="152">
        <v>0</v>
      </c>
    </row>
    <row r="5196" spans="1:10" ht="15.75" hidden="1" thickBot="1" x14ac:dyDescent="0.3">
      <c r="A5196" s="171"/>
      <c r="B5196" s="174"/>
      <c r="C5196" s="35" t="s">
        <v>1037</v>
      </c>
      <c r="D5196" s="35" t="s">
        <v>773</v>
      </c>
      <c r="E5196" s="36">
        <f>ROUND(0.133*1.3,4)</f>
        <v>0.1729</v>
      </c>
      <c r="F5196" s="30">
        <v>36.489499999999992</v>
      </c>
      <c r="G5196" s="53">
        <f>IF(ISNUMBER(F5196),E5196*F5196,"")</f>
        <v>6.3090345499999989</v>
      </c>
      <c r="H5196" s="38">
        <f>SUM(G5196:G5200)</f>
        <v>101.02197495</v>
      </c>
      <c r="I5196" s="39"/>
      <c r="J5196" s="152">
        <v>0</v>
      </c>
    </row>
    <row r="5197" spans="1:10" ht="15.75" hidden="1" thickBot="1" x14ac:dyDescent="0.3">
      <c r="A5197" s="171"/>
      <c r="B5197" s="174"/>
      <c r="C5197" s="35" t="s">
        <v>3214</v>
      </c>
      <c r="D5197" s="35" t="s">
        <v>213</v>
      </c>
      <c r="E5197" s="36">
        <v>1</v>
      </c>
      <c r="F5197" s="30" t="s">
        <v>416</v>
      </c>
      <c r="G5197" s="53" t="str">
        <f>IF(ISNUMBER(F5197),E5197*F5197,"")</f>
        <v/>
      </c>
      <c r="H5197" s="72"/>
      <c r="I5197" s="73"/>
      <c r="J5197" s="152">
        <v>0</v>
      </c>
    </row>
    <row r="5198" spans="1:10" ht="26.25" hidden="1" thickBot="1" x14ac:dyDescent="0.3">
      <c r="A5198" s="171"/>
      <c r="B5198" s="174"/>
      <c r="C5198" s="35" t="s">
        <v>824</v>
      </c>
      <c r="D5198" s="35" t="s">
        <v>583</v>
      </c>
      <c r="E5198" s="36">
        <f>ROUND(0.962*1.3,4)</f>
        <v>1.2505999999999999</v>
      </c>
      <c r="F5198" s="30">
        <v>21.166</v>
      </c>
      <c r="G5198" s="53">
        <f>IF(ISNUMBER(F5198),E5198*F5198,"")</f>
        <v>26.470199600000001</v>
      </c>
      <c r="H5198" s="72"/>
      <c r="I5198" s="73"/>
      <c r="J5198" s="152">
        <v>0</v>
      </c>
    </row>
    <row r="5199" spans="1:10" ht="26.25" hidden="1" thickBot="1" x14ac:dyDescent="0.3">
      <c r="A5199" s="171"/>
      <c r="B5199" s="174"/>
      <c r="C5199" s="35" t="s">
        <v>825</v>
      </c>
      <c r="D5199" s="35" t="s">
        <v>583</v>
      </c>
      <c r="E5199" s="36">
        <f>ROUND(0.962*1.3,4)</f>
        <v>1.2505999999999999</v>
      </c>
      <c r="F5199" s="30">
        <v>26.799499999999998</v>
      </c>
      <c r="G5199" s="53">
        <f>IF(ISNUMBER(F5199),E5199*F5199,"")</f>
        <v>33.515454699999999</v>
      </c>
      <c r="H5199" s="72"/>
      <c r="I5199" s="73"/>
      <c r="J5199" s="152">
        <v>0</v>
      </c>
    </row>
    <row r="5200" spans="1:10" ht="15.75" hidden="1" thickBot="1" x14ac:dyDescent="0.3">
      <c r="A5200" s="171"/>
      <c r="B5200" s="174"/>
      <c r="C5200" s="35" t="s">
        <v>2908</v>
      </c>
      <c r="D5200" s="35" t="s">
        <v>583</v>
      </c>
      <c r="E5200" s="36">
        <f>ROUND(0.962*1.3,4)</f>
        <v>1.2505999999999999</v>
      </c>
      <c r="F5200" s="53">
        <v>27.7685</v>
      </c>
      <c r="G5200" s="53">
        <f>IF(ISNUMBER(F5200),E5200*F5200,"")</f>
        <v>34.727286100000001</v>
      </c>
      <c r="H5200" s="72"/>
      <c r="I5200" s="73"/>
      <c r="J5200" s="152">
        <v>0</v>
      </c>
    </row>
    <row r="5201" spans="1:10" ht="15.75" hidden="1" thickBot="1" x14ac:dyDescent="0.3">
      <c r="A5201" s="171"/>
      <c r="B5201" s="174"/>
      <c r="C5201" s="35"/>
      <c r="D5201" s="46"/>
      <c r="E5201" s="36"/>
      <c r="F5201" s="53" t="s">
        <v>416</v>
      </c>
      <c r="G5201" s="53" t="str">
        <f>IF(ISNUMBER(F5201),E5201*F5201,"")</f>
        <v/>
      </c>
      <c r="H5201" s="72"/>
      <c r="I5201" s="73"/>
      <c r="J5201" s="152">
        <v>0</v>
      </c>
    </row>
    <row r="5202" spans="1:10" ht="15.75" hidden="1" thickBot="1" x14ac:dyDescent="0.3">
      <c r="A5202" s="170" t="s">
        <v>3178</v>
      </c>
      <c r="B5202" s="173" t="str">
        <f>INDEX(Orçamentária!A:B,MATCH(Composições!A5202,Orçamentária!A:A,0),2)</f>
        <v>Tubo de aço-carbono preto DN 125 (5" NPS)</v>
      </c>
      <c r="C5202" s="40"/>
      <c r="D5202" s="25" t="s">
        <v>69</v>
      </c>
      <c r="E5202" s="26"/>
      <c r="F5202" s="48" t="s">
        <v>416</v>
      </c>
      <c r="G5202" s="27" t="str">
        <f>IF(ISNUMBER(F5202),E5202*F5202,"")</f>
        <v/>
      </c>
      <c r="H5202" s="28"/>
      <c r="I5202" s="29"/>
      <c r="J5202" s="152">
        <v>0</v>
      </c>
    </row>
    <row r="5203" spans="1:10" ht="15.75" hidden="1" thickBot="1" x14ac:dyDescent="0.3">
      <c r="A5203" s="171"/>
      <c r="B5203" s="174"/>
      <c r="C5203" s="31"/>
      <c r="D5203" s="31"/>
      <c r="E5203" s="32"/>
      <c r="F5203" s="53" t="s">
        <v>416</v>
      </c>
      <c r="G5203" s="53" t="str">
        <f>IF(ISNUMBER(F5203),E5203*F5203,"")</f>
        <v/>
      </c>
      <c r="H5203" s="72"/>
      <c r="I5203" s="73"/>
      <c r="J5203" s="152">
        <v>0</v>
      </c>
    </row>
    <row r="5204" spans="1:10" ht="39" hidden="1" thickBot="1" x14ac:dyDescent="0.3">
      <c r="A5204" s="171"/>
      <c r="B5204" s="174"/>
      <c r="C5204" s="35" t="s">
        <v>2862</v>
      </c>
      <c r="D5204" s="35" t="s">
        <v>813</v>
      </c>
      <c r="E5204" s="36">
        <v>2.1100000000000001E-2</v>
      </c>
      <c r="F5204" s="30">
        <v>193.6575</v>
      </c>
      <c r="G5204" s="53">
        <f>IF(ISNUMBER(F5204),E5204*F5204,"")</f>
        <v>4.0861732499999999</v>
      </c>
      <c r="H5204" s="38">
        <f>SUM(G5204:G5213)</f>
        <v>307.44434534326399</v>
      </c>
      <c r="I5204" s="39"/>
      <c r="J5204" s="152">
        <v>0</v>
      </c>
    </row>
    <row r="5205" spans="1:10" ht="39" hidden="1" thickBot="1" x14ac:dyDescent="0.3">
      <c r="A5205" s="171"/>
      <c r="B5205" s="174"/>
      <c r="C5205" s="35" t="s">
        <v>2869</v>
      </c>
      <c r="D5205" s="35" t="s">
        <v>815</v>
      </c>
      <c r="E5205" s="36">
        <v>4.0300000000000002E-2</v>
      </c>
      <c r="F5205" s="30">
        <v>76.36099999999999</v>
      </c>
      <c r="G5205" s="53">
        <f>IF(ISNUMBER(F5205),E5205*F5205,"")</f>
        <v>3.0773482999999997</v>
      </c>
      <c r="H5205" s="72"/>
      <c r="I5205" s="73"/>
      <c r="J5205" s="152">
        <v>0</v>
      </c>
    </row>
    <row r="5206" spans="1:10" ht="15.75" hidden="1" thickBot="1" x14ac:dyDescent="0.3">
      <c r="A5206" s="171"/>
      <c r="B5206" s="174"/>
      <c r="C5206" s="35" t="s">
        <v>97</v>
      </c>
      <c r="D5206" s="35" t="s">
        <v>773</v>
      </c>
      <c r="E5206" s="36">
        <v>0.1125</v>
      </c>
      <c r="F5206" s="30">
        <v>38</v>
      </c>
      <c r="G5206" s="53">
        <f>IF(ISNUMBER(F5206),E5206*F5206,"")</f>
        <v>4.2750000000000004</v>
      </c>
      <c r="H5206" s="72"/>
      <c r="I5206" s="73"/>
      <c r="J5206" s="152">
        <v>0</v>
      </c>
    </row>
    <row r="5207" spans="1:10" ht="15.75" hidden="1" thickBot="1" x14ac:dyDescent="0.3">
      <c r="A5207" s="171"/>
      <c r="B5207" s="174"/>
      <c r="C5207" s="35" t="s">
        <v>2902</v>
      </c>
      <c r="D5207" s="35" t="s">
        <v>583</v>
      </c>
      <c r="E5207" s="36">
        <v>6.5600000000000006E-2</v>
      </c>
      <c r="F5207" s="30">
        <v>21.213499999999996</v>
      </c>
      <c r="G5207" s="53">
        <f>IF(ISNUMBER(F5207),E5207*F5207,"")</f>
        <v>1.3916055999999999</v>
      </c>
      <c r="H5207" s="72"/>
      <c r="I5207" s="73"/>
      <c r="J5207" s="152">
        <v>0</v>
      </c>
    </row>
    <row r="5208" spans="1:10" ht="15.75" hidden="1" thickBot="1" x14ac:dyDescent="0.3">
      <c r="A5208" s="171"/>
      <c r="B5208" s="174"/>
      <c r="C5208" s="35" t="s">
        <v>584</v>
      </c>
      <c r="D5208" s="35" t="s">
        <v>583</v>
      </c>
      <c r="E5208" s="36">
        <v>6.5600000000000006E-2</v>
      </c>
      <c r="F5208" s="53">
        <v>20.225499999999997</v>
      </c>
      <c r="G5208" s="53">
        <f>IF(ISNUMBER(F5208),E5208*F5208,"")</f>
        <v>1.3267928</v>
      </c>
      <c r="H5208" s="72"/>
      <c r="I5208" s="73"/>
      <c r="J5208" s="152">
        <v>0</v>
      </c>
    </row>
    <row r="5209" spans="1:10" ht="15.75" hidden="1" thickBot="1" x14ac:dyDescent="0.3">
      <c r="A5209" s="171"/>
      <c r="B5209" s="174"/>
      <c r="C5209" s="35" t="s">
        <v>2908</v>
      </c>
      <c r="D5209" s="35" t="s">
        <v>583</v>
      </c>
      <c r="E5209" s="36">
        <v>0.28749999999999998</v>
      </c>
      <c r="F5209" s="53">
        <v>27.7685</v>
      </c>
      <c r="G5209" s="53">
        <f>IF(ISNUMBER(F5209),E5209*F5209,"")</f>
        <v>7.9834437499999993</v>
      </c>
      <c r="H5209" s="72"/>
      <c r="I5209" s="73"/>
      <c r="J5209" s="152">
        <v>0</v>
      </c>
    </row>
    <row r="5210" spans="1:10" ht="26.25" hidden="1" thickBot="1" x14ac:dyDescent="0.3">
      <c r="A5210" s="171"/>
      <c r="B5210" s="174"/>
      <c r="C5210" s="35" t="s">
        <v>3065</v>
      </c>
      <c r="D5210" s="35" t="s">
        <v>385</v>
      </c>
      <c r="E5210" s="36">
        <v>1</v>
      </c>
      <c r="F5210" s="53">
        <v>260.59449999999998</v>
      </c>
      <c r="G5210" s="53">
        <f>IF(ISNUMBER(F5210),E5210*F5210,"")</f>
        <v>260.59449999999998</v>
      </c>
      <c r="H5210" s="72"/>
      <c r="I5210" s="73"/>
      <c r="J5210" s="152">
        <v>0</v>
      </c>
    </row>
    <row r="5211" spans="1:10" ht="39" hidden="1" thickBot="1" x14ac:dyDescent="0.3">
      <c r="A5211" s="171"/>
      <c r="B5211" s="174"/>
      <c r="C5211" s="35" t="s">
        <v>3073</v>
      </c>
      <c r="D5211" s="35" t="s">
        <v>1141</v>
      </c>
      <c r="E5211" s="36">
        <v>2.1760000000000002E-2</v>
      </c>
      <c r="F5211" s="53">
        <v>35.766722900000005</v>
      </c>
      <c r="G5211" s="53">
        <f>IF(ISNUMBER(F5211),E5211*F5211,"")</f>
        <v>0.77828389030400014</v>
      </c>
      <c r="H5211" s="72"/>
      <c r="I5211" s="73"/>
      <c r="J5211" s="152">
        <v>0</v>
      </c>
    </row>
    <row r="5212" spans="1:10" ht="39" hidden="1" thickBot="1" x14ac:dyDescent="0.3">
      <c r="A5212" s="171"/>
      <c r="B5212" s="174"/>
      <c r="C5212" s="35" t="s">
        <v>3069</v>
      </c>
      <c r="D5212" s="35" t="s">
        <v>1270</v>
      </c>
      <c r="E5212" s="36">
        <v>0.65280000000000005</v>
      </c>
      <c r="F5212" s="53">
        <v>2.5693519499999997</v>
      </c>
      <c r="G5212" s="53">
        <f>IF(ISNUMBER(F5212),E5212*F5212,"")</f>
        <v>1.6772729529599999</v>
      </c>
      <c r="H5212" s="72"/>
      <c r="I5212" s="73"/>
      <c r="J5212" s="152">
        <v>0</v>
      </c>
    </row>
    <row r="5213" spans="1:10" ht="51.75" hidden="1" thickBot="1" x14ac:dyDescent="0.3">
      <c r="A5213" s="171"/>
      <c r="B5213" s="174"/>
      <c r="C5213" s="35" t="s">
        <v>3070</v>
      </c>
      <c r="D5213" s="35" t="s">
        <v>1270</v>
      </c>
      <c r="E5213" s="36">
        <v>21.76</v>
      </c>
      <c r="F5213" s="53">
        <v>1.0226987500000002</v>
      </c>
      <c r="G5213" s="53">
        <f>IF(ISNUMBER(F5213),E5213*F5213,"")</f>
        <v>22.253924800000007</v>
      </c>
      <c r="H5213" s="72"/>
      <c r="I5213" s="73"/>
      <c r="J5213" s="152">
        <v>0</v>
      </c>
    </row>
    <row r="5214" spans="1:10" ht="15.75" hidden="1" thickBot="1" x14ac:dyDescent="0.3">
      <c r="A5214" s="171"/>
      <c r="B5214" s="174"/>
      <c r="C5214" s="35"/>
      <c r="D5214" s="35"/>
      <c r="E5214" s="36"/>
      <c r="F5214" s="53" t="s">
        <v>416</v>
      </c>
      <c r="G5214" s="53" t="str">
        <f>IF(ISNUMBER(F5214),E5214*F5214,"")</f>
        <v/>
      </c>
      <c r="H5214" s="72"/>
      <c r="I5214" s="73"/>
      <c r="J5214" s="152">
        <v>0</v>
      </c>
    </row>
    <row r="5215" spans="1:10" ht="15.75" hidden="1" thickBot="1" x14ac:dyDescent="0.3">
      <c r="A5215" s="171"/>
      <c r="B5215" s="174"/>
      <c r="C5215" s="47" t="s">
        <v>5863</v>
      </c>
      <c r="D5215" s="35"/>
      <c r="E5215" s="36"/>
      <c r="F5215" s="53" t="s">
        <v>416</v>
      </c>
      <c r="G5215" s="53" t="str">
        <f>IF(ISNUMBER(F5215),E5215*F5215,"")</f>
        <v/>
      </c>
      <c r="H5215" s="72"/>
      <c r="I5215" s="73"/>
      <c r="J5215" s="152">
        <v>0</v>
      </c>
    </row>
    <row r="5216" spans="1:10" ht="15.75" hidden="1" thickBot="1" x14ac:dyDescent="0.3">
      <c r="A5216" s="171"/>
      <c r="B5216" s="174"/>
      <c r="C5216" s="35"/>
      <c r="D5216" s="46"/>
      <c r="E5216" s="36"/>
      <c r="F5216" s="53" t="s">
        <v>416</v>
      </c>
      <c r="G5216" s="53" t="str">
        <f>IF(ISNUMBER(F5216),E5216*F5216,"")</f>
        <v/>
      </c>
      <c r="H5216" s="72"/>
      <c r="I5216" s="73"/>
      <c r="J5216" s="152">
        <v>0</v>
      </c>
    </row>
    <row r="5217" spans="1:10" ht="15.75" hidden="1" thickBot="1" x14ac:dyDescent="0.3">
      <c r="A5217" s="170" t="s">
        <v>3180</v>
      </c>
      <c r="B5217" s="173" t="str">
        <f>INDEX(Orçamentária!A:B,MATCH(Composições!A5217,Orçamentária!A:A,0),2)</f>
        <v>Tubo de aço-carbono preto DN 200 (8" NPS)</v>
      </c>
      <c r="C5217" s="40"/>
      <c r="D5217" s="25" t="s">
        <v>69</v>
      </c>
      <c r="E5217" s="26"/>
      <c r="F5217" s="48" t="s">
        <v>416</v>
      </c>
      <c r="G5217" s="27" t="str">
        <f>IF(ISNUMBER(F5217),E5217*F5217,"")</f>
        <v/>
      </c>
      <c r="H5217" s="28"/>
      <c r="I5217" s="29"/>
      <c r="J5217" s="152">
        <v>0</v>
      </c>
    </row>
    <row r="5218" spans="1:10" ht="15.75" hidden="1" thickBot="1" x14ac:dyDescent="0.3">
      <c r="A5218" s="171"/>
      <c r="B5218" s="174"/>
      <c r="C5218" s="31"/>
      <c r="D5218" s="31"/>
      <c r="E5218" s="32"/>
      <c r="F5218" s="53" t="s">
        <v>416</v>
      </c>
      <c r="G5218" s="53" t="str">
        <f>IF(ISNUMBER(F5218),E5218*F5218,"")</f>
        <v/>
      </c>
      <c r="H5218" s="72"/>
      <c r="I5218" s="73"/>
      <c r="J5218" s="152">
        <v>0</v>
      </c>
    </row>
    <row r="5219" spans="1:10" ht="39" hidden="1" thickBot="1" x14ac:dyDescent="0.3">
      <c r="A5219" s="171"/>
      <c r="B5219" s="174"/>
      <c r="C5219" s="35" t="s">
        <v>2862</v>
      </c>
      <c r="D5219" s="35" t="s">
        <v>813</v>
      </c>
      <c r="E5219" s="36">
        <v>2.1100000000000001E-2</v>
      </c>
      <c r="F5219" s="30">
        <v>193.6575</v>
      </c>
      <c r="G5219" s="53">
        <f>IF(ISNUMBER(F5219),E5219*F5219,"")</f>
        <v>4.0861732499999999</v>
      </c>
      <c r="H5219" s="38">
        <f>SUM(G5219:G5230)</f>
        <v>515.86146289004751</v>
      </c>
      <c r="I5219" s="39"/>
      <c r="J5219" s="152">
        <v>0</v>
      </c>
    </row>
    <row r="5220" spans="1:10" ht="39" hidden="1" thickBot="1" x14ac:dyDescent="0.3">
      <c r="A5220" s="171"/>
      <c r="B5220" s="174"/>
      <c r="C5220" s="35" t="s">
        <v>2869</v>
      </c>
      <c r="D5220" s="35" t="s">
        <v>815</v>
      </c>
      <c r="E5220" s="36">
        <v>4.0300000000000002E-2</v>
      </c>
      <c r="F5220" s="30">
        <v>76.36099999999999</v>
      </c>
      <c r="G5220" s="53">
        <f>IF(ISNUMBER(F5220),E5220*F5220,"")</f>
        <v>3.0773482999999997</v>
      </c>
      <c r="H5220" s="72"/>
      <c r="I5220" s="73"/>
      <c r="J5220" s="152">
        <v>0</v>
      </c>
    </row>
    <row r="5221" spans="1:10" ht="15.75" hidden="1" thickBot="1" x14ac:dyDescent="0.3">
      <c r="A5221" s="171"/>
      <c r="B5221" s="174"/>
      <c r="C5221" s="35" t="s">
        <v>97</v>
      </c>
      <c r="D5221" s="35" t="s">
        <v>773</v>
      </c>
      <c r="E5221" s="36">
        <v>0.15</v>
      </c>
      <c r="F5221" s="30">
        <v>38</v>
      </c>
      <c r="G5221" s="53">
        <f>IF(ISNUMBER(F5221),E5221*F5221,"")</f>
        <v>5.7</v>
      </c>
      <c r="H5221" s="72"/>
      <c r="I5221" s="73"/>
      <c r="J5221" s="152">
        <v>0</v>
      </c>
    </row>
    <row r="5222" spans="1:10" ht="15.75" hidden="1" thickBot="1" x14ac:dyDescent="0.3">
      <c r="A5222" s="171"/>
      <c r="B5222" s="174"/>
      <c r="C5222" s="35" t="s">
        <v>2902</v>
      </c>
      <c r="D5222" s="35" t="s">
        <v>583</v>
      </c>
      <c r="E5222" s="36">
        <v>6.5600000000000006E-2</v>
      </c>
      <c r="F5222" s="30">
        <v>21.213499999999996</v>
      </c>
      <c r="G5222" s="53">
        <f>IF(ISNUMBER(F5222),E5222*F5222,"")</f>
        <v>1.3916055999999999</v>
      </c>
      <c r="H5222" s="72"/>
      <c r="I5222" s="73"/>
      <c r="J5222" s="152">
        <v>0</v>
      </c>
    </row>
    <row r="5223" spans="1:10" ht="15.75" hidden="1" thickBot="1" x14ac:dyDescent="0.3">
      <c r="A5223" s="171"/>
      <c r="B5223" s="174"/>
      <c r="C5223" s="35" t="s">
        <v>584</v>
      </c>
      <c r="D5223" s="35" t="s">
        <v>583</v>
      </c>
      <c r="E5223" s="36">
        <v>6.5600000000000006E-2</v>
      </c>
      <c r="F5223" s="53">
        <v>20.225499999999997</v>
      </c>
      <c r="G5223" s="53">
        <f>IF(ISNUMBER(F5223),E5223*F5223,"")</f>
        <v>1.3267928</v>
      </c>
      <c r="H5223" s="72"/>
      <c r="I5223" s="73"/>
      <c r="J5223" s="152">
        <v>0</v>
      </c>
    </row>
    <row r="5224" spans="1:10" ht="15.75" hidden="1" thickBot="1" x14ac:dyDescent="0.3">
      <c r="A5224" s="171"/>
      <c r="B5224" s="174"/>
      <c r="C5224" s="35" t="s">
        <v>2908</v>
      </c>
      <c r="D5224" s="35" t="s">
        <v>583</v>
      </c>
      <c r="E5224" s="36">
        <v>0.38340000000000002</v>
      </c>
      <c r="F5224" s="53">
        <v>27.7685</v>
      </c>
      <c r="G5224" s="53">
        <f>IF(ISNUMBER(F5224),E5224*F5224,"")</f>
        <v>10.6464429</v>
      </c>
      <c r="H5224" s="72"/>
      <c r="I5224" s="73"/>
      <c r="J5224" s="152">
        <v>0</v>
      </c>
    </row>
    <row r="5225" spans="1:10" ht="26.25" hidden="1" thickBot="1" x14ac:dyDescent="0.3">
      <c r="A5225" s="171"/>
      <c r="B5225" s="174"/>
      <c r="C5225" s="35" t="s">
        <v>2947</v>
      </c>
      <c r="D5225" s="35" t="s">
        <v>385</v>
      </c>
      <c r="E5225" s="36">
        <v>1</v>
      </c>
      <c r="F5225" s="53">
        <v>441.68349999999998</v>
      </c>
      <c r="G5225" s="53">
        <f>IF(ISNUMBER(F5225),E5225*F5225,"")</f>
        <v>441.68349999999998</v>
      </c>
      <c r="H5225" s="72"/>
      <c r="I5225" s="73"/>
      <c r="J5225" s="152">
        <v>0</v>
      </c>
    </row>
    <row r="5226" spans="1:10" ht="39" hidden="1" thickBot="1" x14ac:dyDescent="0.3">
      <c r="A5226" s="171"/>
      <c r="B5226" s="174"/>
      <c r="C5226" s="35" t="s">
        <v>3074</v>
      </c>
      <c r="D5226" s="35" t="s">
        <v>1141</v>
      </c>
      <c r="E5226" s="36">
        <v>4.2549999999999998E-2</v>
      </c>
      <c r="F5226" s="53">
        <v>27.120809949999998</v>
      </c>
      <c r="G5226" s="53">
        <f>IF(ISNUMBER(F5226),E5226*F5226,"")</f>
        <v>1.1539904633724998</v>
      </c>
      <c r="H5226" s="72"/>
      <c r="I5226" s="73"/>
      <c r="J5226" s="152">
        <v>0</v>
      </c>
    </row>
    <row r="5227" spans="1:10" ht="39" hidden="1" thickBot="1" x14ac:dyDescent="0.3">
      <c r="A5227" s="171"/>
      <c r="B5227" s="174"/>
      <c r="C5227" s="35" t="s">
        <v>3069</v>
      </c>
      <c r="D5227" s="35" t="s">
        <v>1270</v>
      </c>
      <c r="E5227" s="36">
        <v>1.2765</v>
      </c>
      <c r="F5227" s="53">
        <v>2.5693519499999997</v>
      </c>
      <c r="G5227" s="53">
        <f>IF(ISNUMBER(F5227),E5227*F5227,"")</f>
        <v>3.2797777641749994</v>
      </c>
      <c r="H5227" s="72"/>
      <c r="I5227" s="73"/>
      <c r="J5227" s="152">
        <v>0</v>
      </c>
    </row>
    <row r="5228" spans="1:10" ht="51.75" hidden="1" thickBot="1" x14ac:dyDescent="0.3">
      <c r="A5228" s="171"/>
      <c r="B5228" s="174"/>
      <c r="C5228" s="35" t="s">
        <v>3070</v>
      </c>
      <c r="D5228" s="35" t="s">
        <v>1270</v>
      </c>
      <c r="E5228" s="36">
        <v>42.55</v>
      </c>
      <c r="F5228" s="53">
        <v>1.0226987500000002</v>
      </c>
      <c r="G5228" s="53">
        <f>IF(ISNUMBER(F5228),E5228*F5228,"")</f>
        <v>43.515831812500004</v>
      </c>
      <c r="H5228" s="72"/>
      <c r="I5228" s="73"/>
      <c r="J5228" s="152">
        <v>0</v>
      </c>
    </row>
    <row r="5229" spans="1:10" ht="15.75" hidden="1" thickBot="1" x14ac:dyDescent="0.3">
      <c r="A5229" s="171"/>
      <c r="B5229" s="174"/>
      <c r="C5229" s="35"/>
      <c r="D5229" s="35"/>
      <c r="E5229" s="36"/>
      <c r="F5229" s="53"/>
      <c r="G5229" s="53"/>
      <c r="H5229" s="72"/>
      <c r="I5229" s="73"/>
      <c r="J5229" s="152">
        <v>0</v>
      </c>
    </row>
    <row r="5230" spans="1:10" ht="15.75" hidden="1" thickBot="1" x14ac:dyDescent="0.3">
      <c r="A5230" s="171"/>
      <c r="B5230" s="174"/>
      <c r="C5230" s="47" t="s">
        <v>5863</v>
      </c>
      <c r="D5230" s="35"/>
      <c r="E5230" s="36"/>
      <c r="F5230" s="53" t="s">
        <v>416</v>
      </c>
      <c r="G5230" s="53" t="str">
        <f>IF(ISNUMBER(F5230),E5230*F5230,"")</f>
        <v/>
      </c>
      <c r="H5230" s="72"/>
      <c r="I5230" s="73"/>
      <c r="J5230" s="152">
        <v>0</v>
      </c>
    </row>
    <row r="5231" spans="1:10" ht="15.75" hidden="1" thickBot="1" x14ac:dyDescent="0.3">
      <c r="A5231" s="171"/>
      <c r="B5231" s="174"/>
      <c r="C5231" s="35"/>
      <c r="D5231" s="46"/>
      <c r="E5231" s="36"/>
      <c r="F5231" s="53" t="s">
        <v>416</v>
      </c>
      <c r="G5231" s="53" t="str">
        <f>IF(ISNUMBER(F5231),E5231*F5231,"")</f>
        <v/>
      </c>
      <c r="H5231" s="72"/>
      <c r="I5231" s="73"/>
      <c r="J5231" s="152">
        <v>0</v>
      </c>
    </row>
    <row r="5232" spans="1:10" ht="15.75" hidden="1" thickBot="1" x14ac:dyDescent="0.3">
      <c r="A5232" s="170" t="s">
        <v>3182</v>
      </c>
      <c r="B5232" s="173" t="str">
        <f>INDEX(Orçamentária!A:B,MATCH(Composições!A5232,Orçamentária!A:A,0),2)</f>
        <v>Válvula de esfera em bronze 1/2”</v>
      </c>
      <c r="C5232" s="40"/>
      <c r="D5232" s="25" t="s">
        <v>16</v>
      </c>
      <c r="E5232" s="26"/>
      <c r="F5232" s="48" t="s">
        <v>416</v>
      </c>
      <c r="G5232" s="27" t="str">
        <f>IF(ISNUMBER(F5232),E5232*F5232,"")</f>
        <v/>
      </c>
      <c r="H5232" s="28"/>
      <c r="I5232" s="29"/>
      <c r="J5232" s="152">
        <v>0</v>
      </c>
    </row>
    <row r="5233" spans="1:10" ht="15.75" hidden="1" thickBot="1" x14ac:dyDescent="0.3">
      <c r="A5233" s="171"/>
      <c r="B5233" s="174"/>
      <c r="C5233" s="31"/>
      <c r="D5233" s="31"/>
      <c r="E5233" s="32"/>
      <c r="F5233" s="53" t="s">
        <v>416</v>
      </c>
      <c r="G5233" s="53" t="str">
        <f>IF(ISNUMBER(F5233),E5233*F5233,"")</f>
        <v/>
      </c>
      <c r="H5233" s="72"/>
      <c r="I5233" s="73"/>
      <c r="J5233" s="152">
        <v>0</v>
      </c>
    </row>
    <row r="5234" spans="1:10" ht="15.75" hidden="1" thickBot="1" x14ac:dyDescent="0.3">
      <c r="A5234" s="171"/>
      <c r="B5234" s="174"/>
      <c r="C5234" s="35" t="s">
        <v>244</v>
      </c>
      <c r="D5234" s="35" t="s">
        <v>213</v>
      </c>
      <c r="E5234" s="36">
        <v>8.3999999999999995E-3</v>
      </c>
      <c r="F5234" s="30">
        <v>14.8865</v>
      </c>
      <c r="G5234" s="53">
        <f>IF(ISNUMBER(F5234),E5234*F5234,"")</f>
        <v>0.12504659999999998</v>
      </c>
      <c r="H5234" s="38">
        <f>SUM(G5234:G5237)</f>
        <v>56.973266049999992</v>
      </c>
      <c r="I5234" s="39"/>
      <c r="J5234" s="152">
        <v>0</v>
      </c>
    </row>
    <row r="5235" spans="1:10" ht="15.75" hidden="1" thickBot="1" x14ac:dyDescent="0.3">
      <c r="A5235" s="171"/>
      <c r="B5235" s="174"/>
      <c r="C5235" s="35" t="s">
        <v>1003</v>
      </c>
      <c r="D5235" s="35" t="s">
        <v>213</v>
      </c>
      <c r="E5235" s="36">
        <v>1</v>
      </c>
      <c r="F5235" s="30">
        <v>53.399499999999996</v>
      </c>
      <c r="G5235" s="53">
        <f>IF(ISNUMBER(F5235),E5235*F5235,"")</f>
        <v>53.399499999999996</v>
      </c>
      <c r="H5235" s="72"/>
      <c r="I5235" s="73"/>
      <c r="J5235" s="152">
        <v>0</v>
      </c>
    </row>
    <row r="5236" spans="1:10" ht="26.25" hidden="1" thickBot="1" x14ac:dyDescent="0.3">
      <c r="A5236" s="171"/>
      <c r="B5236" s="174"/>
      <c r="C5236" s="35" t="s">
        <v>824</v>
      </c>
      <c r="D5236" s="35" t="s">
        <v>583</v>
      </c>
      <c r="E5236" s="36">
        <v>7.1900000000000006E-2</v>
      </c>
      <c r="F5236" s="30">
        <v>21.166</v>
      </c>
      <c r="G5236" s="53">
        <f>IF(ISNUMBER(F5236),E5236*F5236,"")</f>
        <v>1.5218354000000001</v>
      </c>
      <c r="H5236" s="72"/>
      <c r="I5236" s="73"/>
      <c r="J5236" s="152">
        <v>0</v>
      </c>
    </row>
    <row r="5237" spans="1:10" ht="26.25" hidden="1" thickBot="1" x14ac:dyDescent="0.3">
      <c r="A5237" s="171"/>
      <c r="B5237" s="174"/>
      <c r="C5237" s="35" t="s">
        <v>825</v>
      </c>
      <c r="D5237" s="35" t="s">
        <v>583</v>
      </c>
      <c r="E5237" s="36">
        <v>7.1900000000000006E-2</v>
      </c>
      <c r="F5237" s="30">
        <v>26.799499999999998</v>
      </c>
      <c r="G5237" s="53">
        <f>IF(ISNUMBER(F5237),E5237*F5237,"")</f>
        <v>1.92688405</v>
      </c>
      <c r="H5237" s="72"/>
      <c r="I5237" s="73"/>
      <c r="J5237" s="152">
        <v>0</v>
      </c>
    </row>
    <row r="5238" spans="1:10" ht="15.75" hidden="1" thickBot="1" x14ac:dyDescent="0.3">
      <c r="A5238" s="171"/>
      <c r="B5238" s="174"/>
      <c r="C5238" s="35"/>
      <c r="D5238" s="46"/>
      <c r="E5238" s="36"/>
      <c r="F5238" s="53" t="s">
        <v>416</v>
      </c>
      <c r="G5238" s="53" t="str">
        <f>IF(ISNUMBER(F5238),E5238*F5238,"")</f>
        <v/>
      </c>
      <c r="H5238" s="72"/>
      <c r="I5238" s="73"/>
      <c r="J5238" s="152">
        <v>0</v>
      </c>
    </row>
    <row r="5239" spans="1:10" ht="15.75" hidden="1" thickBot="1" x14ac:dyDescent="0.3">
      <c r="A5239" s="170" t="s">
        <v>3184</v>
      </c>
      <c r="B5239" s="173" t="str">
        <f>INDEX(Orçamentária!A:B,MATCH(Composições!A5239,Orçamentária!A:A,0),2)</f>
        <v>Válvula gaveta com flange DN 125 (5" NPS)</v>
      </c>
      <c r="C5239" s="40"/>
      <c r="D5239" s="25" t="s">
        <v>16</v>
      </c>
      <c r="E5239" s="26"/>
      <c r="F5239" s="48" t="s">
        <v>416</v>
      </c>
      <c r="G5239" s="27" t="str">
        <f>IF(ISNUMBER(F5239),E5239*F5239,"")</f>
        <v/>
      </c>
      <c r="H5239" s="28"/>
      <c r="I5239" s="29"/>
      <c r="J5239" s="152">
        <v>0</v>
      </c>
    </row>
    <row r="5240" spans="1:10" ht="15.75" hidden="1" thickBot="1" x14ac:dyDescent="0.3">
      <c r="A5240" s="171"/>
      <c r="B5240" s="174"/>
      <c r="C5240" s="31"/>
      <c r="D5240" s="31"/>
      <c r="E5240" s="32"/>
      <c r="F5240" s="53" t="s">
        <v>416</v>
      </c>
      <c r="G5240" s="53" t="str">
        <f>IF(ISNUMBER(F5240),E5240*F5240,"")</f>
        <v/>
      </c>
      <c r="H5240" s="72"/>
      <c r="I5240" s="73"/>
      <c r="J5240" s="152">
        <v>0</v>
      </c>
    </row>
    <row r="5241" spans="1:10" ht="15.75" hidden="1" thickBot="1" x14ac:dyDescent="0.3">
      <c r="A5241" s="171"/>
      <c r="B5241" s="174"/>
      <c r="C5241" s="35" t="s">
        <v>244</v>
      </c>
      <c r="D5241" s="35" t="s">
        <v>213</v>
      </c>
      <c r="E5241" s="36">
        <v>4.5199999999999997E-2</v>
      </c>
      <c r="F5241" s="30">
        <v>14.8865</v>
      </c>
      <c r="G5241" s="53">
        <f>IF(ISNUMBER(F5241),E5241*F5241,"")</f>
        <v>0.67286979999999996</v>
      </c>
      <c r="H5241" s="38">
        <f>SUM(G5241:G5244)</f>
        <v>35.327943550000001</v>
      </c>
      <c r="I5241" s="39"/>
      <c r="J5241" s="152">
        <v>0</v>
      </c>
    </row>
    <row r="5242" spans="1:10" ht="15.75" hidden="1" thickBot="1" x14ac:dyDescent="0.3">
      <c r="A5242" s="171"/>
      <c r="B5242" s="174"/>
      <c r="C5242" s="35" t="s">
        <v>3185</v>
      </c>
      <c r="D5242" s="35" t="s">
        <v>213</v>
      </c>
      <c r="E5242" s="36">
        <v>1</v>
      </c>
      <c r="F5242" s="30" t="s">
        <v>416</v>
      </c>
      <c r="G5242" s="53" t="str">
        <f>IF(ISNUMBER(F5242),E5242*F5242,"")</f>
        <v/>
      </c>
      <c r="H5242" s="72"/>
      <c r="I5242" s="73"/>
      <c r="J5242" s="152">
        <v>0</v>
      </c>
    </row>
    <row r="5243" spans="1:10" ht="26.25" hidden="1" thickBot="1" x14ac:dyDescent="0.3">
      <c r="A5243" s="171"/>
      <c r="B5243" s="174"/>
      <c r="C5243" s="35" t="s">
        <v>824</v>
      </c>
      <c r="D5243" s="35" t="s">
        <v>583</v>
      </c>
      <c r="E5243" s="36">
        <v>0.72250000000000003</v>
      </c>
      <c r="F5243" s="30">
        <v>21.166</v>
      </c>
      <c r="G5243" s="53">
        <f>IF(ISNUMBER(F5243),E5243*F5243,"")</f>
        <v>15.292435000000001</v>
      </c>
      <c r="H5243" s="72"/>
      <c r="I5243" s="73"/>
      <c r="J5243" s="152">
        <v>0</v>
      </c>
    </row>
    <row r="5244" spans="1:10" ht="26.25" hidden="1" thickBot="1" x14ac:dyDescent="0.3">
      <c r="A5244" s="171"/>
      <c r="B5244" s="174"/>
      <c r="C5244" s="35" t="s">
        <v>825</v>
      </c>
      <c r="D5244" s="35" t="s">
        <v>583</v>
      </c>
      <c r="E5244" s="36">
        <v>0.72250000000000003</v>
      </c>
      <c r="F5244" s="30">
        <v>26.799499999999998</v>
      </c>
      <c r="G5244" s="53">
        <f>IF(ISNUMBER(F5244),E5244*F5244,"")</f>
        <v>19.362638749999999</v>
      </c>
      <c r="H5244" s="72"/>
      <c r="I5244" s="73"/>
      <c r="J5244" s="152">
        <v>0</v>
      </c>
    </row>
    <row r="5245" spans="1:10" ht="15.75" hidden="1" thickBot="1" x14ac:dyDescent="0.3">
      <c r="A5245" s="171"/>
      <c r="B5245" s="174"/>
      <c r="C5245" s="35"/>
      <c r="D5245" s="46"/>
      <c r="E5245" s="36"/>
      <c r="F5245" s="53" t="s">
        <v>416</v>
      </c>
      <c r="G5245" s="53" t="str">
        <f>IF(ISNUMBER(F5245),E5245*F5245,"")</f>
        <v/>
      </c>
      <c r="H5245" s="72"/>
      <c r="I5245" s="73"/>
      <c r="J5245" s="152">
        <v>0</v>
      </c>
    </row>
    <row r="5246" spans="1:10" ht="15.75" hidden="1" thickBot="1" x14ac:dyDescent="0.3">
      <c r="A5246" s="170" t="s">
        <v>3188</v>
      </c>
      <c r="B5246" s="173" t="str">
        <f>INDEX(Orçamentária!A:B,MATCH(Composições!A5246,Orçamentária!A:A,0),2)</f>
        <v>Cabo de fibra óptica monomodo 12 fibras</v>
      </c>
      <c r="C5246" s="40"/>
      <c r="D5246" s="25" t="s">
        <v>69</v>
      </c>
      <c r="E5246" s="26"/>
      <c r="F5246" s="48" t="s">
        <v>416</v>
      </c>
      <c r="G5246" s="27" t="str">
        <f>IF(ISNUMBER(F5246),E5246*F5246,"")</f>
        <v/>
      </c>
      <c r="H5246" s="28"/>
      <c r="I5246" s="29"/>
      <c r="J5246" s="152">
        <v>0</v>
      </c>
    </row>
    <row r="5247" spans="1:10" ht="15.75" hidden="1" thickBot="1" x14ac:dyDescent="0.3">
      <c r="A5247" s="171"/>
      <c r="B5247" s="174"/>
      <c r="C5247" s="31"/>
      <c r="D5247" s="31"/>
      <c r="E5247" s="32"/>
      <c r="F5247" s="53" t="s">
        <v>416</v>
      </c>
      <c r="G5247" s="53" t="str">
        <f>IF(ISNUMBER(F5247),E5247*F5247,"")</f>
        <v/>
      </c>
      <c r="H5247" s="72"/>
      <c r="I5247" s="73"/>
      <c r="J5247" s="152">
        <v>0</v>
      </c>
    </row>
    <row r="5248" spans="1:10" ht="15.75" hidden="1" thickBot="1" x14ac:dyDescent="0.3">
      <c r="A5248" s="171"/>
      <c r="B5248" s="174"/>
      <c r="C5248" s="35" t="s">
        <v>3215</v>
      </c>
      <c r="D5248" s="35" t="s">
        <v>69</v>
      </c>
      <c r="E5248" s="36">
        <v>1.05</v>
      </c>
      <c r="F5248" s="30" t="s">
        <v>416</v>
      </c>
      <c r="G5248" s="53" t="str">
        <f>IF(ISNUMBER(F5248),E5248*F5248,"")</f>
        <v/>
      </c>
      <c r="H5248" s="38">
        <f>SUM(G5248:G5250)</f>
        <v>3.5136908999999998</v>
      </c>
      <c r="I5248" s="39"/>
      <c r="J5248" s="152">
        <v>0</v>
      </c>
    </row>
    <row r="5249" spans="1:10" ht="15.75" hidden="1" thickBot="1" x14ac:dyDescent="0.3">
      <c r="A5249" s="171"/>
      <c r="B5249" s="174"/>
      <c r="C5249" s="35" t="s">
        <v>1017</v>
      </c>
      <c r="D5249" s="35" t="s">
        <v>583</v>
      </c>
      <c r="E5249" s="36">
        <v>7.1099999999999997E-2</v>
      </c>
      <c r="F5249" s="30">
        <v>21.584</v>
      </c>
      <c r="G5249" s="53">
        <f>IF(ISNUMBER(F5249),E5249*F5249,"")</f>
        <v>1.5346223999999999</v>
      </c>
      <c r="H5249" s="72"/>
      <c r="I5249" s="73"/>
      <c r="J5249" s="152">
        <v>0</v>
      </c>
    </row>
    <row r="5250" spans="1:10" ht="15.75" hidden="1" thickBot="1" x14ac:dyDescent="0.3">
      <c r="A5250" s="171"/>
      <c r="B5250" s="174"/>
      <c r="C5250" s="35" t="s">
        <v>1018</v>
      </c>
      <c r="D5250" s="35" t="s">
        <v>583</v>
      </c>
      <c r="E5250" s="36">
        <v>7.1099999999999997E-2</v>
      </c>
      <c r="F5250" s="30">
        <v>27.835000000000001</v>
      </c>
      <c r="G5250" s="53">
        <f>IF(ISNUMBER(F5250),E5250*F5250,"")</f>
        <v>1.9790684999999999</v>
      </c>
      <c r="H5250" s="72"/>
      <c r="I5250" s="73"/>
      <c r="J5250" s="152">
        <v>0</v>
      </c>
    </row>
    <row r="5251" spans="1:10" ht="15.75" hidden="1" thickBot="1" x14ac:dyDescent="0.3">
      <c r="A5251" s="171"/>
      <c r="B5251" s="174"/>
      <c r="C5251" s="35"/>
      <c r="D5251" s="46"/>
      <c r="E5251" s="36"/>
      <c r="F5251" s="53" t="s">
        <v>416</v>
      </c>
      <c r="G5251" s="53" t="str">
        <f>IF(ISNUMBER(F5251),E5251*F5251,"")</f>
        <v/>
      </c>
      <c r="H5251" s="72"/>
      <c r="I5251" s="73"/>
      <c r="J5251" s="152">
        <v>0</v>
      </c>
    </row>
    <row r="5252" spans="1:10" ht="15.75" hidden="1" thickBot="1" x14ac:dyDescent="0.3">
      <c r="A5252" s="170" t="s">
        <v>3190</v>
      </c>
      <c r="B5252" s="173" t="str">
        <f>INDEX(Orçamentária!A:B,MATCH(Composições!A5252,Orçamentária!A:A,0),2)</f>
        <v>Cabo de fibra óptica monomodo 144 fibras</v>
      </c>
      <c r="C5252" s="40"/>
      <c r="D5252" s="25" t="s">
        <v>69</v>
      </c>
      <c r="E5252" s="26"/>
      <c r="F5252" s="48" t="s">
        <v>416</v>
      </c>
      <c r="G5252" s="27" t="str">
        <f>IF(ISNUMBER(F5252),E5252*F5252,"")</f>
        <v/>
      </c>
      <c r="H5252" s="28"/>
      <c r="I5252" s="29"/>
      <c r="J5252" s="152">
        <v>0</v>
      </c>
    </row>
    <row r="5253" spans="1:10" ht="15.75" hidden="1" thickBot="1" x14ac:dyDescent="0.3">
      <c r="A5253" s="171"/>
      <c r="B5253" s="174"/>
      <c r="C5253" s="31"/>
      <c r="D5253" s="31"/>
      <c r="E5253" s="32"/>
      <c r="F5253" s="53" t="s">
        <v>416</v>
      </c>
      <c r="G5253" s="53" t="str">
        <f>IF(ISNUMBER(F5253),E5253*F5253,"")</f>
        <v/>
      </c>
      <c r="H5253" s="72"/>
      <c r="I5253" s="73"/>
      <c r="J5253" s="152">
        <v>0</v>
      </c>
    </row>
    <row r="5254" spans="1:10" ht="15.75" hidden="1" thickBot="1" x14ac:dyDescent="0.3">
      <c r="A5254" s="171"/>
      <c r="B5254" s="174"/>
      <c r="C5254" s="35" t="s">
        <v>3216</v>
      </c>
      <c r="D5254" s="35" t="s">
        <v>69</v>
      </c>
      <c r="E5254" s="36">
        <v>1.05</v>
      </c>
      <c r="F5254" s="30" t="s">
        <v>416</v>
      </c>
      <c r="G5254" s="53" t="str">
        <f>IF(ISNUMBER(F5254),E5254*F5254,"")</f>
        <v/>
      </c>
      <c r="H5254" s="38">
        <f>SUM(G5254:G5256)</f>
        <v>6.8593571999999998</v>
      </c>
      <c r="I5254" s="39"/>
      <c r="J5254" s="152">
        <v>0</v>
      </c>
    </row>
    <row r="5255" spans="1:10" ht="15.75" hidden="1" thickBot="1" x14ac:dyDescent="0.3">
      <c r="A5255" s="171"/>
      <c r="B5255" s="174"/>
      <c r="C5255" s="35" t="s">
        <v>1017</v>
      </c>
      <c r="D5255" s="35" t="s">
        <v>583</v>
      </c>
      <c r="E5255" s="36">
        <v>0.13880000000000001</v>
      </c>
      <c r="F5255" s="30">
        <v>21.584</v>
      </c>
      <c r="G5255" s="53">
        <f>IF(ISNUMBER(F5255),E5255*F5255,"")</f>
        <v>2.9958591999999999</v>
      </c>
      <c r="H5255" s="72"/>
      <c r="I5255" s="73"/>
      <c r="J5255" s="152">
        <v>0</v>
      </c>
    </row>
    <row r="5256" spans="1:10" ht="15.75" hidden="1" thickBot="1" x14ac:dyDescent="0.3">
      <c r="A5256" s="171"/>
      <c r="B5256" s="174"/>
      <c r="C5256" s="35" t="s">
        <v>1018</v>
      </c>
      <c r="D5256" s="35" t="s">
        <v>583</v>
      </c>
      <c r="E5256" s="36">
        <v>0.13880000000000001</v>
      </c>
      <c r="F5256" s="30">
        <v>27.835000000000001</v>
      </c>
      <c r="G5256" s="53">
        <f>IF(ISNUMBER(F5256),E5256*F5256,"")</f>
        <v>3.8634980000000003</v>
      </c>
      <c r="H5256" s="72"/>
      <c r="I5256" s="73"/>
      <c r="J5256" s="152">
        <v>0</v>
      </c>
    </row>
    <row r="5257" spans="1:10" ht="15.75" hidden="1" thickBot="1" x14ac:dyDescent="0.3">
      <c r="A5257" s="171"/>
      <c r="B5257" s="174"/>
      <c r="C5257" s="35"/>
      <c r="D5257" s="46"/>
      <c r="E5257" s="36"/>
      <c r="F5257" s="53" t="s">
        <v>416</v>
      </c>
      <c r="G5257" s="53" t="str">
        <f>IF(ISNUMBER(F5257),E5257*F5257,"")</f>
        <v/>
      </c>
      <c r="H5257" s="72"/>
      <c r="I5257" s="73"/>
      <c r="J5257" s="152">
        <v>0</v>
      </c>
    </row>
    <row r="5258" spans="1:10" ht="15.75" hidden="1" thickBot="1" x14ac:dyDescent="0.3">
      <c r="A5258" s="170" t="s">
        <v>3192</v>
      </c>
      <c r="B5258" s="173" t="str">
        <f>INDEX(Orçamentária!A:B,MATCH(Composições!A5258,Orçamentária!A:A,0),2)</f>
        <v>Eletroduto PEAD 1 1/4" - fornecimento e instalação</v>
      </c>
      <c r="C5258" s="40"/>
      <c r="D5258" s="25" t="s">
        <v>69</v>
      </c>
      <c r="E5258" s="26"/>
      <c r="F5258" s="41" t="s">
        <v>416</v>
      </c>
      <c r="G5258" s="27" t="str">
        <f>IF(ISNUMBER(F5258),E5258*F5258,"")</f>
        <v/>
      </c>
      <c r="H5258" s="28"/>
      <c r="I5258" s="29"/>
      <c r="J5258" s="152">
        <v>0</v>
      </c>
    </row>
    <row r="5259" spans="1:10" ht="15.75" hidden="1" thickBot="1" x14ac:dyDescent="0.3">
      <c r="A5259" s="176"/>
      <c r="B5259" s="174"/>
      <c r="C5259" s="31"/>
      <c r="D5259" s="31"/>
      <c r="E5259" s="32"/>
      <c r="F5259" s="42" t="s">
        <v>416</v>
      </c>
      <c r="G5259" s="30" t="str">
        <f>IF(ISNUMBER(F5259),E5259*F5259,"")</f>
        <v/>
      </c>
      <c r="H5259" s="34"/>
      <c r="I5259" s="30"/>
      <c r="J5259" s="152">
        <v>0</v>
      </c>
    </row>
    <row r="5260" spans="1:10" ht="39" hidden="1" thickBot="1" x14ac:dyDescent="0.3">
      <c r="A5260" s="176"/>
      <c r="B5260" s="174"/>
      <c r="C5260" s="35" t="s">
        <v>8152</v>
      </c>
      <c r="D5260" s="35" t="s">
        <v>385</v>
      </c>
      <c r="E5260" s="36">
        <v>1.1000000000000001</v>
      </c>
      <c r="F5260" s="30">
        <v>3.3344999999999998</v>
      </c>
      <c r="G5260" s="33">
        <f>IF(ISNUMBER(F5260),E5260*F5260,"")</f>
        <v>3.6679500000000003</v>
      </c>
      <c r="H5260" s="38">
        <f>SUM(G5260:G5263)</f>
        <v>12.251722500000001</v>
      </c>
      <c r="I5260" s="39"/>
      <c r="J5260" s="152">
        <v>0</v>
      </c>
    </row>
    <row r="5261" spans="1:10" ht="15.75" hidden="1" thickBot="1" x14ac:dyDescent="0.3">
      <c r="A5261" s="176"/>
      <c r="B5261" s="174"/>
      <c r="C5261" s="35" t="s">
        <v>1017</v>
      </c>
      <c r="D5261" s="35" t="s">
        <v>583</v>
      </c>
      <c r="E5261" s="36">
        <v>0.113</v>
      </c>
      <c r="F5261" s="30">
        <v>21.584</v>
      </c>
      <c r="G5261" s="33">
        <f>IF(ISNUMBER(F5261),E5261*F5261,"")</f>
        <v>2.4389919999999998</v>
      </c>
      <c r="H5261" s="34"/>
      <c r="I5261" s="30"/>
      <c r="J5261" s="152">
        <v>0</v>
      </c>
    </row>
    <row r="5262" spans="1:10" ht="15.75" hidden="1" thickBot="1" x14ac:dyDescent="0.3">
      <c r="A5262" s="176"/>
      <c r="B5262" s="174"/>
      <c r="C5262" s="35" t="s">
        <v>1018</v>
      </c>
      <c r="D5262" s="35" t="s">
        <v>583</v>
      </c>
      <c r="E5262" s="36">
        <v>0.113</v>
      </c>
      <c r="F5262" s="30">
        <v>27.835000000000001</v>
      </c>
      <c r="G5262" s="33">
        <f>IF(ISNUMBER(F5262),E5262*F5262,"")</f>
        <v>3.1453550000000003</v>
      </c>
      <c r="H5262" s="34"/>
      <c r="I5262" s="30"/>
      <c r="J5262" s="152">
        <v>0</v>
      </c>
    </row>
    <row r="5263" spans="1:10" ht="51.75" hidden="1" thickBot="1" x14ac:dyDescent="0.3">
      <c r="A5263" s="176"/>
      <c r="B5263" s="174"/>
      <c r="C5263" s="35" t="s">
        <v>2889</v>
      </c>
      <c r="D5263" s="35" t="s">
        <v>385</v>
      </c>
      <c r="E5263" s="36">
        <v>1</v>
      </c>
      <c r="F5263" s="33">
        <v>2.9994255000000005</v>
      </c>
      <c r="G5263" s="30">
        <f>IF(ISNUMBER(F5263),E5263*F5263,"")</f>
        <v>2.9994255000000005</v>
      </c>
      <c r="H5263" s="34"/>
      <c r="I5263" s="30"/>
      <c r="J5263" s="152">
        <v>0</v>
      </c>
    </row>
    <row r="5264" spans="1:10" ht="15.75" hidden="1" thickBot="1" x14ac:dyDescent="0.3">
      <c r="A5264" s="177"/>
      <c r="B5264" s="175"/>
      <c r="C5264" s="35"/>
      <c r="D5264" s="35"/>
      <c r="E5264" s="36"/>
      <c r="F5264" s="30" t="s">
        <v>416</v>
      </c>
      <c r="G5264" s="30" t="str">
        <f>IF(ISNUMBER(F5264),E5264*F5264,"")</f>
        <v/>
      </c>
      <c r="H5264" s="34"/>
      <c r="I5264" s="30"/>
      <c r="J5264" s="152">
        <v>0</v>
      </c>
    </row>
    <row r="5265" spans="1:10" ht="15.75" hidden="1" thickBot="1" x14ac:dyDescent="0.3">
      <c r="A5265" s="170" t="s">
        <v>3193</v>
      </c>
      <c r="B5265" s="173" t="str">
        <f>INDEX(Orçamentária!A:B,MATCH(Composições!A5265,Orçamentária!A:A,0),2)</f>
        <v>Caixa de Passagem Subterrânea 1600 x 2000 mm</v>
      </c>
      <c r="C5265" s="40"/>
      <c r="D5265" s="25" t="s">
        <v>16</v>
      </c>
      <c r="E5265" s="26"/>
      <c r="F5265" s="41" t="s">
        <v>416</v>
      </c>
      <c r="G5265" s="27" t="str">
        <f>IF(ISNUMBER(F5265),E5265*F5265,"")</f>
        <v/>
      </c>
      <c r="H5265" s="28"/>
      <c r="I5265" s="29"/>
      <c r="J5265" s="152">
        <v>0</v>
      </c>
    </row>
    <row r="5266" spans="1:10" ht="15.75" hidden="1" thickBot="1" x14ac:dyDescent="0.3">
      <c r="A5266" s="176"/>
      <c r="B5266" s="174"/>
      <c r="C5266" s="31"/>
      <c r="D5266" s="31"/>
      <c r="E5266" s="32"/>
      <c r="F5266" s="42" t="s">
        <v>416</v>
      </c>
      <c r="G5266" s="30" t="str">
        <f>IF(ISNUMBER(F5266),E5266*F5266,"")</f>
        <v/>
      </c>
      <c r="H5266" s="34"/>
      <c r="I5266" s="30"/>
      <c r="J5266" s="152">
        <v>0</v>
      </c>
    </row>
    <row r="5267" spans="1:10" ht="64.5" hidden="1" thickBot="1" x14ac:dyDescent="0.3">
      <c r="A5267" s="176"/>
      <c r="B5267" s="174"/>
      <c r="C5267" s="35" t="s">
        <v>2863</v>
      </c>
      <c r="D5267" s="35" t="s">
        <v>813</v>
      </c>
      <c r="E5267" s="36">
        <f>ROUND(0.0087*3.33,4)</f>
        <v>2.9000000000000001E-2</v>
      </c>
      <c r="F5267" s="30">
        <v>134.55799999999999</v>
      </c>
      <c r="G5267" s="33">
        <f>IF(ISNUMBER(F5267),E5267*F5267,"")</f>
        <v>3.9021819999999998</v>
      </c>
      <c r="H5267" s="38">
        <f>SUM(G5267:G5275)</f>
        <v>1904.9566248985502</v>
      </c>
      <c r="I5267" s="39"/>
      <c r="J5267" s="152">
        <v>0</v>
      </c>
    </row>
    <row r="5268" spans="1:10" ht="64.5" hidden="1" thickBot="1" x14ac:dyDescent="0.3">
      <c r="A5268" s="176"/>
      <c r="B5268" s="174"/>
      <c r="C5268" s="35" t="s">
        <v>2870</v>
      </c>
      <c r="D5268" s="35" t="s">
        <v>815</v>
      </c>
      <c r="E5268" s="36">
        <f>ROUND(0.0294*3.33,4)</f>
        <v>9.7900000000000001E-2</v>
      </c>
      <c r="F5268" s="30">
        <v>54.34</v>
      </c>
      <c r="G5268" s="33">
        <f>IF(ISNUMBER(F5268),E5268*F5268,"")</f>
        <v>5.3198860000000003</v>
      </c>
      <c r="H5268" s="34"/>
      <c r="I5268" s="30"/>
      <c r="J5268" s="152">
        <v>0</v>
      </c>
    </row>
    <row r="5269" spans="1:10" ht="15.75" hidden="1" thickBot="1" x14ac:dyDescent="0.3">
      <c r="A5269" s="176"/>
      <c r="B5269" s="174"/>
      <c r="C5269" s="35" t="s">
        <v>3062</v>
      </c>
      <c r="D5269" s="35" t="s">
        <v>213</v>
      </c>
      <c r="E5269" s="36">
        <f>ROUND(169.8027*3.33,4)</f>
        <v>565.44299999999998</v>
      </c>
      <c r="F5269" s="33">
        <v>0.56999999999999995</v>
      </c>
      <c r="G5269" s="30">
        <f>IF(ISNUMBER(F5269),E5269*F5269,"")</f>
        <v>322.30250999999998</v>
      </c>
      <c r="H5269" s="34"/>
      <c r="I5269" s="30"/>
      <c r="J5269" s="152">
        <v>0</v>
      </c>
    </row>
    <row r="5270" spans="1:10" ht="39" hidden="1" thickBot="1" x14ac:dyDescent="0.3">
      <c r="A5270" s="176"/>
      <c r="B5270" s="174"/>
      <c r="C5270" s="35" t="s">
        <v>871</v>
      </c>
      <c r="D5270" s="35" t="s">
        <v>87</v>
      </c>
      <c r="E5270" s="36">
        <f>ROUND(0.0014*3.33,4)</f>
        <v>4.7000000000000002E-3</v>
      </c>
      <c r="F5270" s="30">
        <v>584.3403605609999</v>
      </c>
      <c r="G5270" s="33">
        <f>IF(ISNUMBER(F5270),E5270*F5270,"")</f>
        <v>2.7463996946366995</v>
      </c>
      <c r="H5270" s="34"/>
      <c r="I5270" s="39"/>
      <c r="J5270" s="152">
        <v>0</v>
      </c>
    </row>
    <row r="5271" spans="1:10" ht="15.75" hidden="1" thickBot="1" x14ac:dyDescent="0.3">
      <c r="A5271" s="176"/>
      <c r="B5271" s="174"/>
      <c r="C5271" s="35" t="s">
        <v>591</v>
      </c>
      <c r="D5271" s="35" t="s">
        <v>583</v>
      </c>
      <c r="E5271" s="36">
        <f>ROUND(5.4392*3.33,4)</f>
        <v>18.112500000000001</v>
      </c>
      <c r="F5271" s="30">
        <v>27.160499999999999</v>
      </c>
      <c r="G5271" s="33">
        <f>IF(ISNUMBER(F5271),E5271*F5271,"")</f>
        <v>491.94455625000001</v>
      </c>
      <c r="H5271" s="34"/>
      <c r="I5271" s="30"/>
      <c r="J5271" s="152">
        <v>0</v>
      </c>
    </row>
    <row r="5272" spans="1:10" ht="15.75" hidden="1" thickBot="1" x14ac:dyDescent="0.3">
      <c r="A5272" s="176"/>
      <c r="B5272" s="174"/>
      <c r="C5272" s="35" t="s">
        <v>584</v>
      </c>
      <c r="D5272" s="35" t="s">
        <v>583</v>
      </c>
      <c r="E5272" s="36">
        <f>ROUND(5.4392*3.33,4)</f>
        <v>18.112500000000001</v>
      </c>
      <c r="F5272" s="33">
        <v>20.225499999999997</v>
      </c>
      <c r="G5272" s="30">
        <f>IF(ISNUMBER(F5272),E5272*F5272,"")</f>
        <v>366.33436874999995</v>
      </c>
      <c r="H5272" s="34"/>
      <c r="I5272" s="30"/>
      <c r="J5272" s="152">
        <v>0</v>
      </c>
    </row>
    <row r="5273" spans="1:10" ht="26.25" hidden="1" thickBot="1" x14ac:dyDescent="0.3">
      <c r="A5273" s="176"/>
      <c r="B5273" s="174"/>
      <c r="C5273" s="35" t="s">
        <v>2898</v>
      </c>
      <c r="D5273" s="35" t="s">
        <v>87</v>
      </c>
      <c r="E5273" s="36">
        <f>ROUND(0.1012*3.33,4)</f>
        <v>0.33700000000000002</v>
      </c>
      <c r="F5273" s="30">
        <v>657.09798058849992</v>
      </c>
      <c r="G5273" s="33">
        <f>IF(ISNUMBER(F5273),E5273*F5273,"")</f>
        <v>221.44201945832449</v>
      </c>
      <c r="H5273" s="34"/>
      <c r="I5273" s="39"/>
      <c r="J5273" s="152">
        <v>0</v>
      </c>
    </row>
    <row r="5274" spans="1:10" ht="26.25" hidden="1" thickBot="1" x14ac:dyDescent="0.3">
      <c r="A5274" s="176"/>
      <c r="B5274" s="174"/>
      <c r="C5274" s="35" t="s">
        <v>2888</v>
      </c>
      <c r="D5274" s="35" t="s">
        <v>87</v>
      </c>
      <c r="E5274" s="36">
        <f>ROUND(0.0448*3.33,4)</f>
        <v>0.1492</v>
      </c>
      <c r="F5274" s="30">
        <v>2567.9175087184358</v>
      </c>
      <c r="G5274" s="33">
        <f>IF(ISNUMBER(F5274),E5274*F5274,"")</f>
        <v>383.13329230079063</v>
      </c>
      <c r="H5274" s="34"/>
      <c r="I5274" s="30"/>
      <c r="J5274" s="152">
        <v>0</v>
      </c>
    </row>
    <row r="5275" spans="1:10" ht="26.25" hidden="1" thickBot="1" x14ac:dyDescent="0.3">
      <c r="A5275" s="176"/>
      <c r="B5275" s="174"/>
      <c r="C5275" s="35" t="s">
        <v>3224</v>
      </c>
      <c r="D5275" s="35" t="s">
        <v>87</v>
      </c>
      <c r="E5275" s="36">
        <f>ROUND(0.081*3.33,4)</f>
        <v>0.2697</v>
      </c>
      <c r="F5275" s="33">
        <v>399.81983850500001</v>
      </c>
      <c r="G5275" s="30">
        <f>IF(ISNUMBER(F5275),E5275*F5275,"")</f>
        <v>107.83141044479849</v>
      </c>
      <c r="H5275" s="34"/>
      <c r="I5275" s="30"/>
      <c r="J5275" s="152">
        <v>0</v>
      </c>
    </row>
    <row r="5276" spans="1:10" ht="15.75" hidden="1" thickBot="1" x14ac:dyDescent="0.3">
      <c r="A5276" s="177"/>
      <c r="B5276" s="175"/>
      <c r="C5276" s="35"/>
      <c r="D5276" s="35"/>
      <c r="E5276" s="36"/>
      <c r="F5276" s="30" t="s">
        <v>416</v>
      </c>
      <c r="G5276" s="30" t="str">
        <f>IF(ISNUMBER(F5276),E5276*F5276,"")</f>
        <v/>
      </c>
      <c r="H5276" s="34"/>
      <c r="I5276" s="30"/>
      <c r="J5276" s="152">
        <v>0</v>
      </c>
    </row>
    <row r="5277" spans="1:10" ht="15.75" hidden="1" thickBot="1" x14ac:dyDescent="0.3">
      <c r="A5277" s="170" t="s">
        <v>3194</v>
      </c>
      <c r="B5277" s="173" t="str">
        <f>INDEX(Orçamentária!A:B,MATCH(Composições!A5277,Orçamentária!A:A,0),2)</f>
        <v>Projeto Executivo de Rede de Telecomunicações Backbone</v>
      </c>
      <c r="C5277" s="40"/>
      <c r="D5277" s="25" t="s">
        <v>16</v>
      </c>
      <c r="E5277" s="26"/>
      <c r="F5277" s="41" t="s">
        <v>416</v>
      </c>
      <c r="G5277" s="27" t="str">
        <f>IF(ISNUMBER(F5277),E5277*F5277,"")</f>
        <v/>
      </c>
      <c r="H5277" s="28"/>
      <c r="I5277" s="29"/>
      <c r="J5277" s="152">
        <v>0</v>
      </c>
    </row>
    <row r="5278" spans="1:10" ht="15.75" hidden="1" thickBot="1" x14ac:dyDescent="0.3">
      <c r="A5278" s="176"/>
      <c r="B5278" s="174"/>
      <c r="C5278" s="31"/>
      <c r="D5278" s="31"/>
      <c r="E5278" s="32"/>
      <c r="F5278" s="42" t="s">
        <v>416</v>
      </c>
      <c r="G5278" s="30" t="str">
        <f>IF(ISNUMBER(F5278),E5278*F5278,"")</f>
        <v/>
      </c>
      <c r="H5278" s="34"/>
      <c r="I5278" s="30"/>
      <c r="J5278" s="152">
        <v>0</v>
      </c>
    </row>
    <row r="5279" spans="1:10" ht="15.75" hidden="1" thickBot="1" x14ac:dyDescent="0.3">
      <c r="A5279" s="176"/>
      <c r="B5279" s="174"/>
      <c r="C5279" s="35" t="s">
        <v>1069</v>
      </c>
      <c r="D5279" s="35" t="s">
        <v>583</v>
      </c>
      <c r="E5279" s="36">
        <v>40</v>
      </c>
      <c r="F5279" s="30">
        <v>118.465</v>
      </c>
      <c r="G5279" s="33">
        <f>IF(ISNUMBER(F5279),E5279*F5279,"")</f>
        <v>4738.6000000000004</v>
      </c>
      <c r="H5279" s="38">
        <f>SUM(G5279:G5283)</f>
        <v>5945.09</v>
      </c>
      <c r="I5279" s="39"/>
      <c r="J5279" s="152">
        <v>0</v>
      </c>
    </row>
    <row r="5280" spans="1:10" ht="15.75" hidden="1" thickBot="1" x14ac:dyDescent="0.3">
      <c r="A5280" s="176"/>
      <c r="B5280" s="174"/>
      <c r="C5280" s="35" t="s">
        <v>2912</v>
      </c>
      <c r="D5280" s="35" t="s">
        <v>583</v>
      </c>
      <c r="E5280" s="36">
        <v>20</v>
      </c>
      <c r="F5280" s="30">
        <v>15.9125</v>
      </c>
      <c r="G5280" s="33">
        <f>IF(ISNUMBER(F5280),E5280*F5280,"")</f>
        <v>318.25</v>
      </c>
      <c r="H5280" s="34"/>
      <c r="I5280" s="30"/>
      <c r="J5280" s="152">
        <v>0</v>
      </c>
    </row>
    <row r="5281" spans="1:10" ht="15.75" hidden="1" thickBot="1" x14ac:dyDescent="0.3">
      <c r="A5281" s="176"/>
      <c r="B5281" s="174"/>
      <c r="C5281" s="35" t="s">
        <v>2916</v>
      </c>
      <c r="D5281" s="35" t="s">
        <v>583</v>
      </c>
      <c r="E5281" s="36">
        <v>20</v>
      </c>
      <c r="F5281" s="30">
        <v>21.156499999999998</v>
      </c>
      <c r="G5281" s="33">
        <f>IF(ISNUMBER(F5281),E5281*F5281,"")</f>
        <v>423.12999999999994</v>
      </c>
      <c r="H5281" s="34"/>
      <c r="I5281" s="30"/>
      <c r="J5281" s="152">
        <v>0</v>
      </c>
    </row>
    <row r="5282" spans="1:10" ht="15.75" hidden="1" thickBot="1" x14ac:dyDescent="0.3">
      <c r="A5282" s="176"/>
      <c r="B5282" s="174"/>
      <c r="C5282" s="35" t="s">
        <v>2903</v>
      </c>
      <c r="D5282" s="35" t="s">
        <v>583</v>
      </c>
      <c r="E5282" s="36">
        <v>20</v>
      </c>
      <c r="F5282" s="30">
        <v>10.526</v>
      </c>
      <c r="G5282" s="33">
        <f>IF(ISNUMBER(F5282),E5282*F5282,"")</f>
        <v>210.51999999999998</v>
      </c>
      <c r="H5282" s="34"/>
      <c r="I5282" s="30"/>
      <c r="J5282" s="152">
        <v>0</v>
      </c>
    </row>
    <row r="5283" spans="1:10" ht="15.75" hidden="1" thickBot="1" x14ac:dyDescent="0.3">
      <c r="A5283" s="176"/>
      <c r="B5283" s="174"/>
      <c r="C5283" s="35" t="s">
        <v>15</v>
      </c>
      <c r="D5283" s="35" t="s">
        <v>16</v>
      </c>
      <c r="E5283" s="36">
        <v>1</v>
      </c>
      <c r="F5283" s="33">
        <v>254.59</v>
      </c>
      <c r="G5283" s="30">
        <f>IF(ISNUMBER(F5283),E5283*F5283,"")</f>
        <v>254.59</v>
      </c>
      <c r="H5283" s="34"/>
      <c r="I5283" s="30"/>
      <c r="J5283" s="152">
        <v>0</v>
      </c>
    </row>
    <row r="5284" spans="1:10" ht="15.75" hidden="1" thickBot="1" x14ac:dyDescent="0.3">
      <c r="A5284" s="177"/>
      <c r="B5284" s="175"/>
      <c r="C5284" s="35"/>
      <c r="D5284" s="35"/>
      <c r="E5284" s="36"/>
      <c r="F5284" s="30" t="s">
        <v>416</v>
      </c>
      <c r="G5284" s="30" t="str">
        <f>IF(ISNUMBER(F5284),E5284*F5284,"")</f>
        <v/>
      </c>
      <c r="H5284" s="34"/>
      <c r="I5284" s="30"/>
      <c r="J5284" s="152">
        <v>0</v>
      </c>
    </row>
    <row r="5285" spans="1:10" ht="15.75" hidden="1" thickBot="1" x14ac:dyDescent="0.3">
      <c r="A5285" s="170" t="s">
        <v>3196</v>
      </c>
      <c r="B5285" s="173" t="str">
        <f>INDEX(Orçamentária!A:B,MATCH(Composições!A5285,Orçamentária!A:A,0),2)</f>
        <v>Eletroduto PEAD 2”</v>
      </c>
      <c r="C5285" s="40"/>
      <c r="D5285" s="25" t="s">
        <v>69</v>
      </c>
      <c r="E5285" s="26"/>
      <c r="F5285" s="41" t="s">
        <v>416</v>
      </c>
      <c r="G5285" s="27" t="str">
        <f>IF(ISNUMBER(F5285),E5285*F5285,"")</f>
        <v/>
      </c>
      <c r="H5285" s="28"/>
      <c r="I5285" s="29"/>
      <c r="J5285" s="152">
        <v>0</v>
      </c>
    </row>
    <row r="5286" spans="1:10" ht="15.75" hidden="1" thickBot="1" x14ac:dyDescent="0.3">
      <c r="A5286" s="176"/>
      <c r="B5286" s="174"/>
      <c r="C5286" s="31"/>
      <c r="D5286" s="31"/>
      <c r="E5286" s="32"/>
      <c r="F5286" s="42" t="s">
        <v>416</v>
      </c>
      <c r="G5286" s="30" t="str">
        <f>IF(ISNUMBER(F5286),E5286*F5286,"")</f>
        <v/>
      </c>
      <c r="H5286" s="34"/>
      <c r="I5286" s="30"/>
      <c r="J5286" s="152">
        <v>0</v>
      </c>
    </row>
    <row r="5287" spans="1:10" ht="39" hidden="1" thickBot="1" x14ac:dyDescent="0.3">
      <c r="A5287" s="176"/>
      <c r="B5287" s="174"/>
      <c r="C5287" s="35" t="s">
        <v>8533</v>
      </c>
      <c r="D5287" s="35" t="s">
        <v>385</v>
      </c>
      <c r="E5287" s="36">
        <v>1.1000000000000001</v>
      </c>
      <c r="F5287" s="30">
        <v>5.4909999999999997</v>
      </c>
      <c r="G5287" s="33">
        <f>IF(ISNUMBER(F5287),E5287*F5287,"")</f>
        <v>6.0400999999999998</v>
      </c>
      <c r="H5287" s="38">
        <f>SUM(G5287:G5289)</f>
        <v>10.710195500000001</v>
      </c>
      <c r="I5287" s="39"/>
      <c r="J5287" s="152">
        <v>0</v>
      </c>
    </row>
    <row r="5288" spans="1:10" ht="15.75" hidden="1" thickBot="1" x14ac:dyDescent="0.3">
      <c r="A5288" s="176"/>
      <c r="B5288" s="174"/>
      <c r="C5288" s="35" t="s">
        <v>1017</v>
      </c>
      <c r="D5288" s="35" t="s">
        <v>583</v>
      </c>
      <c r="E5288" s="36">
        <v>9.4500000000000001E-2</v>
      </c>
      <c r="F5288" s="30">
        <v>21.584</v>
      </c>
      <c r="G5288" s="33">
        <f>IF(ISNUMBER(F5288),E5288*F5288,"")</f>
        <v>2.0396879999999999</v>
      </c>
      <c r="H5288" s="34"/>
      <c r="I5288" s="30"/>
      <c r="J5288" s="152">
        <v>0</v>
      </c>
    </row>
    <row r="5289" spans="1:10" ht="15.75" hidden="1" thickBot="1" x14ac:dyDescent="0.3">
      <c r="A5289" s="176"/>
      <c r="B5289" s="174"/>
      <c r="C5289" s="35" t="s">
        <v>1018</v>
      </c>
      <c r="D5289" s="35" t="s">
        <v>583</v>
      </c>
      <c r="E5289" s="36">
        <v>9.4500000000000001E-2</v>
      </c>
      <c r="F5289" s="33">
        <v>27.835000000000001</v>
      </c>
      <c r="G5289" s="30">
        <f>IF(ISNUMBER(F5289),E5289*F5289,"")</f>
        <v>2.6304075</v>
      </c>
      <c r="H5289" s="34"/>
      <c r="I5289" s="30"/>
      <c r="J5289" s="152">
        <v>0</v>
      </c>
    </row>
    <row r="5290" spans="1:10" ht="15.75" hidden="1" thickBot="1" x14ac:dyDescent="0.3">
      <c r="A5290" s="177"/>
      <c r="B5290" s="175"/>
      <c r="C5290" s="35"/>
      <c r="D5290" s="35"/>
      <c r="E5290" s="36"/>
      <c r="F5290" s="30" t="s">
        <v>416</v>
      </c>
      <c r="G5290" s="30" t="str">
        <f>IF(ISNUMBER(F5290),E5290*F5290,"")</f>
        <v/>
      </c>
      <c r="H5290" s="34"/>
      <c r="I5290" s="30"/>
      <c r="J5290" s="152">
        <v>0</v>
      </c>
    </row>
    <row r="5291" spans="1:10" ht="15.75" hidden="1" thickBot="1" x14ac:dyDescent="0.3">
      <c r="A5291" s="170" t="s">
        <v>3202</v>
      </c>
      <c r="B5291" s="173" t="str">
        <f>INDEX(Orçamentária!A:B,MATCH(Composições!A5291,Orçamentária!A:A,0),2)</f>
        <v>Tampa em Ferro Fundido - Circular DN-600 mm Classe 400</v>
      </c>
      <c r="C5291" s="40"/>
      <c r="D5291" s="25" t="s">
        <v>16</v>
      </c>
      <c r="E5291" s="26"/>
      <c r="F5291" s="48" t="s">
        <v>416</v>
      </c>
      <c r="G5291" s="27" t="str">
        <f>IF(ISNUMBER(F5291),E5291*F5291,"")</f>
        <v/>
      </c>
      <c r="H5291" s="28"/>
      <c r="I5291" s="29"/>
      <c r="J5291" s="152">
        <v>0</v>
      </c>
    </row>
    <row r="5292" spans="1:10" ht="15.75" hidden="1" thickBot="1" x14ac:dyDescent="0.3">
      <c r="A5292" s="171"/>
      <c r="B5292" s="174"/>
      <c r="C5292" s="31"/>
      <c r="D5292" s="31"/>
      <c r="E5292" s="32"/>
      <c r="F5292" s="53" t="s">
        <v>416</v>
      </c>
      <c r="G5292" s="53" t="str">
        <f>IF(ISNUMBER(F5292),E5292*F5292,"")</f>
        <v/>
      </c>
      <c r="H5292" s="72"/>
      <c r="I5292" s="73"/>
      <c r="J5292" s="152">
        <v>0</v>
      </c>
    </row>
    <row r="5293" spans="1:10" ht="39" hidden="1" thickBot="1" x14ac:dyDescent="0.3">
      <c r="A5293" s="171"/>
      <c r="B5293" s="174"/>
      <c r="C5293" s="35" t="s">
        <v>8390</v>
      </c>
      <c r="D5293" s="35" t="s">
        <v>213</v>
      </c>
      <c r="E5293" s="36">
        <v>1</v>
      </c>
      <c r="F5293" s="30">
        <v>736.80100000000004</v>
      </c>
      <c r="G5293" s="53">
        <f>IF(ISNUMBER(F5293),E5293*F5293,"")</f>
        <v>736.80100000000004</v>
      </c>
      <c r="H5293" s="38">
        <f>SUM(G5293:G5296)</f>
        <v>783.12721341458939</v>
      </c>
      <c r="I5293" s="39"/>
      <c r="J5293" s="152">
        <v>0</v>
      </c>
    </row>
    <row r="5294" spans="1:10" ht="15.75" hidden="1" thickBot="1" x14ac:dyDescent="0.3">
      <c r="A5294" s="171"/>
      <c r="B5294" s="174"/>
      <c r="C5294" s="35" t="s">
        <v>591</v>
      </c>
      <c r="D5294" s="35" t="s">
        <v>583</v>
      </c>
      <c r="E5294" s="36">
        <v>1.0088999999999999</v>
      </c>
      <c r="F5294" s="30">
        <v>27.160499999999999</v>
      </c>
      <c r="G5294" s="53">
        <f>IF(ISNUMBER(F5294),E5294*F5294,"")</f>
        <v>27.402228449999996</v>
      </c>
      <c r="H5294" s="72"/>
      <c r="I5294" s="73"/>
      <c r="J5294" s="152">
        <v>0</v>
      </c>
    </row>
    <row r="5295" spans="1:10" ht="15.75" hidden="1" thickBot="1" x14ac:dyDescent="0.3">
      <c r="A5295" s="171"/>
      <c r="B5295" s="174"/>
      <c r="C5295" s="35" t="s">
        <v>584</v>
      </c>
      <c r="D5295" s="35" t="s">
        <v>583</v>
      </c>
      <c r="E5295" s="36">
        <v>0.79269999999999996</v>
      </c>
      <c r="F5295" s="30">
        <v>20.225499999999997</v>
      </c>
      <c r="G5295" s="53">
        <f>IF(ISNUMBER(F5295),E5295*F5295,"")</f>
        <v>16.032753849999995</v>
      </c>
      <c r="H5295" s="72"/>
      <c r="I5295" s="73"/>
      <c r="J5295" s="152">
        <v>0</v>
      </c>
    </row>
    <row r="5296" spans="1:10" ht="26.25" hidden="1" thickBot="1" x14ac:dyDescent="0.3">
      <c r="A5296" s="171"/>
      <c r="B5296" s="174"/>
      <c r="C5296" s="35" t="s">
        <v>2898</v>
      </c>
      <c r="D5296" s="35" t="s">
        <v>87</v>
      </c>
      <c r="E5296" s="36">
        <v>4.4000000000000003E-3</v>
      </c>
      <c r="F5296" s="30">
        <v>657.09798058849992</v>
      </c>
      <c r="G5296" s="53">
        <f>IF(ISNUMBER(F5296),E5296*F5296,"")</f>
        <v>2.8912311145893996</v>
      </c>
      <c r="H5296" s="72"/>
      <c r="I5296" s="73"/>
      <c r="J5296" s="152">
        <v>0</v>
      </c>
    </row>
    <row r="5297" spans="1:10" ht="15.75" hidden="1" thickBot="1" x14ac:dyDescent="0.3">
      <c r="A5297" s="172"/>
      <c r="B5297" s="175"/>
      <c r="C5297" s="54"/>
      <c r="D5297" s="155"/>
      <c r="E5297" s="65"/>
      <c r="F5297" s="75" t="s">
        <v>416</v>
      </c>
      <c r="G5297" s="75" t="str">
        <f>IF(ISNUMBER(F5297),E5297*F5297,"")</f>
        <v/>
      </c>
      <c r="H5297" s="76"/>
      <c r="I5297" s="73"/>
      <c r="J5297" s="152">
        <v>0</v>
      </c>
    </row>
    <row r="5298" spans="1:10" ht="15.75" hidden="1" thickBot="1" x14ac:dyDescent="0.3">
      <c r="A5298" s="170" t="s">
        <v>3241</v>
      </c>
      <c r="B5298" s="173" t="str">
        <f>INDEX(Orçamentária!A:B,MATCH(Composições!A5298,Orçamentária!A:A,0),2)</f>
        <v>Tubo multicamadas flexível 20 mm para gás</v>
      </c>
      <c r="C5298" s="40"/>
      <c r="D5298" s="25" t="s">
        <v>69</v>
      </c>
      <c r="E5298" s="26"/>
      <c r="F5298" s="48" t="s">
        <v>416</v>
      </c>
      <c r="G5298" s="27" t="str">
        <f>IF(ISNUMBER(F5298),E5298*F5298,"")</f>
        <v/>
      </c>
      <c r="H5298" s="28"/>
      <c r="I5298" s="29"/>
      <c r="J5298" s="152">
        <v>0</v>
      </c>
    </row>
    <row r="5299" spans="1:10" ht="15.75" hidden="1" thickBot="1" x14ac:dyDescent="0.3">
      <c r="A5299" s="171"/>
      <c r="B5299" s="174"/>
      <c r="C5299" s="31"/>
      <c r="D5299" s="31"/>
      <c r="E5299" s="32"/>
      <c r="F5299" s="53" t="s">
        <v>416</v>
      </c>
      <c r="G5299" s="53" t="str">
        <f>IF(ISNUMBER(F5299),E5299*F5299,"")</f>
        <v/>
      </c>
      <c r="H5299" s="72"/>
      <c r="I5299" s="73"/>
      <c r="J5299" s="152">
        <v>0</v>
      </c>
    </row>
    <row r="5300" spans="1:10" ht="26.25" hidden="1" thickBot="1" x14ac:dyDescent="0.3">
      <c r="A5300" s="171"/>
      <c r="B5300" s="174"/>
      <c r="C5300" s="35" t="s">
        <v>2951</v>
      </c>
      <c r="D5300" s="35" t="s">
        <v>385</v>
      </c>
      <c r="E5300" s="36">
        <v>1.0216000000000001</v>
      </c>
      <c r="F5300" s="30">
        <v>17.166499999999999</v>
      </c>
      <c r="G5300" s="53">
        <f>IF(ISNUMBER(F5300),E5300*F5300,"")</f>
        <v>17.537296399999999</v>
      </c>
      <c r="H5300" s="38">
        <f>SUM(G5300:G5302)</f>
        <v>26.504540199999997</v>
      </c>
      <c r="I5300" s="39"/>
      <c r="J5300" s="152">
        <v>0</v>
      </c>
    </row>
    <row r="5301" spans="1:10" ht="26.25" hidden="1" thickBot="1" x14ac:dyDescent="0.3">
      <c r="A5301" s="171"/>
      <c r="B5301" s="174"/>
      <c r="C5301" s="35" t="s">
        <v>824</v>
      </c>
      <c r="D5301" s="35" t="s">
        <v>583</v>
      </c>
      <c r="E5301" s="36">
        <v>8.1799999999999998E-2</v>
      </c>
      <c r="F5301" s="30">
        <v>21.166</v>
      </c>
      <c r="G5301" s="53">
        <f>IF(ISNUMBER(F5301),E5301*F5301,"")</f>
        <v>1.7313787999999999</v>
      </c>
      <c r="H5301" s="72"/>
      <c r="I5301" s="73"/>
      <c r="J5301" s="152">
        <v>0</v>
      </c>
    </row>
    <row r="5302" spans="1:10" ht="26.25" hidden="1" thickBot="1" x14ac:dyDescent="0.3">
      <c r="A5302" s="171"/>
      <c r="B5302" s="174"/>
      <c r="C5302" s="35" t="s">
        <v>825</v>
      </c>
      <c r="D5302" s="35" t="s">
        <v>583</v>
      </c>
      <c r="E5302" s="36">
        <v>0.27</v>
      </c>
      <c r="F5302" s="30">
        <v>26.799499999999998</v>
      </c>
      <c r="G5302" s="53">
        <f>IF(ISNUMBER(F5302),E5302*F5302,"")</f>
        <v>7.2358650000000004</v>
      </c>
      <c r="H5302" s="72"/>
      <c r="I5302" s="73"/>
      <c r="J5302" s="152">
        <v>0</v>
      </c>
    </row>
    <row r="5303" spans="1:10" ht="15.75" hidden="1" thickBot="1" x14ac:dyDescent="0.3">
      <c r="A5303" s="171"/>
      <c r="B5303" s="174"/>
      <c r="C5303" s="35"/>
      <c r="D5303" s="46"/>
      <c r="E5303" s="36"/>
      <c r="F5303" s="53" t="s">
        <v>416</v>
      </c>
      <c r="G5303" s="53" t="str">
        <f>IF(ISNUMBER(F5303),E5303*F5303,"")</f>
        <v/>
      </c>
      <c r="H5303" s="72"/>
      <c r="I5303" s="73"/>
      <c r="J5303" s="152">
        <v>0</v>
      </c>
    </row>
    <row r="5304" spans="1:10" ht="15.75" hidden="1" thickBot="1" x14ac:dyDescent="0.3">
      <c r="A5304" s="170" t="s">
        <v>3242</v>
      </c>
      <c r="B5304" s="173" t="str">
        <f>INDEX(Orçamentária!A:B,MATCH(Composições!A5304,Orçamentária!A:A,0),2)</f>
        <v>Tubo multicamadas flexível 26 mm para gás</v>
      </c>
      <c r="C5304" s="40"/>
      <c r="D5304" s="25" t="s">
        <v>69</v>
      </c>
      <c r="E5304" s="26"/>
      <c r="F5304" s="48" t="s">
        <v>416</v>
      </c>
      <c r="G5304" s="27" t="str">
        <f>IF(ISNUMBER(F5304),E5304*F5304,"")</f>
        <v/>
      </c>
      <c r="H5304" s="28"/>
      <c r="I5304" s="29"/>
      <c r="J5304" s="152">
        <v>0</v>
      </c>
    </row>
    <row r="5305" spans="1:10" ht="15.75" hidden="1" thickBot="1" x14ac:dyDescent="0.3">
      <c r="A5305" s="171"/>
      <c r="B5305" s="174"/>
      <c r="C5305" s="31"/>
      <c r="D5305" s="31"/>
      <c r="E5305" s="32"/>
      <c r="F5305" s="53" t="s">
        <v>416</v>
      </c>
      <c r="G5305" s="53" t="str">
        <f>IF(ISNUMBER(F5305),E5305*F5305,"")</f>
        <v/>
      </c>
      <c r="H5305" s="72"/>
      <c r="I5305" s="73"/>
      <c r="J5305" s="152">
        <v>0</v>
      </c>
    </row>
    <row r="5306" spans="1:10" ht="26.25" hidden="1" thickBot="1" x14ac:dyDescent="0.3">
      <c r="A5306" s="171"/>
      <c r="B5306" s="174"/>
      <c r="C5306" s="35" t="s">
        <v>2950</v>
      </c>
      <c r="D5306" s="35" t="s">
        <v>385</v>
      </c>
      <c r="E5306" s="36">
        <v>1.0216000000000001</v>
      </c>
      <c r="F5306" s="30">
        <v>23.778500000000001</v>
      </c>
      <c r="G5306" s="53">
        <f>IF(ISNUMBER(F5306),E5306*F5306,"")</f>
        <v>24.292115600000002</v>
      </c>
      <c r="H5306" s="38">
        <f>SUM(G5306:G5308)</f>
        <v>35.020505499999999</v>
      </c>
      <c r="I5306" s="39"/>
      <c r="J5306" s="152">
        <v>0</v>
      </c>
    </row>
    <row r="5307" spans="1:10" ht="26.25" hidden="1" thickBot="1" x14ac:dyDescent="0.3">
      <c r="A5307" s="171"/>
      <c r="B5307" s="174"/>
      <c r="C5307" s="35" t="s">
        <v>824</v>
      </c>
      <c r="D5307" s="35" t="s">
        <v>583</v>
      </c>
      <c r="E5307" s="36">
        <v>9.7900000000000001E-2</v>
      </c>
      <c r="F5307" s="30">
        <v>21.166</v>
      </c>
      <c r="G5307" s="53">
        <f>IF(ISNUMBER(F5307),E5307*F5307,"")</f>
        <v>2.0721514000000001</v>
      </c>
      <c r="H5307" s="72"/>
      <c r="I5307" s="73"/>
      <c r="J5307" s="152">
        <v>0</v>
      </c>
    </row>
    <row r="5308" spans="1:10" ht="26.25" hidden="1" thickBot="1" x14ac:dyDescent="0.3">
      <c r="A5308" s="171"/>
      <c r="B5308" s="174"/>
      <c r="C5308" s="35" t="s">
        <v>825</v>
      </c>
      <c r="D5308" s="35" t="s">
        <v>583</v>
      </c>
      <c r="E5308" s="36">
        <v>0.32300000000000001</v>
      </c>
      <c r="F5308" s="30">
        <v>26.799499999999998</v>
      </c>
      <c r="G5308" s="53">
        <f>IF(ISNUMBER(F5308),E5308*F5308,"")</f>
        <v>8.6562384999999988</v>
      </c>
      <c r="H5308" s="72"/>
      <c r="I5308" s="73"/>
      <c r="J5308" s="152">
        <v>0</v>
      </c>
    </row>
    <row r="5309" spans="1:10" ht="15.75" hidden="1" thickBot="1" x14ac:dyDescent="0.3">
      <c r="A5309" s="172"/>
      <c r="B5309" s="175"/>
      <c r="C5309" s="54"/>
      <c r="D5309" s="155"/>
      <c r="E5309" s="65"/>
      <c r="F5309" s="75" t="s">
        <v>416</v>
      </c>
      <c r="G5309" s="75" t="str">
        <f>IF(ISNUMBER(F5309),E5309*F5309,"")</f>
        <v/>
      </c>
      <c r="H5309" s="76"/>
      <c r="I5309" s="73"/>
      <c r="J5309" s="152">
        <v>0</v>
      </c>
    </row>
    <row r="5310" spans="1:10" ht="15.75" hidden="1" thickBot="1" x14ac:dyDescent="0.3">
      <c r="A5310" s="170" t="s">
        <v>3265</v>
      </c>
      <c r="B5310" s="173" t="str">
        <f>INDEX(Orçamentária!A:B,MATCH(Composições!A5310,Orçamentária!A:A,0),2)</f>
        <v>Bloco autônomo de emergência 1000 lumens – fornecimento e instalação</v>
      </c>
      <c r="C5310" s="40"/>
      <c r="D5310" s="25" t="s">
        <v>16</v>
      </c>
      <c r="E5310" s="26"/>
      <c r="F5310" s="48" t="s">
        <v>416</v>
      </c>
      <c r="G5310" s="27" t="str">
        <f>IF(ISNUMBER(F5310),E5310*F5310,"")</f>
        <v/>
      </c>
      <c r="H5310" s="28"/>
      <c r="I5310" s="29"/>
      <c r="J5310" s="152">
        <v>0</v>
      </c>
    </row>
    <row r="5311" spans="1:10" ht="15.75" hidden="1" thickBot="1" x14ac:dyDescent="0.3">
      <c r="A5311" s="171"/>
      <c r="B5311" s="174"/>
      <c r="C5311" s="31"/>
      <c r="D5311" s="31"/>
      <c r="E5311" s="32"/>
      <c r="F5311" s="53" t="s">
        <v>416</v>
      </c>
      <c r="G5311" s="53" t="str">
        <f>IF(ISNUMBER(F5311),E5311*F5311,"")</f>
        <v/>
      </c>
      <c r="H5311" s="72"/>
      <c r="I5311" s="73"/>
      <c r="J5311" s="152">
        <v>0</v>
      </c>
    </row>
    <row r="5312" spans="1:10" ht="15.75" hidden="1" thickBot="1" x14ac:dyDescent="0.3">
      <c r="A5312" s="171"/>
      <c r="B5312" s="174"/>
      <c r="C5312" s="35" t="s">
        <v>5555</v>
      </c>
      <c r="D5312" s="35" t="s">
        <v>213</v>
      </c>
      <c r="E5312" s="36">
        <v>1</v>
      </c>
      <c r="F5312" s="30" t="s">
        <v>416</v>
      </c>
      <c r="G5312" s="53" t="str">
        <f>IF(ISNUMBER(F5312),E5312*F5312,"")</f>
        <v/>
      </c>
      <c r="H5312" s="38">
        <f>SUM(G5312:G5314)</f>
        <v>6.6108656999999997</v>
      </c>
      <c r="I5312" s="39"/>
      <c r="J5312" s="152">
        <v>0</v>
      </c>
    </row>
    <row r="5313" spans="1:10" ht="15.75" hidden="1" thickBot="1" x14ac:dyDescent="0.3">
      <c r="A5313" s="171"/>
      <c r="B5313" s="174"/>
      <c r="C5313" s="35" t="s">
        <v>1017</v>
      </c>
      <c r="D5313" s="35" t="s">
        <v>583</v>
      </c>
      <c r="E5313" s="36">
        <v>7.4800000000000005E-2</v>
      </c>
      <c r="F5313" s="30">
        <v>21.584</v>
      </c>
      <c r="G5313" s="53">
        <f>IF(ISNUMBER(F5313),E5313*F5313,"")</f>
        <v>1.6144832</v>
      </c>
      <c r="H5313" s="72"/>
      <c r="I5313" s="73"/>
      <c r="J5313" s="152">
        <v>0</v>
      </c>
    </row>
    <row r="5314" spans="1:10" ht="15.75" hidden="1" thickBot="1" x14ac:dyDescent="0.3">
      <c r="A5314" s="171"/>
      <c r="B5314" s="174"/>
      <c r="C5314" s="35" t="s">
        <v>1018</v>
      </c>
      <c r="D5314" s="35" t="s">
        <v>583</v>
      </c>
      <c r="E5314" s="36">
        <v>0.17949999999999999</v>
      </c>
      <c r="F5314" s="30">
        <v>27.835000000000001</v>
      </c>
      <c r="G5314" s="53">
        <f>IF(ISNUMBER(F5314),E5314*F5314,"")</f>
        <v>4.9963825000000002</v>
      </c>
      <c r="H5314" s="72"/>
      <c r="I5314" s="73"/>
      <c r="J5314" s="152">
        <v>0</v>
      </c>
    </row>
    <row r="5315" spans="1:10" ht="15.75" hidden="1" thickBot="1" x14ac:dyDescent="0.3">
      <c r="A5315" s="172"/>
      <c r="B5315" s="175"/>
      <c r="C5315" s="54"/>
      <c r="D5315" s="155"/>
      <c r="E5315" s="65"/>
      <c r="F5315" s="75" t="s">
        <v>416</v>
      </c>
      <c r="G5315" s="75" t="str">
        <f>IF(ISNUMBER(F5315),E5315*F5315,"")</f>
        <v/>
      </c>
      <c r="H5315" s="76"/>
      <c r="I5315" s="73"/>
      <c r="J5315" s="152">
        <v>0</v>
      </c>
    </row>
    <row r="5316" spans="1:10" ht="15.75" hidden="1" thickBot="1" x14ac:dyDescent="0.3">
      <c r="A5316" s="170" t="s">
        <v>3266</v>
      </c>
      <c r="B5316" s="173" t="str">
        <f>INDEX(Orçamentária!A:B,MATCH(Composições!A5316,Orçamentária!A:A,0),2)</f>
        <v>Cabo Ethernet blindado</v>
      </c>
      <c r="C5316" s="40"/>
      <c r="D5316" s="25" t="s">
        <v>69</v>
      </c>
      <c r="E5316" s="26"/>
      <c r="F5316" s="48" t="s">
        <v>416</v>
      </c>
      <c r="G5316" s="27" t="str">
        <f>IF(ISNUMBER(F5316),E5316*F5316,"")</f>
        <v/>
      </c>
      <c r="H5316" s="28"/>
      <c r="I5316" s="29"/>
      <c r="J5316" s="152">
        <v>0</v>
      </c>
    </row>
    <row r="5317" spans="1:10" ht="15.75" hidden="1" thickBot="1" x14ac:dyDescent="0.3">
      <c r="A5317" s="171"/>
      <c r="B5317" s="174"/>
      <c r="C5317" s="31"/>
      <c r="D5317" s="31"/>
      <c r="E5317" s="32"/>
      <c r="F5317" s="53" t="s">
        <v>416</v>
      </c>
      <c r="G5317" s="53" t="str">
        <f>IF(ISNUMBER(F5317),E5317*F5317,"")</f>
        <v/>
      </c>
      <c r="H5317" s="72"/>
      <c r="I5317" s="73"/>
      <c r="J5317" s="152">
        <v>0</v>
      </c>
    </row>
    <row r="5318" spans="1:10" ht="15.75" hidden="1" thickBot="1" x14ac:dyDescent="0.3">
      <c r="A5318" s="171"/>
      <c r="B5318" s="174"/>
      <c r="C5318" s="35" t="s">
        <v>5556</v>
      </c>
      <c r="D5318" s="35" t="s">
        <v>69</v>
      </c>
      <c r="E5318" s="36">
        <v>1.05</v>
      </c>
      <c r="F5318" s="30" t="s">
        <v>416</v>
      </c>
      <c r="G5318" s="53" t="str">
        <f>IF(ISNUMBER(F5318),E5318*F5318,"")</f>
        <v/>
      </c>
      <c r="H5318" s="38">
        <f>SUM(G5318:G5320)</f>
        <v>0.1383732</v>
      </c>
      <c r="I5318" s="39"/>
      <c r="J5318" s="152">
        <v>0</v>
      </c>
    </row>
    <row r="5319" spans="1:10" ht="15.75" hidden="1" thickBot="1" x14ac:dyDescent="0.3">
      <c r="A5319" s="171"/>
      <c r="B5319" s="174"/>
      <c r="C5319" s="35" t="s">
        <v>1017</v>
      </c>
      <c r="D5319" s="35" t="s">
        <v>583</v>
      </c>
      <c r="E5319" s="36">
        <v>2.8E-3</v>
      </c>
      <c r="F5319" s="30">
        <v>21.584</v>
      </c>
      <c r="G5319" s="53">
        <f>IF(ISNUMBER(F5319),E5319*F5319,"")</f>
        <v>6.0435200000000001E-2</v>
      </c>
      <c r="H5319" s="72"/>
      <c r="I5319" s="73"/>
      <c r="J5319" s="152">
        <v>0</v>
      </c>
    </row>
    <row r="5320" spans="1:10" ht="15.75" hidden="1" thickBot="1" x14ac:dyDescent="0.3">
      <c r="A5320" s="171"/>
      <c r="B5320" s="174"/>
      <c r="C5320" s="35" t="s">
        <v>1018</v>
      </c>
      <c r="D5320" s="35" t="s">
        <v>583</v>
      </c>
      <c r="E5320" s="36">
        <v>2.8E-3</v>
      </c>
      <c r="F5320" s="30">
        <v>27.835000000000001</v>
      </c>
      <c r="G5320" s="53">
        <f>IF(ISNUMBER(F5320),E5320*F5320,"")</f>
        <v>7.7938000000000007E-2</v>
      </c>
      <c r="H5320" s="72"/>
      <c r="I5320" s="73"/>
      <c r="J5320" s="152">
        <v>0</v>
      </c>
    </row>
    <row r="5321" spans="1:10" ht="15.75" hidden="1" thickBot="1" x14ac:dyDescent="0.3">
      <c r="A5321" s="171"/>
      <c r="B5321" s="174"/>
      <c r="C5321" s="35"/>
      <c r="D5321" s="46"/>
      <c r="E5321" s="36"/>
      <c r="F5321" s="53" t="s">
        <v>416</v>
      </c>
      <c r="G5321" s="53" t="str">
        <f>IF(ISNUMBER(F5321),E5321*F5321,"")</f>
        <v/>
      </c>
      <c r="H5321" s="72"/>
      <c r="I5321" s="73"/>
      <c r="J5321" s="152">
        <v>0</v>
      </c>
    </row>
    <row r="5322" spans="1:10" ht="15.75" hidden="1" thickBot="1" x14ac:dyDescent="0.3">
      <c r="A5322" s="170" t="s">
        <v>3267</v>
      </c>
      <c r="B5322" s="173" t="str">
        <f>INDEX(Orçamentária!A:B,MATCH(Composições!A5322,Orçamentária!A:A,0),2)</f>
        <v>Cabo de fibra óptica multimodo 12 fibras</v>
      </c>
      <c r="C5322" s="40"/>
      <c r="D5322" s="25" t="s">
        <v>69</v>
      </c>
      <c r="E5322" s="26"/>
      <c r="F5322" s="48" t="s">
        <v>416</v>
      </c>
      <c r="G5322" s="27" t="str">
        <f>IF(ISNUMBER(F5322),E5322*F5322,"")</f>
        <v/>
      </c>
      <c r="H5322" s="28"/>
      <c r="I5322" s="29"/>
      <c r="J5322" s="152">
        <v>0</v>
      </c>
    </row>
    <row r="5323" spans="1:10" ht="15.75" hidden="1" thickBot="1" x14ac:dyDescent="0.3">
      <c r="A5323" s="171"/>
      <c r="B5323" s="174"/>
      <c r="C5323" s="31"/>
      <c r="D5323" s="31"/>
      <c r="E5323" s="32"/>
      <c r="F5323" s="53" t="s">
        <v>416</v>
      </c>
      <c r="G5323" s="53" t="str">
        <f>IF(ISNUMBER(F5323),E5323*F5323,"")</f>
        <v/>
      </c>
      <c r="H5323" s="72"/>
      <c r="I5323" s="73"/>
      <c r="J5323" s="152">
        <v>0</v>
      </c>
    </row>
    <row r="5324" spans="1:10" ht="15.75" hidden="1" thickBot="1" x14ac:dyDescent="0.3">
      <c r="A5324" s="171"/>
      <c r="B5324" s="174"/>
      <c r="C5324" s="35" t="s">
        <v>5557</v>
      </c>
      <c r="D5324" s="35" t="s">
        <v>69</v>
      </c>
      <c r="E5324" s="36">
        <v>1.05</v>
      </c>
      <c r="F5324" s="30" t="s">
        <v>416</v>
      </c>
      <c r="G5324" s="53" t="str">
        <f>IF(ISNUMBER(F5324),E5324*F5324,"")</f>
        <v/>
      </c>
      <c r="H5324" s="38">
        <f>SUM(G5324:G5326)</f>
        <v>3.5136908999999998</v>
      </c>
      <c r="I5324" s="39"/>
      <c r="J5324" s="152">
        <v>0</v>
      </c>
    </row>
    <row r="5325" spans="1:10" ht="15.75" hidden="1" thickBot="1" x14ac:dyDescent="0.3">
      <c r="A5325" s="171"/>
      <c r="B5325" s="174"/>
      <c r="C5325" s="35" t="s">
        <v>1017</v>
      </c>
      <c r="D5325" s="35" t="s">
        <v>583</v>
      </c>
      <c r="E5325" s="36">
        <v>7.1099999999999997E-2</v>
      </c>
      <c r="F5325" s="30">
        <v>21.584</v>
      </c>
      <c r="G5325" s="53">
        <f>IF(ISNUMBER(F5325),E5325*F5325,"")</f>
        <v>1.5346223999999999</v>
      </c>
      <c r="H5325" s="72"/>
      <c r="I5325" s="73"/>
      <c r="J5325" s="152">
        <v>0</v>
      </c>
    </row>
    <row r="5326" spans="1:10" ht="15.75" hidden="1" thickBot="1" x14ac:dyDescent="0.3">
      <c r="A5326" s="171"/>
      <c r="B5326" s="174"/>
      <c r="C5326" s="35" t="s">
        <v>1018</v>
      </c>
      <c r="D5326" s="35" t="s">
        <v>583</v>
      </c>
      <c r="E5326" s="36">
        <v>7.1099999999999997E-2</v>
      </c>
      <c r="F5326" s="30">
        <v>27.835000000000001</v>
      </c>
      <c r="G5326" s="53">
        <f>IF(ISNUMBER(F5326),E5326*F5326,"")</f>
        <v>1.9790684999999999</v>
      </c>
      <c r="H5326" s="72"/>
      <c r="I5326" s="73"/>
      <c r="J5326" s="152">
        <v>0</v>
      </c>
    </row>
    <row r="5327" spans="1:10" ht="15.75" hidden="1" thickBot="1" x14ac:dyDescent="0.3">
      <c r="A5327" s="171"/>
      <c r="B5327" s="174"/>
      <c r="C5327" s="35"/>
      <c r="D5327" s="46"/>
      <c r="E5327" s="36"/>
      <c r="F5327" s="53" t="s">
        <v>416</v>
      </c>
      <c r="G5327" s="53" t="str">
        <f>IF(ISNUMBER(F5327),E5327*F5327,"")</f>
        <v/>
      </c>
      <c r="H5327" s="72"/>
      <c r="I5327" s="73"/>
      <c r="J5327" s="152">
        <v>0</v>
      </c>
    </row>
    <row r="5328" spans="1:10" ht="15.75" hidden="1" thickBot="1" x14ac:dyDescent="0.3">
      <c r="A5328" s="170" t="s">
        <v>3268</v>
      </c>
      <c r="B5328" s="173" t="str">
        <f>INDEX(Orçamentária!A:B,MATCH(Composições!A5328,Orçamentária!A:A,0),2)</f>
        <v>Cabos de cobre para comunicação CANbus</v>
      </c>
      <c r="C5328" s="40"/>
      <c r="D5328" s="25" t="s">
        <v>69</v>
      </c>
      <c r="E5328" s="26"/>
      <c r="F5328" s="48" t="s">
        <v>416</v>
      </c>
      <c r="G5328" s="27" t="str">
        <f>IF(ISNUMBER(F5328),E5328*F5328,"")</f>
        <v/>
      </c>
      <c r="H5328" s="28"/>
      <c r="I5328" s="29"/>
      <c r="J5328" s="152">
        <v>0</v>
      </c>
    </row>
    <row r="5329" spans="1:10" ht="15.75" hidden="1" thickBot="1" x14ac:dyDescent="0.3">
      <c r="A5329" s="171"/>
      <c r="B5329" s="174"/>
      <c r="C5329" s="31"/>
      <c r="D5329" s="31"/>
      <c r="E5329" s="32"/>
      <c r="F5329" s="53" t="s">
        <v>416</v>
      </c>
      <c r="G5329" s="53" t="str">
        <f>IF(ISNUMBER(F5329),E5329*F5329,"")</f>
        <v/>
      </c>
      <c r="H5329" s="72"/>
      <c r="I5329" s="73"/>
      <c r="J5329" s="152">
        <v>0</v>
      </c>
    </row>
    <row r="5330" spans="1:10" ht="15.75" hidden="1" thickBot="1" x14ac:dyDescent="0.3">
      <c r="A5330" s="171"/>
      <c r="B5330" s="174"/>
      <c r="C5330" s="35" t="s">
        <v>5558</v>
      </c>
      <c r="D5330" s="35" t="s">
        <v>69</v>
      </c>
      <c r="E5330" s="36">
        <v>1.05</v>
      </c>
      <c r="F5330" s="30" t="s">
        <v>416</v>
      </c>
      <c r="G5330" s="53" t="str">
        <f>IF(ISNUMBER(F5330),E5330*F5330,"")</f>
        <v/>
      </c>
      <c r="H5330" s="38">
        <f>SUM(G5330:G5332)</f>
        <v>0.1383732</v>
      </c>
      <c r="I5330" s="39"/>
      <c r="J5330" s="152">
        <v>0</v>
      </c>
    </row>
    <row r="5331" spans="1:10" ht="15.75" hidden="1" thickBot="1" x14ac:dyDescent="0.3">
      <c r="A5331" s="171"/>
      <c r="B5331" s="174"/>
      <c r="C5331" s="35" t="s">
        <v>1017</v>
      </c>
      <c r="D5331" s="35" t="s">
        <v>583</v>
      </c>
      <c r="E5331" s="36">
        <v>2.8E-3</v>
      </c>
      <c r="F5331" s="30">
        <v>21.584</v>
      </c>
      <c r="G5331" s="53">
        <f>IF(ISNUMBER(F5331),E5331*F5331,"")</f>
        <v>6.0435200000000001E-2</v>
      </c>
      <c r="H5331" s="72"/>
      <c r="I5331" s="73"/>
      <c r="J5331" s="152">
        <v>0</v>
      </c>
    </row>
    <row r="5332" spans="1:10" ht="15.75" hidden="1" thickBot="1" x14ac:dyDescent="0.3">
      <c r="A5332" s="171"/>
      <c r="B5332" s="174"/>
      <c r="C5332" s="35" t="s">
        <v>1018</v>
      </c>
      <c r="D5332" s="35" t="s">
        <v>583</v>
      </c>
      <c r="E5332" s="36">
        <v>2.8E-3</v>
      </c>
      <c r="F5332" s="30">
        <v>27.835000000000001</v>
      </c>
      <c r="G5332" s="53">
        <f>IF(ISNUMBER(F5332),E5332*F5332,"")</f>
        <v>7.7938000000000007E-2</v>
      </c>
      <c r="H5332" s="72"/>
      <c r="I5332" s="73"/>
      <c r="J5332" s="152">
        <v>0</v>
      </c>
    </row>
    <row r="5333" spans="1:10" ht="15.75" hidden="1" thickBot="1" x14ac:dyDescent="0.3">
      <c r="A5333" s="171"/>
      <c r="B5333" s="174"/>
      <c r="C5333" s="35"/>
      <c r="D5333" s="46"/>
      <c r="E5333" s="36"/>
      <c r="F5333" s="53" t="s">
        <v>416</v>
      </c>
      <c r="G5333" s="53" t="str">
        <f>IF(ISNUMBER(F5333),E5333*F5333,"")</f>
        <v/>
      </c>
      <c r="H5333" s="72"/>
      <c r="I5333" s="73"/>
      <c r="J5333" s="152">
        <v>0</v>
      </c>
    </row>
    <row r="5334" spans="1:10" ht="15.75" hidden="1" thickBot="1" x14ac:dyDescent="0.3">
      <c r="A5334" s="170" t="s">
        <v>3269</v>
      </c>
      <c r="B5334" s="173" t="str">
        <f>INDEX(Orçamentária!A:B,MATCH(Composições!A5334,Orçamentária!A:A,0),2)</f>
        <v>Cabos de cobre para comunicação padrão RS-485</v>
      </c>
      <c r="C5334" s="40"/>
      <c r="D5334" s="25" t="s">
        <v>69</v>
      </c>
      <c r="E5334" s="26"/>
      <c r="F5334" s="48" t="s">
        <v>416</v>
      </c>
      <c r="G5334" s="27" t="str">
        <f>IF(ISNUMBER(F5334),E5334*F5334,"")</f>
        <v/>
      </c>
      <c r="H5334" s="28"/>
      <c r="I5334" s="29"/>
      <c r="J5334" s="152">
        <v>0</v>
      </c>
    </row>
    <row r="5335" spans="1:10" ht="15.75" hidden="1" thickBot="1" x14ac:dyDescent="0.3">
      <c r="A5335" s="171"/>
      <c r="B5335" s="174"/>
      <c r="C5335" s="31"/>
      <c r="D5335" s="31"/>
      <c r="E5335" s="32"/>
      <c r="F5335" s="53" t="s">
        <v>416</v>
      </c>
      <c r="G5335" s="53" t="str">
        <f>IF(ISNUMBER(F5335),E5335*F5335,"")</f>
        <v/>
      </c>
      <c r="H5335" s="72"/>
      <c r="I5335" s="73"/>
      <c r="J5335" s="152">
        <v>0</v>
      </c>
    </row>
    <row r="5336" spans="1:10" ht="15.75" hidden="1" thickBot="1" x14ac:dyDescent="0.3">
      <c r="A5336" s="171"/>
      <c r="B5336" s="174"/>
      <c r="C5336" s="35" t="s">
        <v>5559</v>
      </c>
      <c r="D5336" s="35" t="s">
        <v>69</v>
      </c>
      <c r="E5336" s="36">
        <v>1.05</v>
      </c>
      <c r="F5336" s="30" t="s">
        <v>416</v>
      </c>
      <c r="G5336" s="53" t="str">
        <f>IF(ISNUMBER(F5336),E5336*F5336,"")</f>
        <v/>
      </c>
      <c r="H5336" s="38">
        <f>SUM(G5336:G5338)</f>
        <v>0.1383732</v>
      </c>
      <c r="I5336" s="39"/>
      <c r="J5336" s="152">
        <v>0</v>
      </c>
    </row>
    <row r="5337" spans="1:10" ht="15.75" hidden="1" thickBot="1" x14ac:dyDescent="0.3">
      <c r="A5337" s="171"/>
      <c r="B5337" s="174"/>
      <c r="C5337" s="35" t="s">
        <v>1017</v>
      </c>
      <c r="D5337" s="35" t="s">
        <v>583</v>
      </c>
      <c r="E5337" s="36">
        <v>2.8E-3</v>
      </c>
      <c r="F5337" s="30">
        <v>21.584</v>
      </c>
      <c r="G5337" s="53">
        <f>IF(ISNUMBER(F5337),E5337*F5337,"")</f>
        <v>6.0435200000000001E-2</v>
      </c>
      <c r="H5337" s="72"/>
      <c r="I5337" s="73"/>
      <c r="J5337" s="152">
        <v>0</v>
      </c>
    </row>
    <row r="5338" spans="1:10" ht="15.75" hidden="1" thickBot="1" x14ac:dyDescent="0.3">
      <c r="A5338" s="171"/>
      <c r="B5338" s="174"/>
      <c r="C5338" s="35" t="s">
        <v>1018</v>
      </c>
      <c r="D5338" s="35" t="s">
        <v>583</v>
      </c>
      <c r="E5338" s="36">
        <v>2.8E-3</v>
      </c>
      <c r="F5338" s="30">
        <v>27.835000000000001</v>
      </c>
      <c r="G5338" s="53">
        <f>IF(ISNUMBER(F5338),E5338*F5338,"")</f>
        <v>7.7938000000000007E-2</v>
      </c>
      <c r="H5338" s="72"/>
      <c r="I5338" s="73"/>
      <c r="J5338" s="152">
        <v>0</v>
      </c>
    </row>
    <row r="5339" spans="1:10" ht="15.75" hidden="1" thickBot="1" x14ac:dyDescent="0.3">
      <c r="A5339" s="171"/>
      <c r="B5339" s="174"/>
      <c r="C5339" s="35"/>
      <c r="D5339" s="46"/>
      <c r="E5339" s="36"/>
      <c r="F5339" s="53" t="s">
        <v>416</v>
      </c>
      <c r="G5339" s="53" t="str">
        <f>IF(ISNUMBER(F5339),E5339*F5339,"")</f>
        <v/>
      </c>
      <c r="H5339" s="72"/>
      <c r="I5339" s="73"/>
      <c r="J5339" s="152">
        <v>0</v>
      </c>
    </row>
    <row r="5340" spans="1:10" ht="15.75" hidden="1" thickBot="1" x14ac:dyDescent="0.3">
      <c r="A5340" s="170" t="s">
        <v>3270</v>
      </c>
      <c r="B5340" s="173" t="str">
        <f>INDEX(Orçamentária!A:B,MATCH(Composições!A5340,Orçamentária!A:A,0),2)</f>
        <v>Condulete de alumínio de 2”</v>
      </c>
      <c r="C5340" s="40"/>
      <c r="D5340" s="25" t="s">
        <v>16</v>
      </c>
      <c r="E5340" s="26"/>
      <c r="F5340" s="41" t="s">
        <v>416</v>
      </c>
      <c r="G5340" s="27" t="str">
        <f>IF(ISNUMBER(F5340),E5340*F5340,"")</f>
        <v/>
      </c>
      <c r="H5340" s="28"/>
      <c r="I5340" s="29"/>
      <c r="J5340" s="152">
        <v>0</v>
      </c>
    </row>
    <row r="5341" spans="1:10" ht="15.75" hidden="1" thickBot="1" x14ac:dyDescent="0.3">
      <c r="A5341" s="176"/>
      <c r="B5341" s="174"/>
      <c r="C5341" s="31"/>
      <c r="D5341" s="31"/>
      <c r="E5341" s="32"/>
      <c r="F5341" s="42" t="s">
        <v>416</v>
      </c>
      <c r="G5341" s="30" t="str">
        <f>IF(ISNUMBER(F5341),E5341*F5341,"")</f>
        <v/>
      </c>
      <c r="H5341" s="34"/>
      <c r="I5341" s="30"/>
      <c r="J5341" s="152">
        <v>0</v>
      </c>
    </row>
    <row r="5342" spans="1:10" ht="15.75" hidden="1" thickBot="1" x14ac:dyDescent="0.3">
      <c r="A5342" s="176"/>
      <c r="B5342" s="174"/>
      <c r="C5342" s="35" t="s">
        <v>1017</v>
      </c>
      <c r="D5342" s="35" t="s">
        <v>583</v>
      </c>
      <c r="E5342" s="36">
        <v>0.5121</v>
      </c>
      <c r="F5342" s="30">
        <v>21.584</v>
      </c>
      <c r="G5342" s="33">
        <f>IF(ISNUMBER(F5342),E5342*F5342,"")</f>
        <v>11.0531664</v>
      </c>
      <c r="H5342" s="38">
        <f>SUM(G5342:G5345)</f>
        <v>71.762469899999999</v>
      </c>
      <c r="I5342" s="39"/>
      <c r="J5342" s="152">
        <v>0</v>
      </c>
    </row>
    <row r="5343" spans="1:10" ht="15.75" hidden="1" thickBot="1" x14ac:dyDescent="0.3">
      <c r="A5343" s="176"/>
      <c r="B5343" s="174"/>
      <c r="C5343" s="35" t="s">
        <v>1018</v>
      </c>
      <c r="D5343" s="35" t="s">
        <v>583</v>
      </c>
      <c r="E5343" s="36">
        <v>0.5121</v>
      </c>
      <c r="F5343" s="30">
        <v>27.835000000000001</v>
      </c>
      <c r="G5343" s="33">
        <f>IF(ISNUMBER(F5343),E5343*F5343,"")</f>
        <v>14.254303500000001</v>
      </c>
      <c r="H5343" s="34"/>
      <c r="I5343" s="30"/>
      <c r="J5343" s="152">
        <v>0</v>
      </c>
    </row>
    <row r="5344" spans="1:10" ht="39" hidden="1" thickBot="1" x14ac:dyDescent="0.3">
      <c r="A5344" s="176"/>
      <c r="B5344" s="174"/>
      <c r="C5344" s="35" t="s">
        <v>8010</v>
      </c>
      <c r="D5344" s="35" t="s">
        <v>213</v>
      </c>
      <c r="E5344" s="36">
        <v>2</v>
      </c>
      <c r="F5344" s="33">
        <v>0.3705</v>
      </c>
      <c r="G5344" s="33">
        <f>IF(ISNUMBER(F5344),E5344*F5344,"")</f>
        <v>0.74099999999999999</v>
      </c>
      <c r="H5344" s="34"/>
      <c r="I5344" s="30"/>
      <c r="J5344" s="152">
        <v>0</v>
      </c>
    </row>
    <row r="5345" spans="1:10" ht="26.25" hidden="1" thickBot="1" x14ac:dyDescent="0.3">
      <c r="A5345" s="176"/>
      <c r="B5345" s="174"/>
      <c r="C5345" s="35" t="s">
        <v>8077</v>
      </c>
      <c r="D5345" s="35" t="s">
        <v>213</v>
      </c>
      <c r="E5345" s="36">
        <v>1</v>
      </c>
      <c r="F5345" s="33">
        <v>45.713999999999999</v>
      </c>
      <c r="G5345" s="30">
        <f>IF(ISNUMBER(F5345),E5345*F5345,"")</f>
        <v>45.713999999999999</v>
      </c>
      <c r="H5345" s="34"/>
      <c r="I5345" s="30"/>
      <c r="J5345" s="152">
        <v>0</v>
      </c>
    </row>
    <row r="5346" spans="1:10" ht="15.75" hidden="1" thickBot="1" x14ac:dyDescent="0.3">
      <c r="A5346" s="177"/>
      <c r="B5346" s="175"/>
      <c r="C5346" s="35"/>
      <c r="D5346" s="35"/>
      <c r="E5346" s="36"/>
      <c r="F5346" s="30" t="s">
        <v>416</v>
      </c>
      <c r="G5346" s="30" t="str">
        <f>IF(ISNUMBER(F5346),E5346*F5346,"")</f>
        <v/>
      </c>
      <c r="H5346" s="34"/>
      <c r="I5346" s="30"/>
      <c r="J5346" s="152">
        <v>0</v>
      </c>
    </row>
    <row r="5347" spans="1:10" ht="15.75" hidden="1" thickBot="1" x14ac:dyDescent="0.3">
      <c r="A5347" s="170" t="s">
        <v>3271</v>
      </c>
      <c r="B5347" s="173" t="str">
        <f>INDEX(Orçamentária!A:B,MATCH(Composições!A5347,Orçamentária!A:A,0),2)</f>
        <v>Cabo de potência, 8,7 kV / 15 kV, 95 mm²</v>
      </c>
      <c r="C5347" s="40"/>
      <c r="D5347" s="25" t="s">
        <v>69</v>
      </c>
      <c r="E5347" s="26"/>
      <c r="F5347" s="41" t="s">
        <v>416</v>
      </c>
      <c r="G5347" s="27" t="str">
        <f>IF(ISNUMBER(F5347),E5347*F5347,"")</f>
        <v/>
      </c>
      <c r="H5347" s="28"/>
      <c r="I5347" s="29"/>
      <c r="J5347" s="152">
        <v>0</v>
      </c>
    </row>
    <row r="5348" spans="1:10" ht="15.75" hidden="1" thickBot="1" x14ac:dyDescent="0.3">
      <c r="A5348" s="176"/>
      <c r="B5348" s="174"/>
      <c r="C5348" s="31"/>
      <c r="D5348" s="31"/>
      <c r="E5348" s="32"/>
      <c r="F5348" s="42" t="s">
        <v>416</v>
      </c>
      <c r="G5348" s="30" t="str">
        <f>IF(ISNUMBER(F5348),E5348*F5348,"")</f>
        <v/>
      </c>
      <c r="H5348" s="34"/>
      <c r="I5348" s="30"/>
      <c r="J5348" s="152">
        <v>0</v>
      </c>
    </row>
    <row r="5349" spans="1:10" ht="15.75" hidden="1" thickBot="1" x14ac:dyDescent="0.3">
      <c r="A5349" s="176"/>
      <c r="B5349" s="174"/>
      <c r="C5349" s="35" t="s">
        <v>1017</v>
      </c>
      <c r="D5349" s="35" t="s">
        <v>583</v>
      </c>
      <c r="E5349" s="36">
        <v>0.128</v>
      </c>
      <c r="F5349" s="30">
        <v>21.584</v>
      </c>
      <c r="G5349" s="33">
        <f>IF(ISNUMBER(F5349),E5349*F5349,"")</f>
        <v>2.7627519999999999</v>
      </c>
      <c r="H5349" s="38">
        <f>SUM(G5349:G5352)</f>
        <v>6.3608580000000003</v>
      </c>
      <c r="I5349" s="39"/>
      <c r="J5349" s="152">
        <v>0</v>
      </c>
    </row>
    <row r="5350" spans="1:10" ht="15.75" hidden="1" thickBot="1" x14ac:dyDescent="0.3">
      <c r="A5350" s="176"/>
      <c r="B5350" s="174"/>
      <c r="C5350" s="35" t="s">
        <v>1018</v>
      </c>
      <c r="D5350" s="35" t="s">
        <v>583</v>
      </c>
      <c r="E5350" s="36">
        <v>0.128</v>
      </c>
      <c r="F5350" s="30">
        <v>27.835000000000001</v>
      </c>
      <c r="G5350" s="33">
        <f>IF(ISNUMBER(F5350),E5350*F5350,"")</f>
        <v>3.5628800000000003</v>
      </c>
      <c r="H5350" s="34"/>
      <c r="I5350" s="30"/>
      <c r="J5350" s="152">
        <v>0</v>
      </c>
    </row>
    <row r="5351" spans="1:10" ht="26.25" hidden="1" thickBot="1" x14ac:dyDescent="0.3">
      <c r="A5351" s="176"/>
      <c r="B5351" s="174"/>
      <c r="C5351" s="35" t="s">
        <v>8169</v>
      </c>
      <c r="D5351" s="35" t="s">
        <v>213</v>
      </c>
      <c r="E5351" s="36">
        <v>8.9999999999999993E-3</v>
      </c>
      <c r="F5351" s="33">
        <v>3.9139999999999997</v>
      </c>
      <c r="G5351" s="33">
        <f>IF(ISNUMBER(F5351),E5351*F5351,"")</f>
        <v>3.5225999999999993E-2</v>
      </c>
      <c r="H5351" s="34"/>
      <c r="I5351" s="30"/>
      <c r="J5351" s="152">
        <v>0</v>
      </c>
    </row>
    <row r="5352" spans="1:10" ht="15.75" hidden="1" thickBot="1" x14ac:dyDescent="0.3">
      <c r="A5352" s="176"/>
      <c r="B5352" s="174"/>
      <c r="C5352" s="35" t="s">
        <v>5560</v>
      </c>
      <c r="D5352" s="35" t="s">
        <v>69</v>
      </c>
      <c r="E5352" s="36">
        <v>1.0149999999999999</v>
      </c>
      <c r="F5352" s="33" t="s">
        <v>416</v>
      </c>
      <c r="G5352" s="30" t="str">
        <f>IF(ISNUMBER(F5352),E5352*F5352,"")</f>
        <v/>
      </c>
      <c r="H5352" s="34"/>
      <c r="I5352" s="30"/>
      <c r="J5352" s="152">
        <v>0</v>
      </c>
    </row>
    <row r="5353" spans="1:10" ht="15.75" hidden="1" thickBot="1" x14ac:dyDescent="0.3">
      <c r="A5353" s="177"/>
      <c r="B5353" s="175"/>
      <c r="C5353" s="35"/>
      <c r="D5353" s="35"/>
      <c r="E5353" s="36"/>
      <c r="F5353" s="30" t="s">
        <v>416</v>
      </c>
      <c r="G5353" s="30" t="str">
        <f>IF(ISNUMBER(F5353),E5353*F5353,"")</f>
        <v/>
      </c>
      <c r="H5353" s="34"/>
      <c r="I5353" s="30"/>
      <c r="J5353" s="152">
        <v>0</v>
      </c>
    </row>
    <row r="5354" spans="1:10" ht="15.75" hidden="1" thickBot="1" x14ac:dyDescent="0.3">
      <c r="A5354" s="170" t="s">
        <v>3272</v>
      </c>
      <c r="B5354" s="173" t="str">
        <f>INDEX(Orçamentária!A:B,MATCH(Composições!A5354,Orçamentária!A:A,0),2)</f>
        <v>Cabo de potência, 8,7 kV / 15 kV, 240 mm²</v>
      </c>
      <c r="C5354" s="40"/>
      <c r="D5354" s="25" t="s">
        <v>69</v>
      </c>
      <c r="E5354" s="26"/>
      <c r="F5354" s="41" t="s">
        <v>416</v>
      </c>
      <c r="G5354" s="27" t="str">
        <f>IF(ISNUMBER(F5354),E5354*F5354,"")</f>
        <v/>
      </c>
      <c r="H5354" s="28"/>
      <c r="I5354" s="29"/>
      <c r="J5354" s="152">
        <v>0</v>
      </c>
    </row>
    <row r="5355" spans="1:10" ht="15.75" hidden="1" thickBot="1" x14ac:dyDescent="0.3">
      <c r="A5355" s="176"/>
      <c r="B5355" s="174"/>
      <c r="C5355" s="31"/>
      <c r="D5355" s="31"/>
      <c r="E5355" s="32"/>
      <c r="F5355" s="42" t="s">
        <v>416</v>
      </c>
      <c r="G5355" s="30" t="str">
        <f>IF(ISNUMBER(F5355),E5355*F5355,"")</f>
        <v/>
      </c>
      <c r="H5355" s="34"/>
      <c r="I5355" s="30"/>
      <c r="J5355" s="152">
        <v>0</v>
      </c>
    </row>
    <row r="5356" spans="1:10" ht="15.75" hidden="1" thickBot="1" x14ac:dyDescent="0.3">
      <c r="A5356" s="176"/>
      <c r="B5356" s="174"/>
      <c r="C5356" s="35" t="s">
        <v>1017</v>
      </c>
      <c r="D5356" s="35" t="s">
        <v>583</v>
      </c>
      <c r="E5356" s="36">
        <v>0.26300000000000001</v>
      </c>
      <c r="F5356" s="30">
        <v>21.584</v>
      </c>
      <c r="G5356" s="33">
        <f>IF(ISNUMBER(F5356),E5356*F5356,"")</f>
        <v>5.6765920000000003</v>
      </c>
      <c r="H5356" s="38">
        <f>SUM(G5356:G5359)</f>
        <v>13.032423</v>
      </c>
      <c r="I5356" s="39"/>
      <c r="J5356" s="152">
        <v>0</v>
      </c>
    </row>
    <row r="5357" spans="1:10" ht="15.75" hidden="1" thickBot="1" x14ac:dyDescent="0.3">
      <c r="A5357" s="176"/>
      <c r="B5357" s="174"/>
      <c r="C5357" s="35" t="s">
        <v>1018</v>
      </c>
      <c r="D5357" s="35" t="s">
        <v>583</v>
      </c>
      <c r="E5357" s="36">
        <v>0.26300000000000001</v>
      </c>
      <c r="F5357" s="30">
        <v>27.835000000000001</v>
      </c>
      <c r="G5357" s="33">
        <f>IF(ISNUMBER(F5357),E5357*F5357,"")</f>
        <v>7.3206050000000005</v>
      </c>
      <c r="H5357" s="34"/>
      <c r="I5357" s="30"/>
      <c r="J5357" s="152">
        <v>0</v>
      </c>
    </row>
    <row r="5358" spans="1:10" ht="26.25" hidden="1" thickBot="1" x14ac:dyDescent="0.3">
      <c r="A5358" s="176"/>
      <c r="B5358" s="174"/>
      <c r="C5358" s="35" t="s">
        <v>8169</v>
      </c>
      <c r="D5358" s="35" t="s">
        <v>213</v>
      </c>
      <c r="E5358" s="36">
        <v>8.9999999999999993E-3</v>
      </c>
      <c r="F5358" s="33">
        <v>3.9139999999999997</v>
      </c>
      <c r="G5358" s="33">
        <f>IF(ISNUMBER(F5358),E5358*F5358,"")</f>
        <v>3.5225999999999993E-2</v>
      </c>
      <c r="H5358" s="34"/>
      <c r="I5358" s="30"/>
      <c r="J5358" s="152">
        <v>0</v>
      </c>
    </row>
    <row r="5359" spans="1:10" ht="15.75" hidden="1" thickBot="1" x14ac:dyDescent="0.3">
      <c r="A5359" s="176"/>
      <c r="B5359" s="174"/>
      <c r="C5359" s="35" t="s">
        <v>5561</v>
      </c>
      <c r="D5359" s="35" t="s">
        <v>69</v>
      </c>
      <c r="E5359" s="36">
        <v>1.0149999999999999</v>
      </c>
      <c r="F5359" s="33" t="s">
        <v>416</v>
      </c>
      <c r="G5359" s="30" t="str">
        <f>IF(ISNUMBER(F5359),E5359*F5359,"")</f>
        <v/>
      </c>
      <c r="H5359" s="34"/>
      <c r="I5359" s="30"/>
      <c r="J5359" s="152">
        <v>0</v>
      </c>
    </row>
    <row r="5360" spans="1:10" ht="15.75" hidden="1" thickBot="1" x14ac:dyDescent="0.3">
      <c r="A5360" s="177"/>
      <c r="B5360" s="175"/>
      <c r="C5360" s="35"/>
      <c r="D5360" s="35"/>
      <c r="E5360" s="36"/>
      <c r="F5360" s="30" t="s">
        <v>416</v>
      </c>
      <c r="G5360" s="30" t="str">
        <f>IF(ISNUMBER(F5360),E5360*F5360,"")</f>
        <v/>
      </c>
      <c r="H5360" s="34"/>
      <c r="I5360" s="30"/>
      <c r="J5360" s="152">
        <v>0</v>
      </c>
    </row>
    <row r="5361" spans="1:10" ht="15.75" hidden="1" thickBot="1" x14ac:dyDescent="0.3">
      <c r="A5361" s="170" t="s">
        <v>3273</v>
      </c>
      <c r="B5361" s="173" t="str">
        <f>INDEX(Orçamentária!A:B,MATCH(Composições!A5361,Orçamentária!A:A,0),2)</f>
        <v>Distribuidor Interno Óptico Industrial – fornecimento e instalação</v>
      </c>
      <c r="C5361" s="40"/>
      <c r="D5361" s="25" t="s">
        <v>16</v>
      </c>
      <c r="E5361" s="26"/>
      <c r="F5361" s="48" t="s">
        <v>416</v>
      </c>
      <c r="G5361" s="27" t="str">
        <f>IF(ISNUMBER(F5361),E5361*F5361,"")</f>
        <v/>
      </c>
      <c r="H5361" s="28"/>
      <c r="I5361" s="29"/>
      <c r="J5361" s="152">
        <v>0</v>
      </c>
    </row>
    <row r="5362" spans="1:10" ht="15.75" hidden="1" thickBot="1" x14ac:dyDescent="0.3">
      <c r="A5362" s="171"/>
      <c r="B5362" s="174"/>
      <c r="C5362" s="31"/>
      <c r="D5362" s="31"/>
      <c r="E5362" s="32"/>
      <c r="F5362" s="53" t="s">
        <v>416</v>
      </c>
      <c r="G5362" s="53" t="str">
        <f>IF(ISNUMBER(F5362),E5362*F5362,"")</f>
        <v/>
      </c>
      <c r="H5362" s="72"/>
      <c r="I5362" s="73"/>
      <c r="J5362" s="152">
        <v>0</v>
      </c>
    </row>
    <row r="5363" spans="1:10" ht="15.75" hidden="1" thickBot="1" x14ac:dyDescent="0.3">
      <c r="A5363" s="171"/>
      <c r="B5363" s="174"/>
      <c r="C5363" s="35" t="s">
        <v>5562</v>
      </c>
      <c r="D5363" s="35" t="s">
        <v>16</v>
      </c>
      <c r="E5363" s="36">
        <v>1</v>
      </c>
      <c r="F5363" s="30" t="s">
        <v>416</v>
      </c>
      <c r="G5363" s="53" t="str">
        <f>IF(ISNUMBER(F5363),E5363*F5363,"")</f>
        <v/>
      </c>
      <c r="H5363" s="38">
        <f>SUM(G5363:G5365)</f>
        <v>123.54750000000001</v>
      </c>
      <c r="I5363" s="39"/>
      <c r="J5363" s="152">
        <v>0</v>
      </c>
    </row>
    <row r="5364" spans="1:10" ht="15.75" hidden="1" thickBot="1" x14ac:dyDescent="0.3">
      <c r="A5364" s="171"/>
      <c r="B5364" s="174"/>
      <c r="C5364" s="35" t="s">
        <v>1017</v>
      </c>
      <c r="D5364" s="35" t="s">
        <v>583</v>
      </c>
      <c r="E5364" s="36">
        <v>2.5</v>
      </c>
      <c r="F5364" s="30">
        <v>21.584</v>
      </c>
      <c r="G5364" s="53">
        <f>IF(ISNUMBER(F5364),E5364*F5364,"")</f>
        <v>53.96</v>
      </c>
      <c r="H5364" s="72"/>
      <c r="I5364" s="73"/>
      <c r="J5364" s="152">
        <v>0</v>
      </c>
    </row>
    <row r="5365" spans="1:10" ht="15.75" hidden="1" thickBot="1" x14ac:dyDescent="0.3">
      <c r="A5365" s="171"/>
      <c r="B5365" s="174"/>
      <c r="C5365" s="35" t="s">
        <v>1018</v>
      </c>
      <c r="D5365" s="35" t="s">
        <v>583</v>
      </c>
      <c r="E5365" s="36">
        <v>2.5</v>
      </c>
      <c r="F5365" s="30">
        <v>27.835000000000001</v>
      </c>
      <c r="G5365" s="53">
        <f>IF(ISNUMBER(F5365),E5365*F5365,"")</f>
        <v>69.587500000000006</v>
      </c>
      <c r="H5365" s="72"/>
      <c r="I5365" s="73"/>
      <c r="J5365" s="152">
        <v>0</v>
      </c>
    </row>
    <row r="5366" spans="1:10" ht="15.75" hidden="1" thickBot="1" x14ac:dyDescent="0.3">
      <c r="A5366" s="171"/>
      <c r="B5366" s="174"/>
      <c r="C5366" s="35"/>
      <c r="D5366" s="46"/>
      <c r="E5366" s="36"/>
      <c r="F5366" s="53" t="s">
        <v>416</v>
      </c>
      <c r="G5366" s="53" t="str">
        <f>IF(ISNUMBER(F5366),E5366*F5366,"")</f>
        <v/>
      </c>
      <c r="H5366" s="72"/>
      <c r="I5366" s="73"/>
      <c r="J5366" s="152">
        <v>0</v>
      </c>
    </row>
    <row r="5367" spans="1:10" ht="15.75" hidden="1" thickBot="1" x14ac:dyDescent="0.3">
      <c r="A5367" s="170" t="s">
        <v>3274</v>
      </c>
      <c r="B5367" s="173" t="str">
        <f>INDEX(Orçamentária!A:B,MATCH(Composições!A5367,Orçamentária!A:A,0),2)</f>
        <v>Eletroduto PEAD 5”</v>
      </c>
      <c r="C5367" s="40"/>
      <c r="D5367" s="25" t="s">
        <v>69</v>
      </c>
      <c r="E5367" s="26"/>
      <c r="F5367" s="41" t="s">
        <v>416</v>
      </c>
      <c r="G5367" s="27" t="str">
        <f>IF(ISNUMBER(F5367),E5367*F5367,"")</f>
        <v/>
      </c>
      <c r="H5367" s="28"/>
      <c r="I5367" s="29"/>
      <c r="J5367" s="152">
        <v>0</v>
      </c>
    </row>
    <row r="5368" spans="1:10" ht="15.75" hidden="1" thickBot="1" x14ac:dyDescent="0.3">
      <c r="A5368" s="176"/>
      <c r="B5368" s="174"/>
      <c r="C5368" s="31"/>
      <c r="D5368" s="31"/>
      <c r="E5368" s="32"/>
      <c r="F5368" s="42" t="s">
        <v>416</v>
      </c>
      <c r="G5368" s="30" t="str">
        <f>IF(ISNUMBER(F5368),E5368*F5368,"")</f>
        <v/>
      </c>
      <c r="H5368" s="34"/>
      <c r="I5368" s="30"/>
      <c r="J5368" s="152">
        <v>0</v>
      </c>
    </row>
    <row r="5369" spans="1:10" ht="39" hidden="1" thickBot="1" x14ac:dyDescent="0.3">
      <c r="A5369" s="176"/>
      <c r="B5369" s="174"/>
      <c r="C5369" s="35" t="s">
        <v>5563</v>
      </c>
      <c r="D5369" s="35" t="s">
        <v>385</v>
      </c>
      <c r="E5369" s="36">
        <v>1.1000000000000001</v>
      </c>
      <c r="F5369" s="30">
        <v>0</v>
      </c>
      <c r="G5369" s="33">
        <f>IF(ISNUMBER(F5369),E5369*F5369,"")</f>
        <v>0</v>
      </c>
      <c r="H5369" s="38">
        <f>SUM(G5369:G5371)</f>
        <v>11.36637</v>
      </c>
      <c r="I5369" s="39"/>
      <c r="J5369" s="152">
        <v>0</v>
      </c>
    </row>
    <row r="5370" spans="1:10" ht="15.75" hidden="1" thickBot="1" x14ac:dyDescent="0.3">
      <c r="A5370" s="176"/>
      <c r="B5370" s="174"/>
      <c r="C5370" s="35" t="s">
        <v>1017</v>
      </c>
      <c r="D5370" s="35" t="s">
        <v>583</v>
      </c>
      <c r="E5370" s="36">
        <v>0.23</v>
      </c>
      <c r="F5370" s="30">
        <v>21.584</v>
      </c>
      <c r="G5370" s="33">
        <f>IF(ISNUMBER(F5370),E5370*F5370,"")</f>
        <v>4.9643199999999998</v>
      </c>
      <c r="H5370" s="34"/>
      <c r="I5370" s="30"/>
      <c r="J5370" s="152">
        <v>0</v>
      </c>
    </row>
    <row r="5371" spans="1:10" ht="15.75" hidden="1" thickBot="1" x14ac:dyDescent="0.3">
      <c r="A5371" s="176"/>
      <c r="B5371" s="174"/>
      <c r="C5371" s="35" t="s">
        <v>1018</v>
      </c>
      <c r="D5371" s="35" t="s">
        <v>583</v>
      </c>
      <c r="E5371" s="36">
        <v>0.23</v>
      </c>
      <c r="F5371" s="33">
        <v>27.835000000000001</v>
      </c>
      <c r="G5371" s="30">
        <f>IF(ISNUMBER(F5371),E5371*F5371,"")</f>
        <v>6.4020500000000009</v>
      </c>
      <c r="H5371" s="34"/>
      <c r="I5371" s="30"/>
      <c r="J5371" s="152">
        <v>0</v>
      </c>
    </row>
    <row r="5372" spans="1:10" ht="15.75" hidden="1" thickBot="1" x14ac:dyDescent="0.3">
      <c r="A5372" s="177"/>
      <c r="B5372" s="175"/>
      <c r="C5372" s="35"/>
      <c r="D5372" s="35"/>
      <c r="E5372" s="36"/>
      <c r="F5372" s="30" t="s">
        <v>416</v>
      </c>
      <c r="G5372" s="30" t="str">
        <f>IF(ISNUMBER(F5372),E5372*F5372,"")</f>
        <v/>
      </c>
      <c r="H5372" s="34"/>
      <c r="I5372" s="30"/>
      <c r="J5372" s="152">
        <v>0</v>
      </c>
    </row>
    <row r="5373" spans="1:10" ht="15.75" hidden="1" thickBot="1" x14ac:dyDescent="0.3">
      <c r="A5373" s="170" t="s">
        <v>3276</v>
      </c>
      <c r="B5373" s="173" t="str">
        <f>INDEX(Orçamentária!A:B,MATCH(Composições!A5373,Orçamentária!A:A,0),2)</f>
        <v>Interruptor duplo para condulete</v>
      </c>
      <c r="C5373" s="40"/>
      <c r="D5373" s="25" t="s">
        <v>16</v>
      </c>
      <c r="E5373" s="26"/>
      <c r="F5373" s="41" t="s">
        <v>416</v>
      </c>
      <c r="G5373" s="27" t="str">
        <f>IF(ISNUMBER(F5373),E5373*F5373,"")</f>
        <v/>
      </c>
      <c r="H5373" s="28"/>
      <c r="I5373" s="29"/>
      <c r="J5373" s="152">
        <v>0</v>
      </c>
    </row>
    <row r="5374" spans="1:10" ht="15.75" hidden="1" thickBot="1" x14ac:dyDescent="0.3">
      <c r="A5374" s="176"/>
      <c r="B5374" s="174"/>
      <c r="C5374" s="31"/>
      <c r="D5374" s="31"/>
      <c r="E5374" s="32"/>
      <c r="F5374" s="42" t="s">
        <v>416</v>
      </c>
      <c r="G5374" s="30" t="str">
        <f>IF(ISNUMBER(F5374),E5374*F5374,"")</f>
        <v/>
      </c>
      <c r="H5374" s="34"/>
      <c r="I5374" s="30"/>
      <c r="J5374" s="152">
        <v>0</v>
      </c>
    </row>
    <row r="5375" spans="1:10" ht="15.75" hidden="1" thickBot="1" x14ac:dyDescent="0.3">
      <c r="A5375" s="176"/>
      <c r="B5375" s="174"/>
      <c r="C5375" s="35" t="s">
        <v>1018</v>
      </c>
      <c r="D5375" s="35" t="s">
        <v>583</v>
      </c>
      <c r="E5375" s="36">
        <f>0.3/2</f>
        <v>0.15</v>
      </c>
      <c r="F5375" s="30">
        <v>27.835000000000001</v>
      </c>
      <c r="G5375" s="33">
        <f>IF(ISNUMBER(F5375),E5375*F5375,"")</f>
        <v>4.1752500000000001</v>
      </c>
      <c r="H5375" s="38">
        <f>SUM(G5375:G5378)</f>
        <v>13.62285</v>
      </c>
      <c r="I5375" s="39"/>
      <c r="J5375" s="152">
        <v>0</v>
      </c>
    </row>
    <row r="5376" spans="1:10" ht="15.75" hidden="1" thickBot="1" x14ac:dyDescent="0.3">
      <c r="A5376" s="176"/>
      <c r="B5376" s="174"/>
      <c r="C5376" s="35" t="s">
        <v>1017</v>
      </c>
      <c r="D5376" s="35" t="s">
        <v>583</v>
      </c>
      <c r="E5376" s="36">
        <f>0.3/2</f>
        <v>0.15</v>
      </c>
      <c r="F5376" s="30">
        <v>21.584</v>
      </c>
      <c r="G5376" s="33">
        <f>IF(ISNUMBER(F5376),E5376*F5376,"")</f>
        <v>3.2376</v>
      </c>
      <c r="H5376" s="34"/>
      <c r="I5376" s="30"/>
      <c r="J5376" s="152">
        <v>0</v>
      </c>
    </row>
    <row r="5377" spans="1:10" ht="26.25" hidden="1" thickBot="1" x14ac:dyDescent="0.3">
      <c r="A5377" s="176"/>
      <c r="B5377" s="174"/>
      <c r="C5377" s="35" t="s">
        <v>403</v>
      </c>
      <c r="D5377" s="35" t="s">
        <v>16</v>
      </c>
      <c r="E5377" s="36">
        <v>1</v>
      </c>
      <c r="F5377" s="33">
        <v>6.21</v>
      </c>
      <c r="G5377" s="33">
        <f>IF(ISNUMBER(F5377),E5377*F5377,"")</f>
        <v>6.21</v>
      </c>
      <c r="H5377" s="34"/>
      <c r="I5377" s="30"/>
      <c r="J5377" s="152">
        <v>0</v>
      </c>
    </row>
    <row r="5378" spans="1:10" ht="26.25" hidden="1" thickBot="1" x14ac:dyDescent="0.3">
      <c r="A5378" s="176"/>
      <c r="B5378" s="174"/>
      <c r="C5378" s="35" t="s">
        <v>5564</v>
      </c>
      <c r="D5378" s="35" t="s">
        <v>16</v>
      </c>
      <c r="E5378" s="36">
        <v>1</v>
      </c>
      <c r="F5378" s="33" t="s">
        <v>416</v>
      </c>
      <c r="G5378" s="30" t="str">
        <f>IF(ISNUMBER(F5378),E5378*F5378,"")</f>
        <v/>
      </c>
      <c r="H5378" s="34"/>
      <c r="I5378" s="30"/>
      <c r="J5378" s="152">
        <v>0</v>
      </c>
    </row>
    <row r="5379" spans="1:10" ht="15.75" hidden="1" thickBot="1" x14ac:dyDescent="0.3">
      <c r="A5379" s="177"/>
      <c r="B5379" s="175"/>
      <c r="C5379" s="35"/>
      <c r="D5379" s="35"/>
      <c r="E5379" s="36"/>
      <c r="F5379" s="30" t="s">
        <v>416</v>
      </c>
      <c r="G5379" s="30" t="str">
        <f>IF(ISNUMBER(F5379),E5379*F5379,"")</f>
        <v/>
      </c>
      <c r="H5379" s="34"/>
      <c r="I5379" s="30"/>
      <c r="J5379" s="152">
        <v>0</v>
      </c>
    </row>
    <row r="5380" spans="1:10" ht="15.75" hidden="1" thickBot="1" x14ac:dyDescent="0.3">
      <c r="A5380" s="170" t="s">
        <v>3277</v>
      </c>
      <c r="B5380" s="173" t="str">
        <f>INDEX(Orçamentária!A:B,MATCH(Composições!A5380,Orçamentária!A:A,0),2)</f>
        <v>Leito 400 x 100 mm</v>
      </c>
      <c r="C5380" s="40"/>
      <c r="D5380" s="25" t="s">
        <v>69</v>
      </c>
      <c r="E5380" s="26"/>
      <c r="F5380" s="41" t="s">
        <v>416</v>
      </c>
      <c r="G5380" s="27" t="str">
        <f>IF(ISNUMBER(F5380),E5380*F5380,"")</f>
        <v/>
      </c>
      <c r="H5380" s="28"/>
      <c r="I5380" s="29"/>
      <c r="J5380" s="152">
        <v>0</v>
      </c>
    </row>
    <row r="5381" spans="1:10" ht="15.75" hidden="1" thickBot="1" x14ac:dyDescent="0.3">
      <c r="A5381" s="176"/>
      <c r="B5381" s="174"/>
      <c r="C5381" s="31"/>
      <c r="D5381" s="31"/>
      <c r="E5381" s="32"/>
      <c r="F5381" s="42" t="s">
        <v>416</v>
      </c>
      <c r="G5381" s="30" t="str">
        <f>IF(ISNUMBER(F5381),E5381*F5381,"")</f>
        <v/>
      </c>
      <c r="H5381" s="34"/>
      <c r="I5381" s="30"/>
      <c r="J5381" s="152">
        <v>0</v>
      </c>
    </row>
    <row r="5382" spans="1:10" ht="15.75" hidden="1" thickBot="1" x14ac:dyDescent="0.3">
      <c r="A5382" s="176"/>
      <c r="B5382" s="174"/>
      <c r="C5382" s="35" t="s">
        <v>1018</v>
      </c>
      <c r="D5382" s="35" t="s">
        <v>583</v>
      </c>
      <c r="E5382" s="36">
        <v>0.6</v>
      </c>
      <c r="F5382" s="30">
        <v>27.835000000000001</v>
      </c>
      <c r="G5382" s="33">
        <f>IF(ISNUMBER(F5382),E5382*F5382,"")</f>
        <v>16.701000000000001</v>
      </c>
      <c r="H5382" s="38">
        <f>SUM(G5382:G5384)</f>
        <v>29.651400000000002</v>
      </c>
      <c r="I5382" s="39"/>
      <c r="J5382" s="152">
        <v>0</v>
      </c>
    </row>
    <row r="5383" spans="1:10" ht="15.75" hidden="1" thickBot="1" x14ac:dyDescent="0.3">
      <c r="A5383" s="176"/>
      <c r="B5383" s="174"/>
      <c r="C5383" s="35" t="s">
        <v>1017</v>
      </c>
      <c r="D5383" s="35" t="s">
        <v>583</v>
      </c>
      <c r="E5383" s="36">
        <v>0.6</v>
      </c>
      <c r="F5383" s="30">
        <v>21.584</v>
      </c>
      <c r="G5383" s="33">
        <f>IF(ISNUMBER(F5383),E5383*F5383,"")</f>
        <v>12.9504</v>
      </c>
      <c r="H5383" s="34"/>
      <c r="I5383" s="30"/>
      <c r="J5383" s="152">
        <v>0</v>
      </c>
    </row>
    <row r="5384" spans="1:10" ht="26.25" hidden="1" thickBot="1" x14ac:dyDescent="0.3">
      <c r="A5384" s="176"/>
      <c r="B5384" s="174"/>
      <c r="C5384" s="35" t="s">
        <v>5565</v>
      </c>
      <c r="D5384" s="35" t="s">
        <v>69</v>
      </c>
      <c r="E5384" s="36">
        <v>1.05</v>
      </c>
      <c r="F5384" s="30" t="s">
        <v>416</v>
      </c>
      <c r="G5384" s="33" t="str">
        <f>IF(ISNUMBER(F5384),E5384*F5384,"")</f>
        <v/>
      </c>
      <c r="H5384" s="34"/>
      <c r="I5384" s="30"/>
      <c r="J5384" s="152">
        <v>0</v>
      </c>
    </row>
    <row r="5385" spans="1:10" ht="15.75" hidden="1" thickBot="1" x14ac:dyDescent="0.3">
      <c r="A5385" s="177"/>
      <c r="B5385" s="175"/>
      <c r="C5385" s="35"/>
      <c r="D5385" s="35"/>
      <c r="E5385" s="36"/>
      <c r="F5385" s="30" t="s">
        <v>416</v>
      </c>
      <c r="G5385" s="30" t="str">
        <f>IF(ISNUMBER(F5385),E5385*F5385,"")</f>
        <v/>
      </c>
      <c r="H5385" s="34"/>
      <c r="I5385" s="30"/>
      <c r="J5385" s="152">
        <v>0</v>
      </c>
    </row>
    <row r="5386" spans="1:10" ht="15.75" hidden="1" thickBot="1" x14ac:dyDescent="0.3">
      <c r="A5386" s="170" t="s">
        <v>3278</v>
      </c>
      <c r="B5386" s="173" t="str">
        <f>INDEX(Orçamentária!A:B,MATCH(Composições!A5386,Orçamentária!A:A,0),2)</f>
        <v>Leito 600 x 100 mm</v>
      </c>
      <c r="C5386" s="40"/>
      <c r="D5386" s="25" t="s">
        <v>69</v>
      </c>
      <c r="E5386" s="26"/>
      <c r="F5386" s="41" t="s">
        <v>416</v>
      </c>
      <c r="G5386" s="27" t="str">
        <f>IF(ISNUMBER(F5386),E5386*F5386,"")</f>
        <v/>
      </c>
      <c r="H5386" s="28"/>
      <c r="I5386" s="29"/>
      <c r="J5386" s="152">
        <v>0</v>
      </c>
    </row>
    <row r="5387" spans="1:10" ht="15.75" hidden="1" thickBot="1" x14ac:dyDescent="0.3">
      <c r="A5387" s="176"/>
      <c r="B5387" s="174"/>
      <c r="C5387" s="31"/>
      <c r="D5387" s="31"/>
      <c r="E5387" s="32"/>
      <c r="F5387" s="42" t="s">
        <v>416</v>
      </c>
      <c r="G5387" s="30" t="str">
        <f>IF(ISNUMBER(F5387),E5387*F5387,"")</f>
        <v/>
      </c>
      <c r="H5387" s="34"/>
      <c r="I5387" s="30"/>
      <c r="J5387" s="152">
        <v>0</v>
      </c>
    </row>
    <row r="5388" spans="1:10" ht="15.75" hidden="1" thickBot="1" x14ac:dyDescent="0.3">
      <c r="A5388" s="176"/>
      <c r="B5388" s="174"/>
      <c r="C5388" s="35" t="s">
        <v>1018</v>
      </c>
      <c r="D5388" s="35" t="s">
        <v>583</v>
      </c>
      <c r="E5388" s="36">
        <v>0.7</v>
      </c>
      <c r="F5388" s="30">
        <v>27.835000000000001</v>
      </c>
      <c r="G5388" s="33">
        <f>IF(ISNUMBER(F5388),E5388*F5388,"")</f>
        <v>19.484500000000001</v>
      </c>
      <c r="H5388" s="38">
        <f>SUM(G5388:G5390)</f>
        <v>34.593299999999999</v>
      </c>
      <c r="I5388" s="39"/>
      <c r="J5388" s="152">
        <v>0</v>
      </c>
    </row>
    <row r="5389" spans="1:10" ht="15.75" hidden="1" thickBot="1" x14ac:dyDescent="0.3">
      <c r="A5389" s="176"/>
      <c r="B5389" s="174"/>
      <c r="C5389" s="35" t="s">
        <v>1017</v>
      </c>
      <c r="D5389" s="35" t="s">
        <v>583</v>
      </c>
      <c r="E5389" s="36">
        <v>0.7</v>
      </c>
      <c r="F5389" s="30">
        <v>21.584</v>
      </c>
      <c r="G5389" s="33">
        <f>IF(ISNUMBER(F5389),E5389*F5389,"")</f>
        <v>15.108799999999999</v>
      </c>
      <c r="H5389" s="34"/>
      <c r="I5389" s="30"/>
      <c r="J5389" s="152">
        <v>0</v>
      </c>
    </row>
    <row r="5390" spans="1:10" ht="26.25" hidden="1" thickBot="1" x14ac:dyDescent="0.3">
      <c r="A5390" s="176"/>
      <c r="B5390" s="174"/>
      <c r="C5390" s="35" t="s">
        <v>5566</v>
      </c>
      <c r="D5390" s="35" t="s">
        <v>69</v>
      </c>
      <c r="E5390" s="36">
        <v>1.05</v>
      </c>
      <c r="F5390" s="30" t="s">
        <v>416</v>
      </c>
      <c r="G5390" s="33" t="str">
        <f>IF(ISNUMBER(F5390),E5390*F5390,"")</f>
        <v/>
      </c>
      <c r="H5390" s="34"/>
      <c r="I5390" s="30"/>
      <c r="J5390" s="152">
        <v>0</v>
      </c>
    </row>
    <row r="5391" spans="1:10" ht="15.75" hidden="1" thickBot="1" x14ac:dyDescent="0.3">
      <c r="A5391" s="177"/>
      <c r="B5391" s="175"/>
      <c r="C5391" s="35"/>
      <c r="D5391" s="35"/>
      <c r="E5391" s="36"/>
      <c r="F5391" s="30" t="s">
        <v>416</v>
      </c>
      <c r="G5391" s="30" t="str">
        <f>IF(ISNUMBER(F5391),E5391*F5391,"")</f>
        <v/>
      </c>
      <c r="H5391" s="34"/>
      <c r="I5391" s="30"/>
      <c r="J5391" s="152">
        <v>0</v>
      </c>
    </row>
    <row r="5392" spans="1:10" ht="15.75" hidden="1" thickBot="1" x14ac:dyDescent="0.3">
      <c r="A5392" s="170" t="s">
        <v>3279</v>
      </c>
      <c r="B5392" s="173" t="str">
        <f>INDEX(Orçamentária!A:B,MATCH(Composições!A5392,Orçamentária!A:A,0),2)</f>
        <v>Luminária 2x28 W hermética de sobrepor</v>
      </c>
      <c r="C5392" s="40"/>
      <c r="D5392" s="25" t="s">
        <v>16</v>
      </c>
      <c r="E5392" s="26"/>
      <c r="F5392" s="41" t="s">
        <v>416</v>
      </c>
      <c r="G5392" s="27" t="str">
        <f>IF(ISNUMBER(F5392),E5392*F5392,"")</f>
        <v/>
      </c>
      <c r="H5392" s="28"/>
      <c r="I5392" s="29"/>
      <c r="J5392" s="152">
        <v>0</v>
      </c>
    </row>
    <row r="5393" spans="1:10" ht="15.75" hidden="1" thickBot="1" x14ac:dyDescent="0.3">
      <c r="A5393" s="176"/>
      <c r="B5393" s="174"/>
      <c r="C5393" s="31"/>
      <c r="D5393" s="31"/>
      <c r="E5393" s="32"/>
      <c r="F5393" s="42" t="s">
        <v>416</v>
      </c>
      <c r="G5393" s="30" t="str">
        <f>IF(ISNUMBER(F5393),E5393*F5393,"")</f>
        <v/>
      </c>
      <c r="H5393" s="34"/>
      <c r="I5393" s="30"/>
      <c r="J5393" s="152">
        <v>0</v>
      </c>
    </row>
    <row r="5394" spans="1:10" ht="51.75" hidden="1" thickBot="1" x14ac:dyDescent="0.3">
      <c r="A5394" s="176"/>
      <c r="B5394" s="174"/>
      <c r="C5394" s="35" t="s">
        <v>5567</v>
      </c>
      <c r="D5394" s="35" t="s">
        <v>107</v>
      </c>
      <c r="E5394" s="36">
        <v>1</v>
      </c>
      <c r="F5394" s="33" t="s">
        <v>416</v>
      </c>
      <c r="G5394" s="30" t="str">
        <f>IF(ISNUMBER(F5394),E5394*F5394,"")</f>
        <v/>
      </c>
      <c r="H5394" s="38">
        <f>SUM(G5394:G5398)</f>
        <v>15.262380800000001</v>
      </c>
      <c r="I5394" s="39"/>
      <c r="J5394" s="152">
        <v>0</v>
      </c>
    </row>
    <row r="5395" spans="1:10" ht="26.25" hidden="1" thickBot="1" x14ac:dyDescent="0.3">
      <c r="A5395" s="176"/>
      <c r="B5395" s="174"/>
      <c r="C5395" s="35" t="s">
        <v>5552</v>
      </c>
      <c r="D5395" s="35" t="s">
        <v>107</v>
      </c>
      <c r="E5395" s="36">
        <v>1</v>
      </c>
      <c r="F5395" s="33" t="s">
        <v>416</v>
      </c>
      <c r="G5395" s="30" t="str">
        <f>IF(ISNUMBER(F5395),E5395*F5395,"")</f>
        <v/>
      </c>
      <c r="H5395" s="44"/>
      <c r="I5395" s="45"/>
      <c r="J5395" s="152">
        <v>0</v>
      </c>
    </row>
    <row r="5396" spans="1:10" ht="26.25" hidden="1" thickBot="1" x14ac:dyDescent="0.3">
      <c r="A5396" s="176"/>
      <c r="B5396" s="174"/>
      <c r="C5396" s="35" t="s">
        <v>443</v>
      </c>
      <c r="D5396" s="35" t="s">
        <v>107</v>
      </c>
      <c r="E5396" s="36">
        <v>2</v>
      </c>
      <c r="F5396" s="33" t="s">
        <v>416</v>
      </c>
      <c r="G5396" s="30" t="str">
        <f>IF(ISNUMBER(F5396),E5396*F5396,"")</f>
        <v/>
      </c>
      <c r="H5396" s="44"/>
      <c r="I5396" s="45"/>
      <c r="J5396" s="152">
        <v>0</v>
      </c>
    </row>
    <row r="5397" spans="1:10" ht="15.75" hidden="1" thickBot="1" x14ac:dyDescent="0.3">
      <c r="A5397" s="176"/>
      <c r="B5397" s="174"/>
      <c r="C5397" s="35" t="s">
        <v>1017</v>
      </c>
      <c r="D5397" s="35" t="s">
        <v>583</v>
      </c>
      <c r="E5397" s="36">
        <v>0.17269999999999999</v>
      </c>
      <c r="F5397" s="30">
        <v>21.584</v>
      </c>
      <c r="G5397" s="30">
        <f>IF(ISNUMBER(F5397),E5397*F5397,"")</f>
        <v>3.7275567999999999</v>
      </c>
      <c r="H5397" s="34"/>
      <c r="I5397" s="30"/>
      <c r="J5397" s="152">
        <v>0</v>
      </c>
    </row>
    <row r="5398" spans="1:10" ht="15.75" hidden="1" thickBot="1" x14ac:dyDescent="0.3">
      <c r="A5398" s="176"/>
      <c r="B5398" s="174"/>
      <c r="C5398" s="35" t="s">
        <v>1018</v>
      </c>
      <c r="D5398" s="35" t="s">
        <v>583</v>
      </c>
      <c r="E5398" s="36">
        <v>0.41439999999999999</v>
      </c>
      <c r="F5398" s="30">
        <v>27.835000000000001</v>
      </c>
      <c r="G5398" s="30">
        <f>IF(ISNUMBER(F5398),E5398*F5398,"")</f>
        <v>11.534824</v>
      </c>
      <c r="H5398" s="34"/>
      <c r="I5398" s="30"/>
      <c r="J5398" s="152">
        <v>0</v>
      </c>
    </row>
    <row r="5399" spans="1:10" ht="15.75" hidden="1" thickBot="1" x14ac:dyDescent="0.3">
      <c r="A5399" s="177"/>
      <c r="B5399" s="175"/>
      <c r="C5399" s="35"/>
      <c r="D5399" s="35"/>
      <c r="E5399" s="36"/>
      <c r="F5399" s="30" t="s">
        <v>416</v>
      </c>
      <c r="G5399" s="30" t="str">
        <f>IF(ISNUMBER(F5399),E5399*F5399,"")</f>
        <v/>
      </c>
      <c r="H5399" s="34"/>
      <c r="I5399" s="30"/>
      <c r="J5399" s="152">
        <v>0</v>
      </c>
    </row>
    <row r="5400" spans="1:10" ht="15.75" hidden="1" thickBot="1" x14ac:dyDescent="0.3">
      <c r="A5400" s="170" t="s">
        <v>3280</v>
      </c>
      <c r="B5400" s="173" t="str">
        <f>INDEX(Orçamentária!A:B,MATCH(Composições!A5400,Orçamentária!A:A,0),2)</f>
        <v xml:space="preserve">Luminária LED para poste 60 W </v>
      </c>
      <c r="C5400" s="40"/>
      <c r="D5400" s="25" t="s">
        <v>16</v>
      </c>
      <c r="E5400" s="26"/>
      <c r="F5400" s="41" t="s">
        <v>416</v>
      </c>
      <c r="G5400" s="27" t="str">
        <f>IF(ISNUMBER(F5400),E5400*F5400,"")</f>
        <v/>
      </c>
      <c r="H5400" s="28"/>
      <c r="I5400" s="29"/>
      <c r="J5400" s="152">
        <v>0</v>
      </c>
    </row>
    <row r="5401" spans="1:10" ht="15.75" hidden="1" thickBot="1" x14ac:dyDescent="0.3">
      <c r="A5401" s="176"/>
      <c r="B5401" s="174"/>
      <c r="C5401" s="31"/>
      <c r="D5401" s="31"/>
      <c r="E5401" s="32"/>
      <c r="F5401" s="42" t="s">
        <v>416</v>
      </c>
      <c r="G5401" s="30" t="str">
        <f>IF(ISNUMBER(F5401),E5401*F5401,"")</f>
        <v/>
      </c>
      <c r="H5401" s="34"/>
      <c r="I5401" s="30"/>
      <c r="J5401" s="152">
        <v>0</v>
      </c>
    </row>
    <row r="5402" spans="1:10" ht="51.75" hidden="1" thickBot="1" x14ac:dyDescent="0.3">
      <c r="A5402" s="176"/>
      <c r="B5402" s="174"/>
      <c r="C5402" s="35" t="s">
        <v>2864</v>
      </c>
      <c r="D5402" s="35" t="s">
        <v>813</v>
      </c>
      <c r="E5402" s="36">
        <v>0.23880000000000001</v>
      </c>
      <c r="F5402" s="33">
        <v>252.10149999999999</v>
      </c>
      <c r="G5402" s="30">
        <f>IF(ISNUMBER(F5402),E5402*F5402,"")</f>
        <v>60.201838199999997</v>
      </c>
      <c r="H5402" s="38">
        <f>SUM(G5402:G5406)</f>
        <v>444.71779810000004</v>
      </c>
      <c r="I5402" s="39"/>
      <c r="J5402" s="152">
        <v>0</v>
      </c>
    </row>
    <row r="5403" spans="1:10" ht="26.25" hidden="1" thickBot="1" x14ac:dyDescent="0.3">
      <c r="A5403" s="176"/>
      <c r="B5403" s="174"/>
      <c r="C5403" s="35" t="s">
        <v>8169</v>
      </c>
      <c r="D5403" s="35" t="s">
        <v>213</v>
      </c>
      <c r="E5403" s="36">
        <v>1.4E-2</v>
      </c>
      <c r="F5403" s="33">
        <v>3.9139999999999997</v>
      </c>
      <c r="G5403" s="30">
        <f>IF(ISNUMBER(F5403),E5403*F5403,"")</f>
        <v>5.4795999999999997E-2</v>
      </c>
      <c r="H5403" s="44"/>
      <c r="I5403" s="45"/>
      <c r="J5403" s="152">
        <v>0</v>
      </c>
    </row>
    <row r="5404" spans="1:10" ht="26.25" hidden="1" thickBot="1" x14ac:dyDescent="0.3">
      <c r="A5404" s="176"/>
      <c r="B5404" s="174"/>
      <c r="C5404" s="35" t="s">
        <v>8230</v>
      </c>
      <c r="D5404" s="35" t="s">
        <v>213</v>
      </c>
      <c r="E5404" s="36">
        <v>1</v>
      </c>
      <c r="F5404" s="33">
        <v>372.69450000000001</v>
      </c>
      <c r="G5404" s="30">
        <f>IF(ISNUMBER(F5404),E5404*F5404,"")</f>
        <v>372.69450000000001</v>
      </c>
      <c r="H5404" s="44"/>
      <c r="I5404" s="45"/>
      <c r="J5404" s="152">
        <v>0</v>
      </c>
    </row>
    <row r="5405" spans="1:10" ht="15.75" hidden="1" thickBot="1" x14ac:dyDescent="0.3">
      <c r="A5405" s="176"/>
      <c r="B5405" s="174"/>
      <c r="C5405" s="35" t="s">
        <v>1017</v>
      </c>
      <c r="D5405" s="35" t="s">
        <v>583</v>
      </c>
      <c r="E5405" s="36">
        <v>0.23810000000000001</v>
      </c>
      <c r="F5405" s="30">
        <v>21.584</v>
      </c>
      <c r="G5405" s="30">
        <f>IF(ISNUMBER(F5405),E5405*F5405,"")</f>
        <v>5.1391504000000001</v>
      </c>
      <c r="H5405" s="34"/>
      <c r="I5405" s="30"/>
      <c r="J5405" s="152">
        <v>0</v>
      </c>
    </row>
    <row r="5406" spans="1:10" ht="15.75" hidden="1" thickBot="1" x14ac:dyDescent="0.3">
      <c r="A5406" s="176"/>
      <c r="B5406" s="174"/>
      <c r="C5406" s="35" t="s">
        <v>1018</v>
      </c>
      <c r="D5406" s="35" t="s">
        <v>583</v>
      </c>
      <c r="E5406" s="36">
        <v>0.23810000000000001</v>
      </c>
      <c r="F5406" s="30">
        <v>27.835000000000001</v>
      </c>
      <c r="G5406" s="30">
        <f>IF(ISNUMBER(F5406),E5406*F5406,"")</f>
        <v>6.6275135000000001</v>
      </c>
      <c r="H5406" s="34"/>
      <c r="I5406" s="30"/>
      <c r="J5406" s="152">
        <v>0</v>
      </c>
    </row>
    <row r="5407" spans="1:10" ht="15.75" hidden="1" thickBot="1" x14ac:dyDescent="0.3">
      <c r="A5407" s="177"/>
      <c r="B5407" s="175"/>
      <c r="C5407" s="35"/>
      <c r="D5407" s="35"/>
      <c r="E5407" s="36"/>
      <c r="F5407" s="30" t="s">
        <v>416</v>
      </c>
      <c r="G5407" s="30" t="str">
        <f>IF(ISNUMBER(F5407),E5407*F5407,"")</f>
        <v/>
      </c>
      <c r="H5407" s="34"/>
      <c r="I5407" s="30"/>
      <c r="J5407" s="152">
        <v>0</v>
      </c>
    </row>
    <row r="5408" spans="1:10" ht="15.75" hidden="1" thickBot="1" x14ac:dyDescent="0.3">
      <c r="A5408" s="170" t="s">
        <v>3281</v>
      </c>
      <c r="B5408" s="173" t="str">
        <f>INDEX(Orçamentária!A:B,MATCH(Composições!A5408,Orçamentária!A:A,0),2)</f>
        <v xml:space="preserve">Luminária LED para poste 120 W </v>
      </c>
      <c r="C5408" s="40"/>
      <c r="D5408" s="25" t="s">
        <v>16</v>
      </c>
      <c r="E5408" s="26"/>
      <c r="F5408" s="41" t="s">
        <v>416</v>
      </c>
      <c r="G5408" s="27" t="str">
        <f>IF(ISNUMBER(F5408),E5408*F5408,"")</f>
        <v/>
      </c>
      <c r="H5408" s="28"/>
      <c r="I5408" s="29"/>
      <c r="J5408" s="152">
        <v>0</v>
      </c>
    </row>
    <row r="5409" spans="1:10" ht="15.75" hidden="1" thickBot="1" x14ac:dyDescent="0.3">
      <c r="A5409" s="176"/>
      <c r="B5409" s="174"/>
      <c r="C5409" s="31"/>
      <c r="D5409" s="31"/>
      <c r="E5409" s="32"/>
      <c r="F5409" s="42" t="s">
        <v>416</v>
      </c>
      <c r="G5409" s="30" t="str">
        <f>IF(ISNUMBER(F5409),E5409*F5409,"")</f>
        <v/>
      </c>
      <c r="H5409" s="34"/>
      <c r="I5409" s="30"/>
      <c r="J5409" s="152">
        <v>0</v>
      </c>
    </row>
    <row r="5410" spans="1:10" ht="51.75" hidden="1" thickBot="1" x14ac:dyDescent="0.3">
      <c r="A5410" s="176"/>
      <c r="B5410" s="174"/>
      <c r="C5410" s="35" t="s">
        <v>2864</v>
      </c>
      <c r="D5410" s="35" t="s">
        <v>813</v>
      </c>
      <c r="E5410" s="36">
        <v>0.23880000000000001</v>
      </c>
      <c r="F5410" s="33">
        <v>252.10149999999999</v>
      </c>
      <c r="G5410" s="30">
        <f>IF(ISNUMBER(F5410),E5410*F5410,"")</f>
        <v>60.201838199999997</v>
      </c>
      <c r="H5410" s="38">
        <f>SUM(G5410:G5414)</f>
        <v>569.48129809999989</v>
      </c>
      <c r="I5410" s="39"/>
      <c r="J5410" s="152">
        <v>0</v>
      </c>
    </row>
    <row r="5411" spans="1:10" ht="26.25" hidden="1" thickBot="1" x14ac:dyDescent="0.3">
      <c r="A5411" s="176"/>
      <c r="B5411" s="174"/>
      <c r="C5411" s="35" t="s">
        <v>8169</v>
      </c>
      <c r="D5411" s="35" t="s">
        <v>213</v>
      </c>
      <c r="E5411" s="36">
        <v>1.4E-2</v>
      </c>
      <c r="F5411" s="33">
        <v>3.9139999999999997</v>
      </c>
      <c r="G5411" s="30">
        <f>IF(ISNUMBER(F5411),E5411*F5411,"")</f>
        <v>5.4795999999999997E-2</v>
      </c>
      <c r="H5411" s="44"/>
      <c r="I5411" s="45"/>
      <c r="J5411" s="152">
        <v>0</v>
      </c>
    </row>
    <row r="5412" spans="1:10" ht="26.25" hidden="1" thickBot="1" x14ac:dyDescent="0.3">
      <c r="A5412" s="176"/>
      <c r="B5412" s="174"/>
      <c r="C5412" s="35" t="s">
        <v>8231</v>
      </c>
      <c r="D5412" s="35" t="s">
        <v>213</v>
      </c>
      <c r="E5412" s="36">
        <v>1</v>
      </c>
      <c r="F5412" s="33">
        <v>497.45799999999997</v>
      </c>
      <c r="G5412" s="30">
        <f>IF(ISNUMBER(F5412),E5412*F5412,"")</f>
        <v>497.45799999999997</v>
      </c>
      <c r="H5412" s="44"/>
      <c r="I5412" s="45"/>
      <c r="J5412" s="152">
        <v>0</v>
      </c>
    </row>
    <row r="5413" spans="1:10" ht="15.75" hidden="1" thickBot="1" x14ac:dyDescent="0.3">
      <c r="A5413" s="176"/>
      <c r="B5413" s="174"/>
      <c r="C5413" s="35" t="s">
        <v>1017</v>
      </c>
      <c r="D5413" s="35" t="s">
        <v>583</v>
      </c>
      <c r="E5413" s="36">
        <v>0.23810000000000001</v>
      </c>
      <c r="F5413" s="30">
        <v>21.584</v>
      </c>
      <c r="G5413" s="30">
        <f>IF(ISNUMBER(F5413),E5413*F5413,"")</f>
        <v>5.1391504000000001</v>
      </c>
      <c r="H5413" s="34"/>
      <c r="I5413" s="30"/>
      <c r="J5413" s="152">
        <v>0</v>
      </c>
    </row>
    <row r="5414" spans="1:10" ht="15.75" hidden="1" thickBot="1" x14ac:dyDescent="0.3">
      <c r="A5414" s="176"/>
      <c r="B5414" s="174"/>
      <c r="C5414" s="35" t="s">
        <v>1018</v>
      </c>
      <c r="D5414" s="35" t="s">
        <v>583</v>
      </c>
      <c r="E5414" s="36">
        <v>0.23810000000000001</v>
      </c>
      <c r="F5414" s="30">
        <v>27.835000000000001</v>
      </c>
      <c r="G5414" s="30">
        <f>IF(ISNUMBER(F5414),E5414*F5414,"")</f>
        <v>6.6275135000000001</v>
      </c>
      <c r="H5414" s="34"/>
      <c r="I5414" s="30"/>
      <c r="J5414" s="152">
        <v>0</v>
      </c>
    </row>
    <row r="5415" spans="1:10" ht="15.75" hidden="1" thickBot="1" x14ac:dyDescent="0.3">
      <c r="A5415" s="177"/>
      <c r="B5415" s="175"/>
      <c r="C5415" s="35"/>
      <c r="D5415" s="35"/>
      <c r="E5415" s="36"/>
      <c r="F5415" s="30" t="s">
        <v>416</v>
      </c>
      <c r="G5415" s="30" t="str">
        <f>IF(ISNUMBER(F5415),E5415*F5415,"")</f>
        <v/>
      </c>
      <c r="H5415" s="34"/>
      <c r="I5415" s="30"/>
      <c r="J5415" s="152">
        <v>0</v>
      </c>
    </row>
    <row r="5416" spans="1:10" ht="15.75" hidden="1" thickBot="1" x14ac:dyDescent="0.3">
      <c r="A5416" s="170" t="s">
        <v>3287</v>
      </c>
      <c r="B5416" s="173" t="str">
        <f>INDEX(Orçamentária!A:B,MATCH(Composições!A5416,Orçamentária!A:A,0),2)</f>
        <v>Poste curvo simples 8 metros</v>
      </c>
      <c r="C5416" s="40"/>
      <c r="D5416" s="25" t="s">
        <v>16</v>
      </c>
      <c r="E5416" s="26"/>
      <c r="F5416" s="41" t="s">
        <v>416</v>
      </c>
      <c r="G5416" s="27" t="str">
        <f>IF(ISNUMBER(F5416),E5416*F5416,"")</f>
        <v/>
      </c>
      <c r="H5416" s="28"/>
      <c r="I5416" s="29"/>
      <c r="J5416" s="152">
        <v>0</v>
      </c>
    </row>
    <row r="5417" spans="1:10" ht="15.75" hidden="1" thickBot="1" x14ac:dyDescent="0.3">
      <c r="A5417" s="176"/>
      <c r="B5417" s="174"/>
      <c r="C5417" s="31"/>
      <c r="D5417" s="31"/>
      <c r="E5417" s="32"/>
      <c r="F5417" s="42" t="s">
        <v>416</v>
      </c>
      <c r="G5417" s="30" t="str">
        <f>IF(ISNUMBER(F5417),E5417*F5417,"")</f>
        <v/>
      </c>
      <c r="H5417" s="34"/>
      <c r="I5417" s="30"/>
      <c r="J5417" s="152">
        <v>0</v>
      </c>
    </row>
    <row r="5418" spans="1:10" ht="26.25" hidden="1" thickBot="1" x14ac:dyDescent="0.3">
      <c r="A5418" s="176"/>
      <c r="B5418" s="174"/>
      <c r="C5418" s="35" t="s">
        <v>8534</v>
      </c>
      <c r="D5418" s="35" t="s">
        <v>213</v>
      </c>
      <c r="E5418" s="36">
        <v>1</v>
      </c>
      <c r="F5418" s="33">
        <v>1877.5419999999999</v>
      </c>
      <c r="G5418" s="30">
        <f>IF(ISNUMBER(F5418),E5418*F5418,"")</f>
        <v>1877.5419999999999</v>
      </c>
      <c r="H5418" s="38">
        <f>SUM(G5418:G5421)</f>
        <v>1984.6974399999999</v>
      </c>
      <c r="I5418" s="39"/>
      <c r="J5418" s="152">
        <v>0</v>
      </c>
    </row>
    <row r="5419" spans="1:10" ht="51.75" hidden="1" thickBot="1" x14ac:dyDescent="0.3">
      <c r="A5419" s="176"/>
      <c r="B5419" s="174"/>
      <c r="C5419" s="35" t="s">
        <v>2864</v>
      </c>
      <c r="D5419" s="35" t="s">
        <v>813</v>
      </c>
      <c r="E5419" s="36">
        <v>0.111</v>
      </c>
      <c r="F5419" s="33">
        <v>252.10149999999999</v>
      </c>
      <c r="G5419" s="30">
        <f>IF(ISNUMBER(F5419),E5419*F5419,"")</f>
        <v>27.983266499999999</v>
      </c>
      <c r="H5419" s="44"/>
      <c r="I5419" s="45"/>
      <c r="J5419" s="152">
        <v>0</v>
      </c>
    </row>
    <row r="5420" spans="1:10" ht="15.75" hidden="1" thickBot="1" x14ac:dyDescent="0.3">
      <c r="A5420" s="176"/>
      <c r="B5420" s="174"/>
      <c r="C5420" s="35" t="s">
        <v>1017</v>
      </c>
      <c r="D5420" s="35" t="s">
        <v>583</v>
      </c>
      <c r="E5420" s="36">
        <f>1.413/2</f>
        <v>0.70650000000000002</v>
      </c>
      <c r="F5420" s="33">
        <v>21.584</v>
      </c>
      <c r="G5420" s="30">
        <f>IF(ISNUMBER(F5420),E5420*F5420,"")</f>
        <v>15.249096</v>
      </c>
      <c r="H5420" s="44"/>
      <c r="I5420" s="45"/>
      <c r="J5420" s="152">
        <v>0</v>
      </c>
    </row>
    <row r="5421" spans="1:10" ht="15.75" hidden="1" thickBot="1" x14ac:dyDescent="0.3">
      <c r="A5421" s="176"/>
      <c r="B5421" s="174"/>
      <c r="C5421" s="35" t="s">
        <v>1018</v>
      </c>
      <c r="D5421" s="35" t="s">
        <v>583</v>
      </c>
      <c r="E5421" s="36">
        <f>4.593/2</f>
        <v>2.2965</v>
      </c>
      <c r="F5421" s="30">
        <v>27.835000000000001</v>
      </c>
      <c r="G5421" s="30">
        <f>IF(ISNUMBER(F5421),E5421*F5421,"")</f>
        <v>63.923077500000005</v>
      </c>
      <c r="H5421" s="34"/>
      <c r="I5421" s="30"/>
      <c r="J5421" s="152">
        <v>0</v>
      </c>
    </row>
    <row r="5422" spans="1:10" ht="15.75" hidden="1" thickBot="1" x14ac:dyDescent="0.3">
      <c r="A5422" s="177"/>
      <c r="B5422" s="175"/>
      <c r="C5422" s="35"/>
      <c r="D5422" s="35"/>
      <c r="E5422" s="36"/>
      <c r="F5422" s="30" t="s">
        <v>416</v>
      </c>
      <c r="G5422" s="30" t="str">
        <f>IF(ISNUMBER(F5422),E5422*F5422,"")</f>
        <v/>
      </c>
      <c r="H5422" s="34"/>
      <c r="I5422" s="30"/>
      <c r="J5422" s="152">
        <v>0</v>
      </c>
    </row>
    <row r="5423" spans="1:10" ht="15.75" hidden="1" thickBot="1" x14ac:dyDescent="0.3">
      <c r="A5423" s="170" t="s">
        <v>3288</v>
      </c>
      <c r="B5423" s="173" t="str">
        <f>INDEX(Orçamentária!A:B,MATCH(Composições!A5423,Orçamentária!A:A,0),2)</f>
        <v>Caixa de Passagem Subterrânea 300 x 300 x 500mm</v>
      </c>
      <c r="C5423" s="40"/>
      <c r="D5423" s="25" t="s">
        <v>16</v>
      </c>
      <c r="E5423" s="26"/>
      <c r="F5423" s="41" t="s">
        <v>416</v>
      </c>
      <c r="G5423" s="27" t="str">
        <f>IF(ISNUMBER(F5423),E5423*F5423,"")</f>
        <v/>
      </c>
      <c r="H5423" s="28"/>
      <c r="I5423" s="29"/>
      <c r="J5423" s="152">
        <v>0</v>
      </c>
    </row>
    <row r="5424" spans="1:10" ht="15.75" hidden="1" thickBot="1" x14ac:dyDescent="0.3">
      <c r="A5424" s="176"/>
      <c r="B5424" s="174"/>
      <c r="C5424" s="31"/>
      <c r="D5424" s="31"/>
      <c r="E5424" s="32"/>
      <c r="F5424" s="42" t="s">
        <v>416</v>
      </c>
      <c r="G5424" s="30" t="str">
        <f>IF(ISNUMBER(F5424),E5424*F5424,"")</f>
        <v/>
      </c>
      <c r="H5424" s="34"/>
      <c r="I5424" s="30"/>
      <c r="J5424" s="152">
        <v>0</v>
      </c>
    </row>
    <row r="5425" spans="1:10" ht="15.75" hidden="1" thickBot="1" x14ac:dyDescent="0.3">
      <c r="A5425" s="176"/>
      <c r="B5425" s="174"/>
      <c r="C5425" s="35" t="s">
        <v>3062</v>
      </c>
      <c r="D5425" s="35" t="s">
        <v>213</v>
      </c>
      <c r="E5425" s="36">
        <f>48.7507*5/3</f>
        <v>81.251166666666663</v>
      </c>
      <c r="F5425" s="30">
        <v>0.56999999999999995</v>
      </c>
      <c r="G5425" s="33">
        <f>IF(ISNUMBER(F5425),E5425*F5425,"")</f>
        <v>46.313164999999991</v>
      </c>
      <c r="H5425" s="38">
        <f>SUM(G5425:G5431)</f>
        <v>268.03917371116376</v>
      </c>
      <c r="I5425" s="39"/>
      <c r="J5425" s="152">
        <v>0</v>
      </c>
    </row>
    <row r="5426" spans="1:10" ht="39" hidden="1" thickBot="1" x14ac:dyDescent="0.3">
      <c r="A5426" s="176"/>
      <c r="B5426" s="174"/>
      <c r="C5426" s="35" t="s">
        <v>871</v>
      </c>
      <c r="D5426" s="35" t="s">
        <v>87</v>
      </c>
      <c r="E5426" s="36">
        <f>0.0004*5/3</f>
        <v>6.6666666666666664E-4</v>
      </c>
      <c r="F5426" s="30">
        <v>584.3403605609999</v>
      </c>
      <c r="G5426" s="33">
        <f>IF(ISNUMBER(F5426),E5426*F5426,"")</f>
        <v>0.38956024037399994</v>
      </c>
      <c r="H5426" s="34"/>
      <c r="I5426" s="30"/>
      <c r="J5426" s="152">
        <v>0</v>
      </c>
    </row>
    <row r="5427" spans="1:10" ht="15.75" hidden="1" thickBot="1" x14ac:dyDescent="0.3">
      <c r="A5427" s="176"/>
      <c r="B5427" s="174"/>
      <c r="C5427" s="35" t="s">
        <v>591</v>
      </c>
      <c r="D5427" s="35" t="s">
        <v>583</v>
      </c>
      <c r="E5427" s="36">
        <f>1.5362*5/3</f>
        <v>2.5603333333333333</v>
      </c>
      <c r="F5427" s="33">
        <v>27.160499999999999</v>
      </c>
      <c r="G5427" s="30">
        <f>IF(ISNUMBER(F5427),E5427*F5427,"")</f>
        <v>69.539933500000004</v>
      </c>
      <c r="H5427" s="34"/>
      <c r="I5427" s="30"/>
      <c r="J5427" s="152">
        <v>0</v>
      </c>
    </row>
    <row r="5428" spans="1:10" ht="15.75" hidden="1" thickBot="1" x14ac:dyDescent="0.3">
      <c r="A5428" s="176"/>
      <c r="B5428" s="174"/>
      <c r="C5428" s="35" t="s">
        <v>584</v>
      </c>
      <c r="D5428" s="35" t="s">
        <v>583</v>
      </c>
      <c r="E5428" s="36">
        <f>1.5362*5/3</f>
        <v>2.5603333333333333</v>
      </c>
      <c r="F5428" s="30">
        <v>20.225499999999997</v>
      </c>
      <c r="G5428" s="33">
        <f>IF(ISNUMBER(F5428),E5428*F5428,"")</f>
        <v>51.784021833333327</v>
      </c>
      <c r="H5428" s="34"/>
      <c r="I5428" s="39"/>
      <c r="J5428" s="152">
        <v>0</v>
      </c>
    </row>
    <row r="5429" spans="1:10" ht="26.25" hidden="1" thickBot="1" x14ac:dyDescent="0.3">
      <c r="A5429" s="176"/>
      <c r="B5429" s="174"/>
      <c r="C5429" s="35" t="s">
        <v>2898</v>
      </c>
      <c r="D5429" s="35" t="s">
        <v>87</v>
      </c>
      <c r="E5429" s="36">
        <f>0.0278*5/3</f>
        <v>4.6333333333333331E-2</v>
      </c>
      <c r="F5429" s="30">
        <v>657.09798058849992</v>
      </c>
      <c r="G5429" s="33">
        <f>IF(ISNUMBER(F5429),E5429*F5429,"")</f>
        <v>30.44553976726716</v>
      </c>
      <c r="H5429" s="34"/>
      <c r="I5429" s="30"/>
      <c r="J5429" s="152">
        <v>0</v>
      </c>
    </row>
    <row r="5430" spans="1:10" ht="26.25" hidden="1" thickBot="1" x14ac:dyDescent="0.3">
      <c r="A5430" s="176"/>
      <c r="B5430" s="174"/>
      <c r="C5430" s="35" t="s">
        <v>2887</v>
      </c>
      <c r="D5430" s="35" t="s">
        <v>87</v>
      </c>
      <c r="E5430" s="36">
        <f>0.0175</f>
        <v>1.7500000000000002E-2</v>
      </c>
      <c r="F5430" s="33">
        <v>3073.716808949102</v>
      </c>
      <c r="G5430" s="30">
        <f>IF(ISNUMBER(F5430),E5430*F5430,"")</f>
        <v>53.790044156609291</v>
      </c>
      <c r="H5430" s="34"/>
      <c r="I5430" s="30"/>
      <c r="J5430" s="152">
        <v>0</v>
      </c>
    </row>
    <row r="5431" spans="1:10" ht="26.25" hidden="1" thickBot="1" x14ac:dyDescent="0.3">
      <c r="A5431" s="176"/>
      <c r="B5431" s="174"/>
      <c r="C5431" s="35" t="s">
        <v>3223</v>
      </c>
      <c r="D5431" s="35" t="s">
        <v>87</v>
      </c>
      <c r="E5431" s="36">
        <f>0.036</f>
        <v>3.5999999999999997E-2</v>
      </c>
      <c r="F5431" s="30">
        <v>438.24747815499995</v>
      </c>
      <c r="G5431" s="33">
        <f>IF(ISNUMBER(F5431),E5431*F5431,"")</f>
        <v>15.776909213579998</v>
      </c>
      <c r="H5431" s="34"/>
      <c r="I5431" s="39"/>
      <c r="J5431" s="152">
        <v>0</v>
      </c>
    </row>
    <row r="5432" spans="1:10" ht="15.75" hidden="1" thickBot="1" x14ac:dyDescent="0.3">
      <c r="A5432" s="177"/>
      <c r="B5432" s="175"/>
      <c r="C5432" s="35"/>
      <c r="D5432" s="35"/>
      <c r="E5432" s="36"/>
      <c r="F5432" s="30" t="s">
        <v>416</v>
      </c>
      <c r="G5432" s="30" t="str">
        <f>IF(ISNUMBER(F5432),E5432*F5432,"")</f>
        <v/>
      </c>
      <c r="H5432" s="34"/>
      <c r="I5432" s="30"/>
      <c r="J5432" s="152">
        <v>0</v>
      </c>
    </row>
    <row r="5433" spans="1:10" ht="15.75" thickBot="1" x14ac:dyDescent="0.3">
      <c r="A5433" s="170" t="s">
        <v>3291</v>
      </c>
      <c r="B5433" s="173" t="str">
        <f>INDEX(Orçamentária!A:B,MATCH(Composições!A5433,Orçamentária!A:A,0),2)</f>
        <v>Caixa de Passagem Subterrânea 600 x 600 x 800mm</v>
      </c>
      <c r="C5433" s="40"/>
      <c r="D5433" s="25" t="s">
        <v>16</v>
      </c>
      <c r="E5433" s="26"/>
      <c r="F5433" s="41" t="s">
        <v>416</v>
      </c>
      <c r="G5433" s="27" t="str">
        <f>IF(ISNUMBER(F5433),E5433*F5433,"")</f>
        <v/>
      </c>
      <c r="H5433" s="28"/>
      <c r="I5433" s="29"/>
      <c r="J5433" s="152">
        <v>2</v>
      </c>
    </row>
    <row r="5434" spans="1:10" x14ac:dyDescent="0.25">
      <c r="A5434" s="176"/>
      <c r="B5434" s="174"/>
      <c r="C5434" s="31"/>
      <c r="D5434" s="31"/>
      <c r="E5434" s="32"/>
      <c r="F5434" s="42" t="s">
        <v>416</v>
      </c>
      <c r="G5434" s="30" t="str">
        <f>IF(ISNUMBER(F5434),E5434*F5434,"")</f>
        <v/>
      </c>
      <c r="H5434" s="34"/>
      <c r="I5434" s="30"/>
      <c r="J5434" s="152">
        <v>2</v>
      </c>
    </row>
    <row r="5435" spans="1:10" ht="63.75" x14ac:dyDescent="0.25">
      <c r="A5435" s="176"/>
      <c r="B5435" s="174"/>
      <c r="C5435" s="35" t="s">
        <v>2863</v>
      </c>
      <c r="D5435" s="35" t="s">
        <v>813</v>
      </c>
      <c r="E5435" s="36">
        <f>ROUND(0.0087*8/6,4)</f>
        <v>1.1599999999999999E-2</v>
      </c>
      <c r="F5435" s="30">
        <v>134.55799999999999</v>
      </c>
      <c r="G5435" s="33">
        <f>IF(ISNUMBER(F5435),E5435*F5435,"")</f>
        <v>1.5608727999999998</v>
      </c>
      <c r="H5435" s="38">
        <f>SUM(G5435:G5443)</f>
        <v>713.57941617594531</v>
      </c>
      <c r="I5435" s="39"/>
      <c r="J5435" s="152">
        <v>2</v>
      </c>
    </row>
    <row r="5436" spans="1:10" ht="63.75" x14ac:dyDescent="0.25">
      <c r="A5436" s="176"/>
      <c r="B5436" s="174"/>
      <c r="C5436" s="35" t="s">
        <v>2870</v>
      </c>
      <c r="D5436" s="35" t="s">
        <v>815</v>
      </c>
      <c r="E5436" s="36">
        <f>ROUND(0.0294*8/6,4)</f>
        <v>3.9199999999999999E-2</v>
      </c>
      <c r="F5436" s="30">
        <v>54.34</v>
      </c>
      <c r="G5436" s="33">
        <f>IF(ISNUMBER(F5436),E5436*F5436,"")</f>
        <v>2.130128</v>
      </c>
      <c r="H5436" s="34"/>
      <c r="I5436" s="30"/>
      <c r="J5436" s="152">
        <v>2</v>
      </c>
    </row>
    <row r="5437" spans="1:10" x14ac:dyDescent="0.25">
      <c r="A5437" s="176"/>
      <c r="B5437" s="174"/>
      <c r="C5437" s="35" t="s">
        <v>3062</v>
      </c>
      <c r="D5437" s="35" t="s">
        <v>213</v>
      </c>
      <c r="E5437" s="36">
        <f>ROUND(169.8027*8/6,4)</f>
        <v>226.40360000000001</v>
      </c>
      <c r="F5437" s="33">
        <v>0.56999999999999995</v>
      </c>
      <c r="G5437" s="30">
        <f>IF(ISNUMBER(F5437),E5437*F5437,"")</f>
        <v>129.05005199999999</v>
      </c>
      <c r="H5437" s="34"/>
      <c r="I5437" s="30"/>
      <c r="J5437" s="152">
        <v>2</v>
      </c>
    </row>
    <row r="5438" spans="1:10" ht="38.25" x14ac:dyDescent="0.25">
      <c r="A5438" s="176"/>
      <c r="B5438" s="174"/>
      <c r="C5438" s="35" t="s">
        <v>871</v>
      </c>
      <c r="D5438" s="35" t="s">
        <v>87</v>
      </c>
      <c r="E5438" s="36">
        <f>ROUND(0.0014*8/6,4)</f>
        <v>1.9E-3</v>
      </c>
      <c r="F5438" s="30">
        <v>584.3403605609999</v>
      </c>
      <c r="G5438" s="33">
        <f>IF(ISNUMBER(F5438),E5438*F5438,"")</f>
        <v>1.1102466850658999</v>
      </c>
      <c r="H5438" s="34"/>
      <c r="I5438" s="39"/>
      <c r="J5438" s="152">
        <v>2</v>
      </c>
    </row>
    <row r="5439" spans="1:10" x14ac:dyDescent="0.25">
      <c r="A5439" s="176"/>
      <c r="B5439" s="174"/>
      <c r="C5439" s="35" t="s">
        <v>591</v>
      </c>
      <c r="D5439" s="35" t="s">
        <v>583</v>
      </c>
      <c r="E5439" s="36">
        <f>ROUND(5.4392*8/6,4)</f>
        <v>7.2523</v>
      </c>
      <c r="F5439" s="30">
        <v>27.160499999999999</v>
      </c>
      <c r="G5439" s="33">
        <f>IF(ISNUMBER(F5439),E5439*F5439,"")</f>
        <v>196.97609414999999</v>
      </c>
      <c r="H5439" s="34"/>
      <c r="I5439" s="30"/>
      <c r="J5439" s="152">
        <v>2</v>
      </c>
    </row>
    <row r="5440" spans="1:10" x14ac:dyDescent="0.25">
      <c r="A5440" s="176"/>
      <c r="B5440" s="174"/>
      <c r="C5440" s="35" t="s">
        <v>584</v>
      </c>
      <c r="D5440" s="35" t="s">
        <v>583</v>
      </c>
      <c r="E5440" s="36">
        <f>ROUND(5.4392*8/6,4)</f>
        <v>7.2523</v>
      </c>
      <c r="F5440" s="33">
        <v>20.225499999999997</v>
      </c>
      <c r="G5440" s="30">
        <f>IF(ISNUMBER(F5440),E5440*F5440,"")</f>
        <v>146.68139364999996</v>
      </c>
      <c r="H5440" s="34"/>
      <c r="I5440" s="30"/>
      <c r="J5440" s="152">
        <v>2</v>
      </c>
    </row>
    <row r="5441" spans="1:10" ht="25.5" x14ac:dyDescent="0.25">
      <c r="A5441" s="176"/>
      <c r="B5441" s="174"/>
      <c r="C5441" s="35" t="s">
        <v>2898</v>
      </c>
      <c r="D5441" s="35" t="s">
        <v>87</v>
      </c>
      <c r="E5441" s="36">
        <f>ROUND(0.1012*8/6,4)</f>
        <v>0.13489999999999999</v>
      </c>
      <c r="F5441" s="30">
        <v>657.09798058849992</v>
      </c>
      <c r="G5441" s="33">
        <f>IF(ISNUMBER(F5441),E5441*F5441,"")</f>
        <v>88.642517581388631</v>
      </c>
      <c r="H5441" s="34"/>
      <c r="I5441" s="39"/>
      <c r="J5441" s="152">
        <v>2</v>
      </c>
    </row>
    <row r="5442" spans="1:10" ht="25.5" x14ac:dyDescent="0.25">
      <c r="A5442" s="176"/>
      <c r="B5442" s="174"/>
      <c r="C5442" s="35" t="s">
        <v>2888</v>
      </c>
      <c r="D5442" s="35" t="s">
        <v>87</v>
      </c>
      <c r="E5442" s="36">
        <v>4.48E-2</v>
      </c>
      <c r="F5442" s="30">
        <v>2567.9175087184358</v>
      </c>
      <c r="G5442" s="33">
        <f>IF(ISNUMBER(F5442),E5442*F5442,"")</f>
        <v>115.04270439058593</v>
      </c>
      <c r="H5442" s="34"/>
      <c r="I5442" s="30"/>
      <c r="J5442" s="152">
        <v>2</v>
      </c>
    </row>
    <row r="5443" spans="1:10" ht="25.5" x14ac:dyDescent="0.25">
      <c r="A5443" s="176"/>
      <c r="B5443" s="174"/>
      <c r="C5443" s="35" t="s">
        <v>3224</v>
      </c>
      <c r="D5443" s="35" t="s">
        <v>87</v>
      </c>
      <c r="E5443" s="36">
        <v>8.1000000000000003E-2</v>
      </c>
      <c r="F5443" s="33">
        <v>399.81983850500001</v>
      </c>
      <c r="G5443" s="30">
        <f>IF(ISNUMBER(F5443),E5443*F5443,"")</f>
        <v>32.385406918905005</v>
      </c>
      <c r="H5443" s="34"/>
      <c r="I5443" s="30"/>
      <c r="J5443" s="152">
        <v>2</v>
      </c>
    </row>
    <row r="5444" spans="1:10" ht="15.75" thickBot="1" x14ac:dyDescent="0.3">
      <c r="A5444" s="177"/>
      <c r="B5444" s="175"/>
      <c r="C5444" s="35"/>
      <c r="D5444" s="35"/>
      <c r="E5444" s="36"/>
      <c r="F5444" s="30" t="s">
        <v>416</v>
      </c>
      <c r="G5444" s="30" t="str">
        <f>IF(ISNUMBER(F5444),E5444*F5444,"")</f>
        <v/>
      </c>
      <c r="H5444" s="34"/>
      <c r="I5444" s="30"/>
      <c r="J5444" s="152">
        <v>2</v>
      </c>
    </row>
    <row r="5445" spans="1:10" ht="15.75" hidden="1" thickBot="1" x14ac:dyDescent="0.3">
      <c r="A5445" s="170" t="s">
        <v>3293</v>
      </c>
      <c r="B5445" s="173" t="str">
        <f>INDEX(Orçamentária!A:B,MATCH(Composições!A5445,Orçamentária!A:A,0),2)</f>
        <v>Kit terminal para cabo de potência, 8,7 kV / 15 kV, 95 mm²</v>
      </c>
      <c r="C5445" s="40"/>
      <c r="D5445" s="25" t="s">
        <v>16</v>
      </c>
      <c r="E5445" s="26"/>
      <c r="F5445" s="41" t="s">
        <v>416</v>
      </c>
      <c r="G5445" s="27" t="str">
        <f>IF(ISNUMBER(F5445),E5445*F5445,"")</f>
        <v/>
      </c>
      <c r="H5445" s="28"/>
      <c r="I5445" s="29"/>
      <c r="J5445" s="152">
        <v>0</v>
      </c>
    </row>
    <row r="5446" spans="1:10" ht="15.75" hidden="1" thickBot="1" x14ac:dyDescent="0.3">
      <c r="A5446" s="176"/>
      <c r="B5446" s="174"/>
      <c r="C5446" s="31"/>
      <c r="D5446" s="31"/>
      <c r="E5446" s="32"/>
      <c r="F5446" s="42" t="s">
        <v>416</v>
      </c>
      <c r="G5446" s="30" t="str">
        <f>IF(ISNUMBER(F5446),E5446*F5446,"")</f>
        <v/>
      </c>
      <c r="H5446" s="34"/>
      <c r="I5446" s="30"/>
      <c r="J5446" s="152">
        <v>0</v>
      </c>
    </row>
    <row r="5447" spans="1:10" ht="15.75" hidden="1" thickBot="1" x14ac:dyDescent="0.3">
      <c r="A5447" s="176"/>
      <c r="B5447" s="174"/>
      <c r="C5447" s="35" t="s">
        <v>5568</v>
      </c>
      <c r="D5447" s="35" t="s">
        <v>213</v>
      </c>
      <c r="E5447" s="36">
        <v>1</v>
      </c>
      <c r="F5447" s="33" t="s">
        <v>416</v>
      </c>
      <c r="G5447" s="30" t="str">
        <f>IF(ISNUMBER(F5447),E5447*F5447,"")</f>
        <v/>
      </c>
      <c r="H5447" s="38">
        <f>SUM(G5447:G5449)</f>
        <v>24.709499999999998</v>
      </c>
      <c r="I5447" s="39"/>
      <c r="J5447" s="152">
        <v>0</v>
      </c>
    </row>
    <row r="5448" spans="1:10" ht="15.75" hidden="1" thickBot="1" x14ac:dyDescent="0.3">
      <c r="A5448" s="176"/>
      <c r="B5448" s="174"/>
      <c r="C5448" s="35" t="s">
        <v>1017</v>
      </c>
      <c r="D5448" s="35" t="s">
        <v>583</v>
      </c>
      <c r="E5448" s="36">
        <v>0.5</v>
      </c>
      <c r="F5448" s="33">
        <v>21.584</v>
      </c>
      <c r="G5448" s="30">
        <f>IF(ISNUMBER(F5448),E5448*F5448,"")</f>
        <v>10.792</v>
      </c>
      <c r="H5448" s="44"/>
      <c r="I5448" s="45"/>
      <c r="J5448" s="152">
        <v>0</v>
      </c>
    </row>
    <row r="5449" spans="1:10" ht="15.75" hidden="1" thickBot="1" x14ac:dyDescent="0.3">
      <c r="A5449" s="176"/>
      <c r="B5449" s="174"/>
      <c r="C5449" s="35" t="s">
        <v>1018</v>
      </c>
      <c r="D5449" s="35" t="s">
        <v>583</v>
      </c>
      <c r="E5449" s="36">
        <v>0.5</v>
      </c>
      <c r="F5449" s="30">
        <v>27.835000000000001</v>
      </c>
      <c r="G5449" s="30">
        <f>IF(ISNUMBER(F5449),E5449*F5449,"")</f>
        <v>13.9175</v>
      </c>
      <c r="H5449" s="34"/>
      <c r="I5449" s="30"/>
      <c r="J5449" s="152">
        <v>0</v>
      </c>
    </row>
    <row r="5450" spans="1:10" ht="15.75" hidden="1" thickBot="1" x14ac:dyDescent="0.3">
      <c r="A5450" s="177"/>
      <c r="B5450" s="175"/>
      <c r="C5450" s="35"/>
      <c r="D5450" s="35"/>
      <c r="E5450" s="36"/>
      <c r="F5450" s="30" t="s">
        <v>416</v>
      </c>
      <c r="G5450" s="30" t="str">
        <f>IF(ISNUMBER(F5450),E5450*F5450,"")</f>
        <v/>
      </c>
      <c r="H5450" s="34"/>
      <c r="I5450" s="30"/>
      <c r="J5450" s="152">
        <v>0</v>
      </c>
    </row>
    <row r="5451" spans="1:10" ht="15.75" hidden="1" thickBot="1" x14ac:dyDescent="0.3">
      <c r="A5451" s="170" t="s">
        <v>3294</v>
      </c>
      <c r="B5451" s="173" t="str">
        <f>INDEX(Orçamentária!A:B,MATCH(Composições!A5451,Orçamentária!A:A,0),2)</f>
        <v>Kit terminal para cabo de potência, 8,7 kV / 15 kV, 240 mm²</v>
      </c>
      <c r="C5451" s="40"/>
      <c r="D5451" s="25" t="s">
        <v>16</v>
      </c>
      <c r="E5451" s="26"/>
      <c r="F5451" s="41" t="s">
        <v>416</v>
      </c>
      <c r="G5451" s="27" t="str">
        <f>IF(ISNUMBER(F5451),E5451*F5451,"")</f>
        <v/>
      </c>
      <c r="H5451" s="28"/>
      <c r="I5451" s="29"/>
      <c r="J5451" s="152">
        <v>0</v>
      </c>
    </row>
    <row r="5452" spans="1:10" ht="15.75" hidden="1" thickBot="1" x14ac:dyDescent="0.3">
      <c r="A5452" s="176"/>
      <c r="B5452" s="174"/>
      <c r="C5452" s="31"/>
      <c r="D5452" s="31"/>
      <c r="E5452" s="32"/>
      <c r="F5452" s="42" t="s">
        <v>416</v>
      </c>
      <c r="G5452" s="30" t="str">
        <f>IF(ISNUMBER(F5452),E5452*F5452,"")</f>
        <v/>
      </c>
      <c r="H5452" s="34"/>
      <c r="I5452" s="30"/>
      <c r="J5452" s="152">
        <v>0</v>
      </c>
    </row>
    <row r="5453" spans="1:10" ht="15.75" hidden="1" thickBot="1" x14ac:dyDescent="0.3">
      <c r="A5453" s="176"/>
      <c r="B5453" s="174"/>
      <c r="C5453" s="35" t="s">
        <v>5569</v>
      </c>
      <c r="D5453" s="35" t="s">
        <v>213</v>
      </c>
      <c r="E5453" s="36">
        <v>1</v>
      </c>
      <c r="F5453" s="33" t="s">
        <v>416</v>
      </c>
      <c r="G5453" s="30" t="str">
        <f>IF(ISNUMBER(F5453),E5453*F5453,"")</f>
        <v/>
      </c>
      <c r="H5453" s="38">
        <f>SUM(G5453:G5455)</f>
        <v>24.709499999999998</v>
      </c>
      <c r="I5453" s="39"/>
      <c r="J5453" s="152">
        <v>0</v>
      </c>
    </row>
    <row r="5454" spans="1:10" ht="15.75" hidden="1" thickBot="1" x14ac:dyDescent="0.3">
      <c r="A5454" s="176"/>
      <c r="B5454" s="174"/>
      <c r="C5454" s="35" t="s">
        <v>1017</v>
      </c>
      <c r="D5454" s="35" t="s">
        <v>583</v>
      </c>
      <c r="E5454" s="36">
        <v>0.5</v>
      </c>
      <c r="F5454" s="33">
        <v>21.584</v>
      </c>
      <c r="G5454" s="30">
        <f>IF(ISNUMBER(F5454),E5454*F5454,"")</f>
        <v>10.792</v>
      </c>
      <c r="H5454" s="44"/>
      <c r="I5454" s="45"/>
      <c r="J5454" s="152">
        <v>0</v>
      </c>
    </row>
    <row r="5455" spans="1:10" ht="15.75" hidden="1" thickBot="1" x14ac:dyDescent="0.3">
      <c r="A5455" s="176"/>
      <c r="B5455" s="174"/>
      <c r="C5455" s="35" t="s">
        <v>1018</v>
      </c>
      <c r="D5455" s="35" t="s">
        <v>583</v>
      </c>
      <c r="E5455" s="36">
        <v>0.5</v>
      </c>
      <c r="F5455" s="30">
        <v>27.835000000000001</v>
      </c>
      <c r="G5455" s="30">
        <f>IF(ISNUMBER(F5455),E5455*F5455,"")</f>
        <v>13.9175</v>
      </c>
      <c r="H5455" s="34"/>
      <c r="I5455" s="30"/>
      <c r="J5455" s="152">
        <v>0</v>
      </c>
    </row>
    <row r="5456" spans="1:10" ht="15.75" hidden="1" thickBot="1" x14ac:dyDescent="0.3">
      <c r="A5456" s="177"/>
      <c r="B5456" s="175"/>
      <c r="C5456" s="35"/>
      <c r="D5456" s="35"/>
      <c r="E5456" s="36"/>
      <c r="F5456" s="30" t="s">
        <v>416</v>
      </c>
      <c r="G5456" s="30" t="str">
        <f>IF(ISNUMBER(F5456),E5456*F5456,"")</f>
        <v/>
      </c>
      <c r="H5456" s="34"/>
      <c r="I5456" s="30"/>
      <c r="J5456" s="152">
        <v>0</v>
      </c>
    </row>
    <row r="5457" spans="1:10" ht="15.75" hidden="1" thickBot="1" x14ac:dyDescent="0.3">
      <c r="A5457" s="170" t="s">
        <v>3295</v>
      </c>
      <c r="B5457" s="173" t="str">
        <f>INDEX(Orçamentária!A:B,MATCH(Composições!A5457,Orçamentária!A:A,0),2)</f>
        <v>Tomada para condulete (20 A)</v>
      </c>
      <c r="C5457" s="40"/>
      <c r="D5457" s="25" t="s">
        <v>16</v>
      </c>
      <c r="E5457" s="26"/>
      <c r="F5457" s="41" t="s">
        <v>416</v>
      </c>
      <c r="G5457" s="27" t="str">
        <f>IF(ISNUMBER(F5457),E5457*F5457,"")</f>
        <v/>
      </c>
      <c r="H5457" s="28"/>
      <c r="I5457" s="29"/>
      <c r="J5457" s="152">
        <v>0</v>
      </c>
    </row>
    <row r="5458" spans="1:10" ht="15.75" hidden="1" thickBot="1" x14ac:dyDescent="0.3">
      <c r="A5458" s="176"/>
      <c r="B5458" s="174"/>
      <c r="C5458" s="31"/>
      <c r="D5458" s="31"/>
      <c r="E5458" s="32"/>
      <c r="F5458" s="42" t="s">
        <v>416</v>
      </c>
      <c r="G5458" s="30" t="str">
        <f>IF(ISNUMBER(F5458),E5458*F5458,"")</f>
        <v/>
      </c>
      <c r="H5458" s="34"/>
      <c r="I5458" s="30"/>
      <c r="J5458" s="152">
        <v>0</v>
      </c>
    </row>
    <row r="5459" spans="1:10" ht="15.75" hidden="1" thickBot="1" x14ac:dyDescent="0.3">
      <c r="A5459" s="176"/>
      <c r="B5459" s="174"/>
      <c r="C5459" s="35" t="s">
        <v>1018</v>
      </c>
      <c r="D5459" s="35" t="s">
        <v>583</v>
      </c>
      <c r="E5459" s="36">
        <v>0.308</v>
      </c>
      <c r="F5459" s="30">
        <v>27.835000000000001</v>
      </c>
      <c r="G5459" s="33">
        <f>IF(ISNUMBER(F5459),E5459*F5459,"")</f>
        <v>8.5731800000000007</v>
      </c>
      <c r="H5459" s="38">
        <f>SUM(G5459:G5462)</f>
        <v>21.431052000000001</v>
      </c>
      <c r="I5459" s="39"/>
      <c r="J5459" s="152">
        <v>0</v>
      </c>
    </row>
    <row r="5460" spans="1:10" ht="15.75" hidden="1" thickBot="1" x14ac:dyDescent="0.3">
      <c r="A5460" s="176"/>
      <c r="B5460" s="174"/>
      <c r="C5460" s="35" t="s">
        <v>1017</v>
      </c>
      <c r="D5460" s="35" t="s">
        <v>583</v>
      </c>
      <c r="E5460" s="36">
        <v>0.308</v>
      </c>
      <c r="F5460" s="30">
        <v>21.584</v>
      </c>
      <c r="G5460" s="33">
        <f>IF(ISNUMBER(F5460),E5460*F5460,"")</f>
        <v>6.6478719999999996</v>
      </c>
      <c r="H5460" s="34"/>
      <c r="I5460" s="30"/>
      <c r="J5460" s="152">
        <v>0</v>
      </c>
    </row>
    <row r="5461" spans="1:10" ht="26.25" hidden="1" thickBot="1" x14ac:dyDescent="0.3">
      <c r="A5461" s="176"/>
      <c r="B5461" s="174"/>
      <c r="C5461" s="35" t="s">
        <v>403</v>
      </c>
      <c r="D5461" s="35" t="s">
        <v>16</v>
      </c>
      <c r="E5461" s="36">
        <v>1</v>
      </c>
      <c r="F5461" s="33">
        <v>6.21</v>
      </c>
      <c r="G5461" s="33">
        <f>IF(ISNUMBER(F5461),E5461*F5461,"")</f>
        <v>6.21</v>
      </c>
      <c r="H5461" s="34"/>
      <c r="I5461" s="30"/>
      <c r="J5461" s="152">
        <v>0</v>
      </c>
    </row>
    <row r="5462" spans="1:10" ht="26.25" hidden="1" thickBot="1" x14ac:dyDescent="0.3">
      <c r="A5462" s="176"/>
      <c r="B5462" s="174"/>
      <c r="C5462" s="35" t="s">
        <v>5570</v>
      </c>
      <c r="D5462" s="35" t="s">
        <v>16</v>
      </c>
      <c r="E5462" s="36">
        <v>1</v>
      </c>
      <c r="F5462" s="33" t="s">
        <v>416</v>
      </c>
      <c r="G5462" s="30" t="str">
        <f>IF(ISNUMBER(F5462),E5462*F5462,"")</f>
        <v/>
      </c>
      <c r="H5462" s="34"/>
      <c r="I5462" s="30"/>
      <c r="J5462" s="152">
        <v>0</v>
      </c>
    </row>
    <row r="5463" spans="1:10" ht="15.75" hidden="1" thickBot="1" x14ac:dyDescent="0.3">
      <c r="A5463" s="177"/>
      <c r="B5463" s="175"/>
      <c r="C5463" s="35"/>
      <c r="D5463" s="35"/>
      <c r="E5463" s="36"/>
      <c r="F5463" s="30" t="s">
        <v>416</v>
      </c>
      <c r="G5463" s="30" t="str">
        <f>IF(ISNUMBER(F5463),E5463*F5463,"")</f>
        <v/>
      </c>
      <c r="H5463" s="34"/>
      <c r="I5463" s="30"/>
      <c r="J5463" s="152">
        <v>0</v>
      </c>
    </row>
    <row r="5464" spans="1:10" ht="15.75" hidden="1" thickBot="1" x14ac:dyDescent="0.3">
      <c r="A5464" s="170" t="s">
        <v>4173</v>
      </c>
      <c r="B5464" s="173" t="str">
        <f>INDEX(Orçamentária!A:B,MATCH(Composições!A5464,Orçamentária!A:A,0),2)</f>
        <v>Cabo de cobre nu 50 mm²</v>
      </c>
      <c r="C5464" s="40"/>
      <c r="D5464" s="25" t="s">
        <v>69</v>
      </c>
      <c r="E5464" s="26"/>
      <c r="F5464" s="41" t="s">
        <v>416</v>
      </c>
      <c r="G5464" s="27" t="str">
        <f>IF(ISNUMBER(F5464),E5464*F5464,"")</f>
        <v/>
      </c>
      <c r="H5464" s="28"/>
      <c r="I5464" s="29"/>
      <c r="J5464" s="152">
        <v>0</v>
      </c>
    </row>
    <row r="5465" spans="1:10" ht="15.75" hidden="1" thickBot="1" x14ac:dyDescent="0.3">
      <c r="A5465" s="176"/>
      <c r="B5465" s="174"/>
      <c r="C5465" s="31"/>
      <c r="D5465" s="31"/>
      <c r="E5465" s="32"/>
      <c r="F5465" s="42" t="s">
        <v>416</v>
      </c>
      <c r="G5465" s="30" t="str">
        <f>IF(ISNUMBER(F5465),E5465*F5465,"")</f>
        <v/>
      </c>
      <c r="H5465" s="34"/>
      <c r="I5465" s="30"/>
      <c r="J5465" s="152">
        <v>0</v>
      </c>
    </row>
    <row r="5466" spans="1:10" ht="15.75" hidden="1" thickBot="1" x14ac:dyDescent="0.3">
      <c r="A5466" s="176"/>
      <c r="B5466" s="174"/>
      <c r="C5466" s="35" t="s">
        <v>8028</v>
      </c>
      <c r="D5466" s="35" t="s">
        <v>385</v>
      </c>
      <c r="E5466" s="36">
        <v>1.1000000000000001</v>
      </c>
      <c r="F5466" s="33">
        <v>53.865000000000002</v>
      </c>
      <c r="G5466" s="30">
        <f>IF(ISNUMBER(F5466),E5466*F5466,"")</f>
        <v>59.251500000000007</v>
      </c>
      <c r="H5466" s="38">
        <f>SUM(G5466:G5468)</f>
        <v>60.916920300000008</v>
      </c>
      <c r="I5466" s="39"/>
      <c r="J5466" s="152">
        <v>0</v>
      </c>
    </row>
    <row r="5467" spans="1:10" ht="15.75" hidden="1" thickBot="1" x14ac:dyDescent="0.3">
      <c r="A5467" s="176"/>
      <c r="B5467" s="174"/>
      <c r="C5467" s="35" t="s">
        <v>1017</v>
      </c>
      <c r="D5467" s="35" t="s">
        <v>583</v>
      </c>
      <c r="E5467" s="36">
        <v>3.3700000000000001E-2</v>
      </c>
      <c r="F5467" s="33">
        <v>21.584</v>
      </c>
      <c r="G5467" s="30">
        <f>IF(ISNUMBER(F5467),E5467*F5467,"")</f>
        <v>0.72738080000000005</v>
      </c>
      <c r="H5467" s="44"/>
      <c r="I5467" s="45"/>
      <c r="J5467" s="152">
        <v>0</v>
      </c>
    </row>
    <row r="5468" spans="1:10" ht="15.75" hidden="1" thickBot="1" x14ac:dyDescent="0.3">
      <c r="A5468" s="176"/>
      <c r="B5468" s="174"/>
      <c r="C5468" s="35" t="s">
        <v>1018</v>
      </c>
      <c r="D5468" s="35" t="s">
        <v>583</v>
      </c>
      <c r="E5468" s="36">
        <v>3.3700000000000001E-2</v>
      </c>
      <c r="F5468" s="30">
        <v>27.835000000000001</v>
      </c>
      <c r="G5468" s="30">
        <f>IF(ISNUMBER(F5468),E5468*F5468,"")</f>
        <v>0.93803950000000003</v>
      </c>
      <c r="H5468" s="34"/>
      <c r="I5468" s="30"/>
      <c r="J5468" s="152">
        <v>0</v>
      </c>
    </row>
    <row r="5469" spans="1:10" ht="15.75" hidden="1" thickBot="1" x14ac:dyDescent="0.3">
      <c r="A5469" s="177"/>
      <c r="B5469" s="175"/>
      <c r="C5469" s="35"/>
      <c r="D5469" s="35"/>
      <c r="E5469" s="36"/>
      <c r="F5469" s="30" t="s">
        <v>416</v>
      </c>
      <c r="G5469" s="30" t="str">
        <f>IF(ISNUMBER(F5469),E5469*F5469,"")</f>
        <v/>
      </c>
      <c r="H5469" s="34"/>
      <c r="I5469" s="30"/>
      <c r="J5469" s="152">
        <v>0</v>
      </c>
    </row>
    <row r="5470" spans="1:10" ht="15.75" hidden="1" thickBot="1" x14ac:dyDescent="0.3">
      <c r="A5470" s="170" t="s">
        <v>4175</v>
      </c>
      <c r="B5470" s="173" t="str">
        <f>INDEX(Orçamentária!A:B,MATCH(Composições!A5470,Orçamentária!A:A,0),2)</f>
        <v>Haste de aterramento 3/4” x 3 m</v>
      </c>
      <c r="C5470" s="40"/>
      <c r="D5470" s="25" t="s">
        <v>16</v>
      </c>
      <c r="E5470" s="26"/>
      <c r="F5470" s="41" t="s">
        <v>416</v>
      </c>
      <c r="G5470" s="27" t="str">
        <f>IF(ISNUMBER(F5470),E5470*F5470,"")</f>
        <v/>
      </c>
      <c r="H5470" s="28"/>
      <c r="I5470" s="29"/>
      <c r="J5470" s="152">
        <v>0</v>
      </c>
    </row>
    <row r="5471" spans="1:10" ht="15.75" hidden="1" thickBot="1" x14ac:dyDescent="0.3">
      <c r="A5471" s="176"/>
      <c r="B5471" s="174"/>
      <c r="C5471" s="31"/>
      <c r="D5471" s="31"/>
      <c r="E5471" s="32"/>
      <c r="F5471" s="42" t="s">
        <v>416</v>
      </c>
      <c r="G5471" s="30" t="str">
        <f>IF(ISNUMBER(F5471),E5471*F5471,"")</f>
        <v/>
      </c>
      <c r="H5471" s="34"/>
      <c r="I5471" s="30"/>
      <c r="J5471" s="152">
        <v>0</v>
      </c>
    </row>
    <row r="5472" spans="1:10" ht="15.75" hidden="1" thickBot="1" x14ac:dyDescent="0.3">
      <c r="A5472" s="176"/>
      <c r="B5472" s="174"/>
      <c r="C5472" s="35" t="s">
        <v>5571</v>
      </c>
      <c r="D5472" s="35" t="s">
        <v>16</v>
      </c>
      <c r="E5472" s="36">
        <v>1</v>
      </c>
      <c r="F5472" s="33" t="s">
        <v>416</v>
      </c>
      <c r="G5472" s="30" t="str">
        <f>IF(ISNUMBER(F5472),E5472*F5472,"")</f>
        <v/>
      </c>
      <c r="H5472" s="38">
        <f>SUM(G5472:G5474)</f>
        <v>19.5452145</v>
      </c>
      <c r="I5472" s="39"/>
      <c r="J5472" s="152">
        <v>0</v>
      </c>
    </row>
    <row r="5473" spans="1:10" ht="15.75" hidden="1" thickBot="1" x14ac:dyDescent="0.3">
      <c r="A5473" s="176"/>
      <c r="B5473" s="174"/>
      <c r="C5473" s="35" t="s">
        <v>1017</v>
      </c>
      <c r="D5473" s="35" t="s">
        <v>583</v>
      </c>
      <c r="E5473" s="36">
        <v>0.39550000000000002</v>
      </c>
      <c r="F5473" s="33">
        <v>21.584</v>
      </c>
      <c r="G5473" s="30">
        <f>IF(ISNUMBER(F5473),E5473*F5473,"")</f>
        <v>8.5364719999999998</v>
      </c>
      <c r="H5473" s="44"/>
      <c r="I5473" s="45"/>
      <c r="J5473" s="152">
        <v>0</v>
      </c>
    </row>
    <row r="5474" spans="1:10" ht="15.75" hidden="1" thickBot="1" x14ac:dyDescent="0.3">
      <c r="A5474" s="176"/>
      <c r="B5474" s="174"/>
      <c r="C5474" s="35" t="s">
        <v>1018</v>
      </c>
      <c r="D5474" s="35" t="s">
        <v>583</v>
      </c>
      <c r="E5474" s="36">
        <v>0.39550000000000002</v>
      </c>
      <c r="F5474" s="30">
        <v>27.835000000000001</v>
      </c>
      <c r="G5474" s="30">
        <f>IF(ISNUMBER(F5474),E5474*F5474,"")</f>
        <v>11.0087425</v>
      </c>
      <c r="H5474" s="34"/>
      <c r="I5474" s="30"/>
      <c r="J5474" s="152">
        <v>0</v>
      </c>
    </row>
    <row r="5475" spans="1:10" ht="15.75" hidden="1" thickBot="1" x14ac:dyDescent="0.3">
      <c r="A5475" s="177"/>
      <c r="B5475" s="175"/>
      <c r="C5475" s="35"/>
      <c r="D5475" s="35"/>
      <c r="E5475" s="36"/>
      <c r="F5475" s="30" t="s">
        <v>416</v>
      </c>
      <c r="G5475" s="30" t="str">
        <f>IF(ISNUMBER(F5475),E5475*F5475,"")</f>
        <v/>
      </c>
      <c r="H5475" s="34"/>
      <c r="I5475" s="30"/>
      <c r="J5475" s="152">
        <v>0</v>
      </c>
    </row>
    <row r="5476" spans="1:10" ht="15.75" hidden="1" thickBot="1" x14ac:dyDescent="0.3">
      <c r="A5476" s="170" t="s">
        <v>4176</v>
      </c>
      <c r="B5476" s="173" t="str">
        <f>INDEX(Orçamentária!A:B,MATCH(Composições!A5476,Orçamentária!A:A,0),2)</f>
        <v>Leito 800 x 100 mm</v>
      </c>
      <c r="C5476" s="40"/>
      <c r="D5476" s="25" t="s">
        <v>69</v>
      </c>
      <c r="E5476" s="26"/>
      <c r="F5476" s="41" t="s">
        <v>416</v>
      </c>
      <c r="G5476" s="27" t="str">
        <f>IF(ISNUMBER(F5476),E5476*F5476,"")</f>
        <v/>
      </c>
      <c r="H5476" s="28"/>
      <c r="I5476" s="29"/>
      <c r="J5476" s="152">
        <v>0</v>
      </c>
    </row>
    <row r="5477" spans="1:10" ht="15.75" hidden="1" thickBot="1" x14ac:dyDescent="0.3">
      <c r="A5477" s="176"/>
      <c r="B5477" s="174"/>
      <c r="C5477" s="31"/>
      <c r="D5477" s="31"/>
      <c r="E5477" s="32"/>
      <c r="F5477" s="42" t="s">
        <v>416</v>
      </c>
      <c r="G5477" s="30" t="str">
        <f>IF(ISNUMBER(F5477),E5477*F5477,"")</f>
        <v/>
      </c>
      <c r="H5477" s="34"/>
      <c r="I5477" s="30"/>
      <c r="J5477" s="152">
        <v>0</v>
      </c>
    </row>
    <row r="5478" spans="1:10" ht="15.75" hidden="1" thickBot="1" x14ac:dyDescent="0.3">
      <c r="A5478" s="176"/>
      <c r="B5478" s="174"/>
      <c r="C5478" s="35" t="s">
        <v>1018</v>
      </c>
      <c r="D5478" s="35" t="s">
        <v>583</v>
      </c>
      <c r="E5478" s="36">
        <v>0.75</v>
      </c>
      <c r="F5478" s="30">
        <v>27.835000000000001</v>
      </c>
      <c r="G5478" s="33">
        <f>IF(ISNUMBER(F5478),E5478*F5478,"")</f>
        <v>20.876249999999999</v>
      </c>
      <c r="H5478" s="38">
        <f>SUM(G5478:G5480)</f>
        <v>37.064250000000001</v>
      </c>
      <c r="I5478" s="39"/>
      <c r="J5478" s="152">
        <v>0</v>
      </c>
    </row>
    <row r="5479" spans="1:10" ht="15.75" hidden="1" thickBot="1" x14ac:dyDescent="0.3">
      <c r="A5479" s="176"/>
      <c r="B5479" s="174"/>
      <c r="C5479" s="35" t="s">
        <v>1017</v>
      </c>
      <c r="D5479" s="35" t="s">
        <v>583</v>
      </c>
      <c r="E5479" s="36">
        <v>0.75</v>
      </c>
      <c r="F5479" s="30">
        <v>21.584</v>
      </c>
      <c r="G5479" s="33">
        <f>IF(ISNUMBER(F5479),E5479*F5479,"")</f>
        <v>16.187999999999999</v>
      </c>
      <c r="H5479" s="34"/>
      <c r="I5479" s="30"/>
      <c r="J5479" s="152">
        <v>0</v>
      </c>
    </row>
    <row r="5480" spans="1:10" ht="26.25" hidden="1" thickBot="1" x14ac:dyDescent="0.3">
      <c r="A5480" s="176"/>
      <c r="B5480" s="174"/>
      <c r="C5480" s="35" t="s">
        <v>5572</v>
      </c>
      <c r="D5480" s="35" t="s">
        <v>69</v>
      </c>
      <c r="E5480" s="36">
        <v>1.05</v>
      </c>
      <c r="F5480" s="30" t="s">
        <v>416</v>
      </c>
      <c r="G5480" s="33" t="str">
        <f>IF(ISNUMBER(F5480),E5480*F5480,"")</f>
        <v/>
      </c>
      <c r="H5480" s="34"/>
      <c r="I5480" s="30"/>
      <c r="J5480" s="152">
        <v>0</v>
      </c>
    </row>
    <row r="5481" spans="1:10" ht="15.75" hidden="1" thickBot="1" x14ac:dyDescent="0.3">
      <c r="A5481" s="177"/>
      <c r="B5481" s="175"/>
      <c r="C5481" s="35"/>
      <c r="D5481" s="35"/>
      <c r="E5481" s="36"/>
      <c r="F5481" s="30" t="s">
        <v>416</v>
      </c>
      <c r="G5481" s="30" t="str">
        <f>IF(ISNUMBER(F5481),E5481*F5481,"")</f>
        <v/>
      </c>
      <c r="H5481" s="34"/>
      <c r="I5481" s="30"/>
      <c r="J5481" s="152">
        <v>0</v>
      </c>
    </row>
    <row r="5482" spans="1:10" ht="15.75" hidden="1" thickBot="1" x14ac:dyDescent="0.3">
      <c r="A5482" s="170" t="s">
        <v>4177</v>
      </c>
      <c r="B5482" s="173" t="str">
        <f>INDEX(Orçamentária!A:B,MATCH(Composições!A5482,Orçamentária!A:A,0),2)</f>
        <v>Engenheiro(a) eletricista pleno</v>
      </c>
      <c r="C5482" s="40"/>
      <c r="D5482" s="25" t="s">
        <v>1286</v>
      </c>
      <c r="E5482" s="26"/>
      <c r="F5482" s="41" t="s">
        <v>416</v>
      </c>
      <c r="G5482" s="27" t="str">
        <f>IF(ISNUMBER(F5482),E5482*F5482,"")</f>
        <v/>
      </c>
      <c r="H5482" s="28"/>
      <c r="I5482" s="29"/>
      <c r="J5482" s="152">
        <v>0</v>
      </c>
    </row>
    <row r="5483" spans="1:10" ht="15.75" hidden="1" thickBot="1" x14ac:dyDescent="0.3">
      <c r="A5483" s="176"/>
      <c r="B5483" s="174"/>
      <c r="C5483" s="31"/>
      <c r="D5483" s="31"/>
      <c r="E5483" s="32"/>
      <c r="F5483" s="42" t="s">
        <v>416</v>
      </c>
      <c r="G5483" s="30" t="str">
        <f>IF(ISNUMBER(F5483),E5483*F5483,"")</f>
        <v/>
      </c>
      <c r="H5483" s="34"/>
      <c r="I5483" s="30"/>
      <c r="J5483" s="152">
        <v>0</v>
      </c>
    </row>
    <row r="5484" spans="1:10" ht="15.75" hidden="1" thickBot="1" x14ac:dyDescent="0.3">
      <c r="A5484" s="176"/>
      <c r="B5484" s="174"/>
      <c r="C5484" s="35" t="s">
        <v>2917</v>
      </c>
      <c r="D5484" s="35" t="s">
        <v>583</v>
      </c>
      <c r="E5484" s="36">
        <v>1</v>
      </c>
      <c r="F5484" s="30">
        <v>124.203</v>
      </c>
      <c r="G5484" s="33">
        <f>IF(ISNUMBER(F5484),E5484*F5484,"")</f>
        <v>124.203</v>
      </c>
      <c r="H5484" s="38">
        <f>SUM(G5484:G5484)</f>
        <v>124.203</v>
      </c>
      <c r="I5484" s="39"/>
      <c r="J5484" s="152">
        <v>0</v>
      </c>
    </row>
    <row r="5485" spans="1:10" ht="15.75" hidden="1" thickBot="1" x14ac:dyDescent="0.3">
      <c r="A5485" s="177"/>
      <c r="B5485" s="175"/>
      <c r="C5485" s="35"/>
      <c r="D5485" s="35"/>
      <c r="E5485" s="36"/>
      <c r="F5485" s="30" t="s">
        <v>416</v>
      </c>
      <c r="G5485" s="30" t="str">
        <f>IF(ISNUMBER(F5485),E5485*F5485,"")</f>
        <v/>
      </c>
      <c r="H5485" s="34"/>
      <c r="I5485" s="30"/>
      <c r="J5485" s="152">
        <v>0</v>
      </c>
    </row>
    <row r="5486" spans="1:10" ht="15.75" hidden="1" thickBot="1" x14ac:dyDescent="0.3">
      <c r="A5486" s="170" t="s">
        <v>4179</v>
      </c>
      <c r="B5486" s="173" t="str">
        <f>INDEX(Orçamentária!A:B,MATCH(Composições!A5486,Orçamentária!A:A,0),2)</f>
        <v>Mão francesa metálica dupla</v>
      </c>
      <c r="C5486" s="40"/>
      <c r="D5486" s="25" t="s">
        <v>16</v>
      </c>
      <c r="E5486" s="26"/>
      <c r="F5486" s="41" t="s">
        <v>416</v>
      </c>
      <c r="G5486" s="27" t="str">
        <f>IF(ISNUMBER(F5486),E5486*F5486,"")</f>
        <v/>
      </c>
      <c r="H5486" s="28"/>
      <c r="I5486" s="29"/>
      <c r="J5486" s="152">
        <v>0</v>
      </c>
    </row>
    <row r="5487" spans="1:10" ht="15.75" hidden="1" thickBot="1" x14ac:dyDescent="0.3">
      <c r="A5487" s="176"/>
      <c r="B5487" s="174"/>
      <c r="C5487" s="31"/>
      <c r="D5487" s="31"/>
      <c r="E5487" s="32"/>
      <c r="F5487" s="42" t="s">
        <v>416</v>
      </c>
      <c r="G5487" s="30" t="str">
        <f>IF(ISNUMBER(F5487),E5487*F5487,"")</f>
        <v/>
      </c>
      <c r="H5487" s="34"/>
      <c r="I5487" s="30"/>
      <c r="J5487" s="152">
        <v>0</v>
      </c>
    </row>
    <row r="5488" spans="1:10" ht="39" hidden="1" thickBot="1" x14ac:dyDescent="0.3">
      <c r="A5488" s="176"/>
      <c r="B5488" s="174"/>
      <c r="C5488" s="35" t="s">
        <v>991</v>
      </c>
      <c r="D5488" s="35" t="s">
        <v>213</v>
      </c>
      <c r="E5488" s="36">
        <v>3</v>
      </c>
      <c r="F5488" s="30">
        <v>1.1019999999999999</v>
      </c>
      <c r="G5488" s="33">
        <f>IF(ISNUMBER(F5488),E5488*F5488,"")</f>
        <v>3.3059999999999996</v>
      </c>
      <c r="H5488" s="38">
        <f>SUM(G5488:G5491)</f>
        <v>19.732790099999999</v>
      </c>
      <c r="I5488" s="39"/>
      <c r="J5488" s="152">
        <v>0</v>
      </c>
    </row>
    <row r="5489" spans="1:10" ht="26.25" hidden="1" thickBot="1" x14ac:dyDescent="0.3">
      <c r="A5489" s="176"/>
      <c r="B5489" s="174"/>
      <c r="C5489" s="35" t="s">
        <v>5573</v>
      </c>
      <c r="D5489" s="35" t="s">
        <v>213</v>
      </c>
      <c r="E5489" s="36">
        <v>1</v>
      </c>
      <c r="F5489" s="30" t="s">
        <v>416</v>
      </c>
      <c r="G5489" s="33" t="str">
        <f>IF(ISNUMBER(F5489),E5489*F5489,"")</f>
        <v/>
      </c>
      <c r="H5489" s="34"/>
      <c r="I5489" s="30"/>
      <c r="J5489" s="152">
        <v>0</v>
      </c>
    </row>
    <row r="5490" spans="1:10" ht="15.75" hidden="1" thickBot="1" x14ac:dyDescent="0.3">
      <c r="A5490" s="176"/>
      <c r="B5490" s="174"/>
      <c r="C5490" s="35" t="s">
        <v>1018</v>
      </c>
      <c r="D5490" s="35" t="s">
        <v>583</v>
      </c>
      <c r="E5490" s="36">
        <v>0.4743</v>
      </c>
      <c r="F5490" s="30">
        <v>27.835000000000001</v>
      </c>
      <c r="G5490" s="33">
        <f>IF(ISNUMBER(F5490),E5490*F5490,"")</f>
        <v>13.202140500000001</v>
      </c>
      <c r="H5490" s="34"/>
      <c r="I5490" s="30"/>
      <c r="J5490" s="152">
        <v>0</v>
      </c>
    </row>
    <row r="5491" spans="1:10" ht="15.75" hidden="1" thickBot="1" x14ac:dyDescent="0.3">
      <c r="A5491" s="176"/>
      <c r="B5491" s="174"/>
      <c r="C5491" s="35" t="s">
        <v>1017</v>
      </c>
      <c r="D5491" s="35" t="s">
        <v>583</v>
      </c>
      <c r="E5491" s="36">
        <v>0.14940000000000001</v>
      </c>
      <c r="F5491" s="30">
        <v>21.584</v>
      </c>
      <c r="G5491" s="33">
        <f>IF(ISNUMBER(F5491),E5491*F5491,"")</f>
        <v>3.2246496000000002</v>
      </c>
      <c r="H5491" s="34"/>
      <c r="I5491" s="30"/>
      <c r="J5491" s="152">
        <v>0</v>
      </c>
    </row>
    <row r="5492" spans="1:10" ht="15.75" hidden="1" thickBot="1" x14ac:dyDescent="0.3">
      <c r="A5492" s="177"/>
      <c r="B5492" s="175"/>
      <c r="C5492" s="35"/>
      <c r="D5492" s="35"/>
      <c r="E5492" s="36"/>
      <c r="F5492" s="30" t="s">
        <v>416</v>
      </c>
      <c r="G5492" s="30" t="str">
        <f>IF(ISNUMBER(F5492),E5492*F5492,"")</f>
        <v/>
      </c>
      <c r="H5492" s="34"/>
      <c r="I5492" s="30"/>
      <c r="J5492" s="152">
        <v>0</v>
      </c>
    </row>
    <row r="5493" spans="1:10" ht="15.75" hidden="1" thickBot="1" x14ac:dyDescent="0.3">
      <c r="A5493" s="170" t="s">
        <v>4180</v>
      </c>
      <c r="B5493" s="173" t="str">
        <f>INDEX(Orçamentária!A:B,MATCH(Composições!A5493,Orçamentária!A:A,0),2)</f>
        <v>Óleo diesel</v>
      </c>
      <c r="C5493" s="40"/>
      <c r="D5493" s="25" t="s">
        <v>75</v>
      </c>
      <c r="E5493" s="26"/>
      <c r="F5493" s="41" t="s">
        <v>416</v>
      </c>
      <c r="G5493" s="27" t="str">
        <f>IF(ISNUMBER(F5493),E5493*F5493,"")</f>
        <v/>
      </c>
      <c r="H5493" s="28"/>
      <c r="I5493" s="29"/>
      <c r="J5493" s="152">
        <v>0</v>
      </c>
    </row>
    <row r="5494" spans="1:10" ht="15.75" hidden="1" thickBot="1" x14ac:dyDescent="0.3">
      <c r="A5494" s="176"/>
      <c r="B5494" s="174"/>
      <c r="C5494" s="31"/>
      <c r="D5494" s="31"/>
      <c r="E5494" s="32"/>
      <c r="F5494" s="42" t="s">
        <v>416</v>
      </c>
      <c r="G5494" s="30" t="str">
        <f>IF(ISNUMBER(F5494),E5494*F5494,"")</f>
        <v/>
      </c>
      <c r="H5494" s="34"/>
      <c r="I5494" s="30"/>
      <c r="J5494" s="152">
        <v>0</v>
      </c>
    </row>
    <row r="5495" spans="1:10" ht="15.75" hidden="1" thickBot="1" x14ac:dyDescent="0.3">
      <c r="A5495" s="176"/>
      <c r="B5495" s="174"/>
      <c r="C5495" s="35" t="s">
        <v>8302</v>
      </c>
      <c r="D5495" s="35" t="s">
        <v>75</v>
      </c>
      <c r="E5495" s="36">
        <v>1</v>
      </c>
      <c r="F5495" s="30">
        <v>5.7285000000000004</v>
      </c>
      <c r="G5495" s="33">
        <f>IF(ISNUMBER(F5495),E5495*F5495,"")</f>
        <v>5.7285000000000004</v>
      </c>
      <c r="H5495" s="38">
        <f>SUM(G5495:G5495)</f>
        <v>5.7285000000000004</v>
      </c>
      <c r="I5495" s="39"/>
      <c r="J5495" s="152">
        <v>0</v>
      </c>
    </row>
    <row r="5496" spans="1:10" ht="15.75" hidden="1" thickBot="1" x14ac:dyDescent="0.3">
      <c r="A5496" s="177"/>
      <c r="B5496" s="175"/>
      <c r="C5496" s="35"/>
      <c r="D5496" s="35"/>
      <c r="E5496" s="36"/>
      <c r="F5496" s="30" t="s">
        <v>416</v>
      </c>
      <c r="G5496" s="30" t="str">
        <f>IF(ISNUMBER(F5496),E5496*F5496,"")</f>
        <v/>
      </c>
      <c r="H5496" s="34"/>
      <c r="I5496" s="30"/>
      <c r="J5496" s="152">
        <v>0</v>
      </c>
    </row>
    <row r="5497" spans="1:10" ht="15.75" hidden="1" thickBot="1" x14ac:dyDescent="0.3">
      <c r="A5497" s="170" t="s">
        <v>4192</v>
      </c>
      <c r="B5497" s="173" t="str">
        <f>INDEX(Orçamentária!A:B,MATCH(Composições!A5497,Orçamentária!A:A,0),2)</f>
        <v>Supervisor Técnico – Sistema Elétrico</v>
      </c>
      <c r="C5497" s="40"/>
      <c r="D5497" s="25" t="s">
        <v>2177</v>
      </c>
      <c r="E5497" s="26"/>
      <c r="F5497" s="48" t="s">
        <v>416</v>
      </c>
      <c r="G5497" s="27" t="str">
        <f>IF(ISNUMBER(F5497),E5497*F5497,"")</f>
        <v/>
      </c>
      <c r="H5497" s="28"/>
      <c r="I5497" s="29"/>
      <c r="J5497" s="152">
        <v>0</v>
      </c>
    </row>
    <row r="5498" spans="1:10" ht="15.75" hidden="1" thickBot="1" x14ac:dyDescent="0.3">
      <c r="A5498" s="171"/>
      <c r="B5498" s="174"/>
      <c r="C5498" s="31"/>
      <c r="D5498" s="31"/>
      <c r="E5498" s="32"/>
      <c r="F5498" s="53" t="s">
        <v>416</v>
      </c>
      <c r="G5498" s="53" t="str">
        <f>IF(ISNUMBER(F5498),E5498*F5498,"")</f>
        <v/>
      </c>
      <c r="H5498" s="72"/>
      <c r="I5498" s="73"/>
      <c r="J5498" s="152">
        <v>0</v>
      </c>
    </row>
    <row r="5499" spans="1:10" ht="15.75" hidden="1" thickBot="1" x14ac:dyDescent="0.3">
      <c r="A5499" s="171"/>
      <c r="B5499" s="174"/>
      <c r="C5499" s="35" t="s">
        <v>2917</v>
      </c>
      <c r="D5499" s="35" t="s">
        <v>583</v>
      </c>
      <c r="E5499" s="36">
        <f>ROUND(220/(1+110.14%),4)</f>
        <v>104.6921</v>
      </c>
      <c r="F5499" s="30">
        <v>124.203</v>
      </c>
      <c r="G5499" s="53">
        <f>IF(ISNUMBER(F5499),E5499*F5499,"")</f>
        <v>13003.0728963</v>
      </c>
      <c r="H5499" s="38">
        <f>SUM(G5499:G5499)</f>
        <v>13003.0728963</v>
      </c>
      <c r="I5499" s="39"/>
      <c r="J5499" s="152">
        <v>0</v>
      </c>
    </row>
    <row r="5500" spans="1:10" ht="15.75" hidden="1" thickBot="1" x14ac:dyDescent="0.3">
      <c r="A5500" s="171"/>
      <c r="B5500" s="174"/>
      <c r="C5500" s="31"/>
      <c r="D5500" s="31"/>
      <c r="E5500" s="32"/>
      <c r="F5500" s="53" t="s">
        <v>416</v>
      </c>
      <c r="G5500" s="53" t="str">
        <f>IF(ISNUMBER(F5500),E5500*F5500,"")</f>
        <v/>
      </c>
      <c r="H5500" s="72"/>
      <c r="I5500" s="73"/>
      <c r="J5500" s="152">
        <v>0</v>
      </c>
    </row>
    <row r="5501" spans="1:10" ht="26.25" hidden="1" thickBot="1" x14ac:dyDescent="0.3">
      <c r="A5501" s="171"/>
      <c r="B5501" s="174"/>
      <c r="C5501" s="47" t="s">
        <v>655</v>
      </c>
      <c r="D5501" s="31"/>
      <c r="E5501" s="32"/>
      <c r="F5501" s="53" t="s">
        <v>416</v>
      </c>
      <c r="G5501" s="53" t="str">
        <f>IF(ISNUMBER(F5501),E5501*F5501,"")</f>
        <v/>
      </c>
      <c r="H5501" s="72"/>
      <c r="I5501" s="73"/>
      <c r="J5501" s="152">
        <v>0</v>
      </c>
    </row>
    <row r="5502" spans="1:10" ht="15.75" hidden="1" thickBot="1" x14ac:dyDescent="0.3">
      <c r="A5502" s="172"/>
      <c r="B5502" s="175"/>
      <c r="C5502" s="54"/>
      <c r="D5502" s="155"/>
      <c r="E5502" s="65"/>
      <c r="F5502" s="75" t="s">
        <v>416</v>
      </c>
      <c r="G5502" s="75" t="str">
        <f>IF(ISNUMBER(F5502),E5502*F5502,"")</f>
        <v/>
      </c>
      <c r="H5502" s="76"/>
      <c r="I5502" s="73"/>
      <c r="J5502" s="152">
        <v>0</v>
      </c>
    </row>
    <row r="5503" spans="1:10" ht="15.75" hidden="1" thickBot="1" x14ac:dyDescent="0.3">
      <c r="A5503" s="170" t="s">
        <v>4193</v>
      </c>
      <c r="B5503" s="173" t="str">
        <f>INDEX(Orçamentária!A:B,MATCH(Composições!A5503,Orçamentária!A:A,0),2)</f>
        <v>Supervisor Técnico – Sistema Elétrico e Segurança do Trabalho</v>
      </c>
      <c r="C5503" s="40"/>
      <c r="D5503" s="25" t="s">
        <v>2177</v>
      </c>
      <c r="E5503" s="26"/>
      <c r="F5503" s="48" t="s">
        <v>416</v>
      </c>
      <c r="G5503" s="27" t="str">
        <f>IF(ISNUMBER(F5503),E5503*F5503,"")</f>
        <v/>
      </c>
      <c r="H5503" s="28"/>
      <c r="I5503" s="29"/>
      <c r="J5503" s="152">
        <v>0</v>
      </c>
    </row>
    <row r="5504" spans="1:10" ht="15.75" hidden="1" thickBot="1" x14ac:dyDescent="0.3">
      <c r="A5504" s="171"/>
      <c r="B5504" s="174"/>
      <c r="C5504" s="31"/>
      <c r="D5504" s="31"/>
      <c r="E5504" s="32"/>
      <c r="F5504" s="53" t="s">
        <v>416</v>
      </c>
      <c r="G5504" s="53" t="str">
        <f>IF(ISNUMBER(F5504),E5504*F5504,"")</f>
        <v/>
      </c>
      <c r="H5504" s="72"/>
      <c r="I5504" s="73"/>
      <c r="J5504" s="152">
        <v>0</v>
      </c>
    </row>
    <row r="5505" spans="1:10" ht="15.75" hidden="1" thickBot="1" x14ac:dyDescent="0.3">
      <c r="A5505" s="171"/>
      <c r="B5505" s="174"/>
      <c r="C5505" s="35" t="s">
        <v>2917</v>
      </c>
      <c r="D5505" s="35" t="s">
        <v>583</v>
      </c>
      <c r="E5505" s="36">
        <f>ROUND(220/(1+110.14%),4)</f>
        <v>104.6921</v>
      </c>
      <c r="F5505" s="30">
        <v>124.203</v>
      </c>
      <c r="G5505" s="53">
        <f>IF(ISNUMBER(F5505),E5505*F5505,"")</f>
        <v>13003.0728963</v>
      </c>
      <c r="H5505" s="38">
        <f>SUM(G5505:G5505)</f>
        <v>13003.0728963</v>
      </c>
      <c r="I5505" s="39"/>
      <c r="J5505" s="152">
        <v>0</v>
      </c>
    </row>
    <row r="5506" spans="1:10" ht="15.75" hidden="1" thickBot="1" x14ac:dyDescent="0.3">
      <c r="A5506" s="171"/>
      <c r="B5506" s="174"/>
      <c r="C5506" s="31"/>
      <c r="D5506" s="31"/>
      <c r="E5506" s="32"/>
      <c r="F5506" s="53" t="s">
        <v>416</v>
      </c>
      <c r="G5506" s="53" t="str">
        <f>IF(ISNUMBER(F5506),E5506*F5506,"")</f>
        <v/>
      </c>
      <c r="H5506" s="72"/>
      <c r="I5506" s="73"/>
      <c r="J5506" s="152">
        <v>0</v>
      </c>
    </row>
    <row r="5507" spans="1:10" ht="26.25" hidden="1" thickBot="1" x14ac:dyDescent="0.3">
      <c r="A5507" s="171"/>
      <c r="B5507" s="174"/>
      <c r="C5507" s="47" t="s">
        <v>655</v>
      </c>
      <c r="D5507" s="31"/>
      <c r="E5507" s="32"/>
      <c r="F5507" s="53" t="s">
        <v>416</v>
      </c>
      <c r="G5507" s="53" t="str">
        <f>IF(ISNUMBER(F5507),E5507*F5507,"")</f>
        <v/>
      </c>
      <c r="H5507" s="72"/>
      <c r="I5507" s="73"/>
      <c r="J5507" s="152">
        <v>0</v>
      </c>
    </row>
    <row r="5508" spans="1:10" ht="15.75" hidden="1" thickBot="1" x14ac:dyDescent="0.3">
      <c r="A5508" s="172"/>
      <c r="B5508" s="175"/>
      <c r="C5508" s="54"/>
      <c r="D5508" s="155"/>
      <c r="E5508" s="65"/>
      <c r="F5508" s="75" t="s">
        <v>416</v>
      </c>
      <c r="G5508" s="75" t="str">
        <f>IF(ISNUMBER(F5508),E5508*F5508,"")</f>
        <v/>
      </c>
      <c r="H5508" s="76"/>
      <c r="I5508" s="73"/>
      <c r="J5508" s="152">
        <v>0</v>
      </c>
    </row>
    <row r="5509" spans="1:10" ht="15.75" hidden="1" thickBot="1" x14ac:dyDescent="0.3">
      <c r="A5509" s="170" t="s">
        <v>4194</v>
      </c>
      <c r="B5509" s="173" t="str">
        <f>INDEX(Orçamentária!A:B,MATCH(Composições!A5509,Orçamentária!A:A,0),2)</f>
        <v>Técnico de Segurança do Trabalho</v>
      </c>
      <c r="C5509" s="40"/>
      <c r="D5509" s="25" t="s">
        <v>2177</v>
      </c>
      <c r="E5509" s="26"/>
      <c r="F5509" s="48" t="s">
        <v>416</v>
      </c>
      <c r="G5509" s="27" t="str">
        <f>IF(ISNUMBER(F5509),E5509*F5509,"")</f>
        <v/>
      </c>
      <c r="H5509" s="28"/>
      <c r="I5509" s="29"/>
      <c r="J5509" s="152">
        <v>0</v>
      </c>
    </row>
    <row r="5510" spans="1:10" ht="15.75" hidden="1" thickBot="1" x14ac:dyDescent="0.3">
      <c r="A5510" s="171"/>
      <c r="B5510" s="174"/>
      <c r="C5510" s="31"/>
      <c r="D5510" s="31"/>
      <c r="E5510" s="32"/>
      <c r="F5510" s="53" t="s">
        <v>416</v>
      </c>
      <c r="G5510" s="53" t="str">
        <f>IF(ISNUMBER(F5510),E5510*F5510,"")</f>
        <v/>
      </c>
      <c r="H5510" s="72"/>
      <c r="I5510" s="73"/>
      <c r="J5510" s="152">
        <v>0</v>
      </c>
    </row>
    <row r="5511" spans="1:10" ht="26.25" hidden="1" thickBot="1" x14ac:dyDescent="0.3">
      <c r="A5511" s="171"/>
      <c r="B5511" s="174"/>
      <c r="C5511" s="35" t="s">
        <v>982</v>
      </c>
      <c r="D5511" s="35" t="s">
        <v>583</v>
      </c>
      <c r="E5511" s="36">
        <f>ROUND(220/(1+110.14%),4)</f>
        <v>104.6921</v>
      </c>
      <c r="F5511" s="30">
        <v>44.003999999999998</v>
      </c>
      <c r="G5511" s="53">
        <f>IF(ISNUMBER(F5511),E5511*F5511,"")</f>
        <v>4606.8711684</v>
      </c>
      <c r="H5511" s="38">
        <f>SUM(G5511:G5511)</f>
        <v>4606.8711684</v>
      </c>
      <c r="I5511" s="39"/>
      <c r="J5511" s="152">
        <v>0</v>
      </c>
    </row>
    <row r="5512" spans="1:10" ht="15.75" hidden="1" thickBot="1" x14ac:dyDescent="0.3">
      <c r="A5512" s="171"/>
      <c r="B5512" s="174"/>
      <c r="C5512" s="31"/>
      <c r="D5512" s="31"/>
      <c r="E5512" s="32"/>
      <c r="F5512" s="53" t="s">
        <v>416</v>
      </c>
      <c r="G5512" s="53" t="str">
        <f>IF(ISNUMBER(F5512),E5512*F5512,"")</f>
        <v/>
      </c>
      <c r="H5512" s="72"/>
      <c r="I5512" s="73"/>
      <c r="J5512" s="152">
        <v>0</v>
      </c>
    </row>
    <row r="5513" spans="1:10" ht="26.25" hidden="1" thickBot="1" x14ac:dyDescent="0.3">
      <c r="A5513" s="171"/>
      <c r="B5513" s="174"/>
      <c r="C5513" s="47" t="s">
        <v>655</v>
      </c>
      <c r="D5513" s="31"/>
      <c r="E5513" s="32"/>
      <c r="F5513" s="53" t="s">
        <v>416</v>
      </c>
      <c r="G5513" s="53" t="str">
        <f>IF(ISNUMBER(F5513),E5513*F5513,"")</f>
        <v/>
      </c>
      <c r="H5513" s="72"/>
      <c r="I5513" s="73"/>
      <c r="J5513" s="152">
        <v>0</v>
      </c>
    </row>
    <row r="5514" spans="1:10" ht="15.75" hidden="1" thickBot="1" x14ac:dyDescent="0.3">
      <c r="A5514" s="172"/>
      <c r="B5514" s="175"/>
      <c r="C5514" s="54"/>
      <c r="D5514" s="155"/>
      <c r="E5514" s="65"/>
      <c r="F5514" s="75" t="s">
        <v>416</v>
      </c>
      <c r="G5514" s="75" t="str">
        <f>IF(ISNUMBER(F5514),E5514*F5514,"")</f>
        <v/>
      </c>
      <c r="H5514" s="76"/>
      <c r="I5514" s="73"/>
      <c r="J5514" s="152">
        <v>0</v>
      </c>
    </row>
    <row r="5515" spans="1:10" ht="15.75" hidden="1" thickBot="1" x14ac:dyDescent="0.3">
      <c r="A5515" s="170" t="s">
        <v>4195</v>
      </c>
      <c r="B5515" s="173" t="str">
        <f>INDEX(Orçamentária!A:B,MATCH(Composições!A5515,Orçamentária!A:A,0),2)</f>
        <v>Auxiliar de Almoxarifado</v>
      </c>
      <c r="C5515" s="40"/>
      <c r="D5515" s="25" t="s">
        <v>2177</v>
      </c>
      <c r="E5515" s="26"/>
      <c r="F5515" s="48" t="s">
        <v>416</v>
      </c>
      <c r="G5515" s="27" t="str">
        <f>IF(ISNUMBER(F5515),E5515*F5515,"")</f>
        <v/>
      </c>
      <c r="H5515" s="28"/>
      <c r="I5515" s="29"/>
      <c r="J5515" s="152">
        <v>0</v>
      </c>
    </row>
    <row r="5516" spans="1:10" ht="15.75" hidden="1" thickBot="1" x14ac:dyDescent="0.3">
      <c r="A5516" s="171"/>
      <c r="B5516" s="174"/>
      <c r="C5516" s="31"/>
      <c r="D5516" s="31"/>
      <c r="E5516" s="32"/>
      <c r="F5516" s="53" t="s">
        <v>416</v>
      </c>
      <c r="G5516" s="53" t="str">
        <f>IF(ISNUMBER(F5516),E5516*F5516,"")</f>
        <v/>
      </c>
      <c r="H5516" s="72"/>
      <c r="I5516" s="73"/>
      <c r="J5516" s="152">
        <v>0</v>
      </c>
    </row>
    <row r="5517" spans="1:10" ht="15.75" hidden="1" thickBot="1" x14ac:dyDescent="0.3">
      <c r="A5517" s="171"/>
      <c r="B5517" s="174"/>
      <c r="C5517" s="35" t="s">
        <v>2918</v>
      </c>
      <c r="D5517" s="35" t="s">
        <v>583</v>
      </c>
      <c r="E5517" s="36">
        <f>ROUND(220/(1+110.14%),4)</f>
        <v>104.6921</v>
      </c>
      <c r="F5517" s="30">
        <v>21.061500000000002</v>
      </c>
      <c r="G5517" s="53">
        <f>IF(ISNUMBER(F5517),E5517*F5517,"")</f>
        <v>2204.9726641500001</v>
      </c>
      <c r="H5517" s="38">
        <f>SUM(G5517:G5517)</f>
        <v>2204.9726641500001</v>
      </c>
      <c r="I5517" s="39"/>
      <c r="J5517" s="152">
        <v>0</v>
      </c>
    </row>
    <row r="5518" spans="1:10" ht="15.75" hidden="1" thickBot="1" x14ac:dyDescent="0.3">
      <c r="A5518" s="171"/>
      <c r="B5518" s="174"/>
      <c r="C5518" s="31"/>
      <c r="D5518" s="31"/>
      <c r="E5518" s="32"/>
      <c r="F5518" s="53" t="s">
        <v>416</v>
      </c>
      <c r="G5518" s="53" t="str">
        <f>IF(ISNUMBER(F5518),E5518*F5518,"")</f>
        <v/>
      </c>
      <c r="H5518" s="72"/>
      <c r="I5518" s="73"/>
      <c r="J5518" s="152">
        <v>0</v>
      </c>
    </row>
    <row r="5519" spans="1:10" ht="26.25" hidden="1" thickBot="1" x14ac:dyDescent="0.3">
      <c r="A5519" s="171"/>
      <c r="B5519" s="174"/>
      <c r="C5519" s="47" t="s">
        <v>655</v>
      </c>
      <c r="D5519" s="31"/>
      <c r="E5519" s="32"/>
      <c r="F5519" s="53" t="s">
        <v>416</v>
      </c>
      <c r="G5519" s="53" t="str">
        <f>IF(ISNUMBER(F5519),E5519*F5519,"")</f>
        <v/>
      </c>
      <c r="H5519" s="72"/>
      <c r="I5519" s="73"/>
      <c r="J5519" s="152">
        <v>0</v>
      </c>
    </row>
    <row r="5520" spans="1:10" ht="15.75" hidden="1" thickBot="1" x14ac:dyDescent="0.3">
      <c r="A5520" s="172"/>
      <c r="B5520" s="175"/>
      <c r="C5520" s="54"/>
      <c r="D5520" s="155"/>
      <c r="E5520" s="65"/>
      <c r="F5520" s="75" t="s">
        <v>416</v>
      </c>
      <c r="G5520" s="75" t="str">
        <f>IF(ISNUMBER(F5520),E5520*F5520,"")</f>
        <v/>
      </c>
      <c r="H5520" s="76"/>
      <c r="I5520" s="73"/>
      <c r="J5520" s="152">
        <v>0</v>
      </c>
    </row>
    <row r="5521" spans="1:10" ht="15.75" hidden="1" thickBot="1" x14ac:dyDescent="0.3">
      <c r="A5521" s="170" t="s">
        <v>4196</v>
      </c>
      <c r="B5521" s="173" t="str">
        <f>INDEX(Orçamentária!A:B,MATCH(Composições!A5521,Orçamentária!A:A,0),2)</f>
        <v>Auxiliar Administrativo</v>
      </c>
      <c r="C5521" s="40"/>
      <c r="D5521" s="25" t="s">
        <v>2177</v>
      </c>
      <c r="E5521" s="26"/>
      <c r="F5521" s="48" t="s">
        <v>416</v>
      </c>
      <c r="G5521" s="27" t="str">
        <f>IF(ISNUMBER(F5521),E5521*F5521,"")</f>
        <v/>
      </c>
      <c r="H5521" s="28"/>
      <c r="I5521" s="29"/>
      <c r="J5521" s="152">
        <v>0</v>
      </c>
    </row>
    <row r="5522" spans="1:10" ht="15.75" hidden="1" thickBot="1" x14ac:dyDescent="0.3">
      <c r="A5522" s="171"/>
      <c r="B5522" s="174"/>
      <c r="C5522" s="31"/>
      <c r="D5522" s="31"/>
      <c r="E5522" s="32"/>
      <c r="F5522" s="53" t="s">
        <v>416</v>
      </c>
      <c r="G5522" s="53" t="str">
        <f>IF(ISNUMBER(F5522),E5522*F5522,"")</f>
        <v/>
      </c>
      <c r="H5522" s="72"/>
      <c r="I5522" s="73"/>
      <c r="J5522" s="152">
        <v>0</v>
      </c>
    </row>
    <row r="5523" spans="1:10" ht="15.75" hidden="1" thickBot="1" x14ac:dyDescent="0.3">
      <c r="A5523" s="171"/>
      <c r="B5523" s="174"/>
      <c r="C5523" s="35" t="s">
        <v>2911</v>
      </c>
      <c r="D5523" s="35" t="s">
        <v>583</v>
      </c>
      <c r="E5523" s="36">
        <f>ROUND(220/(1+110.14%),4)</f>
        <v>104.6921</v>
      </c>
      <c r="F5523" s="30">
        <v>23.721499999999999</v>
      </c>
      <c r="G5523" s="53">
        <f>IF(ISNUMBER(F5523),E5523*F5523,"")</f>
        <v>2483.4536501499997</v>
      </c>
      <c r="H5523" s="38">
        <f>SUM(G5523:G5523)</f>
        <v>2483.4536501499997</v>
      </c>
      <c r="I5523" s="39"/>
      <c r="J5523" s="152">
        <v>0</v>
      </c>
    </row>
    <row r="5524" spans="1:10" ht="15.75" hidden="1" thickBot="1" x14ac:dyDescent="0.3">
      <c r="A5524" s="171"/>
      <c r="B5524" s="174"/>
      <c r="C5524" s="31"/>
      <c r="D5524" s="31"/>
      <c r="E5524" s="32"/>
      <c r="F5524" s="53" t="s">
        <v>416</v>
      </c>
      <c r="G5524" s="53" t="str">
        <f>IF(ISNUMBER(F5524),E5524*F5524,"")</f>
        <v/>
      </c>
      <c r="H5524" s="72"/>
      <c r="I5524" s="73"/>
      <c r="J5524" s="152">
        <v>0</v>
      </c>
    </row>
    <row r="5525" spans="1:10" ht="26.25" hidden="1" thickBot="1" x14ac:dyDescent="0.3">
      <c r="A5525" s="171"/>
      <c r="B5525" s="174"/>
      <c r="C5525" s="47" t="s">
        <v>655</v>
      </c>
      <c r="D5525" s="31"/>
      <c r="E5525" s="32"/>
      <c r="F5525" s="53" t="s">
        <v>416</v>
      </c>
      <c r="G5525" s="53" t="str">
        <f>IF(ISNUMBER(F5525),E5525*F5525,"")</f>
        <v/>
      </c>
      <c r="H5525" s="72"/>
      <c r="I5525" s="73"/>
      <c r="J5525" s="152">
        <v>0</v>
      </c>
    </row>
    <row r="5526" spans="1:10" ht="15.75" hidden="1" thickBot="1" x14ac:dyDescent="0.3">
      <c r="A5526" s="172"/>
      <c r="B5526" s="175"/>
      <c r="C5526" s="54"/>
      <c r="D5526" s="155"/>
      <c r="E5526" s="65"/>
      <c r="F5526" s="75" t="s">
        <v>416</v>
      </c>
      <c r="G5526" s="75" t="str">
        <f>IF(ISNUMBER(F5526),E5526*F5526,"")</f>
        <v/>
      </c>
      <c r="H5526" s="76"/>
      <c r="I5526" s="73"/>
      <c r="J5526" s="152">
        <v>0</v>
      </c>
    </row>
    <row r="5527" spans="1:10" ht="15.75" hidden="1" thickBot="1" x14ac:dyDescent="0.3">
      <c r="A5527" s="170" t="s">
        <v>4197</v>
      </c>
      <c r="B5527" s="173" t="str">
        <f>INDEX(Orçamentária!A:B,MATCH(Composições!A5527,Orçamentária!A:A,0),2)</f>
        <v>Desenhista Técnico</v>
      </c>
      <c r="C5527" s="40"/>
      <c r="D5527" s="25" t="s">
        <v>2177</v>
      </c>
      <c r="E5527" s="26"/>
      <c r="F5527" s="48" t="s">
        <v>416</v>
      </c>
      <c r="G5527" s="27" t="str">
        <f>IF(ISNUMBER(F5527),E5527*F5527,"")</f>
        <v/>
      </c>
      <c r="H5527" s="28"/>
      <c r="I5527" s="29"/>
      <c r="J5527" s="152">
        <v>0</v>
      </c>
    </row>
    <row r="5528" spans="1:10" ht="15.75" hidden="1" thickBot="1" x14ac:dyDescent="0.3">
      <c r="A5528" s="171"/>
      <c r="B5528" s="174"/>
      <c r="C5528" s="31"/>
      <c r="D5528" s="31"/>
      <c r="E5528" s="32"/>
      <c r="F5528" s="53" t="s">
        <v>416</v>
      </c>
      <c r="G5528" s="53" t="str">
        <f>IF(ISNUMBER(F5528),E5528*F5528,"")</f>
        <v/>
      </c>
      <c r="H5528" s="72"/>
      <c r="I5528" s="73"/>
      <c r="J5528" s="152">
        <v>0</v>
      </c>
    </row>
    <row r="5529" spans="1:10" ht="15.75" hidden="1" thickBot="1" x14ac:dyDescent="0.3">
      <c r="A5529" s="171"/>
      <c r="B5529" s="174"/>
      <c r="C5529" s="35" t="s">
        <v>2912</v>
      </c>
      <c r="D5529" s="35" t="s">
        <v>583</v>
      </c>
      <c r="E5529" s="36">
        <f>ROUND(220/(1+110.14%),4)</f>
        <v>104.6921</v>
      </c>
      <c r="F5529" s="30">
        <v>15.9125</v>
      </c>
      <c r="G5529" s="53">
        <f>IF(ISNUMBER(F5529),E5529*F5529,"")</f>
        <v>1665.9130412499999</v>
      </c>
      <c r="H5529" s="38">
        <f>SUM(G5529:G5529)</f>
        <v>1665.9130412499999</v>
      </c>
      <c r="I5529" s="39"/>
      <c r="J5529" s="152">
        <v>0</v>
      </c>
    </row>
    <row r="5530" spans="1:10" ht="15.75" hidden="1" thickBot="1" x14ac:dyDescent="0.3">
      <c r="A5530" s="171"/>
      <c r="B5530" s="174"/>
      <c r="C5530" s="31"/>
      <c r="D5530" s="31"/>
      <c r="E5530" s="32"/>
      <c r="F5530" s="53" t="s">
        <v>416</v>
      </c>
      <c r="G5530" s="53" t="str">
        <f>IF(ISNUMBER(F5530),E5530*F5530,"")</f>
        <v/>
      </c>
      <c r="H5530" s="72"/>
      <c r="I5530" s="73"/>
      <c r="J5530" s="152">
        <v>0</v>
      </c>
    </row>
    <row r="5531" spans="1:10" ht="26.25" hidden="1" thickBot="1" x14ac:dyDescent="0.3">
      <c r="A5531" s="171"/>
      <c r="B5531" s="174"/>
      <c r="C5531" s="47" t="s">
        <v>655</v>
      </c>
      <c r="D5531" s="31"/>
      <c r="E5531" s="32"/>
      <c r="F5531" s="53" t="s">
        <v>416</v>
      </c>
      <c r="G5531" s="53" t="str">
        <f>IF(ISNUMBER(F5531),E5531*F5531,"")</f>
        <v/>
      </c>
      <c r="H5531" s="72"/>
      <c r="I5531" s="73"/>
      <c r="J5531" s="152">
        <v>0</v>
      </c>
    </row>
    <row r="5532" spans="1:10" ht="15.75" hidden="1" thickBot="1" x14ac:dyDescent="0.3">
      <c r="A5532" s="172"/>
      <c r="B5532" s="175"/>
      <c r="C5532" s="54"/>
      <c r="D5532" s="155"/>
      <c r="E5532" s="65"/>
      <c r="F5532" s="75" t="s">
        <v>416</v>
      </c>
      <c r="G5532" s="75" t="str">
        <f>IF(ISNUMBER(F5532),E5532*F5532,"")</f>
        <v/>
      </c>
      <c r="H5532" s="76"/>
      <c r="I5532" s="73"/>
      <c r="J5532" s="152">
        <v>0</v>
      </c>
    </row>
    <row r="5533" spans="1:10" ht="15.75" hidden="1" thickBot="1" x14ac:dyDescent="0.3">
      <c r="A5533" s="170" t="s">
        <v>4198</v>
      </c>
      <c r="B5533" s="173" t="str">
        <f>INDEX(Orçamentária!A:B,MATCH(Composições!A5533,Orçamentária!A:A,0),2)</f>
        <v>Técnico em Eletrotécnica Encarregado</v>
      </c>
      <c r="C5533" s="40"/>
      <c r="D5533" s="25" t="s">
        <v>2177</v>
      </c>
      <c r="E5533" s="26"/>
      <c r="F5533" s="48" t="s">
        <v>416</v>
      </c>
      <c r="G5533" s="27" t="str">
        <f>IF(ISNUMBER(F5533),E5533*F5533,"")</f>
        <v/>
      </c>
      <c r="H5533" s="28"/>
      <c r="I5533" s="29"/>
      <c r="J5533" s="152">
        <v>0</v>
      </c>
    </row>
    <row r="5534" spans="1:10" ht="15.75" hidden="1" thickBot="1" x14ac:dyDescent="0.3">
      <c r="A5534" s="171"/>
      <c r="B5534" s="174"/>
      <c r="C5534" s="31"/>
      <c r="D5534" s="31"/>
      <c r="E5534" s="32"/>
      <c r="F5534" s="53" t="s">
        <v>416</v>
      </c>
      <c r="G5534" s="53" t="str">
        <f>IF(ISNUMBER(F5534),E5534*F5534,"")</f>
        <v/>
      </c>
      <c r="H5534" s="72"/>
      <c r="I5534" s="73"/>
      <c r="J5534" s="152">
        <v>0</v>
      </c>
    </row>
    <row r="5535" spans="1:10" ht="15.75" hidden="1" thickBot="1" x14ac:dyDescent="0.3">
      <c r="A5535" s="171"/>
      <c r="B5535" s="174"/>
      <c r="C5535" s="35" t="s">
        <v>2904</v>
      </c>
      <c r="D5535" s="35" t="s">
        <v>583</v>
      </c>
      <c r="E5535" s="36">
        <f>ROUND(220/(1+110.14%),4)</f>
        <v>104.6921</v>
      </c>
      <c r="F5535" s="30">
        <v>33.6965</v>
      </c>
      <c r="G5535" s="53">
        <f>IF(ISNUMBER(F5535),E5535*F5535,"")</f>
        <v>3527.7573476499997</v>
      </c>
      <c r="H5535" s="38">
        <f>SUM(G5535:G5535)</f>
        <v>3527.7573476499997</v>
      </c>
      <c r="I5535" s="39"/>
      <c r="J5535" s="152">
        <v>0</v>
      </c>
    </row>
    <row r="5536" spans="1:10" ht="15.75" hidden="1" thickBot="1" x14ac:dyDescent="0.3">
      <c r="A5536" s="171"/>
      <c r="B5536" s="174"/>
      <c r="C5536" s="31"/>
      <c r="D5536" s="31"/>
      <c r="E5536" s="32"/>
      <c r="F5536" s="53" t="s">
        <v>416</v>
      </c>
      <c r="G5536" s="53" t="str">
        <f>IF(ISNUMBER(F5536),E5536*F5536,"")</f>
        <v/>
      </c>
      <c r="H5536" s="72"/>
      <c r="I5536" s="73"/>
      <c r="J5536" s="152">
        <v>0</v>
      </c>
    </row>
    <row r="5537" spans="1:10" ht="26.25" hidden="1" thickBot="1" x14ac:dyDescent="0.3">
      <c r="A5537" s="171"/>
      <c r="B5537" s="174"/>
      <c r="C5537" s="47" t="s">
        <v>655</v>
      </c>
      <c r="D5537" s="31"/>
      <c r="E5537" s="32"/>
      <c r="F5537" s="53" t="s">
        <v>416</v>
      </c>
      <c r="G5537" s="53" t="str">
        <f>IF(ISNUMBER(F5537),E5537*F5537,"")</f>
        <v/>
      </c>
      <c r="H5537" s="72"/>
      <c r="I5537" s="73"/>
      <c r="J5537" s="152">
        <v>0</v>
      </c>
    </row>
    <row r="5538" spans="1:10" ht="15.75" hidden="1" thickBot="1" x14ac:dyDescent="0.3">
      <c r="A5538" s="172"/>
      <c r="B5538" s="175"/>
      <c r="C5538" s="54"/>
      <c r="D5538" s="155"/>
      <c r="E5538" s="65"/>
      <c r="F5538" s="75" t="s">
        <v>416</v>
      </c>
      <c r="G5538" s="75" t="str">
        <f>IF(ISNUMBER(F5538),E5538*F5538,"")</f>
        <v/>
      </c>
      <c r="H5538" s="76"/>
      <c r="I5538" s="73"/>
      <c r="J5538" s="152">
        <v>0</v>
      </c>
    </row>
    <row r="5539" spans="1:10" ht="15.75" hidden="1" thickBot="1" x14ac:dyDescent="0.3">
      <c r="A5539" s="170" t="s">
        <v>4199</v>
      </c>
      <c r="B5539" s="173" t="str">
        <f>INDEX(Orçamentária!A:B,MATCH(Composições!A5539,Orçamentária!A:A,0),2)</f>
        <v>Técnico em Eletrotécnica Planejador de Manutenção</v>
      </c>
      <c r="C5539" s="40"/>
      <c r="D5539" s="25" t="s">
        <v>2177</v>
      </c>
      <c r="E5539" s="26"/>
      <c r="F5539" s="48" t="s">
        <v>416</v>
      </c>
      <c r="G5539" s="27" t="str">
        <f>IF(ISNUMBER(F5539),E5539*F5539,"")</f>
        <v/>
      </c>
      <c r="H5539" s="28"/>
      <c r="I5539" s="29"/>
      <c r="J5539" s="152">
        <v>0</v>
      </c>
    </row>
    <row r="5540" spans="1:10" ht="15.75" hidden="1" thickBot="1" x14ac:dyDescent="0.3">
      <c r="A5540" s="171"/>
      <c r="B5540" s="174"/>
      <c r="C5540" s="31"/>
      <c r="D5540" s="31"/>
      <c r="E5540" s="32"/>
      <c r="F5540" s="53" t="s">
        <v>416</v>
      </c>
      <c r="G5540" s="53" t="str">
        <f>IF(ISNUMBER(F5540),E5540*F5540,"")</f>
        <v/>
      </c>
      <c r="H5540" s="72"/>
      <c r="I5540" s="73"/>
      <c r="J5540" s="152">
        <v>0</v>
      </c>
    </row>
    <row r="5541" spans="1:10" ht="15.75" hidden="1" thickBot="1" x14ac:dyDescent="0.3">
      <c r="A5541" s="171"/>
      <c r="B5541" s="174"/>
      <c r="C5541" s="35" t="s">
        <v>2904</v>
      </c>
      <c r="D5541" s="35" t="s">
        <v>583</v>
      </c>
      <c r="E5541" s="36">
        <f>ROUND(220/(1+110.14%),4)</f>
        <v>104.6921</v>
      </c>
      <c r="F5541" s="30">
        <v>33.6965</v>
      </c>
      <c r="G5541" s="53">
        <f>IF(ISNUMBER(F5541),E5541*F5541,"")</f>
        <v>3527.7573476499997</v>
      </c>
      <c r="H5541" s="38">
        <f>SUM(G5541:G5541)</f>
        <v>3527.7573476499997</v>
      </c>
      <c r="I5541" s="39"/>
      <c r="J5541" s="152">
        <v>0</v>
      </c>
    </row>
    <row r="5542" spans="1:10" ht="15.75" hidden="1" thickBot="1" x14ac:dyDescent="0.3">
      <c r="A5542" s="171"/>
      <c r="B5542" s="174"/>
      <c r="C5542" s="31"/>
      <c r="D5542" s="31"/>
      <c r="E5542" s="32"/>
      <c r="F5542" s="53" t="s">
        <v>416</v>
      </c>
      <c r="G5542" s="53" t="str">
        <f>IF(ISNUMBER(F5542),E5542*F5542,"")</f>
        <v/>
      </c>
      <c r="H5542" s="72"/>
      <c r="I5542" s="73"/>
      <c r="J5542" s="152">
        <v>0</v>
      </c>
    </row>
    <row r="5543" spans="1:10" ht="26.25" hidden="1" thickBot="1" x14ac:dyDescent="0.3">
      <c r="A5543" s="171"/>
      <c r="B5543" s="174"/>
      <c r="C5543" s="47" t="s">
        <v>655</v>
      </c>
      <c r="D5543" s="31"/>
      <c r="E5543" s="32"/>
      <c r="F5543" s="53" t="s">
        <v>416</v>
      </c>
      <c r="G5543" s="53" t="str">
        <f>IF(ISNUMBER(F5543),E5543*F5543,"")</f>
        <v/>
      </c>
      <c r="H5543" s="72"/>
      <c r="I5543" s="73"/>
      <c r="J5543" s="152">
        <v>0</v>
      </c>
    </row>
    <row r="5544" spans="1:10" ht="15.75" hidden="1" thickBot="1" x14ac:dyDescent="0.3">
      <c r="A5544" s="172"/>
      <c r="B5544" s="175"/>
      <c r="C5544" s="54"/>
      <c r="D5544" s="155"/>
      <c r="E5544" s="65"/>
      <c r="F5544" s="75" t="s">
        <v>416</v>
      </c>
      <c r="G5544" s="75" t="str">
        <f>IF(ISNUMBER(F5544),E5544*F5544,"")</f>
        <v/>
      </c>
      <c r="H5544" s="76"/>
      <c r="I5544" s="73"/>
      <c r="J5544" s="152">
        <v>0</v>
      </c>
    </row>
    <row r="5545" spans="1:10" ht="15.75" hidden="1" thickBot="1" x14ac:dyDescent="0.3">
      <c r="A5545" s="170" t="s">
        <v>4200</v>
      </c>
      <c r="B5545" s="173" t="str">
        <f>INDEX(Orçamentária!A:B,MATCH(Composições!A5545,Orçamentária!A:A,0),2)</f>
        <v>Técnico em Eletrotécnica Termografista</v>
      </c>
      <c r="C5545" s="40"/>
      <c r="D5545" s="25" t="s">
        <v>2177</v>
      </c>
      <c r="E5545" s="26"/>
      <c r="F5545" s="48" t="s">
        <v>416</v>
      </c>
      <c r="G5545" s="27" t="str">
        <f>IF(ISNUMBER(F5545),E5545*F5545,"")</f>
        <v/>
      </c>
      <c r="H5545" s="28"/>
      <c r="I5545" s="29"/>
      <c r="J5545" s="152">
        <v>0</v>
      </c>
    </row>
    <row r="5546" spans="1:10" ht="15.75" hidden="1" thickBot="1" x14ac:dyDescent="0.3">
      <c r="A5546" s="171"/>
      <c r="B5546" s="174"/>
      <c r="C5546" s="31"/>
      <c r="D5546" s="31"/>
      <c r="E5546" s="32"/>
      <c r="F5546" s="53" t="s">
        <v>416</v>
      </c>
      <c r="G5546" s="53" t="str">
        <f>IF(ISNUMBER(F5546),E5546*F5546,"")</f>
        <v/>
      </c>
      <c r="H5546" s="72"/>
      <c r="I5546" s="73"/>
      <c r="J5546" s="152">
        <v>0</v>
      </c>
    </row>
    <row r="5547" spans="1:10" ht="15.75" hidden="1" thickBot="1" x14ac:dyDescent="0.3">
      <c r="A5547" s="171"/>
      <c r="B5547" s="174"/>
      <c r="C5547" s="35" t="s">
        <v>2904</v>
      </c>
      <c r="D5547" s="35" t="s">
        <v>583</v>
      </c>
      <c r="E5547" s="36">
        <f>ROUND(220/(1+110.14%),4)</f>
        <v>104.6921</v>
      </c>
      <c r="F5547" s="30">
        <v>33.6965</v>
      </c>
      <c r="G5547" s="53">
        <f>IF(ISNUMBER(F5547),E5547*F5547,"")</f>
        <v>3527.7573476499997</v>
      </c>
      <c r="H5547" s="38">
        <f>SUM(G5547:G5547)</f>
        <v>3527.7573476499997</v>
      </c>
      <c r="I5547" s="39"/>
      <c r="J5547" s="152">
        <v>0</v>
      </c>
    </row>
    <row r="5548" spans="1:10" ht="15.75" hidden="1" thickBot="1" x14ac:dyDescent="0.3">
      <c r="A5548" s="171"/>
      <c r="B5548" s="174"/>
      <c r="C5548" s="31"/>
      <c r="D5548" s="31"/>
      <c r="E5548" s="32"/>
      <c r="F5548" s="53" t="s">
        <v>416</v>
      </c>
      <c r="G5548" s="53" t="str">
        <f>IF(ISNUMBER(F5548),E5548*F5548,"")</f>
        <v/>
      </c>
      <c r="H5548" s="72"/>
      <c r="I5548" s="73"/>
      <c r="J5548" s="152">
        <v>0</v>
      </c>
    </row>
    <row r="5549" spans="1:10" ht="26.25" hidden="1" thickBot="1" x14ac:dyDescent="0.3">
      <c r="A5549" s="171"/>
      <c r="B5549" s="174"/>
      <c r="C5549" s="47" t="s">
        <v>655</v>
      </c>
      <c r="D5549" s="31"/>
      <c r="E5549" s="32"/>
      <c r="F5549" s="53" t="s">
        <v>416</v>
      </c>
      <c r="G5549" s="53" t="str">
        <f>IF(ISNUMBER(F5549),E5549*F5549,"")</f>
        <v/>
      </c>
      <c r="H5549" s="72"/>
      <c r="I5549" s="73"/>
      <c r="J5549" s="152">
        <v>0</v>
      </c>
    </row>
    <row r="5550" spans="1:10" ht="15.75" hidden="1" thickBot="1" x14ac:dyDescent="0.3">
      <c r="A5550" s="172"/>
      <c r="B5550" s="175"/>
      <c r="C5550" s="54"/>
      <c r="D5550" s="155"/>
      <c r="E5550" s="65"/>
      <c r="F5550" s="75" t="s">
        <v>416</v>
      </c>
      <c r="G5550" s="75" t="str">
        <f>IF(ISNUMBER(F5550),E5550*F5550,"")</f>
        <v/>
      </c>
      <c r="H5550" s="76"/>
      <c r="I5550" s="73"/>
      <c r="J5550" s="152">
        <v>0</v>
      </c>
    </row>
    <row r="5551" spans="1:10" ht="15.75" hidden="1" thickBot="1" x14ac:dyDescent="0.3">
      <c r="A5551" s="170" t="s">
        <v>4201</v>
      </c>
      <c r="B5551" s="173" t="str">
        <f>INDEX(Orçamentária!A:B,MATCH(Composições!A5551,Orçamentária!A:A,0),2)</f>
        <v>Técnico em Eletrotécnica</v>
      </c>
      <c r="C5551" s="40"/>
      <c r="D5551" s="25" t="s">
        <v>2177</v>
      </c>
      <c r="E5551" s="26"/>
      <c r="F5551" s="48" t="s">
        <v>416</v>
      </c>
      <c r="G5551" s="27" t="str">
        <f>IF(ISNUMBER(F5551),E5551*F5551,"")</f>
        <v/>
      </c>
      <c r="H5551" s="28"/>
      <c r="I5551" s="29"/>
      <c r="J5551" s="152">
        <v>0</v>
      </c>
    </row>
    <row r="5552" spans="1:10" ht="15.75" hidden="1" thickBot="1" x14ac:dyDescent="0.3">
      <c r="A5552" s="171"/>
      <c r="B5552" s="174"/>
      <c r="C5552" s="31"/>
      <c r="D5552" s="31"/>
      <c r="E5552" s="32"/>
      <c r="F5552" s="53" t="s">
        <v>416</v>
      </c>
      <c r="G5552" s="53" t="str">
        <f>IF(ISNUMBER(F5552),E5552*F5552,"")</f>
        <v/>
      </c>
      <c r="H5552" s="72"/>
      <c r="I5552" s="73"/>
      <c r="J5552" s="152">
        <v>0</v>
      </c>
    </row>
    <row r="5553" spans="1:10" ht="15.75" hidden="1" thickBot="1" x14ac:dyDescent="0.3">
      <c r="A5553" s="171"/>
      <c r="B5553" s="174"/>
      <c r="C5553" s="35" t="s">
        <v>2904</v>
      </c>
      <c r="D5553" s="35" t="s">
        <v>583</v>
      </c>
      <c r="E5553" s="36">
        <f>ROUND(220/(1+110.14%),4)</f>
        <v>104.6921</v>
      </c>
      <c r="F5553" s="30">
        <v>33.6965</v>
      </c>
      <c r="G5553" s="53">
        <f>IF(ISNUMBER(F5553),E5553*F5553,"")</f>
        <v>3527.7573476499997</v>
      </c>
      <c r="H5553" s="38">
        <f>SUM(G5553:G5553)</f>
        <v>3527.7573476499997</v>
      </c>
      <c r="I5553" s="39"/>
      <c r="J5553" s="152">
        <v>0</v>
      </c>
    </row>
    <row r="5554" spans="1:10" ht="15.75" hidden="1" thickBot="1" x14ac:dyDescent="0.3">
      <c r="A5554" s="171"/>
      <c r="B5554" s="174"/>
      <c r="C5554" s="31"/>
      <c r="D5554" s="31"/>
      <c r="E5554" s="32"/>
      <c r="F5554" s="53" t="s">
        <v>416</v>
      </c>
      <c r="G5554" s="53" t="str">
        <f>IF(ISNUMBER(F5554),E5554*F5554,"")</f>
        <v/>
      </c>
      <c r="H5554" s="72"/>
      <c r="I5554" s="73"/>
      <c r="J5554" s="152">
        <v>0</v>
      </c>
    </row>
    <row r="5555" spans="1:10" ht="26.25" hidden="1" thickBot="1" x14ac:dyDescent="0.3">
      <c r="A5555" s="171"/>
      <c r="B5555" s="174"/>
      <c r="C5555" s="47" t="s">
        <v>655</v>
      </c>
      <c r="D5555" s="31"/>
      <c r="E5555" s="32"/>
      <c r="F5555" s="53" t="s">
        <v>416</v>
      </c>
      <c r="G5555" s="53" t="str">
        <f>IF(ISNUMBER(F5555),E5555*F5555,"")</f>
        <v/>
      </c>
      <c r="H5555" s="72"/>
      <c r="I5555" s="73"/>
      <c r="J5555" s="152">
        <v>0</v>
      </c>
    </row>
    <row r="5556" spans="1:10" ht="15.75" hidden="1" thickBot="1" x14ac:dyDescent="0.3">
      <c r="A5556" s="172"/>
      <c r="B5556" s="175"/>
      <c r="C5556" s="54"/>
      <c r="D5556" s="155"/>
      <c r="E5556" s="65"/>
      <c r="F5556" s="75" t="s">
        <v>416</v>
      </c>
      <c r="G5556" s="75" t="str">
        <f>IF(ISNUMBER(F5556),E5556*F5556,"")</f>
        <v/>
      </c>
      <c r="H5556" s="76"/>
      <c r="I5556" s="73"/>
      <c r="J5556" s="152">
        <v>0</v>
      </c>
    </row>
    <row r="5557" spans="1:10" ht="15.75" hidden="1" thickBot="1" x14ac:dyDescent="0.3">
      <c r="A5557" s="170" t="s">
        <v>4202</v>
      </c>
      <c r="B5557" s="173" t="str">
        <f>INDEX(Orçamentária!A:B,MATCH(Composições!A5557,Orçamentária!A:A,0),2)</f>
        <v>Eletricista</v>
      </c>
      <c r="C5557" s="40"/>
      <c r="D5557" s="25" t="s">
        <v>2177</v>
      </c>
      <c r="E5557" s="26"/>
      <c r="F5557" s="48" t="s">
        <v>416</v>
      </c>
      <c r="G5557" s="27" t="str">
        <f>IF(ISNUMBER(F5557),E5557*F5557,"")</f>
        <v/>
      </c>
      <c r="H5557" s="28"/>
      <c r="I5557" s="29"/>
      <c r="J5557" s="152">
        <v>0</v>
      </c>
    </row>
    <row r="5558" spans="1:10" ht="15.75" hidden="1" thickBot="1" x14ac:dyDescent="0.3">
      <c r="A5558" s="171"/>
      <c r="B5558" s="174"/>
      <c r="C5558" s="31"/>
      <c r="D5558" s="31"/>
      <c r="E5558" s="32"/>
      <c r="F5558" s="53" t="s">
        <v>416</v>
      </c>
      <c r="G5558" s="53" t="str">
        <f>IF(ISNUMBER(F5558),E5558*F5558,"")</f>
        <v/>
      </c>
      <c r="H5558" s="72"/>
      <c r="I5558" s="73"/>
      <c r="J5558" s="152">
        <v>0</v>
      </c>
    </row>
    <row r="5559" spans="1:10" ht="15.75" hidden="1" thickBot="1" x14ac:dyDescent="0.3">
      <c r="A5559" s="171"/>
      <c r="B5559" s="174"/>
      <c r="C5559" s="35" t="s">
        <v>1018</v>
      </c>
      <c r="D5559" s="35" t="s">
        <v>583</v>
      </c>
      <c r="E5559" s="36">
        <f>ROUND(220/(1+110.14%),4)</f>
        <v>104.6921</v>
      </c>
      <c r="F5559" s="30">
        <v>27.835000000000001</v>
      </c>
      <c r="G5559" s="53">
        <f>IF(ISNUMBER(F5559),E5559*F5559,"")</f>
        <v>2914.1046034999999</v>
      </c>
      <c r="H5559" s="38">
        <f>SUM(G5559:G5559)</f>
        <v>2914.1046034999999</v>
      </c>
      <c r="I5559" s="39"/>
      <c r="J5559" s="152">
        <v>0</v>
      </c>
    </row>
    <row r="5560" spans="1:10" ht="15.75" hidden="1" thickBot="1" x14ac:dyDescent="0.3">
      <c r="A5560" s="171"/>
      <c r="B5560" s="174"/>
      <c r="C5560" s="31"/>
      <c r="D5560" s="31"/>
      <c r="E5560" s="32"/>
      <c r="F5560" s="53" t="s">
        <v>416</v>
      </c>
      <c r="G5560" s="53" t="str">
        <f>IF(ISNUMBER(F5560),E5560*F5560,"")</f>
        <v/>
      </c>
      <c r="H5560" s="72"/>
      <c r="I5560" s="73"/>
      <c r="J5560" s="152">
        <v>0</v>
      </c>
    </row>
    <row r="5561" spans="1:10" ht="26.25" hidden="1" thickBot="1" x14ac:dyDescent="0.3">
      <c r="A5561" s="171"/>
      <c r="B5561" s="174"/>
      <c r="C5561" s="47" t="s">
        <v>655</v>
      </c>
      <c r="D5561" s="31"/>
      <c r="E5561" s="32"/>
      <c r="F5561" s="53" t="s">
        <v>416</v>
      </c>
      <c r="G5561" s="53" t="str">
        <f>IF(ISNUMBER(F5561),E5561*F5561,"")</f>
        <v/>
      </c>
      <c r="H5561" s="72"/>
      <c r="I5561" s="73"/>
      <c r="J5561" s="152">
        <v>0</v>
      </c>
    </row>
    <row r="5562" spans="1:10" ht="15.75" hidden="1" thickBot="1" x14ac:dyDescent="0.3">
      <c r="A5562" s="172"/>
      <c r="B5562" s="175"/>
      <c r="C5562" s="54"/>
      <c r="D5562" s="155"/>
      <c r="E5562" s="65"/>
      <c r="F5562" s="75" t="s">
        <v>416</v>
      </c>
      <c r="G5562" s="75" t="str">
        <f>IF(ISNUMBER(F5562),E5562*F5562,"")</f>
        <v/>
      </c>
      <c r="H5562" s="76"/>
      <c r="I5562" s="73"/>
      <c r="J5562" s="152">
        <v>0</v>
      </c>
    </row>
    <row r="5563" spans="1:10" ht="15.75" hidden="1" thickBot="1" x14ac:dyDescent="0.3">
      <c r="A5563" s="170" t="s">
        <v>4203</v>
      </c>
      <c r="B5563" s="173" t="str">
        <f>INDEX(Orçamentária!A:B,MATCH(Composições!A5563,Orçamentária!A:A,0),2)</f>
        <v>Auxiliar de Eletricista</v>
      </c>
      <c r="C5563" s="40"/>
      <c r="D5563" s="25" t="s">
        <v>2177</v>
      </c>
      <c r="E5563" s="26"/>
      <c r="F5563" s="48" t="s">
        <v>416</v>
      </c>
      <c r="G5563" s="27" t="str">
        <f>IF(ISNUMBER(F5563),E5563*F5563,"")</f>
        <v/>
      </c>
      <c r="H5563" s="28"/>
      <c r="I5563" s="29"/>
      <c r="J5563" s="152">
        <v>0</v>
      </c>
    </row>
    <row r="5564" spans="1:10" ht="15.75" hidden="1" thickBot="1" x14ac:dyDescent="0.3">
      <c r="A5564" s="171"/>
      <c r="B5564" s="174"/>
      <c r="C5564" s="31"/>
      <c r="D5564" s="31"/>
      <c r="E5564" s="32"/>
      <c r="F5564" s="53" t="s">
        <v>416</v>
      </c>
      <c r="G5564" s="53" t="str">
        <f>IF(ISNUMBER(F5564),E5564*F5564,"")</f>
        <v/>
      </c>
      <c r="H5564" s="72"/>
      <c r="I5564" s="73"/>
      <c r="J5564" s="152">
        <v>0</v>
      </c>
    </row>
    <row r="5565" spans="1:10" ht="15.75" hidden="1" thickBot="1" x14ac:dyDescent="0.3">
      <c r="A5565" s="171"/>
      <c r="B5565" s="174"/>
      <c r="C5565" s="35" t="s">
        <v>1017</v>
      </c>
      <c r="D5565" s="35" t="s">
        <v>583</v>
      </c>
      <c r="E5565" s="36">
        <f>ROUND(220/(1+110.14%),4)</f>
        <v>104.6921</v>
      </c>
      <c r="F5565" s="30">
        <v>21.584</v>
      </c>
      <c r="G5565" s="53">
        <f>IF(ISNUMBER(F5565),E5565*F5565,"")</f>
        <v>2259.6742863999998</v>
      </c>
      <c r="H5565" s="38">
        <f>SUM(G5565:G5565)</f>
        <v>2259.6742863999998</v>
      </c>
      <c r="I5565" s="39"/>
      <c r="J5565" s="152">
        <v>0</v>
      </c>
    </row>
    <row r="5566" spans="1:10" ht="15.75" hidden="1" thickBot="1" x14ac:dyDescent="0.3">
      <c r="A5566" s="171"/>
      <c r="B5566" s="174"/>
      <c r="C5566" s="31"/>
      <c r="D5566" s="31"/>
      <c r="E5566" s="32"/>
      <c r="F5566" s="53" t="s">
        <v>416</v>
      </c>
      <c r="G5566" s="53" t="str">
        <f>IF(ISNUMBER(F5566),E5566*F5566,"")</f>
        <v/>
      </c>
      <c r="H5566" s="72"/>
      <c r="I5566" s="73"/>
      <c r="J5566" s="152">
        <v>0</v>
      </c>
    </row>
    <row r="5567" spans="1:10" ht="26.25" hidden="1" thickBot="1" x14ac:dyDescent="0.3">
      <c r="A5567" s="171"/>
      <c r="B5567" s="174"/>
      <c r="C5567" s="47" t="s">
        <v>655</v>
      </c>
      <c r="D5567" s="31"/>
      <c r="E5567" s="32"/>
      <c r="F5567" s="53" t="s">
        <v>416</v>
      </c>
      <c r="G5567" s="53" t="str">
        <f>IF(ISNUMBER(F5567),E5567*F5567,"")</f>
        <v/>
      </c>
      <c r="H5567" s="72"/>
      <c r="I5567" s="73"/>
      <c r="J5567" s="152">
        <v>0</v>
      </c>
    </row>
    <row r="5568" spans="1:10" ht="15.75" hidden="1" thickBot="1" x14ac:dyDescent="0.3">
      <c r="A5568" s="172"/>
      <c r="B5568" s="175"/>
      <c r="C5568" s="54"/>
      <c r="D5568" s="155"/>
      <c r="E5568" s="65"/>
      <c r="F5568" s="75" t="s">
        <v>416</v>
      </c>
      <c r="G5568" s="75" t="str">
        <f>IF(ISNUMBER(F5568),E5568*F5568,"")</f>
        <v/>
      </c>
      <c r="H5568" s="76"/>
      <c r="I5568" s="73"/>
      <c r="J5568" s="152">
        <v>0</v>
      </c>
    </row>
    <row r="5569" spans="1:10" ht="15.75" hidden="1" thickBot="1" x14ac:dyDescent="0.3">
      <c r="A5569" s="170" t="s">
        <v>4204</v>
      </c>
      <c r="B5569" s="173" t="str">
        <f>INDEX(Orçamentária!A:B,MATCH(Composições!A5569,Orçamentária!A:A,0),2)</f>
        <v>Técnico em Eletromecânica</v>
      </c>
      <c r="C5569" s="40"/>
      <c r="D5569" s="25" t="s">
        <v>2177</v>
      </c>
      <c r="E5569" s="26"/>
      <c r="F5569" s="48" t="s">
        <v>416</v>
      </c>
      <c r="G5569" s="27" t="str">
        <f>IF(ISNUMBER(F5569),E5569*F5569,"")</f>
        <v/>
      </c>
      <c r="H5569" s="28"/>
      <c r="I5569" s="29"/>
      <c r="J5569" s="152">
        <v>0</v>
      </c>
    </row>
    <row r="5570" spans="1:10" ht="15.75" hidden="1" thickBot="1" x14ac:dyDescent="0.3">
      <c r="A5570" s="171"/>
      <c r="B5570" s="174"/>
      <c r="C5570" s="31"/>
      <c r="D5570" s="31"/>
      <c r="E5570" s="32"/>
      <c r="F5570" s="53" t="s">
        <v>416</v>
      </c>
      <c r="G5570" s="53" t="str">
        <f>IF(ISNUMBER(F5570),E5570*F5570,"")</f>
        <v/>
      </c>
      <c r="H5570" s="72"/>
      <c r="I5570" s="73"/>
      <c r="J5570" s="152">
        <v>0</v>
      </c>
    </row>
    <row r="5571" spans="1:10" ht="15.75" hidden="1" thickBot="1" x14ac:dyDescent="0.3">
      <c r="A5571" s="171"/>
      <c r="B5571" s="174"/>
      <c r="C5571" s="35" t="s">
        <v>2904</v>
      </c>
      <c r="D5571" s="35" t="s">
        <v>583</v>
      </c>
      <c r="E5571" s="36">
        <f>ROUND(220/(1+110.14%),4)</f>
        <v>104.6921</v>
      </c>
      <c r="F5571" s="30">
        <v>33.6965</v>
      </c>
      <c r="G5571" s="53">
        <f>IF(ISNUMBER(F5571),E5571*F5571,"")</f>
        <v>3527.7573476499997</v>
      </c>
      <c r="H5571" s="38">
        <f>SUM(G5571:G5571)</f>
        <v>3527.7573476499997</v>
      </c>
      <c r="I5571" s="39"/>
      <c r="J5571" s="152">
        <v>0</v>
      </c>
    </row>
    <row r="5572" spans="1:10" ht="15.75" hidden="1" thickBot="1" x14ac:dyDescent="0.3">
      <c r="A5572" s="171"/>
      <c r="B5572" s="174"/>
      <c r="C5572" s="31"/>
      <c r="D5572" s="31"/>
      <c r="E5572" s="32"/>
      <c r="F5572" s="53" t="s">
        <v>416</v>
      </c>
      <c r="G5572" s="53" t="str">
        <f>IF(ISNUMBER(F5572),E5572*F5572,"")</f>
        <v/>
      </c>
      <c r="H5572" s="72"/>
      <c r="I5572" s="73"/>
      <c r="J5572" s="152">
        <v>0</v>
      </c>
    </row>
    <row r="5573" spans="1:10" ht="26.25" hidden="1" thickBot="1" x14ac:dyDescent="0.3">
      <c r="A5573" s="171"/>
      <c r="B5573" s="174"/>
      <c r="C5573" s="47" t="s">
        <v>655</v>
      </c>
      <c r="D5573" s="31"/>
      <c r="E5573" s="32"/>
      <c r="F5573" s="53" t="s">
        <v>416</v>
      </c>
      <c r="G5573" s="53" t="str">
        <f>IF(ISNUMBER(F5573),E5573*F5573,"")</f>
        <v/>
      </c>
      <c r="H5573" s="72"/>
      <c r="I5573" s="73"/>
      <c r="J5573" s="152">
        <v>0</v>
      </c>
    </row>
    <row r="5574" spans="1:10" ht="15.75" hidden="1" thickBot="1" x14ac:dyDescent="0.3">
      <c r="A5574" s="172"/>
      <c r="B5574" s="175"/>
      <c r="C5574" s="54"/>
      <c r="D5574" s="155"/>
      <c r="E5574" s="65"/>
      <c r="F5574" s="75" t="s">
        <v>416</v>
      </c>
      <c r="G5574" s="75" t="str">
        <f>IF(ISNUMBER(F5574),E5574*F5574,"")</f>
        <v/>
      </c>
      <c r="H5574" s="76"/>
      <c r="I5574" s="73"/>
      <c r="J5574" s="152">
        <v>0</v>
      </c>
    </row>
    <row r="5575" spans="1:10" ht="15.75" hidden="1" thickBot="1" x14ac:dyDescent="0.3">
      <c r="A5575" s="170" t="s">
        <v>4205</v>
      </c>
      <c r="B5575" s="173" t="str">
        <f>INDEX(Orçamentária!A:B,MATCH(Composições!A5575,Orçamentária!A:A,0),2)</f>
        <v>Técnico em Automação</v>
      </c>
      <c r="C5575" s="40"/>
      <c r="D5575" s="25" t="s">
        <v>2177</v>
      </c>
      <c r="E5575" s="26"/>
      <c r="F5575" s="48" t="s">
        <v>416</v>
      </c>
      <c r="G5575" s="27" t="str">
        <f>IF(ISNUMBER(F5575),E5575*F5575,"")</f>
        <v/>
      </c>
      <c r="H5575" s="28"/>
      <c r="I5575" s="29"/>
      <c r="J5575" s="152">
        <v>0</v>
      </c>
    </row>
    <row r="5576" spans="1:10" ht="15.75" hidden="1" thickBot="1" x14ac:dyDescent="0.3">
      <c r="A5576" s="171"/>
      <c r="B5576" s="174"/>
      <c r="C5576" s="31"/>
      <c r="D5576" s="31"/>
      <c r="E5576" s="32"/>
      <c r="F5576" s="53" t="s">
        <v>416</v>
      </c>
      <c r="G5576" s="53" t="str">
        <f>IF(ISNUMBER(F5576),E5576*F5576,"")</f>
        <v/>
      </c>
      <c r="H5576" s="72"/>
      <c r="I5576" s="73"/>
      <c r="J5576" s="152">
        <v>0</v>
      </c>
    </row>
    <row r="5577" spans="1:10" ht="15.75" hidden="1" thickBot="1" x14ac:dyDescent="0.3">
      <c r="A5577" s="171"/>
      <c r="B5577" s="174"/>
      <c r="C5577" s="35" t="s">
        <v>2904</v>
      </c>
      <c r="D5577" s="35" t="s">
        <v>583</v>
      </c>
      <c r="E5577" s="36">
        <f>ROUND(220/(1+110.14%),4)</f>
        <v>104.6921</v>
      </c>
      <c r="F5577" s="30">
        <v>33.6965</v>
      </c>
      <c r="G5577" s="53">
        <f>IF(ISNUMBER(F5577),E5577*F5577,"")</f>
        <v>3527.7573476499997</v>
      </c>
      <c r="H5577" s="38">
        <f>SUM(G5577:G5577)</f>
        <v>3527.7573476499997</v>
      </c>
      <c r="I5577" s="39"/>
      <c r="J5577" s="152">
        <v>0</v>
      </c>
    </row>
    <row r="5578" spans="1:10" ht="15.75" hidden="1" thickBot="1" x14ac:dyDescent="0.3">
      <c r="A5578" s="171"/>
      <c r="B5578" s="174"/>
      <c r="C5578" s="31"/>
      <c r="D5578" s="31"/>
      <c r="E5578" s="32"/>
      <c r="F5578" s="53" t="s">
        <v>416</v>
      </c>
      <c r="G5578" s="53" t="str">
        <f>IF(ISNUMBER(F5578),E5578*F5578,"")</f>
        <v/>
      </c>
      <c r="H5578" s="72"/>
      <c r="I5578" s="73"/>
      <c r="J5578" s="152">
        <v>0</v>
      </c>
    </row>
    <row r="5579" spans="1:10" ht="26.25" hidden="1" thickBot="1" x14ac:dyDescent="0.3">
      <c r="A5579" s="171"/>
      <c r="B5579" s="174"/>
      <c r="C5579" s="47" t="s">
        <v>655</v>
      </c>
      <c r="D5579" s="31"/>
      <c r="E5579" s="32"/>
      <c r="F5579" s="53" t="s">
        <v>416</v>
      </c>
      <c r="G5579" s="53" t="str">
        <f>IF(ISNUMBER(F5579),E5579*F5579,"")</f>
        <v/>
      </c>
      <c r="H5579" s="72"/>
      <c r="I5579" s="73"/>
      <c r="J5579" s="152">
        <v>0</v>
      </c>
    </row>
    <row r="5580" spans="1:10" ht="15.75" hidden="1" thickBot="1" x14ac:dyDescent="0.3">
      <c r="A5580" s="172"/>
      <c r="B5580" s="175"/>
      <c r="C5580" s="54"/>
      <c r="D5580" s="155"/>
      <c r="E5580" s="65"/>
      <c r="F5580" s="75" t="s">
        <v>416</v>
      </c>
      <c r="G5580" s="75" t="str">
        <f>IF(ISNUMBER(F5580),E5580*F5580,"")</f>
        <v/>
      </c>
      <c r="H5580" s="76"/>
      <c r="I5580" s="73"/>
      <c r="J5580" s="152">
        <v>0</v>
      </c>
    </row>
    <row r="5581" spans="1:10" ht="15.75" hidden="1" thickBot="1" x14ac:dyDescent="0.3">
      <c r="A5581" s="170" t="s">
        <v>4206</v>
      </c>
      <c r="B5581" s="173" t="str">
        <f>INDEX(Orçamentária!A:B,MATCH(Composições!A5581,Orçamentária!A:A,0),2)</f>
        <v>Técnico em Eletrotécnica Plantonista (diurno)</v>
      </c>
      <c r="C5581" s="40"/>
      <c r="D5581" s="25" t="s">
        <v>2177</v>
      </c>
      <c r="E5581" s="26"/>
      <c r="F5581" s="48" t="s">
        <v>416</v>
      </c>
      <c r="G5581" s="27" t="str">
        <f>IF(ISNUMBER(F5581),E5581*F5581,"")</f>
        <v/>
      </c>
      <c r="H5581" s="28"/>
      <c r="I5581" s="29"/>
      <c r="J5581" s="152">
        <v>0</v>
      </c>
    </row>
    <row r="5582" spans="1:10" ht="15.75" hidden="1" thickBot="1" x14ac:dyDescent="0.3">
      <c r="A5582" s="171"/>
      <c r="B5582" s="174"/>
      <c r="C5582" s="31"/>
      <c r="D5582" s="31"/>
      <c r="E5582" s="32"/>
      <c r="F5582" s="53" t="s">
        <v>416</v>
      </c>
      <c r="G5582" s="53" t="str">
        <f>IF(ISNUMBER(F5582),E5582*F5582,"")</f>
        <v/>
      </c>
      <c r="H5582" s="72"/>
      <c r="I5582" s="73"/>
      <c r="J5582" s="152">
        <v>0</v>
      </c>
    </row>
    <row r="5583" spans="1:10" ht="15.75" hidden="1" thickBot="1" x14ac:dyDescent="0.3">
      <c r="A5583" s="171"/>
      <c r="B5583" s="174"/>
      <c r="C5583" s="35" t="s">
        <v>2904</v>
      </c>
      <c r="D5583" s="35" t="s">
        <v>583</v>
      </c>
      <c r="E5583" s="36">
        <f>ROUND(220/(1+110.14%),4)</f>
        <v>104.6921</v>
      </c>
      <c r="F5583" s="30">
        <v>33.6965</v>
      </c>
      <c r="G5583" s="53">
        <f>IF(ISNUMBER(F5583),E5583*F5583,"")</f>
        <v>3527.7573476499997</v>
      </c>
      <c r="H5583" s="38">
        <f>SUM(G5583:G5583)</f>
        <v>3527.7573476499997</v>
      </c>
      <c r="I5583" s="39"/>
      <c r="J5583" s="152">
        <v>0</v>
      </c>
    </row>
    <row r="5584" spans="1:10" ht="15.75" hidden="1" thickBot="1" x14ac:dyDescent="0.3">
      <c r="A5584" s="171"/>
      <c r="B5584" s="174"/>
      <c r="C5584" s="31"/>
      <c r="D5584" s="31"/>
      <c r="E5584" s="32"/>
      <c r="F5584" s="53" t="s">
        <v>416</v>
      </c>
      <c r="G5584" s="53" t="str">
        <f>IF(ISNUMBER(F5584),E5584*F5584,"")</f>
        <v/>
      </c>
      <c r="H5584" s="72"/>
      <c r="I5584" s="73"/>
      <c r="J5584" s="152">
        <v>0</v>
      </c>
    </row>
    <row r="5585" spans="1:10" ht="26.25" hidden="1" thickBot="1" x14ac:dyDescent="0.3">
      <c r="A5585" s="171"/>
      <c r="B5585" s="174"/>
      <c r="C5585" s="47" t="s">
        <v>655</v>
      </c>
      <c r="D5585" s="31"/>
      <c r="E5585" s="32"/>
      <c r="F5585" s="53" t="s">
        <v>416</v>
      </c>
      <c r="G5585" s="53" t="str">
        <f>IF(ISNUMBER(F5585),E5585*F5585,"")</f>
        <v/>
      </c>
      <c r="H5585" s="72"/>
      <c r="I5585" s="73"/>
      <c r="J5585" s="152">
        <v>0</v>
      </c>
    </row>
    <row r="5586" spans="1:10" ht="15.75" hidden="1" thickBot="1" x14ac:dyDescent="0.3">
      <c r="A5586" s="172"/>
      <c r="B5586" s="175"/>
      <c r="C5586" s="54"/>
      <c r="D5586" s="155"/>
      <c r="E5586" s="65"/>
      <c r="F5586" s="75" t="s">
        <v>416</v>
      </c>
      <c r="G5586" s="75" t="str">
        <f>IF(ISNUMBER(F5586),E5586*F5586,"")</f>
        <v/>
      </c>
      <c r="H5586" s="76"/>
      <c r="I5586" s="73"/>
      <c r="J5586" s="152">
        <v>0</v>
      </c>
    </row>
    <row r="5587" spans="1:10" ht="15.75" hidden="1" thickBot="1" x14ac:dyDescent="0.3">
      <c r="A5587" s="170" t="s">
        <v>4207</v>
      </c>
      <c r="B5587" s="173" t="str">
        <f>INDEX(Orçamentária!A:B,MATCH(Composições!A5587,Orçamentária!A:A,0),2)</f>
        <v>Técnico em Eletrotécnica Plantonista (noturno)</v>
      </c>
      <c r="C5587" s="40"/>
      <c r="D5587" s="25" t="s">
        <v>2177</v>
      </c>
      <c r="E5587" s="26"/>
      <c r="F5587" s="48" t="s">
        <v>416</v>
      </c>
      <c r="G5587" s="27" t="str">
        <f>IF(ISNUMBER(F5587),E5587*F5587,"")</f>
        <v/>
      </c>
      <c r="H5587" s="28"/>
      <c r="I5587" s="29"/>
      <c r="J5587" s="152">
        <v>0</v>
      </c>
    </row>
    <row r="5588" spans="1:10" ht="15.75" hidden="1" thickBot="1" x14ac:dyDescent="0.3">
      <c r="A5588" s="171"/>
      <c r="B5588" s="174"/>
      <c r="C5588" s="31"/>
      <c r="D5588" s="31"/>
      <c r="E5588" s="32"/>
      <c r="F5588" s="53" t="s">
        <v>416</v>
      </c>
      <c r="G5588" s="53" t="str">
        <f>IF(ISNUMBER(F5588),E5588*F5588,"")</f>
        <v/>
      </c>
      <c r="H5588" s="72"/>
      <c r="I5588" s="73"/>
      <c r="J5588" s="152">
        <v>0</v>
      </c>
    </row>
    <row r="5589" spans="1:10" ht="15.75" hidden="1" thickBot="1" x14ac:dyDescent="0.3">
      <c r="A5589" s="171"/>
      <c r="B5589" s="174"/>
      <c r="C5589" s="35" t="s">
        <v>2904</v>
      </c>
      <c r="D5589" s="35" t="s">
        <v>583</v>
      </c>
      <c r="E5589" s="36">
        <f>ROUND(220/(1+110.14%),4)</f>
        <v>104.6921</v>
      </c>
      <c r="F5589" s="30">
        <v>33.6965</v>
      </c>
      <c r="G5589" s="53">
        <f>IF(ISNUMBER(F5589),E5589*F5589,"")</f>
        <v>3527.7573476499997</v>
      </c>
      <c r="H5589" s="38">
        <f>SUM(G5589:G5589)</f>
        <v>3527.7573476499997</v>
      </c>
      <c r="I5589" s="39"/>
      <c r="J5589" s="152">
        <v>0</v>
      </c>
    </row>
    <row r="5590" spans="1:10" ht="15.75" hidden="1" thickBot="1" x14ac:dyDescent="0.3">
      <c r="A5590" s="171"/>
      <c r="B5590" s="174"/>
      <c r="C5590" s="31"/>
      <c r="D5590" s="31"/>
      <c r="E5590" s="32"/>
      <c r="F5590" s="53" t="s">
        <v>416</v>
      </c>
      <c r="G5590" s="53" t="str">
        <f>IF(ISNUMBER(F5590),E5590*F5590,"")</f>
        <v/>
      </c>
      <c r="H5590" s="72"/>
      <c r="I5590" s="73"/>
      <c r="J5590" s="152">
        <v>0</v>
      </c>
    </row>
    <row r="5591" spans="1:10" ht="26.25" hidden="1" thickBot="1" x14ac:dyDescent="0.3">
      <c r="A5591" s="171"/>
      <c r="B5591" s="174"/>
      <c r="C5591" s="47" t="s">
        <v>655</v>
      </c>
      <c r="D5591" s="31"/>
      <c r="E5591" s="32"/>
      <c r="F5591" s="53" t="s">
        <v>416</v>
      </c>
      <c r="G5591" s="53" t="str">
        <f>IF(ISNUMBER(F5591),E5591*F5591,"")</f>
        <v/>
      </c>
      <c r="H5591" s="72"/>
      <c r="I5591" s="73"/>
      <c r="J5591" s="152">
        <v>0</v>
      </c>
    </row>
    <row r="5592" spans="1:10" ht="15.75" hidden="1" thickBot="1" x14ac:dyDescent="0.3">
      <c r="A5592" s="172"/>
      <c r="B5592" s="175"/>
      <c r="C5592" s="54"/>
      <c r="D5592" s="155"/>
      <c r="E5592" s="65"/>
      <c r="F5592" s="75" t="s">
        <v>416</v>
      </c>
      <c r="G5592" s="75" t="str">
        <f>IF(ISNUMBER(F5592),E5592*F5592,"")</f>
        <v/>
      </c>
      <c r="H5592" s="76"/>
      <c r="I5592" s="73"/>
      <c r="J5592" s="152">
        <v>0</v>
      </c>
    </row>
    <row r="5593" spans="1:10" ht="15.75" hidden="1" thickBot="1" x14ac:dyDescent="0.3">
      <c r="A5593" s="170" t="s">
        <v>4208</v>
      </c>
      <c r="B5593" s="173" t="str">
        <f>INDEX(Orçamentária!A:B,MATCH(Composições!A5593,Orçamentária!A:A,0),2)</f>
        <v>Eletricista Plantonista (diurno)</v>
      </c>
      <c r="C5593" s="40"/>
      <c r="D5593" s="25" t="s">
        <v>2177</v>
      </c>
      <c r="E5593" s="26"/>
      <c r="F5593" s="48" t="s">
        <v>416</v>
      </c>
      <c r="G5593" s="27" t="str">
        <f>IF(ISNUMBER(F5593),E5593*F5593,"")</f>
        <v/>
      </c>
      <c r="H5593" s="28"/>
      <c r="I5593" s="29"/>
      <c r="J5593" s="152">
        <v>0</v>
      </c>
    </row>
    <row r="5594" spans="1:10" ht="15.75" hidden="1" thickBot="1" x14ac:dyDescent="0.3">
      <c r="A5594" s="171"/>
      <c r="B5594" s="174"/>
      <c r="C5594" s="31"/>
      <c r="D5594" s="31"/>
      <c r="E5594" s="32"/>
      <c r="F5594" s="53" t="s">
        <v>416</v>
      </c>
      <c r="G5594" s="53" t="str">
        <f>IF(ISNUMBER(F5594),E5594*F5594,"")</f>
        <v/>
      </c>
      <c r="H5594" s="72"/>
      <c r="I5594" s="73"/>
      <c r="J5594" s="152">
        <v>0</v>
      </c>
    </row>
    <row r="5595" spans="1:10" ht="15.75" hidden="1" thickBot="1" x14ac:dyDescent="0.3">
      <c r="A5595" s="171"/>
      <c r="B5595" s="174"/>
      <c r="C5595" s="35" t="s">
        <v>1018</v>
      </c>
      <c r="D5595" s="35" t="s">
        <v>583</v>
      </c>
      <c r="E5595" s="36">
        <f>ROUND(220/(1+110.14%),4)</f>
        <v>104.6921</v>
      </c>
      <c r="F5595" s="30">
        <v>27.835000000000001</v>
      </c>
      <c r="G5595" s="53">
        <f>IF(ISNUMBER(F5595),E5595*F5595,"")</f>
        <v>2914.1046034999999</v>
      </c>
      <c r="H5595" s="38">
        <f>SUM(G5595:G5595)</f>
        <v>2914.1046034999999</v>
      </c>
      <c r="I5595" s="39"/>
      <c r="J5595" s="152">
        <v>0</v>
      </c>
    </row>
    <row r="5596" spans="1:10" ht="15.75" hidden="1" thickBot="1" x14ac:dyDescent="0.3">
      <c r="A5596" s="171"/>
      <c r="B5596" s="174"/>
      <c r="C5596" s="31"/>
      <c r="D5596" s="31"/>
      <c r="E5596" s="32"/>
      <c r="F5596" s="53" t="s">
        <v>416</v>
      </c>
      <c r="G5596" s="53" t="str">
        <f>IF(ISNUMBER(F5596),E5596*F5596,"")</f>
        <v/>
      </c>
      <c r="H5596" s="72"/>
      <c r="I5596" s="73"/>
      <c r="J5596" s="152">
        <v>0</v>
      </c>
    </row>
    <row r="5597" spans="1:10" ht="26.25" hidden="1" thickBot="1" x14ac:dyDescent="0.3">
      <c r="A5597" s="171"/>
      <c r="B5597" s="174"/>
      <c r="C5597" s="47" t="s">
        <v>655</v>
      </c>
      <c r="D5597" s="31"/>
      <c r="E5597" s="32"/>
      <c r="F5597" s="53" t="s">
        <v>416</v>
      </c>
      <c r="G5597" s="53" t="str">
        <f>IF(ISNUMBER(F5597),E5597*F5597,"")</f>
        <v/>
      </c>
      <c r="H5597" s="72"/>
      <c r="I5597" s="73"/>
      <c r="J5597" s="152">
        <v>0</v>
      </c>
    </row>
    <row r="5598" spans="1:10" ht="15.75" hidden="1" thickBot="1" x14ac:dyDescent="0.3">
      <c r="A5598" s="172"/>
      <c r="B5598" s="175"/>
      <c r="C5598" s="54"/>
      <c r="D5598" s="155"/>
      <c r="E5598" s="65"/>
      <c r="F5598" s="75" t="s">
        <v>416</v>
      </c>
      <c r="G5598" s="75" t="str">
        <f>IF(ISNUMBER(F5598),E5598*F5598,"")</f>
        <v/>
      </c>
      <c r="H5598" s="76"/>
      <c r="I5598" s="73"/>
      <c r="J5598" s="152">
        <v>0</v>
      </c>
    </row>
    <row r="5599" spans="1:10" ht="15.75" hidden="1" thickBot="1" x14ac:dyDescent="0.3">
      <c r="A5599" s="170" t="s">
        <v>4209</v>
      </c>
      <c r="B5599" s="173" t="str">
        <f>INDEX(Orçamentária!A:B,MATCH(Composições!A5599,Orçamentária!A:A,0),2)</f>
        <v>Eletricista Plantonista (noturno)</v>
      </c>
      <c r="C5599" s="40"/>
      <c r="D5599" s="25" t="s">
        <v>2177</v>
      </c>
      <c r="E5599" s="26"/>
      <c r="F5599" s="48" t="s">
        <v>416</v>
      </c>
      <c r="G5599" s="27" t="str">
        <f>IF(ISNUMBER(F5599),E5599*F5599,"")</f>
        <v/>
      </c>
      <c r="H5599" s="28"/>
      <c r="I5599" s="29"/>
      <c r="J5599" s="152">
        <v>0</v>
      </c>
    </row>
    <row r="5600" spans="1:10" ht="15.75" hidden="1" thickBot="1" x14ac:dyDescent="0.3">
      <c r="A5600" s="171"/>
      <c r="B5600" s="174"/>
      <c r="C5600" s="31"/>
      <c r="D5600" s="31"/>
      <c r="E5600" s="32"/>
      <c r="F5600" s="53" t="s">
        <v>416</v>
      </c>
      <c r="G5600" s="53" t="str">
        <f>IF(ISNUMBER(F5600),E5600*F5600,"")</f>
        <v/>
      </c>
      <c r="H5600" s="72"/>
      <c r="I5600" s="73"/>
      <c r="J5600" s="152">
        <v>0</v>
      </c>
    </row>
    <row r="5601" spans="1:10" ht="15.75" hidden="1" thickBot="1" x14ac:dyDescent="0.3">
      <c r="A5601" s="171"/>
      <c r="B5601" s="174"/>
      <c r="C5601" s="35" t="s">
        <v>1018</v>
      </c>
      <c r="D5601" s="35" t="s">
        <v>583</v>
      </c>
      <c r="E5601" s="36">
        <f>ROUND(220/(1+110.14%),4)</f>
        <v>104.6921</v>
      </c>
      <c r="F5601" s="30">
        <v>27.835000000000001</v>
      </c>
      <c r="G5601" s="53">
        <f>IF(ISNUMBER(F5601),E5601*F5601,"")</f>
        <v>2914.1046034999999</v>
      </c>
      <c r="H5601" s="38">
        <f>SUM(G5601:G5601)</f>
        <v>2914.1046034999999</v>
      </c>
      <c r="I5601" s="39"/>
      <c r="J5601" s="152">
        <v>0</v>
      </c>
    </row>
    <row r="5602" spans="1:10" ht="15.75" hidden="1" thickBot="1" x14ac:dyDescent="0.3">
      <c r="A5602" s="171"/>
      <c r="B5602" s="174"/>
      <c r="C5602" s="31"/>
      <c r="D5602" s="31"/>
      <c r="E5602" s="32"/>
      <c r="F5602" s="53" t="s">
        <v>416</v>
      </c>
      <c r="G5602" s="53" t="str">
        <f>IF(ISNUMBER(F5602),E5602*F5602,"")</f>
        <v/>
      </c>
      <c r="H5602" s="72"/>
      <c r="I5602" s="73"/>
      <c r="J5602" s="152">
        <v>0</v>
      </c>
    </row>
    <row r="5603" spans="1:10" ht="26.25" hidden="1" thickBot="1" x14ac:dyDescent="0.3">
      <c r="A5603" s="171"/>
      <c r="B5603" s="174"/>
      <c r="C5603" s="47" t="s">
        <v>655</v>
      </c>
      <c r="D5603" s="31"/>
      <c r="E5603" s="32"/>
      <c r="F5603" s="53" t="s">
        <v>416</v>
      </c>
      <c r="G5603" s="53" t="str">
        <f>IF(ISNUMBER(F5603),E5603*F5603,"")</f>
        <v/>
      </c>
      <c r="H5603" s="72"/>
      <c r="I5603" s="73"/>
      <c r="J5603" s="152">
        <v>0</v>
      </c>
    </row>
    <row r="5604" spans="1:10" ht="15.75" hidden="1" thickBot="1" x14ac:dyDescent="0.3">
      <c r="A5604" s="172"/>
      <c r="B5604" s="175"/>
      <c r="C5604" s="54"/>
      <c r="D5604" s="155"/>
      <c r="E5604" s="65"/>
      <c r="F5604" s="75" t="s">
        <v>416</v>
      </c>
      <c r="G5604" s="75" t="str">
        <f>IF(ISNUMBER(F5604),E5604*F5604,"")</f>
        <v/>
      </c>
      <c r="H5604" s="76"/>
      <c r="I5604" s="73"/>
      <c r="J5604" s="152">
        <v>0</v>
      </c>
    </row>
    <row r="5605" spans="1:10" ht="15.75" hidden="1" thickBot="1" x14ac:dyDescent="0.3">
      <c r="A5605" s="170" t="s">
        <v>4210</v>
      </c>
      <c r="B5605" s="173" t="str">
        <f>INDEX(Orçamentária!A:B,MATCH(Composições!A5605,Orçamentária!A:A,0),2)</f>
        <v>Eletricista Plantonista – Áreas Restritas (diurno)</v>
      </c>
      <c r="C5605" s="40"/>
      <c r="D5605" s="25" t="s">
        <v>2177</v>
      </c>
      <c r="E5605" s="26"/>
      <c r="F5605" s="48" t="s">
        <v>416</v>
      </c>
      <c r="G5605" s="27" t="str">
        <f>IF(ISNUMBER(F5605),E5605*F5605,"")</f>
        <v/>
      </c>
      <c r="H5605" s="28"/>
      <c r="I5605" s="29"/>
      <c r="J5605" s="152">
        <v>0</v>
      </c>
    </row>
    <row r="5606" spans="1:10" ht="15.75" hidden="1" thickBot="1" x14ac:dyDescent="0.3">
      <c r="A5606" s="171"/>
      <c r="B5606" s="174"/>
      <c r="C5606" s="31"/>
      <c r="D5606" s="31"/>
      <c r="E5606" s="32"/>
      <c r="F5606" s="53" t="s">
        <v>416</v>
      </c>
      <c r="G5606" s="53" t="str">
        <f>IF(ISNUMBER(F5606),E5606*F5606,"")</f>
        <v/>
      </c>
      <c r="H5606" s="72"/>
      <c r="I5606" s="73"/>
      <c r="J5606" s="152">
        <v>0</v>
      </c>
    </row>
    <row r="5607" spans="1:10" ht="15.75" hidden="1" thickBot="1" x14ac:dyDescent="0.3">
      <c r="A5607" s="171"/>
      <c r="B5607" s="174"/>
      <c r="C5607" s="35" t="s">
        <v>1018</v>
      </c>
      <c r="D5607" s="35" t="s">
        <v>583</v>
      </c>
      <c r="E5607" s="36">
        <f>ROUND(220/(1+110.14%),4)</f>
        <v>104.6921</v>
      </c>
      <c r="F5607" s="30">
        <v>27.835000000000001</v>
      </c>
      <c r="G5607" s="53">
        <f>IF(ISNUMBER(F5607),E5607*F5607,"")</f>
        <v>2914.1046034999999</v>
      </c>
      <c r="H5607" s="38">
        <f>SUM(G5607:G5607)</f>
        <v>2914.1046034999999</v>
      </c>
      <c r="I5607" s="39"/>
      <c r="J5607" s="152">
        <v>0</v>
      </c>
    </row>
    <row r="5608" spans="1:10" ht="15.75" hidden="1" thickBot="1" x14ac:dyDescent="0.3">
      <c r="A5608" s="171"/>
      <c r="B5608" s="174"/>
      <c r="C5608" s="31"/>
      <c r="D5608" s="31"/>
      <c r="E5608" s="32"/>
      <c r="F5608" s="53" t="s">
        <v>416</v>
      </c>
      <c r="G5608" s="53" t="str">
        <f>IF(ISNUMBER(F5608),E5608*F5608,"")</f>
        <v/>
      </c>
      <c r="H5608" s="72"/>
      <c r="I5608" s="73"/>
      <c r="J5608" s="152">
        <v>0</v>
      </c>
    </row>
    <row r="5609" spans="1:10" ht="26.25" hidden="1" thickBot="1" x14ac:dyDescent="0.3">
      <c r="A5609" s="171"/>
      <c r="B5609" s="174"/>
      <c r="C5609" s="47" t="s">
        <v>655</v>
      </c>
      <c r="D5609" s="31"/>
      <c r="E5609" s="32"/>
      <c r="F5609" s="53" t="s">
        <v>416</v>
      </c>
      <c r="G5609" s="53" t="str">
        <f>IF(ISNUMBER(F5609),E5609*F5609,"")</f>
        <v/>
      </c>
      <c r="H5609" s="72"/>
      <c r="I5609" s="73"/>
      <c r="J5609" s="152">
        <v>0</v>
      </c>
    </row>
    <row r="5610" spans="1:10" ht="15.75" hidden="1" thickBot="1" x14ac:dyDescent="0.3">
      <c r="A5610" s="172"/>
      <c r="B5610" s="175"/>
      <c r="C5610" s="54"/>
      <c r="D5610" s="155"/>
      <c r="E5610" s="65"/>
      <c r="F5610" s="75" t="s">
        <v>416</v>
      </c>
      <c r="G5610" s="75" t="str">
        <f>IF(ISNUMBER(F5610),E5610*F5610,"")</f>
        <v/>
      </c>
      <c r="H5610" s="76"/>
      <c r="I5610" s="73"/>
      <c r="J5610" s="152">
        <v>0</v>
      </c>
    </row>
    <row r="5611" spans="1:10" ht="15.75" hidden="1" thickBot="1" x14ac:dyDescent="0.3">
      <c r="A5611" s="170" t="s">
        <v>4211</v>
      </c>
      <c r="B5611" s="173" t="str">
        <f>INDEX(Orçamentária!A:B,MATCH(Composições!A5611,Orçamentária!A:A,0),2)</f>
        <v>Eletricista Plantonista – Áreas Restritas (noturno)</v>
      </c>
      <c r="C5611" s="40"/>
      <c r="D5611" s="25" t="s">
        <v>2177</v>
      </c>
      <c r="E5611" s="26"/>
      <c r="F5611" s="48" t="s">
        <v>416</v>
      </c>
      <c r="G5611" s="27" t="str">
        <f>IF(ISNUMBER(F5611),E5611*F5611,"")</f>
        <v/>
      </c>
      <c r="H5611" s="28"/>
      <c r="I5611" s="29"/>
      <c r="J5611" s="152">
        <v>0</v>
      </c>
    </row>
    <row r="5612" spans="1:10" ht="15.75" hidden="1" thickBot="1" x14ac:dyDescent="0.3">
      <c r="A5612" s="171"/>
      <c r="B5612" s="174"/>
      <c r="C5612" s="31"/>
      <c r="D5612" s="31"/>
      <c r="E5612" s="32"/>
      <c r="F5612" s="53" t="s">
        <v>416</v>
      </c>
      <c r="G5612" s="53" t="str">
        <f>IF(ISNUMBER(F5612),E5612*F5612,"")</f>
        <v/>
      </c>
      <c r="H5612" s="72"/>
      <c r="I5612" s="73"/>
      <c r="J5612" s="152">
        <v>0</v>
      </c>
    </row>
    <row r="5613" spans="1:10" ht="15.75" hidden="1" thickBot="1" x14ac:dyDescent="0.3">
      <c r="A5613" s="171"/>
      <c r="B5613" s="174"/>
      <c r="C5613" s="35" t="s">
        <v>1018</v>
      </c>
      <c r="D5613" s="35" t="s">
        <v>583</v>
      </c>
      <c r="E5613" s="36">
        <f>ROUND(220/(1+110.14%),4)</f>
        <v>104.6921</v>
      </c>
      <c r="F5613" s="30">
        <v>27.835000000000001</v>
      </c>
      <c r="G5613" s="53">
        <f>IF(ISNUMBER(F5613),E5613*F5613,"")</f>
        <v>2914.1046034999999</v>
      </c>
      <c r="H5613" s="38">
        <f>SUM(G5613:G5613)</f>
        <v>2914.1046034999999</v>
      </c>
      <c r="I5613" s="39"/>
      <c r="J5613" s="152">
        <v>0</v>
      </c>
    </row>
    <row r="5614" spans="1:10" ht="15.75" hidden="1" thickBot="1" x14ac:dyDescent="0.3">
      <c r="A5614" s="171"/>
      <c r="B5614" s="174"/>
      <c r="C5614" s="31"/>
      <c r="D5614" s="31"/>
      <c r="E5614" s="32"/>
      <c r="F5614" s="53" t="s">
        <v>416</v>
      </c>
      <c r="G5614" s="53" t="str">
        <f>IF(ISNUMBER(F5614),E5614*F5614,"")</f>
        <v/>
      </c>
      <c r="H5614" s="72"/>
      <c r="I5614" s="73"/>
      <c r="J5614" s="152">
        <v>0</v>
      </c>
    </row>
    <row r="5615" spans="1:10" ht="26.25" hidden="1" thickBot="1" x14ac:dyDescent="0.3">
      <c r="A5615" s="171"/>
      <c r="B5615" s="174"/>
      <c r="C5615" s="47" t="s">
        <v>655</v>
      </c>
      <c r="D5615" s="31"/>
      <c r="E5615" s="32"/>
      <c r="F5615" s="53" t="s">
        <v>416</v>
      </c>
      <c r="G5615" s="53" t="str">
        <f>IF(ISNUMBER(F5615),E5615*F5615,"")</f>
        <v/>
      </c>
      <c r="H5615" s="72"/>
      <c r="I5615" s="73"/>
      <c r="J5615" s="152">
        <v>0</v>
      </c>
    </row>
    <row r="5616" spans="1:10" ht="15.75" hidden="1" thickBot="1" x14ac:dyDescent="0.3">
      <c r="A5616" s="172"/>
      <c r="B5616" s="175"/>
      <c r="C5616" s="54"/>
      <c r="D5616" s="155"/>
      <c r="E5616" s="65"/>
      <c r="F5616" s="75" t="s">
        <v>416</v>
      </c>
      <c r="G5616" s="75" t="str">
        <f>IF(ISNUMBER(F5616),E5616*F5616,"")</f>
        <v/>
      </c>
      <c r="H5616" s="76"/>
      <c r="I5616" s="73"/>
      <c r="J5616" s="152">
        <v>0</v>
      </c>
    </row>
    <row r="5617" spans="1:10" ht="15.75" hidden="1" thickBot="1" x14ac:dyDescent="0.3">
      <c r="A5617" s="170" t="s">
        <v>4277</v>
      </c>
      <c r="B5617" s="173" t="str">
        <f>INDEX(Orçamentária!A:B,MATCH(Composições!A5617,Orçamentária!A:A,0),2)</f>
        <v>Chapa de aço galvanizado</v>
      </c>
      <c r="C5617" s="40"/>
      <c r="D5617" s="25" t="s">
        <v>28</v>
      </c>
      <c r="E5617" s="26"/>
      <c r="F5617" s="48" t="s">
        <v>416</v>
      </c>
      <c r="G5617" s="27" t="str">
        <f>IF(ISNUMBER(F5617),E5617*F5617,"")</f>
        <v/>
      </c>
      <c r="H5617" s="28"/>
      <c r="I5617" s="29"/>
      <c r="J5617" s="152">
        <v>0</v>
      </c>
    </row>
    <row r="5618" spans="1:10" ht="15.75" hidden="1" thickBot="1" x14ac:dyDescent="0.3">
      <c r="A5618" s="171"/>
      <c r="B5618" s="174"/>
      <c r="C5618" s="31"/>
      <c r="D5618" s="31"/>
      <c r="E5618" s="32"/>
      <c r="F5618" s="53" t="s">
        <v>416</v>
      </c>
      <c r="G5618" s="53" t="str">
        <f>IF(ISNUMBER(F5618),E5618*F5618,"")</f>
        <v/>
      </c>
      <c r="H5618" s="72"/>
      <c r="I5618" s="73"/>
      <c r="J5618" s="152">
        <v>0</v>
      </c>
    </row>
    <row r="5619" spans="1:10" ht="26.25" hidden="1" thickBot="1" x14ac:dyDescent="0.3">
      <c r="A5619" s="171"/>
      <c r="B5619" s="174"/>
      <c r="C5619" s="35" t="s">
        <v>2925</v>
      </c>
      <c r="D5619" s="35" t="s">
        <v>773</v>
      </c>
      <c r="E5619" s="36">
        <v>1</v>
      </c>
      <c r="F5619" s="30">
        <v>14.420999999999999</v>
      </c>
      <c r="G5619" s="53">
        <f>IF(ISNUMBER(F5619),E5619*F5619,"")</f>
        <v>14.420999999999999</v>
      </c>
      <c r="H5619" s="38">
        <f>SUM(G5619:G5619)</f>
        <v>14.420999999999999</v>
      </c>
      <c r="I5619" s="39"/>
      <c r="J5619" s="152">
        <v>0</v>
      </c>
    </row>
    <row r="5620" spans="1:10" ht="15.75" hidden="1" thickBot="1" x14ac:dyDescent="0.3">
      <c r="A5620" s="172"/>
      <c r="B5620" s="175"/>
      <c r="C5620" s="54"/>
      <c r="D5620" s="155"/>
      <c r="E5620" s="65"/>
      <c r="F5620" s="75" t="s">
        <v>416</v>
      </c>
      <c r="G5620" s="75" t="str">
        <f>IF(ISNUMBER(F5620),E5620*F5620,"")</f>
        <v/>
      </c>
      <c r="H5620" s="76"/>
      <c r="I5620" s="73"/>
      <c r="J5620" s="152">
        <v>0</v>
      </c>
    </row>
    <row r="5621" spans="1:10" ht="15.75" hidden="1" thickBot="1" x14ac:dyDescent="0.3">
      <c r="A5621" s="170" t="s">
        <v>4283</v>
      </c>
      <c r="B5621" s="173" t="str">
        <f>INDEX(Orçamentária!A:B,MATCH(Composições!A5621,Orçamentária!A:A,0),2)</f>
        <v>Perfil de aço</v>
      </c>
      <c r="C5621" s="40"/>
      <c r="D5621" s="25" t="s">
        <v>28</v>
      </c>
      <c r="E5621" s="26"/>
      <c r="F5621" s="48" t="s">
        <v>416</v>
      </c>
      <c r="G5621" s="27" t="str">
        <f>IF(ISNUMBER(F5621),E5621*F5621,"")</f>
        <v/>
      </c>
      <c r="H5621" s="28"/>
      <c r="I5621" s="29"/>
      <c r="J5621" s="152">
        <v>0</v>
      </c>
    </row>
    <row r="5622" spans="1:10" ht="15.75" hidden="1" thickBot="1" x14ac:dyDescent="0.3">
      <c r="A5622" s="171"/>
      <c r="B5622" s="174"/>
      <c r="C5622" s="31"/>
      <c r="D5622" s="31"/>
      <c r="E5622" s="32"/>
      <c r="F5622" s="53" t="s">
        <v>416</v>
      </c>
      <c r="G5622" s="53" t="str">
        <f>IF(ISNUMBER(F5622),E5622*F5622,"")</f>
        <v/>
      </c>
      <c r="H5622" s="72"/>
      <c r="I5622" s="73"/>
      <c r="J5622" s="152">
        <v>0</v>
      </c>
    </row>
    <row r="5623" spans="1:10" ht="26.25" hidden="1" thickBot="1" x14ac:dyDescent="0.3">
      <c r="A5623" s="171"/>
      <c r="B5623" s="174"/>
      <c r="C5623" s="35" t="s">
        <v>95</v>
      </c>
      <c r="D5623" s="35" t="s">
        <v>773</v>
      </c>
      <c r="E5623" s="36">
        <v>1</v>
      </c>
      <c r="F5623" s="30">
        <v>10.069999999999999</v>
      </c>
      <c r="G5623" s="53">
        <f>IF(ISNUMBER(F5623),E5623*F5623,"")</f>
        <v>10.069999999999999</v>
      </c>
      <c r="H5623" s="38">
        <f>SUM(G5623:G5623)</f>
        <v>10.069999999999999</v>
      </c>
      <c r="I5623" s="39"/>
      <c r="J5623" s="152">
        <v>0</v>
      </c>
    </row>
    <row r="5624" spans="1:10" ht="15.75" hidden="1" thickBot="1" x14ac:dyDescent="0.3">
      <c r="A5624" s="172"/>
      <c r="B5624" s="175"/>
      <c r="C5624" s="54"/>
      <c r="D5624" s="155"/>
      <c r="E5624" s="65"/>
      <c r="F5624" s="75" t="s">
        <v>416</v>
      </c>
      <c r="G5624" s="75" t="str">
        <f>IF(ISNUMBER(F5624),E5624*F5624,"")</f>
        <v/>
      </c>
      <c r="H5624" s="76"/>
      <c r="I5624" s="73"/>
      <c r="J5624" s="152">
        <v>0</v>
      </c>
    </row>
    <row r="5625" spans="1:10" ht="15.75" hidden="1" thickBot="1" x14ac:dyDescent="0.3">
      <c r="A5625" s="170" t="s">
        <v>4329</v>
      </c>
      <c r="B5625" s="173" t="str">
        <f>INDEX(Orçamentária!A:B,MATCH(Composições!A5625,Orçamentária!A:A,0),2)</f>
        <v>Condulete de alumínio de 3/4”</v>
      </c>
      <c r="C5625" s="40"/>
      <c r="D5625" s="25" t="s">
        <v>16</v>
      </c>
      <c r="E5625" s="26"/>
      <c r="F5625" s="48" t="s">
        <v>416</v>
      </c>
      <c r="G5625" s="27" t="str">
        <f>IF(ISNUMBER(F5625),E5625*F5625,"")</f>
        <v/>
      </c>
      <c r="H5625" s="28"/>
      <c r="I5625" s="29"/>
      <c r="J5625" s="152">
        <v>0</v>
      </c>
    </row>
    <row r="5626" spans="1:10" ht="15.75" hidden="1" thickBot="1" x14ac:dyDescent="0.3">
      <c r="A5626" s="171"/>
      <c r="B5626" s="174"/>
      <c r="C5626" s="31"/>
      <c r="D5626" s="31"/>
      <c r="E5626" s="32"/>
      <c r="F5626" s="53" t="s">
        <v>416</v>
      </c>
      <c r="G5626" s="53" t="str">
        <f>IF(ISNUMBER(F5626),E5626*F5626,"")</f>
        <v/>
      </c>
      <c r="H5626" s="72"/>
      <c r="I5626" s="73"/>
      <c r="J5626" s="152">
        <v>0</v>
      </c>
    </row>
    <row r="5627" spans="1:10" ht="26.25" hidden="1" thickBot="1" x14ac:dyDescent="0.3">
      <c r="A5627" s="171"/>
      <c r="B5627" s="174"/>
      <c r="C5627" s="35" t="s">
        <v>8074</v>
      </c>
      <c r="D5627" s="35" t="s">
        <v>213</v>
      </c>
      <c r="E5627" s="36">
        <v>1</v>
      </c>
      <c r="F5627" s="30">
        <v>8.8919999999999995</v>
      </c>
      <c r="G5627" s="53">
        <f>IF(ISNUMBER(F5627),E5627*F5627,"")</f>
        <v>8.8919999999999995</v>
      </c>
      <c r="H5627" s="38">
        <f>SUM(G5627:G5627)</f>
        <v>8.8919999999999995</v>
      </c>
      <c r="I5627" s="39"/>
      <c r="J5627" s="152">
        <v>0</v>
      </c>
    </row>
    <row r="5628" spans="1:10" ht="15.75" hidden="1" thickBot="1" x14ac:dyDescent="0.3">
      <c r="A5628" s="172"/>
      <c r="B5628" s="175"/>
      <c r="C5628" s="54"/>
      <c r="D5628" s="155"/>
      <c r="E5628" s="65"/>
      <c r="F5628" s="75" t="s">
        <v>416</v>
      </c>
      <c r="G5628" s="75" t="str">
        <f>IF(ISNUMBER(F5628),E5628*F5628,"")</f>
        <v/>
      </c>
      <c r="H5628" s="76"/>
      <c r="I5628" s="73"/>
      <c r="J5628" s="152">
        <v>0</v>
      </c>
    </row>
    <row r="5629" spans="1:10" ht="15.75" hidden="1" thickBot="1" x14ac:dyDescent="0.3">
      <c r="A5629" s="170" t="s">
        <v>4330</v>
      </c>
      <c r="B5629" s="173" t="str">
        <f>INDEX(Orçamentária!A:B,MATCH(Composições!A5629,Orçamentária!A:A,0),2)</f>
        <v>Condulete de alumínio de 1”</v>
      </c>
      <c r="C5629" s="40"/>
      <c r="D5629" s="25" t="s">
        <v>16</v>
      </c>
      <c r="E5629" s="26"/>
      <c r="F5629" s="48" t="s">
        <v>416</v>
      </c>
      <c r="G5629" s="27" t="str">
        <f>IF(ISNUMBER(F5629),E5629*F5629,"")</f>
        <v/>
      </c>
      <c r="H5629" s="28"/>
      <c r="I5629" s="29"/>
      <c r="J5629" s="152">
        <v>0</v>
      </c>
    </row>
    <row r="5630" spans="1:10" ht="15.75" hidden="1" thickBot="1" x14ac:dyDescent="0.3">
      <c r="A5630" s="171"/>
      <c r="B5630" s="174"/>
      <c r="C5630" s="31"/>
      <c r="D5630" s="31"/>
      <c r="E5630" s="32"/>
      <c r="F5630" s="53" t="s">
        <v>416</v>
      </c>
      <c r="G5630" s="53" t="str">
        <f>IF(ISNUMBER(F5630),E5630*F5630,"")</f>
        <v/>
      </c>
      <c r="H5630" s="72"/>
      <c r="I5630" s="73"/>
      <c r="J5630" s="152">
        <v>0</v>
      </c>
    </row>
    <row r="5631" spans="1:10" ht="26.25" hidden="1" thickBot="1" x14ac:dyDescent="0.3">
      <c r="A5631" s="171"/>
      <c r="B5631" s="174"/>
      <c r="C5631" s="35" t="s">
        <v>8072</v>
      </c>
      <c r="D5631" s="35" t="s">
        <v>213</v>
      </c>
      <c r="E5631" s="36">
        <v>1</v>
      </c>
      <c r="F5631" s="30">
        <v>14.9435</v>
      </c>
      <c r="G5631" s="53">
        <f>IF(ISNUMBER(F5631),E5631*F5631,"")</f>
        <v>14.9435</v>
      </c>
      <c r="H5631" s="38">
        <f>SUM(G5631:G5631)</f>
        <v>14.9435</v>
      </c>
      <c r="I5631" s="39"/>
      <c r="J5631" s="152">
        <v>0</v>
      </c>
    </row>
    <row r="5632" spans="1:10" ht="15.75" hidden="1" thickBot="1" x14ac:dyDescent="0.3">
      <c r="A5632" s="172"/>
      <c r="B5632" s="175"/>
      <c r="C5632" s="54"/>
      <c r="D5632" s="155"/>
      <c r="E5632" s="65"/>
      <c r="F5632" s="75" t="s">
        <v>416</v>
      </c>
      <c r="G5632" s="75" t="str">
        <f>IF(ISNUMBER(F5632),E5632*F5632,"")</f>
        <v/>
      </c>
      <c r="H5632" s="76"/>
      <c r="I5632" s="73"/>
      <c r="J5632" s="152">
        <v>0</v>
      </c>
    </row>
    <row r="5633" spans="1:10" ht="15.75" hidden="1" thickBot="1" x14ac:dyDescent="0.3">
      <c r="A5633" s="170" t="s">
        <v>4331</v>
      </c>
      <c r="B5633" s="173" t="str">
        <f>INDEX(Orçamentária!A:B,MATCH(Composições!A5633,Orçamentária!A:A,0),2)</f>
        <v>Condulete de alumínio de 1 1/4”</v>
      </c>
      <c r="C5633" s="40"/>
      <c r="D5633" s="25" t="s">
        <v>16</v>
      </c>
      <c r="E5633" s="26"/>
      <c r="F5633" s="48" t="s">
        <v>416</v>
      </c>
      <c r="G5633" s="27" t="str">
        <f>IF(ISNUMBER(F5633),E5633*F5633,"")</f>
        <v/>
      </c>
      <c r="H5633" s="28"/>
      <c r="I5633" s="29"/>
      <c r="J5633" s="152">
        <v>0</v>
      </c>
    </row>
    <row r="5634" spans="1:10" ht="15.75" hidden="1" thickBot="1" x14ac:dyDescent="0.3">
      <c r="A5634" s="171"/>
      <c r="B5634" s="174"/>
      <c r="C5634" s="31"/>
      <c r="D5634" s="31"/>
      <c r="E5634" s="32"/>
      <c r="F5634" s="53" t="s">
        <v>416</v>
      </c>
      <c r="G5634" s="53" t="str">
        <f>IF(ISNUMBER(F5634),E5634*F5634,"")</f>
        <v/>
      </c>
      <c r="H5634" s="72"/>
      <c r="I5634" s="73"/>
      <c r="J5634" s="152">
        <v>0</v>
      </c>
    </row>
    <row r="5635" spans="1:10" ht="26.25" hidden="1" thickBot="1" x14ac:dyDescent="0.3">
      <c r="A5635" s="171"/>
      <c r="B5635" s="174"/>
      <c r="C5635" s="35" t="s">
        <v>8535</v>
      </c>
      <c r="D5635" s="35" t="s">
        <v>213</v>
      </c>
      <c r="E5635" s="36">
        <v>1</v>
      </c>
      <c r="F5635" s="30">
        <v>18.315999999999999</v>
      </c>
      <c r="G5635" s="53">
        <f>IF(ISNUMBER(F5635),E5635*F5635,"")</f>
        <v>18.315999999999999</v>
      </c>
      <c r="H5635" s="38">
        <f>SUM(G5635:G5635)</f>
        <v>18.315999999999999</v>
      </c>
      <c r="I5635" s="39"/>
      <c r="J5635" s="152">
        <v>0</v>
      </c>
    </row>
    <row r="5636" spans="1:10" ht="15.75" hidden="1" thickBot="1" x14ac:dyDescent="0.3">
      <c r="A5636" s="172"/>
      <c r="B5636" s="175"/>
      <c r="C5636" s="54"/>
      <c r="D5636" s="155"/>
      <c r="E5636" s="65"/>
      <c r="F5636" s="75" t="s">
        <v>416</v>
      </c>
      <c r="G5636" s="75" t="str">
        <f>IF(ISNUMBER(F5636),E5636*F5636,"")</f>
        <v/>
      </c>
      <c r="H5636" s="76"/>
      <c r="I5636" s="73"/>
      <c r="J5636" s="152">
        <v>0</v>
      </c>
    </row>
    <row r="5637" spans="1:10" ht="15.75" hidden="1" thickBot="1" x14ac:dyDescent="0.3">
      <c r="A5637" s="170" t="s">
        <v>4332</v>
      </c>
      <c r="B5637" s="173" t="str">
        <f>INDEX(Orçamentária!A:B,MATCH(Composições!A5637,Orçamentária!A:A,0),2)</f>
        <v>Condulete de alumínio de 1 1/2”</v>
      </c>
      <c r="C5637" s="40"/>
      <c r="D5637" s="25" t="s">
        <v>16</v>
      </c>
      <c r="E5637" s="26"/>
      <c r="F5637" s="48" t="s">
        <v>416</v>
      </c>
      <c r="G5637" s="27" t="str">
        <f>IF(ISNUMBER(F5637),E5637*F5637,"")</f>
        <v/>
      </c>
      <c r="H5637" s="28"/>
      <c r="I5637" s="29"/>
      <c r="J5637" s="152">
        <v>0</v>
      </c>
    </row>
    <row r="5638" spans="1:10" ht="15.75" hidden="1" thickBot="1" x14ac:dyDescent="0.3">
      <c r="A5638" s="171"/>
      <c r="B5638" s="174"/>
      <c r="C5638" s="31"/>
      <c r="D5638" s="31"/>
      <c r="E5638" s="32"/>
      <c r="F5638" s="53" t="s">
        <v>416</v>
      </c>
      <c r="G5638" s="53" t="str">
        <f>IF(ISNUMBER(F5638),E5638*F5638,"")</f>
        <v/>
      </c>
      <c r="H5638" s="72"/>
      <c r="I5638" s="73"/>
      <c r="J5638" s="152">
        <v>0</v>
      </c>
    </row>
    <row r="5639" spans="1:10" ht="26.25" hidden="1" thickBot="1" x14ac:dyDescent="0.3">
      <c r="A5639" s="171"/>
      <c r="B5639" s="174"/>
      <c r="C5639" s="35" t="s">
        <v>8071</v>
      </c>
      <c r="D5639" s="35" t="s">
        <v>213</v>
      </c>
      <c r="E5639" s="36">
        <v>1</v>
      </c>
      <c r="F5639" s="30">
        <v>24.348499999999998</v>
      </c>
      <c r="G5639" s="53">
        <f>IF(ISNUMBER(F5639),E5639*F5639,"")</f>
        <v>24.348499999999998</v>
      </c>
      <c r="H5639" s="38">
        <f>SUM(G5639:G5639)</f>
        <v>24.348499999999998</v>
      </c>
      <c r="I5639" s="39"/>
      <c r="J5639" s="152">
        <v>0</v>
      </c>
    </row>
    <row r="5640" spans="1:10" ht="15.75" hidden="1" thickBot="1" x14ac:dyDescent="0.3">
      <c r="A5640" s="172"/>
      <c r="B5640" s="175"/>
      <c r="C5640" s="54"/>
      <c r="D5640" s="155"/>
      <c r="E5640" s="65"/>
      <c r="F5640" s="75" t="s">
        <v>416</v>
      </c>
      <c r="G5640" s="75" t="str">
        <f>IF(ISNUMBER(F5640),E5640*F5640,"")</f>
        <v/>
      </c>
      <c r="H5640" s="76"/>
      <c r="I5640" s="73"/>
      <c r="J5640" s="152">
        <v>0</v>
      </c>
    </row>
    <row r="5641" spans="1:10" ht="15.75" hidden="1" thickBot="1" x14ac:dyDescent="0.3">
      <c r="A5641" s="170" t="s">
        <v>4333</v>
      </c>
      <c r="B5641" s="173" t="str">
        <f>INDEX(Orçamentária!A:B,MATCH(Composições!A5641,Orçamentária!A:A,0),2)</f>
        <v xml:space="preserve">Condulete de alumínio de 2” </v>
      </c>
      <c r="C5641" s="40"/>
      <c r="D5641" s="25" t="s">
        <v>16</v>
      </c>
      <c r="E5641" s="26"/>
      <c r="F5641" s="48" t="s">
        <v>416</v>
      </c>
      <c r="G5641" s="27" t="str">
        <f>IF(ISNUMBER(F5641),E5641*F5641,"")</f>
        <v/>
      </c>
      <c r="H5641" s="28"/>
      <c r="I5641" s="29"/>
      <c r="J5641" s="152">
        <v>0</v>
      </c>
    </row>
    <row r="5642" spans="1:10" ht="15.75" hidden="1" thickBot="1" x14ac:dyDescent="0.3">
      <c r="A5642" s="171"/>
      <c r="B5642" s="174"/>
      <c r="C5642" s="31"/>
      <c r="D5642" s="31"/>
      <c r="E5642" s="32"/>
      <c r="F5642" s="53" t="s">
        <v>416</v>
      </c>
      <c r="G5642" s="53" t="str">
        <f>IF(ISNUMBER(F5642),E5642*F5642,"")</f>
        <v/>
      </c>
      <c r="H5642" s="72"/>
      <c r="I5642" s="73"/>
      <c r="J5642" s="152">
        <v>0</v>
      </c>
    </row>
    <row r="5643" spans="1:10" ht="26.25" hidden="1" thickBot="1" x14ac:dyDescent="0.3">
      <c r="A5643" s="171"/>
      <c r="B5643" s="174"/>
      <c r="C5643" s="35" t="s">
        <v>8073</v>
      </c>
      <c r="D5643" s="35" t="s">
        <v>213</v>
      </c>
      <c r="E5643" s="36">
        <v>1</v>
      </c>
      <c r="F5643" s="30">
        <v>35.72</v>
      </c>
      <c r="G5643" s="53">
        <f>IF(ISNUMBER(F5643),E5643*F5643,"")</f>
        <v>35.72</v>
      </c>
      <c r="H5643" s="38">
        <f>SUM(G5643:G5643)</f>
        <v>35.72</v>
      </c>
      <c r="I5643" s="39"/>
      <c r="J5643" s="152">
        <v>0</v>
      </c>
    </row>
    <row r="5644" spans="1:10" ht="15.75" hidden="1" thickBot="1" x14ac:dyDescent="0.3">
      <c r="A5644" s="172"/>
      <c r="B5644" s="175"/>
      <c r="C5644" s="54"/>
      <c r="D5644" s="155"/>
      <c r="E5644" s="65"/>
      <c r="F5644" s="75" t="s">
        <v>416</v>
      </c>
      <c r="G5644" s="75" t="str">
        <f>IF(ISNUMBER(F5644),E5644*F5644,"")</f>
        <v/>
      </c>
      <c r="H5644" s="76"/>
      <c r="I5644" s="73"/>
      <c r="J5644" s="152">
        <v>0</v>
      </c>
    </row>
    <row r="5645" spans="1:10" ht="15.75" hidden="1" thickBot="1" x14ac:dyDescent="0.3">
      <c r="A5645" s="170" t="s">
        <v>4335</v>
      </c>
      <c r="B5645" s="173" t="str">
        <f>INDEX(Orçamentária!A:B,MATCH(Composições!A5645,Orçamentária!A:A,0),2)</f>
        <v>Condulete de alumínio de 3”</v>
      </c>
      <c r="C5645" s="40"/>
      <c r="D5645" s="25" t="s">
        <v>16</v>
      </c>
      <c r="E5645" s="26"/>
      <c r="F5645" s="48" t="s">
        <v>416</v>
      </c>
      <c r="G5645" s="27" t="str">
        <f>IF(ISNUMBER(F5645),E5645*F5645,"")</f>
        <v/>
      </c>
      <c r="H5645" s="28"/>
      <c r="I5645" s="29"/>
      <c r="J5645" s="152">
        <v>0</v>
      </c>
    </row>
    <row r="5646" spans="1:10" ht="15.75" hidden="1" thickBot="1" x14ac:dyDescent="0.3">
      <c r="A5646" s="171"/>
      <c r="B5646" s="174"/>
      <c r="C5646" s="31"/>
      <c r="D5646" s="31"/>
      <c r="E5646" s="32"/>
      <c r="F5646" s="53" t="s">
        <v>416</v>
      </c>
      <c r="G5646" s="53" t="str">
        <f>IF(ISNUMBER(F5646),E5646*F5646,"")</f>
        <v/>
      </c>
      <c r="H5646" s="72"/>
      <c r="I5646" s="73"/>
      <c r="J5646" s="152">
        <v>0</v>
      </c>
    </row>
    <row r="5647" spans="1:10" ht="26.25" hidden="1" thickBot="1" x14ac:dyDescent="0.3">
      <c r="A5647" s="171"/>
      <c r="B5647" s="174"/>
      <c r="C5647" s="35" t="s">
        <v>8075</v>
      </c>
      <c r="D5647" s="35" t="s">
        <v>213</v>
      </c>
      <c r="E5647" s="36">
        <v>1</v>
      </c>
      <c r="F5647" s="30">
        <v>99.189499999999995</v>
      </c>
      <c r="G5647" s="53">
        <f>IF(ISNUMBER(F5647),E5647*F5647,"")</f>
        <v>99.189499999999995</v>
      </c>
      <c r="H5647" s="38">
        <f>SUM(G5647:G5647)</f>
        <v>99.189499999999995</v>
      </c>
      <c r="I5647" s="39"/>
      <c r="J5647" s="152">
        <v>0</v>
      </c>
    </row>
    <row r="5648" spans="1:10" ht="15.75" hidden="1" thickBot="1" x14ac:dyDescent="0.3">
      <c r="A5648" s="172"/>
      <c r="B5648" s="175"/>
      <c r="C5648" s="54"/>
      <c r="D5648" s="155"/>
      <c r="E5648" s="65"/>
      <c r="F5648" s="75" t="s">
        <v>416</v>
      </c>
      <c r="G5648" s="75" t="str">
        <f>IF(ISNUMBER(F5648),E5648*F5648,"")</f>
        <v/>
      </c>
      <c r="H5648" s="76"/>
      <c r="I5648" s="73"/>
      <c r="J5648" s="152">
        <v>0</v>
      </c>
    </row>
    <row r="5649" spans="1:10" ht="15.75" hidden="1" thickBot="1" x14ac:dyDescent="0.3">
      <c r="A5649" s="170" t="s">
        <v>4336</v>
      </c>
      <c r="B5649" s="173" t="str">
        <f>INDEX(Orçamentária!A:B,MATCH(Composições!A5649,Orçamentária!A:A,0),2)</f>
        <v>Condulete de alumínio de 4”</v>
      </c>
      <c r="C5649" s="40"/>
      <c r="D5649" s="25" t="s">
        <v>16</v>
      </c>
      <c r="E5649" s="26"/>
      <c r="F5649" s="48" t="s">
        <v>416</v>
      </c>
      <c r="G5649" s="27" t="str">
        <f>IF(ISNUMBER(F5649),E5649*F5649,"")</f>
        <v/>
      </c>
      <c r="H5649" s="28"/>
      <c r="I5649" s="29"/>
      <c r="J5649" s="152">
        <v>0</v>
      </c>
    </row>
    <row r="5650" spans="1:10" ht="15.75" hidden="1" thickBot="1" x14ac:dyDescent="0.3">
      <c r="A5650" s="171"/>
      <c r="B5650" s="174"/>
      <c r="C5650" s="31"/>
      <c r="D5650" s="31"/>
      <c r="E5650" s="32"/>
      <c r="F5650" s="53" t="s">
        <v>416</v>
      </c>
      <c r="G5650" s="53" t="str">
        <f>IF(ISNUMBER(F5650),E5650*F5650,"")</f>
        <v/>
      </c>
      <c r="H5650" s="72"/>
      <c r="I5650" s="73"/>
      <c r="J5650" s="152">
        <v>0</v>
      </c>
    </row>
    <row r="5651" spans="1:10" ht="26.25" hidden="1" thickBot="1" x14ac:dyDescent="0.3">
      <c r="A5651" s="171"/>
      <c r="B5651" s="174"/>
      <c r="C5651" s="35" t="s">
        <v>8070</v>
      </c>
      <c r="D5651" s="35" t="s">
        <v>213</v>
      </c>
      <c r="E5651" s="36">
        <v>1</v>
      </c>
      <c r="F5651" s="30">
        <v>182.05799999999999</v>
      </c>
      <c r="G5651" s="53">
        <f>IF(ISNUMBER(F5651),E5651*F5651,"")</f>
        <v>182.05799999999999</v>
      </c>
      <c r="H5651" s="38">
        <f>SUM(G5651:G5651)</f>
        <v>182.05799999999999</v>
      </c>
      <c r="I5651" s="39"/>
      <c r="J5651" s="152">
        <v>0</v>
      </c>
    </row>
    <row r="5652" spans="1:10" ht="15.75" hidden="1" thickBot="1" x14ac:dyDescent="0.3">
      <c r="A5652" s="172"/>
      <c r="B5652" s="175"/>
      <c r="C5652" s="54"/>
      <c r="D5652" s="155"/>
      <c r="E5652" s="65"/>
      <c r="F5652" s="75" t="s">
        <v>416</v>
      </c>
      <c r="G5652" s="75" t="str">
        <f>IF(ISNUMBER(F5652),E5652*F5652,"")</f>
        <v/>
      </c>
      <c r="H5652" s="76"/>
      <c r="I5652" s="73"/>
      <c r="J5652" s="152">
        <v>0</v>
      </c>
    </row>
    <row r="5653" spans="1:10" ht="15.75" hidden="1" thickBot="1" x14ac:dyDescent="0.3">
      <c r="A5653" s="170" t="s">
        <v>4350</v>
      </c>
      <c r="B5653" s="173" t="str">
        <f>INDEX(Orçamentária!A:B,MATCH(Composições!A5653,Orçamentária!A:A,0),2)</f>
        <v>Tampa para condulete de PVC</v>
      </c>
      <c r="C5653" s="40"/>
      <c r="D5653" s="25" t="s">
        <v>16</v>
      </c>
      <c r="E5653" s="26"/>
      <c r="F5653" s="48" t="s">
        <v>416</v>
      </c>
      <c r="G5653" s="27" t="str">
        <f>IF(ISNUMBER(F5653),E5653*F5653,"")</f>
        <v/>
      </c>
      <c r="H5653" s="28"/>
      <c r="I5653" s="29"/>
      <c r="J5653" s="152">
        <v>0</v>
      </c>
    </row>
    <row r="5654" spans="1:10" ht="15.75" hidden="1" thickBot="1" x14ac:dyDescent="0.3">
      <c r="A5654" s="171"/>
      <c r="B5654" s="174"/>
      <c r="C5654" s="31"/>
      <c r="D5654" s="31"/>
      <c r="E5654" s="32"/>
      <c r="F5654" s="53" t="s">
        <v>416</v>
      </c>
      <c r="G5654" s="53" t="str">
        <f>IF(ISNUMBER(F5654),E5654*F5654,"")</f>
        <v/>
      </c>
      <c r="H5654" s="72"/>
      <c r="I5654" s="73"/>
      <c r="J5654" s="152">
        <v>0</v>
      </c>
    </row>
    <row r="5655" spans="1:10" ht="15.75" hidden="1" thickBot="1" x14ac:dyDescent="0.3">
      <c r="A5655" s="171"/>
      <c r="B5655" s="174"/>
      <c r="C5655" s="35" t="s">
        <v>8385</v>
      </c>
      <c r="D5655" s="35" t="s">
        <v>213</v>
      </c>
      <c r="E5655" s="36">
        <v>1</v>
      </c>
      <c r="F5655" s="30">
        <v>4.8449999999999998</v>
      </c>
      <c r="G5655" s="53">
        <f>IF(ISNUMBER(F5655),E5655*F5655,"")</f>
        <v>4.8449999999999998</v>
      </c>
      <c r="H5655" s="38">
        <f>SUM(G5655:G5655)</f>
        <v>4.8449999999999998</v>
      </c>
      <c r="I5655" s="39"/>
      <c r="J5655" s="152">
        <v>0</v>
      </c>
    </row>
    <row r="5656" spans="1:10" ht="15.75" hidden="1" thickBot="1" x14ac:dyDescent="0.3">
      <c r="A5656" s="172"/>
      <c r="B5656" s="175"/>
      <c r="C5656" s="54"/>
      <c r="D5656" s="155"/>
      <c r="E5656" s="65"/>
      <c r="F5656" s="75" t="s">
        <v>416</v>
      </c>
      <c r="G5656" s="75" t="str">
        <f>IF(ISNUMBER(F5656),E5656*F5656,"")</f>
        <v/>
      </c>
      <c r="H5656" s="76"/>
      <c r="I5656" s="73"/>
      <c r="J5656" s="152">
        <v>0</v>
      </c>
    </row>
    <row r="5657" spans="1:10" ht="15.75" hidden="1" thickBot="1" x14ac:dyDescent="0.3">
      <c r="A5657" s="170" t="s">
        <v>4352</v>
      </c>
      <c r="B5657" s="173" t="str">
        <f>INDEX(Orçamentária!A:B,MATCH(Composições!A5657,Orçamentária!A:A,0),2)</f>
        <v>Terminal de compressão 25 mm²</v>
      </c>
      <c r="C5657" s="40"/>
      <c r="D5657" s="25" t="s">
        <v>16</v>
      </c>
      <c r="E5657" s="26"/>
      <c r="F5657" s="48" t="s">
        <v>416</v>
      </c>
      <c r="G5657" s="27" t="str">
        <f>IF(ISNUMBER(F5657),E5657*F5657,"")</f>
        <v/>
      </c>
      <c r="H5657" s="28"/>
      <c r="I5657" s="29"/>
      <c r="J5657" s="152">
        <v>0</v>
      </c>
    </row>
    <row r="5658" spans="1:10" ht="15.75" hidden="1" thickBot="1" x14ac:dyDescent="0.3">
      <c r="A5658" s="171"/>
      <c r="B5658" s="174"/>
      <c r="C5658" s="31"/>
      <c r="D5658" s="31"/>
      <c r="E5658" s="32"/>
      <c r="F5658" s="53" t="s">
        <v>416</v>
      </c>
      <c r="G5658" s="53" t="str">
        <f>IF(ISNUMBER(F5658),E5658*F5658,"")</f>
        <v/>
      </c>
      <c r="H5658" s="72"/>
      <c r="I5658" s="73"/>
      <c r="J5658" s="152">
        <v>0</v>
      </c>
    </row>
    <row r="5659" spans="1:10" ht="26.25" hidden="1" thickBot="1" x14ac:dyDescent="0.3">
      <c r="A5659" s="171"/>
      <c r="B5659" s="174"/>
      <c r="C5659" s="35" t="s">
        <v>8428</v>
      </c>
      <c r="D5659" s="35" t="s">
        <v>213</v>
      </c>
      <c r="E5659" s="36">
        <v>1</v>
      </c>
      <c r="F5659" s="30">
        <v>2.9164999999999996</v>
      </c>
      <c r="G5659" s="53">
        <f>IF(ISNUMBER(F5659),E5659*F5659,"")</f>
        <v>2.9164999999999996</v>
      </c>
      <c r="H5659" s="38">
        <f>SUM(G5659:G5659)</f>
        <v>2.9164999999999996</v>
      </c>
      <c r="I5659" s="39"/>
      <c r="J5659" s="152">
        <v>0</v>
      </c>
    </row>
    <row r="5660" spans="1:10" ht="15.75" hidden="1" thickBot="1" x14ac:dyDescent="0.3">
      <c r="A5660" s="172"/>
      <c r="B5660" s="175"/>
      <c r="C5660" s="54"/>
      <c r="D5660" s="155"/>
      <c r="E5660" s="65"/>
      <c r="F5660" s="75" t="s">
        <v>416</v>
      </c>
      <c r="G5660" s="75" t="str">
        <f>IF(ISNUMBER(F5660),E5660*F5660,"")</f>
        <v/>
      </c>
      <c r="H5660" s="76"/>
      <c r="I5660" s="73"/>
      <c r="J5660" s="152">
        <v>0</v>
      </c>
    </row>
    <row r="5661" spans="1:10" ht="15.75" hidden="1" thickBot="1" x14ac:dyDescent="0.3">
      <c r="A5661" s="170" t="s">
        <v>4353</v>
      </c>
      <c r="B5661" s="173" t="str">
        <f>INDEX(Orçamentária!A:B,MATCH(Composições!A5661,Orçamentária!A:A,0),2)</f>
        <v>Terminal de compressão 35 mm²</v>
      </c>
      <c r="C5661" s="40"/>
      <c r="D5661" s="25" t="s">
        <v>16</v>
      </c>
      <c r="E5661" s="26"/>
      <c r="F5661" s="48" t="s">
        <v>416</v>
      </c>
      <c r="G5661" s="27" t="str">
        <f>IF(ISNUMBER(F5661),E5661*F5661,"")</f>
        <v/>
      </c>
      <c r="H5661" s="28"/>
      <c r="I5661" s="29"/>
      <c r="J5661" s="152">
        <v>0</v>
      </c>
    </row>
    <row r="5662" spans="1:10" ht="15.75" hidden="1" thickBot="1" x14ac:dyDescent="0.3">
      <c r="A5662" s="171"/>
      <c r="B5662" s="174"/>
      <c r="C5662" s="31"/>
      <c r="D5662" s="31"/>
      <c r="E5662" s="32"/>
      <c r="F5662" s="53" t="s">
        <v>416</v>
      </c>
      <c r="G5662" s="53" t="str">
        <f>IF(ISNUMBER(F5662),E5662*F5662,"")</f>
        <v/>
      </c>
      <c r="H5662" s="72"/>
      <c r="I5662" s="73"/>
      <c r="J5662" s="152">
        <v>0</v>
      </c>
    </row>
    <row r="5663" spans="1:10" ht="26.25" hidden="1" thickBot="1" x14ac:dyDescent="0.3">
      <c r="A5663" s="171"/>
      <c r="B5663" s="174"/>
      <c r="C5663" s="35" t="s">
        <v>8429</v>
      </c>
      <c r="D5663" s="35" t="s">
        <v>213</v>
      </c>
      <c r="E5663" s="36">
        <v>1</v>
      </c>
      <c r="F5663" s="30">
        <v>3.2869999999999999</v>
      </c>
      <c r="G5663" s="53">
        <f>IF(ISNUMBER(F5663),E5663*F5663,"")</f>
        <v>3.2869999999999999</v>
      </c>
      <c r="H5663" s="38">
        <f>SUM(G5663:G5663)</f>
        <v>3.2869999999999999</v>
      </c>
      <c r="I5663" s="39"/>
      <c r="J5663" s="152">
        <v>0</v>
      </c>
    </row>
    <row r="5664" spans="1:10" ht="15.75" hidden="1" thickBot="1" x14ac:dyDescent="0.3">
      <c r="A5664" s="172"/>
      <c r="B5664" s="175"/>
      <c r="C5664" s="54"/>
      <c r="D5664" s="155"/>
      <c r="E5664" s="65"/>
      <c r="F5664" s="75" t="s">
        <v>416</v>
      </c>
      <c r="G5664" s="75" t="str">
        <f>IF(ISNUMBER(F5664),E5664*F5664,"")</f>
        <v/>
      </c>
      <c r="H5664" s="76"/>
      <c r="I5664" s="73"/>
      <c r="J5664" s="152">
        <v>0</v>
      </c>
    </row>
    <row r="5665" spans="1:10" ht="15.75" hidden="1" thickBot="1" x14ac:dyDescent="0.3">
      <c r="A5665" s="170" t="s">
        <v>4354</v>
      </c>
      <c r="B5665" s="173" t="str">
        <f>INDEX(Orçamentária!A:B,MATCH(Composições!A5665,Orçamentária!A:A,0),2)</f>
        <v>Terminal de compressão 50 mm²</v>
      </c>
      <c r="C5665" s="40"/>
      <c r="D5665" s="25" t="s">
        <v>16</v>
      </c>
      <c r="E5665" s="26"/>
      <c r="F5665" s="48" t="s">
        <v>416</v>
      </c>
      <c r="G5665" s="27" t="str">
        <f>IF(ISNUMBER(F5665),E5665*F5665,"")</f>
        <v/>
      </c>
      <c r="H5665" s="28"/>
      <c r="I5665" s="29"/>
      <c r="J5665" s="152">
        <v>0</v>
      </c>
    </row>
    <row r="5666" spans="1:10" ht="15.75" hidden="1" thickBot="1" x14ac:dyDescent="0.3">
      <c r="A5666" s="171"/>
      <c r="B5666" s="174"/>
      <c r="C5666" s="31"/>
      <c r="D5666" s="31"/>
      <c r="E5666" s="32"/>
      <c r="F5666" s="53" t="s">
        <v>416</v>
      </c>
      <c r="G5666" s="53" t="str">
        <f>IF(ISNUMBER(F5666),E5666*F5666,"")</f>
        <v/>
      </c>
      <c r="H5666" s="72"/>
      <c r="I5666" s="73"/>
      <c r="J5666" s="152">
        <v>0</v>
      </c>
    </row>
    <row r="5667" spans="1:10" ht="26.25" hidden="1" thickBot="1" x14ac:dyDescent="0.3">
      <c r="A5667" s="171"/>
      <c r="B5667" s="174"/>
      <c r="C5667" s="35" t="s">
        <v>8430</v>
      </c>
      <c r="D5667" s="35" t="s">
        <v>213</v>
      </c>
      <c r="E5667" s="36">
        <v>1</v>
      </c>
      <c r="F5667" s="30">
        <v>5.6999999999999993</v>
      </c>
      <c r="G5667" s="53">
        <f>IF(ISNUMBER(F5667),E5667*F5667,"")</f>
        <v>5.6999999999999993</v>
      </c>
      <c r="H5667" s="38">
        <f>SUM(G5667:G5667)</f>
        <v>5.6999999999999993</v>
      </c>
      <c r="I5667" s="39"/>
      <c r="J5667" s="152">
        <v>0</v>
      </c>
    </row>
    <row r="5668" spans="1:10" ht="15.75" hidden="1" thickBot="1" x14ac:dyDescent="0.3">
      <c r="A5668" s="172"/>
      <c r="B5668" s="175"/>
      <c r="C5668" s="54"/>
      <c r="D5668" s="155"/>
      <c r="E5668" s="65"/>
      <c r="F5668" s="75" t="s">
        <v>416</v>
      </c>
      <c r="G5668" s="75" t="str">
        <f>IF(ISNUMBER(F5668),E5668*F5668,"")</f>
        <v/>
      </c>
      <c r="H5668" s="76"/>
      <c r="I5668" s="73"/>
      <c r="J5668" s="152">
        <v>0</v>
      </c>
    </row>
    <row r="5669" spans="1:10" ht="15.75" hidden="1" thickBot="1" x14ac:dyDescent="0.3">
      <c r="A5669" s="170" t="s">
        <v>4355</v>
      </c>
      <c r="B5669" s="173" t="str">
        <f>INDEX(Orçamentária!A:B,MATCH(Composições!A5669,Orçamentária!A:A,0),2)</f>
        <v>Terminal de compressão 70 mm²</v>
      </c>
      <c r="C5669" s="40"/>
      <c r="D5669" s="25" t="s">
        <v>16</v>
      </c>
      <c r="E5669" s="26"/>
      <c r="F5669" s="48" t="s">
        <v>416</v>
      </c>
      <c r="G5669" s="27" t="str">
        <f>IF(ISNUMBER(F5669),E5669*F5669,"")</f>
        <v/>
      </c>
      <c r="H5669" s="28"/>
      <c r="I5669" s="29"/>
      <c r="J5669" s="152">
        <v>0</v>
      </c>
    </row>
    <row r="5670" spans="1:10" ht="15.75" hidden="1" thickBot="1" x14ac:dyDescent="0.3">
      <c r="A5670" s="171"/>
      <c r="B5670" s="174"/>
      <c r="C5670" s="31"/>
      <c r="D5670" s="31"/>
      <c r="E5670" s="32"/>
      <c r="F5670" s="53" t="s">
        <v>416</v>
      </c>
      <c r="G5670" s="53" t="str">
        <f>IF(ISNUMBER(F5670),E5670*F5670,"")</f>
        <v/>
      </c>
      <c r="H5670" s="72"/>
      <c r="I5670" s="73"/>
      <c r="J5670" s="152">
        <v>0</v>
      </c>
    </row>
    <row r="5671" spans="1:10" ht="26.25" hidden="1" thickBot="1" x14ac:dyDescent="0.3">
      <c r="A5671" s="171"/>
      <c r="B5671" s="174"/>
      <c r="C5671" s="35" t="s">
        <v>8431</v>
      </c>
      <c r="D5671" s="35" t="s">
        <v>213</v>
      </c>
      <c r="E5671" s="36">
        <v>1</v>
      </c>
      <c r="F5671" s="30">
        <v>7.1059999999999999</v>
      </c>
      <c r="G5671" s="53">
        <f>IF(ISNUMBER(F5671),E5671*F5671,"")</f>
        <v>7.1059999999999999</v>
      </c>
      <c r="H5671" s="38">
        <f>SUM(G5671:G5671)</f>
        <v>7.1059999999999999</v>
      </c>
      <c r="I5671" s="39"/>
      <c r="J5671" s="152">
        <v>0</v>
      </c>
    </row>
    <row r="5672" spans="1:10" ht="15.75" hidden="1" thickBot="1" x14ac:dyDescent="0.3">
      <c r="A5672" s="172"/>
      <c r="B5672" s="175"/>
      <c r="C5672" s="54"/>
      <c r="D5672" s="155"/>
      <c r="E5672" s="65"/>
      <c r="F5672" s="75" t="s">
        <v>416</v>
      </c>
      <c r="G5672" s="75" t="str">
        <f>IF(ISNUMBER(F5672),E5672*F5672,"")</f>
        <v/>
      </c>
      <c r="H5672" s="76"/>
      <c r="I5672" s="73"/>
      <c r="J5672" s="152">
        <v>0</v>
      </c>
    </row>
    <row r="5673" spans="1:10" ht="15.75" hidden="1" thickBot="1" x14ac:dyDescent="0.3">
      <c r="A5673" s="170" t="s">
        <v>4356</v>
      </c>
      <c r="B5673" s="173" t="str">
        <f>INDEX(Orçamentária!A:B,MATCH(Composições!A5673,Orçamentária!A:A,0),2)</f>
        <v>Terminal de compressão 95 mm²</v>
      </c>
      <c r="C5673" s="40"/>
      <c r="D5673" s="25" t="s">
        <v>16</v>
      </c>
      <c r="E5673" s="26"/>
      <c r="F5673" s="48" t="s">
        <v>416</v>
      </c>
      <c r="G5673" s="27" t="str">
        <f>IF(ISNUMBER(F5673),E5673*F5673,"")</f>
        <v/>
      </c>
      <c r="H5673" s="28"/>
      <c r="I5673" s="29"/>
      <c r="J5673" s="152">
        <v>0</v>
      </c>
    </row>
    <row r="5674" spans="1:10" ht="15.75" hidden="1" thickBot="1" x14ac:dyDescent="0.3">
      <c r="A5674" s="171"/>
      <c r="B5674" s="174"/>
      <c r="C5674" s="31"/>
      <c r="D5674" s="31"/>
      <c r="E5674" s="32"/>
      <c r="F5674" s="53" t="s">
        <v>416</v>
      </c>
      <c r="G5674" s="53" t="str">
        <f>IF(ISNUMBER(F5674),E5674*F5674,"")</f>
        <v/>
      </c>
      <c r="H5674" s="72"/>
      <c r="I5674" s="73"/>
      <c r="J5674" s="152">
        <v>0</v>
      </c>
    </row>
    <row r="5675" spans="1:10" ht="26.25" hidden="1" thickBot="1" x14ac:dyDescent="0.3">
      <c r="A5675" s="171"/>
      <c r="B5675" s="174"/>
      <c r="C5675" s="35" t="s">
        <v>8432</v>
      </c>
      <c r="D5675" s="35" t="s">
        <v>213</v>
      </c>
      <c r="E5675" s="36">
        <v>1</v>
      </c>
      <c r="F5675" s="30">
        <v>8.7495000000000012</v>
      </c>
      <c r="G5675" s="53">
        <f>IF(ISNUMBER(F5675),E5675*F5675,"")</f>
        <v>8.7495000000000012</v>
      </c>
      <c r="H5675" s="38">
        <f>SUM(G5675:G5675)</f>
        <v>8.7495000000000012</v>
      </c>
      <c r="I5675" s="39"/>
      <c r="J5675" s="152">
        <v>0</v>
      </c>
    </row>
    <row r="5676" spans="1:10" ht="15.75" hidden="1" thickBot="1" x14ac:dyDescent="0.3">
      <c r="A5676" s="172"/>
      <c r="B5676" s="175"/>
      <c r="C5676" s="54"/>
      <c r="D5676" s="155"/>
      <c r="E5676" s="65"/>
      <c r="F5676" s="75" t="s">
        <v>416</v>
      </c>
      <c r="G5676" s="75" t="str">
        <f>IF(ISNUMBER(F5676),E5676*F5676,"")</f>
        <v/>
      </c>
      <c r="H5676" s="76"/>
      <c r="I5676" s="73"/>
      <c r="J5676" s="152">
        <v>0</v>
      </c>
    </row>
    <row r="5677" spans="1:10" ht="15.75" hidden="1" thickBot="1" x14ac:dyDescent="0.3">
      <c r="A5677" s="170" t="s">
        <v>4357</v>
      </c>
      <c r="B5677" s="173" t="str">
        <f>INDEX(Orçamentária!A:B,MATCH(Composições!A5677,Orçamentária!A:A,0),2)</f>
        <v>Terminal de compressão 120 mm²</v>
      </c>
      <c r="C5677" s="40"/>
      <c r="D5677" s="25" t="s">
        <v>16</v>
      </c>
      <c r="E5677" s="26"/>
      <c r="F5677" s="48" t="s">
        <v>416</v>
      </c>
      <c r="G5677" s="27" t="str">
        <f>IF(ISNUMBER(F5677),E5677*F5677,"")</f>
        <v/>
      </c>
      <c r="H5677" s="28"/>
      <c r="I5677" s="29"/>
      <c r="J5677" s="152">
        <v>0</v>
      </c>
    </row>
    <row r="5678" spans="1:10" ht="15.75" hidden="1" thickBot="1" x14ac:dyDescent="0.3">
      <c r="A5678" s="171"/>
      <c r="B5678" s="174"/>
      <c r="C5678" s="31"/>
      <c r="D5678" s="31"/>
      <c r="E5678" s="32"/>
      <c r="F5678" s="53" t="s">
        <v>416</v>
      </c>
      <c r="G5678" s="53" t="str">
        <f>IF(ISNUMBER(F5678),E5678*F5678,"")</f>
        <v/>
      </c>
      <c r="H5678" s="72"/>
      <c r="I5678" s="73"/>
      <c r="J5678" s="152">
        <v>0</v>
      </c>
    </row>
    <row r="5679" spans="1:10" ht="39" hidden="1" thickBot="1" x14ac:dyDescent="0.3">
      <c r="A5679" s="171"/>
      <c r="B5679" s="174"/>
      <c r="C5679" s="35" t="s">
        <v>8426</v>
      </c>
      <c r="D5679" s="35" t="s">
        <v>213</v>
      </c>
      <c r="E5679" s="36">
        <v>1</v>
      </c>
      <c r="F5679" s="30">
        <v>12.311999999999999</v>
      </c>
      <c r="G5679" s="53">
        <f>IF(ISNUMBER(F5679),E5679*F5679,"")</f>
        <v>12.311999999999999</v>
      </c>
      <c r="H5679" s="38">
        <f>SUM(G5679:G5679)</f>
        <v>12.311999999999999</v>
      </c>
      <c r="I5679" s="39"/>
      <c r="J5679" s="152">
        <v>0</v>
      </c>
    </row>
    <row r="5680" spans="1:10" ht="15.75" hidden="1" thickBot="1" x14ac:dyDescent="0.3">
      <c r="A5680" s="172"/>
      <c r="B5680" s="175"/>
      <c r="C5680" s="54"/>
      <c r="D5680" s="155"/>
      <c r="E5680" s="65"/>
      <c r="F5680" s="75" t="s">
        <v>416</v>
      </c>
      <c r="G5680" s="75" t="str">
        <f>IF(ISNUMBER(F5680),E5680*F5680,"")</f>
        <v/>
      </c>
      <c r="H5680" s="76"/>
      <c r="I5680" s="73"/>
      <c r="J5680" s="152">
        <v>0</v>
      </c>
    </row>
    <row r="5681" spans="1:10" ht="15.75" hidden="1" thickBot="1" x14ac:dyDescent="0.3">
      <c r="A5681" s="170" t="s">
        <v>4358</v>
      </c>
      <c r="B5681" s="173" t="str">
        <f>INDEX(Orçamentária!A:B,MATCH(Composições!A5681,Orçamentária!A:A,0),2)</f>
        <v>Terminal de compressão 150 mm²</v>
      </c>
      <c r="C5681" s="40"/>
      <c r="D5681" s="25" t="s">
        <v>16</v>
      </c>
      <c r="E5681" s="26"/>
      <c r="F5681" s="48" t="s">
        <v>416</v>
      </c>
      <c r="G5681" s="27" t="str">
        <f>IF(ISNUMBER(F5681),E5681*F5681,"")</f>
        <v/>
      </c>
      <c r="H5681" s="28"/>
      <c r="I5681" s="29"/>
      <c r="J5681" s="152">
        <v>0</v>
      </c>
    </row>
    <row r="5682" spans="1:10" ht="15.75" hidden="1" thickBot="1" x14ac:dyDescent="0.3">
      <c r="A5682" s="171"/>
      <c r="B5682" s="174"/>
      <c r="C5682" s="31"/>
      <c r="D5682" s="31"/>
      <c r="E5682" s="32"/>
      <c r="F5682" s="53" t="s">
        <v>416</v>
      </c>
      <c r="G5682" s="53" t="str">
        <f>IF(ISNUMBER(F5682),E5682*F5682,"")</f>
        <v/>
      </c>
      <c r="H5682" s="72"/>
      <c r="I5682" s="73"/>
      <c r="J5682" s="152">
        <v>0</v>
      </c>
    </row>
    <row r="5683" spans="1:10" ht="26.25" hidden="1" thickBot="1" x14ac:dyDescent="0.3">
      <c r="A5683" s="171"/>
      <c r="B5683" s="174"/>
      <c r="C5683" s="35" t="s">
        <v>8436</v>
      </c>
      <c r="D5683" s="35" t="s">
        <v>213</v>
      </c>
      <c r="E5683" s="36">
        <v>1</v>
      </c>
      <c r="F5683" s="30">
        <v>27.701999999999998</v>
      </c>
      <c r="G5683" s="53">
        <f>IF(ISNUMBER(F5683),E5683*F5683,"")</f>
        <v>27.701999999999998</v>
      </c>
      <c r="H5683" s="38">
        <f>SUM(G5683:G5683)</f>
        <v>27.701999999999998</v>
      </c>
      <c r="I5683" s="39"/>
      <c r="J5683" s="152">
        <v>0</v>
      </c>
    </row>
    <row r="5684" spans="1:10" ht="15.75" hidden="1" thickBot="1" x14ac:dyDescent="0.3">
      <c r="A5684" s="172"/>
      <c r="B5684" s="175"/>
      <c r="C5684" s="54"/>
      <c r="D5684" s="155"/>
      <c r="E5684" s="65"/>
      <c r="F5684" s="75" t="s">
        <v>416</v>
      </c>
      <c r="G5684" s="75" t="str">
        <f>IF(ISNUMBER(F5684),E5684*F5684,"")</f>
        <v/>
      </c>
      <c r="H5684" s="76"/>
      <c r="I5684" s="73"/>
      <c r="J5684" s="152">
        <v>0</v>
      </c>
    </row>
    <row r="5685" spans="1:10" ht="15.75" hidden="1" thickBot="1" x14ac:dyDescent="0.3">
      <c r="A5685" s="170" t="s">
        <v>4359</v>
      </c>
      <c r="B5685" s="173" t="str">
        <f>INDEX(Orçamentária!A:B,MATCH(Composições!A5685,Orçamentária!A:A,0),2)</f>
        <v>Terminal de compressão 185 mm²</v>
      </c>
      <c r="C5685" s="40"/>
      <c r="D5685" s="25" t="s">
        <v>16</v>
      </c>
      <c r="E5685" s="26"/>
      <c r="F5685" s="48" t="s">
        <v>416</v>
      </c>
      <c r="G5685" s="27" t="str">
        <f>IF(ISNUMBER(F5685),E5685*F5685,"")</f>
        <v/>
      </c>
      <c r="H5685" s="28"/>
      <c r="I5685" s="29"/>
      <c r="J5685" s="152">
        <v>0</v>
      </c>
    </row>
    <row r="5686" spans="1:10" ht="15.75" hidden="1" thickBot="1" x14ac:dyDescent="0.3">
      <c r="A5686" s="171"/>
      <c r="B5686" s="174"/>
      <c r="C5686" s="31"/>
      <c r="D5686" s="31"/>
      <c r="E5686" s="32"/>
      <c r="F5686" s="53" t="s">
        <v>416</v>
      </c>
      <c r="G5686" s="53" t="str">
        <f>IF(ISNUMBER(F5686),E5686*F5686,"")</f>
        <v/>
      </c>
      <c r="H5686" s="72"/>
      <c r="I5686" s="73"/>
      <c r="J5686" s="152">
        <v>0</v>
      </c>
    </row>
    <row r="5687" spans="1:10" ht="26.25" hidden="1" thickBot="1" x14ac:dyDescent="0.3">
      <c r="A5687" s="171"/>
      <c r="B5687" s="174"/>
      <c r="C5687" s="35" t="s">
        <v>8437</v>
      </c>
      <c r="D5687" s="35" t="s">
        <v>213</v>
      </c>
      <c r="E5687" s="36">
        <v>1</v>
      </c>
      <c r="F5687" s="30">
        <v>30.276499999999999</v>
      </c>
      <c r="G5687" s="53">
        <f>IF(ISNUMBER(F5687),E5687*F5687,"")</f>
        <v>30.276499999999999</v>
      </c>
      <c r="H5687" s="38">
        <f>SUM(G5687:G5687)</f>
        <v>30.276499999999999</v>
      </c>
      <c r="I5687" s="39"/>
      <c r="J5687" s="152">
        <v>0</v>
      </c>
    </row>
    <row r="5688" spans="1:10" ht="15.75" hidden="1" thickBot="1" x14ac:dyDescent="0.3">
      <c r="A5688" s="172"/>
      <c r="B5688" s="175"/>
      <c r="C5688" s="54"/>
      <c r="D5688" s="155"/>
      <c r="E5688" s="65"/>
      <c r="F5688" s="75" t="s">
        <v>416</v>
      </c>
      <c r="G5688" s="75" t="str">
        <f>IF(ISNUMBER(F5688),E5688*F5688,"")</f>
        <v/>
      </c>
      <c r="H5688" s="76"/>
      <c r="I5688" s="73"/>
      <c r="J5688" s="152">
        <v>0</v>
      </c>
    </row>
    <row r="5689" spans="1:10" ht="15.75" hidden="1" thickBot="1" x14ac:dyDescent="0.3">
      <c r="A5689" s="170" t="s">
        <v>4360</v>
      </c>
      <c r="B5689" s="173" t="str">
        <f>INDEX(Orçamentária!A:B,MATCH(Composições!A5689,Orçamentária!A:A,0),2)</f>
        <v>Terminal de compressão 240 mm²</v>
      </c>
      <c r="C5689" s="40"/>
      <c r="D5689" s="25" t="s">
        <v>16</v>
      </c>
      <c r="E5689" s="26"/>
      <c r="F5689" s="48" t="s">
        <v>416</v>
      </c>
      <c r="G5689" s="27" t="str">
        <f>IF(ISNUMBER(F5689),E5689*F5689,"")</f>
        <v/>
      </c>
      <c r="H5689" s="28"/>
      <c r="I5689" s="29"/>
      <c r="J5689" s="152">
        <v>0</v>
      </c>
    </row>
    <row r="5690" spans="1:10" ht="15.75" hidden="1" thickBot="1" x14ac:dyDescent="0.3">
      <c r="A5690" s="171"/>
      <c r="B5690" s="174"/>
      <c r="C5690" s="31"/>
      <c r="D5690" s="31"/>
      <c r="E5690" s="32"/>
      <c r="F5690" s="53" t="s">
        <v>416</v>
      </c>
      <c r="G5690" s="53" t="str">
        <f>IF(ISNUMBER(F5690),E5690*F5690,"")</f>
        <v/>
      </c>
      <c r="H5690" s="72"/>
      <c r="I5690" s="73"/>
      <c r="J5690" s="152">
        <v>0</v>
      </c>
    </row>
    <row r="5691" spans="1:10" ht="26.25" hidden="1" thickBot="1" x14ac:dyDescent="0.3">
      <c r="A5691" s="171"/>
      <c r="B5691" s="174"/>
      <c r="C5691" s="35" t="s">
        <v>8438</v>
      </c>
      <c r="D5691" s="35" t="s">
        <v>213</v>
      </c>
      <c r="E5691" s="36">
        <v>1</v>
      </c>
      <c r="F5691" s="30">
        <v>39.957000000000001</v>
      </c>
      <c r="G5691" s="53">
        <f>IF(ISNUMBER(F5691),E5691*F5691,"")</f>
        <v>39.957000000000001</v>
      </c>
      <c r="H5691" s="38">
        <f>SUM(G5691:G5691)</f>
        <v>39.957000000000001</v>
      </c>
      <c r="I5691" s="39"/>
      <c r="J5691" s="152">
        <v>0</v>
      </c>
    </row>
    <row r="5692" spans="1:10" ht="15.75" hidden="1" thickBot="1" x14ac:dyDescent="0.3">
      <c r="A5692" s="172"/>
      <c r="B5692" s="175"/>
      <c r="C5692" s="54"/>
      <c r="D5692" s="155"/>
      <c r="E5692" s="65"/>
      <c r="F5692" s="75" t="s">
        <v>416</v>
      </c>
      <c r="G5692" s="75" t="str">
        <f>IF(ISNUMBER(F5692),E5692*F5692,"")</f>
        <v/>
      </c>
      <c r="H5692" s="76"/>
      <c r="I5692" s="73"/>
      <c r="J5692" s="152">
        <v>0</v>
      </c>
    </row>
    <row r="5693" spans="1:10" ht="15.75" hidden="1" thickBot="1" x14ac:dyDescent="0.3">
      <c r="A5693" s="170" t="s">
        <v>4361</v>
      </c>
      <c r="B5693" s="173" t="str">
        <f>INDEX(Orçamentária!A:B,MATCH(Composições!A5693,Orçamentária!A:A,0),2)</f>
        <v>Terminal de compressão 300 mm²</v>
      </c>
      <c r="C5693" s="40"/>
      <c r="D5693" s="25" t="s">
        <v>16</v>
      </c>
      <c r="E5693" s="26"/>
      <c r="F5693" s="48" t="s">
        <v>416</v>
      </c>
      <c r="G5693" s="27" t="str">
        <f>IF(ISNUMBER(F5693),E5693*F5693,"")</f>
        <v/>
      </c>
      <c r="H5693" s="28"/>
      <c r="I5693" s="29"/>
      <c r="J5693" s="152">
        <v>0</v>
      </c>
    </row>
    <row r="5694" spans="1:10" ht="15.75" hidden="1" thickBot="1" x14ac:dyDescent="0.3">
      <c r="A5694" s="171"/>
      <c r="B5694" s="174"/>
      <c r="C5694" s="31"/>
      <c r="D5694" s="31"/>
      <c r="E5694" s="32"/>
      <c r="F5694" s="53" t="s">
        <v>416</v>
      </c>
      <c r="G5694" s="53" t="str">
        <f>IF(ISNUMBER(F5694),E5694*F5694,"")</f>
        <v/>
      </c>
      <c r="H5694" s="72"/>
      <c r="I5694" s="73"/>
      <c r="J5694" s="152">
        <v>0</v>
      </c>
    </row>
    <row r="5695" spans="1:10" ht="26.25" hidden="1" thickBot="1" x14ac:dyDescent="0.3">
      <c r="A5695" s="171"/>
      <c r="B5695" s="174"/>
      <c r="C5695" s="35" t="s">
        <v>8439</v>
      </c>
      <c r="D5695" s="35" t="s">
        <v>213</v>
      </c>
      <c r="E5695" s="36">
        <v>1</v>
      </c>
      <c r="F5695" s="30">
        <v>58.14</v>
      </c>
      <c r="G5695" s="53">
        <f>IF(ISNUMBER(F5695),E5695*F5695,"")</f>
        <v>58.14</v>
      </c>
      <c r="H5695" s="38">
        <f>SUM(G5695:G5695)</f>
        <v>58.14</v>
      </c>
      <c r="I5695" s="39"/>
      <c r="J5695" s="152">
        <v>0</v>
      </c>
    </row>
    <row r="5696" spans="1:10" ht="15.75" hidden="1" thickBot="1" x14ac:dyDescent="0.3">
      <c r="A5696" s="172"/>
      <c r="B5696" s="175"/>
      <c r="C5696" s="54"/>
      <c r="D5696" s="155"/>
      <c r="E5696" s="65"/>
      <c r="F5696" s="75" t="s">
        <v>416</v>
      </c>
      <c r="G5696" s="75" t="str">
        <f>IF(ISNUMBER(F5696),E5696*F5696,"")</f>
        <v/>
      </c>
      <c r="H5696" s="76"/>
      <c r="I5696" s="73"/>
      <c r="J5696" s="152">
        <v>0</v>
      </c>
    </row>
    <row r="5697" spans="1:10" ht="15.75" hidden="1" thickBot="1" x14ac:dyDescent="0.3">
      <c r="A5697" s="170" t="s">
        <v>4388</v>
      </c>
      <c r="B5697" s="173" t="str">
        <f>INDEX(Orçamentária!A:B,MATCH(Composições!A5697,Orçamentária!A:A,0),2)</f>
        <v>Cobre nu 16 mm²</v>
      </c>
      <c r="C5697" s="40"/>
      <c r="D5697" s="25" t="s">
        <v>69</v>
      </c>
      <c r="E5697" s="26"/>
      <c r="F5697" s="48" t="s">
        <v>416</v>
      </c>
      <c r="G5697" s="27" t="str">
        <f>IF(ISNUMBER(F5697),E5697*F5697,"")</f>
        <v/>
      </c>
      <c r="H5697" s="28"/>
      <c r="I5697" s="29"/>
      <c r="J5697" s="152">
        <v>0</v>
      </c>
    </row>
    <row r="5698" spans="1:10" ht="15.75" hidden="1" thickBot="1" x14ac:dyDescent="0.3">
      <c r="A5698" s="171"/>
      <c r="B5698" s="174"/>
      <c r="C5698" s="31"/>
      <c r="D5698" s="31"/>
      <c r="E5698" s="32"/>
      <c r="F5698" s="53" t="s">
        <v>416</v>
      </c>
      <c r="G5698" s="53" t="str">
        <f>IF(ISNUMBER(F5698),E5698*F5698,"")</f>
        <v/>
      </c>
      <c r="H5698" s="72"/>
      <c r="I5698" s="73"/>
      <c r="J5698" s="152">
        <v>0</v>
      </c>
    </row>
    <row r="5699" spans="1:10" ht="15.75" hidden="1" thickBot="1" x14ac:dyDescent="0.3">
      <c r="A5699" s="171"/>
      <c r="B5699" s="174"/>
      <c r="C5699" s="35" t="s">
        <v>8025</v>
      </c>
      <c r="D5699" s="35" t="s">
        <v>385</v>
      </c>
      <c r="E5699" s="36">
        <v>1</v>
      </c>
      <c r="F5699" s="30">
        <v>18.012</v>
      </c>
      <c r="G5699" s="53">
        <f>IF(ISNUMBER(F5699),E5699*F5699,"")</f>
        <v>18.012</v>
      </c>
      <c r="H5699" s="38">
        <f>SUM(G5699:G5699)</f>
        <v>18.012</v>
      </c>
      <c r="I5699" s="39"/>
      <c r="J5699" s="152">
        <v>0</v>
      </c>
    </row>
    <row r="5700" spans="1:10" ht="15.75" hidden="1" thickBot="1" x14ac:dyDescent="0.3">
      <c r="A5700" s="172"/>
      <c r="B5700" s="175"/>
      <c r="C5700" s="54"/>
      <c r="D5700" s="155"/>
      <c r="E5700" s="65"/>
      <c r="F5700" s="75" t="s">
        <v>416</v>
      </c>
      <c r="G5700" s="75" t="str">
        <f>IF(ISNUMBER(F5700),E5700*F5700,"")</f>
        <v/>
      </c>
      <c r="H5700" s="76"/>
      <c r="I5700" s="73"/>
      <c r="J5700" s="152">
        <v>0</v>
      </c>
    </row>
    <row r="5701" spans="1:10" ht="15.75" hidden="1" thickBot="1" x14ac:dyDescent="0.3">
      <c r="A5701" s="170" t="s">
        <v>4389</v>
      </c>
      <c r="B5701" s="173" t="str">
        <f>INDEX(Orçamentária!A:B,MATCH(Composições!A5701,Orçamentária!A:A,0),2)</f>
        <v>Cobre nu 25 mm²</v>
      </c>
      <c r="C5701" s="40"/>
      <c r="D5701" s="25" t="s">
        <v>69</v>
      </c>
      <c r="E5701" s="26"/>
      <c r="F5701" s="48" t="s">
        <v>416</v>
      </c>
      <c r="G5701" s="27" t="str">
        <f>IF(ISNUMBER(F5701),E5701*F5701,"")</f>
        <v/>
      </c>
      <c r="H5701" s="28"/>
      <c r="I5701" s="29"/>
      <c r="J5701" s="152">
        <v>0</v>
      </c>
    </row>
    <row r="5702" spans="1:10" ht="15.75" hidden="1" thickBot="1" x14ac:dyDescent="0.3">
      <c r="A5702" s="171"/>
      <c r="B5702" s="174"/>
      <c r="C5702" s="31"/>
      <c r="D5702" s="31"/>
      <c r="E5702" s="32"/>
      <c r="F5702" s="53" t="s">
        <v>416</v>
      </c>
      <c r="G5702" s="53" t="str">
        <f>IF(ISNUMBER(F5702),E5702*F5702,"")</f>
        <v/>
      </c>
      <c r="H5702" s="72"/>
      <c r="I5702" s="73"/>
      <c r="J5702" s="152">
        <v>0</v>
      </c>
    </row>
    <row r="5703" spans="1:10" ht="15.75" hidden="1" thickBot="1" x14ac:dyDescent="0.3">
      <c r="A5703" s="171"/>
      <c r="B5703" s="174"/>
      <c r="C5703" s="35" t="s">
        <v>8026</v>
      </c>
      <c r="D5703" s="35" t="s">
        <v>385</v>
      </c>
      <c r="E5703" s="36">
        <v>1</v>
      </c>
      <c r="F5703" s="30">
        <v>25.6785</v>
      </c>
      <c r="G5703" s="53">
        <f>IF(ISNUMBER(F5703),E5703*F5703,"")</f>
        <v>25.6785</v>
      </c>
      <c r="H5703" s="38">
        <f>SUM(G5703:G5703)</f>
        <v>25.6785</v>
      </c>
      <c r="I5703" s="39"/>
      <c r="J5703" s="152">
        <v>0</v>
      </c>
    </row>
    <row r="5704" spans="1:10" ht="15.75" hidden="1" thickBot="1" x14ac:dyDescent="0.3">
      <c r="A5704" s="172"/>
      <c r="B5704" s="175"/>
      <c r="C5704" s="54"/>
      <c r="D5704" s="155"/>
      <c r="E5704" s="65"/>
      <c r="F5704" s="75" t="s">
        <v>416</v>
      </c>
      <c r="G5704" s="75" t="str">
        <f>IF(ISNUMBER(F5704),E5704*F5704,"")</f>
        <v/>
      </c>
      <c r="H5704" s="76"/>
      <c r="I5704" s="73"/>
      <c r="J5704" s="152">
        <v>0</v>
      </c>
    </row>
    <row r="5705" spans="1:10" ht="15.75" hidden="1" thickBot="1" x14ac:dyDescent="0.3">
      <c r="A5705" s="170" t="s">
        <v>4390</v>
      </c>
      <c r="B5705" s="173" t="str">
        <f>INDEX(Orçamentária!A:B,MATCH(Composições!A5705,Orçamentária!A:A,0),2)</f>
        <v>Cobre nu 35 mm²</v>
      </c>
      <c r="C5705" s="40"/>
      <c r="D5705" s="25" t="s">
        <v>69</v>
      </c>
      <c r="E5705" s="26"/>
      <c r="F5705" s="48" t="s">
        <v>416</v>
      </c>
      <c r="G5705" s="27" t="str">
        <f>IF(ISNUMBER(F5705),E5705*F5705,"")</f>
        <v/>
      </c>
      <c r="H5705" s="28"/>
      <c r="I5705" s="29"/>
      <c r="J5705" s="152">
        <v>0</v>
      </c>
    </row>
    <row r="5706" spans="1:10" ht="15.75" hidden="1" thickBot="1" x14ac:dyDescent="0.3">
      <c r="A5706" s="171"/>
      <c r="B5706" s="174"/>
      <c r="C5706" s="31"/>
      <c r="D5706" s="31"/>
      <c r="E5706" s="32"/>
      <c r="F5706" s="53" t="s">
        <v>416</v>
      </c>
      <c r="G5706" s="53" t="str">
        <f>IF(ISNUMBER(F5706),E5706*F5706,"")</f>
        <v/>
      </c>
      <c r="H5706" s="72"/>
      <c r="I5706" s="73"/>
      <c r="J5706" s="152">
        <v>0</v>
      </c>
    </row>
    <row r="5707" spans="1:10" ht="15.75" hidden="1" thickBot="1" x14ac:dyDescent="0.3">
      <c r="A5707" s="171"/>
      <c r="B5707" s="174"/>
      <c r="C5707" s="35" t="s">
        <v>8027</v>
      </c>
      <c r="D5707" s="35" t="s">
        <v>385</v>
      </c>
      <c r="E5707" s="36">
        <v>1</v>
      </c>
      <c r="F5707" s="30">
        <v>37.809999999999995</v>
      </c>
      <c r="G5707" s="53">
        <f>IF(ISNUMBER(F5707),E5707*F5707,"")</f>
        <v>37.809999999999995</v>
      </c>
      <c r="H5707" s="38">
        <f>SUM(G5707:G5707)</f>
        <v>37.809999999999995</v>
      </c>
      <c r="I5707" s="39"/>
      <c r="J5707" s="152">
        <v>0</v>
      </c>
    </row>
    <row r="5708" spans="1:10" ht="15.75" hidden="1" thickBot="1" x14ac:dyDescent="0.3">
      <c r="A5708" s="172"/>
      <c r="B5708" s="175"/>
      <c r="C5708" s="54"/>
      <c r="D5708" s="155"/>
      <c r="E5708" s="65"/>
      <c r="F5708" s="75" t="s">
        <v>416</v>
      </c>
      <c r="G5708" s="75" t="str">
        <f>IF(ISNUMBER(F5708),E5708*F5708,"")</f>
        <v/>
      </c>
      <c r="H5708" s="76"/>
      <c r="I5708" s="73"/>
      <c r="J5708" s="152">
        <v>0</v>
      </c>
    </row>
    <row r="5709" spans="1:10" ht="15.75" hidden="1" thickBot="1" x14ac:dyDescent="0.3">
      <c r="A5709" s="170" t="s">
        <v>4391</v>
      </c>
      <c r="B5709" s="173" t="str">
        <f>INDEX(Orçamentária!A:B,MATCH(Composições!A5709,Orçamentária!A:A,0),2)</f>
        <v>Cobre nu 50 mm²</v>
      </c>
      <c r="C5709" s="40"/>
      <c r="D5709" s="25" t="s">
        <v>69</v>
      </c>
      <c r="E5709" s="26"/>
      <c r="F5709" s="48" t="s">
        <v>416</v>
      </c>
      <c r="G5709" s="27" t="str">
        <f>IF(ISNUMBER(F5709),E5709*F5709,"")</f>
        <v/>
      </c>
      <c r="H5709" s="28"/>
      <c r="I5709" s="29"/>
      <c r="J5709" s="152">
        <v>0</v>
      </c>
    </row>
    <row r="5710" spans="1:10" ht="15.75" hidden="1" thickBot="1" x14ac:dyDescent="0.3">
      <c r="A5710" s="171"/>
      <c r="B5710" s="174"/>
      <c r="C5710" s="31"/>
      <c r="D5710" s="31"/>
      <c r="E5710" s="32"/>
      <c r="F5710" s="53" t="s">
        <v>416</v>
      </c>
      <c r="G5710" s="53" t="str">
        <f>IF(ISNUMBER(F5710),E5710*F5710,"")</f>
        <v/>
      </c>
      <c r="H5710" s="72"/>
      <c r="I5710" s="73"/>
      <c r="J5710" s="152">
        <v>0</v>
      </c>
    </row>
    <row r="5711" spans="1:10" ht="15.75" hidden="1" thickBot="1" x14ac:dyDescent="0.3">
      <c r="A5711" s="171"/>
      <c r="B5711" s="174"/>
      <c r="C5711" s="35" t="s">
        <v>8028</v>
      </c>
      <c r="D5711" s="35" t="s">
        <v>385</v>
      </c>
      <c r="E5711" s="36">
        <v>1</v>
      </c>
      <c r="F5711" s="30">
        <v>53.865000000000002</v>
      </c>
      <c r="G5711" s="53">
        <f>IF(ISNUMBER(F5711),E5711*F5711,"")</f>
        <v>53.865000000000002</v>
      </c>
      <c r="H5711" s="38">
        <f>SUM(G5711:G5711)</f>
        <v>53.865000000000002</v>
      </c>
      <c r="I5711" s="39"/>
      <c r="J5711" s="152">
        <v>0</v>
      </c>
    </row>
    <row r="5712" spans="1:10" ht="15.75" hidden="1" thickBot="1" x14ac:dyDescent="0.3">
      <c r="A5712" s="172"/>
      <c r="B5712" s="175"/>
      <c r="C5712" s="54"/>
      <c r="D5712" s="155"/>
      <c r="E5712" s="65"/>
      <c r="F5712" s="75" t="s">
        <v>416</v>
      </c>
      <c r="G5712" s="75" t="str">
        <f>IF(ISNUMBER(F5712),E5712*F5712,"")</f>
        <v/>
      </c>
      <c r="H5712" s="76"/>
      <c r="I5712" s="73"/>
      <c r="J5712" s="152">
        <v>0</v>
      </c>
    </row>
    <row r="5713" spans="1:10" ht="15.75" hidden="1" thickBot="1" x14ac:dyDescent="0.3">
      <c r="A5713" s="170" t="s">
        <v>4392</v>
      </c>
      <c r="B5713" s="173" t="str">
        <f>INDEX(Orçamentária!A:B,MATCH(Composições!A5713,Orçamentária!A:A,0),2)</f>
        <v>Cobre nu 70 mm²</v>
      </c>
      <c r="C5713" s="40"/>
      <c r="D5713" s="25" t="s">
        <v>69</v>
      </c>
      <c r="E5713" s="26"/>
      <c r="F5713" s="48" t="s">
        <v>416</v>
      </c>
      <c r="G5713" s="27" t="str">
        <f>IF(ISNUMBER(F5713),E5713*F5713,"")</f>
        <v/>
      </c>
      <c r="H5713" s="28"/>
      <c r="I5713" s="29"/>
      <c r="J5713" s="152">
        <v>0</v>
      </c>
    </row>
    <row r="5714" spans="1:10" ht="15.75" hidden="1" thickBot="1" x14ac:dyDescent="0.3">
      <c r="A5714" s="171"/>
      <c r="B5714" s="174"/>
      <c r="C5714" s="31"/>
      <c r="D5714" s="31"/>
      <c r="E5714" s="32"/>
      <c r="F5714" s="53" t="s">
        <v>416</v>
      </c>
      <c r="G5714" s="53" t="str">
        <f>IF(ISNUMBER(F5714),E5714*F5714,"")</f>
        <v/>
      </c>
      <c r="H5714" s="72"/>
      <c r="I5714" s="73"/>
      <c r="J5714" s="152">
        <v>0</v>
      </c>
    </row>
    <row r="5715" spans="1:10" ht="15.75" hidden="1" thickBot="1" x14ac:dyDescent="0.3">
      <c r="A5715" s="171"/>
      <c r="B5715" s="174"/>
      <c r="C5715" s="35" t="s">
        <v>8029</v>
      </c>
      <c r="D5715" s="35" t="s">
        <v>385</v>
      </c>
      <c r="E5715" s="36">
        <v>1</v>
      </c>
      <c r="F5715" s="30">
        <v>71.155000000000001</v>
      </c>
      <c r="G5715" s="53">
        <f>IF(ISNUMBER(F5715),E5715*F5715,"")</f>
        <v>71.155000000000001</v>
      </c>
      <c r="H5715" s="38">
        <f>SUM(G5715:G5715)</f>
        <v>71.155000000000001</v>
      </c>
      <c r="I5715" s="39"/>
      <c r="J5715" s="152">
        <v>0</v>
      </c>
    </row>
    <row r="5716" spans="1:10" ht="15.75" hidden="1" thickBot="1" x14ac:dyDescent="0.3">
      <c r="A5716" s="172"/>
      <c r="B5716" s="175"/>
      <c r="C5716" s="54"/>
      <c r="D5716" s="155"/>
      <c r="E5716" s="65"/>
      <c r="F5716" s="75" t="s">
        <v>416</v>
      </c>
      <c r="G5716" s="75" t="str">
        <f>IF(ISNUMBER(F5716),E5716*F5716,"")</f>
        <v/>
      </c>
      <c r="H5716" s="76"/>
      <c r="I5716" s="73"/>
      <c r="J5716" s="152">
        <v>0</v>
      </c>
    </row>
    <row r="5717" spans="1:10" ht="15.75" hidden="1" thickBot="1" x14ac:dyDescent="0.3">
      <c r="A5717" s="170" t="s">
        <v>4596</v>
      </c>
      <c r="B5717" s="173" t="str">
        <f>INDEX(Orçamentária!A:B,MATCH(Composições!A5717,Orçamentária!A:A,0),2)</f>
        <v>Eletroduto de aço galvanizado de 3/4”</v>
      </c>
      <c r="C5717" s="40"/>
      <c r="D5717" s="25" t="s">
        <v>69</v>
      </c>
      <c r="E5717" s="26"/>
      <c r="F5717" s="48" t="s">
        <v>416</v>
      </c>
      <c r="G5717" s="27" t="str">
        <f>IF(ISNUMBER(F5717),E5717*F5717,"")</f>
        <v/>
      </c>
      <c r="H5717" s="28"/>
      <c r="I5717" s="29"/>
      <c r="J5717" s="152">
        <v>0</v>
      </c>
    </row>
    <row r="5718" spans="1:10" ht="15.75" hidden="1" thickBot="1" x14ac:dyDescent="0.3">
      <c r="A5718" s="171"/>
      <c r="B5718" s="174"/>
      <c r="C5718" s="31"/>
      <c r="D5718" s="31"/>
      <c r="E5718" s="32"/>
      <c r="F5718" s="53" t="s">
        <v>416</v>
      </c>
      <c r="G5718" s="53" t="str">
        <f>IF(ISNUMBER(F5718),E5718*F5718,"")</f>
        <v/>
      </c>
      <c r="H5718" s="72"/>
      <c r="I5718" s="73"/>
      <c r="J5718" s="152">
        <v>0</v>
      </c>
    </row>
    <row r="5719" spans="1:10" ht="26.25" hidden="1" thickBot="1" x14ac:dyDescent="0.3">
      <c r="A5719" s="171"/>
      <c r="B5719" s="174"/>
      <c r="C5719" s="35" t="s">
        <v>5524</v>
      </c>
      <c r="D5719" s="35" t="s">
        <v>69</v>
      </c>
      <c r="E5719" s="36">
        <v>1</v>
      </c>
      <c r="F5719" s="30">
        <v>0</v>
      </c>
      <c r="G5719" s="53">
        <f>IF(ISNUMBER(F5719),E5719*F5719,"")</f>
        <v>0</v>
      </c>
      <c r="H5719" s="38">
        <f>SUM(G5719:G5719)</f>
        <v>0</v>
      </c>
      <c r="I5719" s="39"/>
      <c r="J5719" s="152">
        <v>0</v>
      </c>
    </row>
    <row r="5720" spans="1:10" ht="15.75" hidden="1" thickBot="1" x14ac:dyDescent="0.3">
      <c r="A5720" s="172"/>
      <c r="B5720" s="175"/>
      <c r="C5720" s="54"/>
      <c r="D5720" s="155"/>
      <c r="E5720" s="65"/>
      <c r="F5720" s="75" t="s">
        <v>416</v>
      </c>
      <c r="G5720" s="75" t="str">
        <f>IF(ISNUMBER(F5720),E5720*F5720,"")</f>
        <v/>
      </c>
      <c r="H5720" s="76"/>
      <c r="I5720" s="73"/>
      <c r="J5720" s="152">
        <v>0</v>
      </c>
    </row>
    <row r="5721" spans="1:10" ht="15.75" hidden="1" thickBot="1" x14ac:dyDescent="0.3">
      <c r="A5721" s="170" t="s">
        <v>4597</v>
      </c>
      <c r="B5721" s="173" t="str">
        <f>INDEX(Orçamentária!A:B,MATCH(Composições!A5721,Orçamentária!A:A,0),2)</f>
        <v>Eletroduto de aço galvanizado de 1”</v>
      </c>
      <c r="C5721" s="40"/>
      <c r="D5721" s="25" t="s">
        <v>69</v>
      </c>
      <c r="E5721" s="26"/>
      <c r="F5721" s="48" t="s">
        <v>416</v>
      </c>
      <c r="G5721" s="27" t="str">
        <f>IF(ISNUMBER(F5721),E5721*F5721,"")</f>
        <v/>
      </c>
      <c r="H5721" s="28"/>
      <c r="I5721" s="29"/>
      <c r="J5721" s="152">
        <v>0</v>
      </c>
    </row>
    <row r="5722" spans="1:10" ht="15.75" hidden="1" thickBot="1" x14ac:dyDescent="0.3">
      <c r="A5722" s="171"/>
      <c r="B5722" s="174"/>
      <c r="C5722" s="31"/>
      <c r="D5722" s="31"/>
      <c r="E5722" s="32"/>
      <c r="F5722" s="53" t="s">
        <v>416</v>
      </c>
      <c r="G5722" s="53" t="str">
        <f>IF(ISNUMBER(F5722),E5722*F5722,"")</f>
        <v/>
      </c>
      <c r="H5722" s="72"/>
      <c r="I5722" s="73"/>
      <c r="J5722" s="152">
        <v>0</v>
      </c>
    </row>
    <row r="5723" spans="1:10" ht="26.25" hidden="1" thickBot="1" x14ac:dyDescent="0.3">
      <c r="A5723" s="171"/>
      <c r="B5723" s="174"/>
      <c r="C5723" s="35" t="s">
        <v>5525</v>
      </c>
      <c r="D5723" s="35" t="s">
        <v>69</v>
      </c>
      <c r="E5723" s="36">
        <v>1</v>
      </c>
      <c r="F5723" s="30">
        <v>0</v>
      </c>
      <c r="G5723" s="53">
        <f>IF(ISNUMBER(F5723),E5723*F5723,"")</f>
        <v>0</v>
      </c>
      <c r="H5723" s="38">
        <f>SUM(G5723:G5723)</f>
        <v>0</v>
      </c>
      <c r="I5723" s="39"/>
      <c r="J5723" s="152">
        <v>0</v>
      </c>
    </row>
    <row r="5724" spans="1:10" ht="15.75" hidden="1" thickBot="1" x14ac:dyDescent="0.3">
      <c r="A5724" s="172"/>
      <c r="B5724" s="175"/>
      <c r="C5724" s="54"/>
      <c r="D5724" s="155"/>
      <c r="E5724" s="65"/>
      <c r="F5724" s="75" t="s">
        <v>416</v>
      </c>
      <c r="G5724" s="75" t="str">
        <f>IF(ISNUMBER(F5724),E5724*F5724,"")</f>
        <v/>
      </c>
      <c r="H5724" s="76"/>
      <c r="I5724" s="73"/>
      <c r="J5724" s="152">
        <v>0</v>
      </c>
    </row>
    <row r="5725" spans="1:10" ht="15.75" hidden="1" thickBot="1" x14ac:dyDescent="0.3">
      <c r="A5725" s="170" t="s">
        <v>4598</v>
      </c>
      <c r="B5725" s="173" t="str">
        <f>INDEX(Orçamentária!A:B,MATCH(Composições!A5725,Orçamentária!A:A,0),2)</f>
        <v>Eletroduto de aço galvanizado de 1 1/4”</v>
      </c>
      <c r="C5725" s="40"/>
      <c r="D5725" s="25" t="s">
        <v>69</v>
      </c>
      <c r="E5725" s="26"/>
      <c r="F5725" s="48" t="s">
        <v>416</v>
      </c>
      <c r="G5725" s="27" t="str">
        <f>IF(ISNUMBER(F5725),E5725*F5725,"")</f>
        <v/>
      </c>
      <c r="H5725" s="28"/>
      <c r="I5725" s="29"/>
      <c r="J5725" s="152">
        <v>0</v>
      </c>
    </row>
    <row r="5726" spans="1:10" ht="15.75" hidden="1" thickBot="1" x14ac:dyDescent="0.3">
      <c r="A5726" s="171"/>
      <c r="B5726" s="174"/>
      <c r="C5726" s="31"/>
      <c r="D5726" s="31"/>
      <c r="E5726" s="32"/>
      <c r="F5726" s="53" t="s">
        <v>416</v>
      </c>
      <c r="G5726" s="53" t="str">
        <f>IF(ISNUMBER(F5726),E5726*F5726,"")</f>
        <v/>
      </c>
      <c r="H5726" s="72"/>
      <c r="I5726" s="73"/>
      <c r="J5726" s="152">
        <v>0</v>
      </c>
    </row>
    <row r="5727" spans="1:10" ht="26.25" hidden="1" thickBot="1" x14ac:dyDescent="0.3">
      <c r="A5727" s="171"/>
      <c r="B5727" s="174"/>
      <c r="C5727" s="35" t="s">
        <v>5526</v>
      </c>
      <c r="D5727" s="35" t="s">
        <v>69</v>
      </c>
      <c r="E5727" s="36">
        <v>1</v>
      </c>
      <c r="F5727" s="30">
        <v>0</v>
      </c>
      <c r="G5727" s="53">
        <f>IF(ISNUMBER(F5727),E5727*F5727,"")</f>
        <v>0</v>
      </c>
      <c r="H5727" s="38">
        <f>SUM(G5727:G5727)</f>
        <v>0</v>
      </c>
      <c r="I5727" s="39"/>
      <c r="J5727" s="152">
        <v>0</v>
      </c>
    </row>
    <row r="5728" spans="1:10" ht="15.75" hidden="1" thickBot="1" x14ac:dyDescent="0.3">
      <c r="A5728" s="172"/>
      <c r="B5728" s="175"/>
      <c r="C5728" s="54"/>
      <c r="D5728" s="155"/>
      <c r="E5728" s="65"/>
      <c r="F5728" s="75" t="s">
        <v>416</v>
      </c>
      <c r="G5728" s="75" t="str">
        <f>IF(ISNUMBER(F5728),E5728*F5728,"")</f>
        <v/>
      </c>
      <c r="H5728" s="76"/>
      <c r="I5728" s="73"/>
      <c r="J5728" s="152">
        <v>0</v>
      </c>
    </row>
    <row r="5729" spans="1:10" ht="15.75" hidden="1" thickBot="1" x14ac:dyDescent="0.3">
      <c r="A5729" s="170" t="s">
        <v>4599</v>
      </c>
      <c r="B5729" s="173" t="str">
        <f>INDEX(Orçamentária!A:B,MATCH(Composições!A5729,Orçamentária!A:A,0),2)</f>
        <v>Eletroduto de aço galvanizado de 1 1/2”</v>
      </c>
      <c r="C5729" s="40"/>
      <c r="D5729" s="25" t="s">
        <v>69</v>
      </c>
      <c r="E5729" s="26"/>
      <c r="F5729" s="48" t="s">
        <v>416</v>
      </c>
      <c r="G5729" s="27" t="str">
        <f>IF(ISNUMBER(F5729),E5729*F5729,"")</f>
        <v/>
      </c>
      <c r="H5729" s="28"/>
      <c r="I5729" s="29"/>
      <c r="J5729" s="152">
        <v>0</v>
      </c>
    </row>
    <row r="5730" spans="1:10" ht="15.75" hidden="1" thickBot="1" x14ac:dyDescent="0.3">
      <c r="A5730" s="171"/>
      <c r="B5730" s="174"/>
      <c r="C5730" s="31"/>
      <c r="D5730" s="31"/>
      <c r="E5730" s="32"/>
      <c r="F5730" s="53" t="s">
        <v>416</v>
      </c>
      <c r="G5730" s="53" t="str">
        <f>IF(ISNUMBER(F5730),E5730*F5730,"")</f>
        <v/>
      </c>
      <c r="H5730" s="72"/>
      <c r="I5730" s="73"/>
      <c r="J5730" s="152">
        <v>0</v>
      </c>
    </row>
    <row r="5731" spans="1:10" ht="26.25" hidden="1" thickBot="1" x14ac:dyDescent="0.3">
      <c r="A5731" s="171"/>
      <c r="B5731" s="174"/>
      <c r="C5731" s="35" t="s">
        <v>5527</v>
      </c>
      <c r="D5731" s="35" t="s">
        <v>69</v>
      </c>
      <c r="E5731" s="36">
        <v>1</v>
      </c>
      <c r="F5731" s="30">
        <v>0</v>
      </c>
      <c r="G5731" s="53">
        <f>IF(ISNUMBER(F5731),E5731*F5731,"")</f>
        <v>0</v>
      </c>
      <c r="H5731" s="38">
        <f>SUM(G5731:G5731)</f>
        <v>0</v>
      </c>
      <c r="I5731" s="39"/>
      <c r="J5731" s="152">
        <v>0</v>
      </c>
    </row>
    <row r="5732" spans="1:10" ht="15.75" hidden="1" thickBot="1" x14ac:dyDescent="0.3">
      <c r="A5732" s="172"/>
      <c r="B5732" s="175"/>
      <c r="C5732" s="54"/>
      <c r="D5732" s="155"/>
      <c r="E5732" s="65"/>
      <c r="F5732" s="75" t="s">
        <v>416</v>
      </c>
      <c r="G5732" s="75" t="str">
        <f>IF(ISNUMBER(F5732),E5732*F5732,"")</f>
        <v/>
      </c>
      <c r="H5732" s="76"/>
      <c r="I5732" s="73"/>
      <c r="J5732" s="152">
        <v>0</v>
      </c>
    </row>
    <row r="5733" spans="1:10" ht="15.75" hidden="1" thickBot="1" x14ac:dyDescent="0.3">
      <c r="A5733" s="170" t="s">
        <v>4600</v>
      </c>
      <c r="B5733" s="173" t="str">
        <f>INDEX(Orçamentária!A:B,MATCH(Composições!A5733,Orçamentária!A:A,0),2)</f>
        <v>Eletroduto de aço galvanizado de 2”</v>
      </c>
      <c r="C5733" s="40"/>
      <c r="D5733" s="25" t="s">
        <v>69</v>
      </c>
      <c r="E5733" s="26"/>
      <c r="F5733" s="48" t="s">
        <v>416</v>
      </c>
      <c r="G5733" s="27" t="str">
        <f>IF(ISNUMBER(F5733),E5733*F5733,"")</f>
        <v/>
      </c>
      <c r="H5733" s="28"/>
      <c r="I5733" s="29"/>
      <c r="J5733" s="152">
        <v>0</v>
      </c>
    </row>
    <row r="5734" spans="1:10" ht="15.75" hidden="1" thickBot="1" x14ac:dyDescent="0.3">
      <c r="A5734" s="171"/>
      <c r="B5734" s="174"/>
      <c r="C5734" s="31"/>
      <c r="D5734" s="31"/>
      <c r="E5734" s="32"/>
      <c r="F5734" s="53" t="s">
        <v>416</v>
      </c>
      <c r="G5734" s="53" t="str">
        <f>IF(ISNUMBER(F5734),E5734*F5734,"")</f>
        <v/>
      </c>
      <c r="H5734" s="72"/>
      <c r="I5734" s="73"/>
      <c r="J5734" s="152">
        <v>0</v>
      </c>
    </row>
    <row r="5735" spans="1:10" ht="26.25" hidden="1" thickBot="1" x14ac:dyDescent="0.3">
      <c r="A5735" s="171"/>
      <c r="B5735" s="174"/>
      <c r="C5735" s="35" t="s">
        <v>5528</v>
      </c>
      <c r="D5735" s="35" t="s">
        <v>69</v>
      </c>
      <c r="E5735" s="36">
        <v>1</v>
      </c>
      <c r="F5735" s="30">
        <v>0</v>
      </c>
      <c r="G5735" s="53">
        <f>IF(ISNUMBER(F5735),E5735*F5735,"")</f>
        <v>0</v>
      </c>
      <c r="H5735" s="38">
        <f>SUM(G5735:G5735)</f>
        <v>0</v>
      </c>
      <c r="I5735" s="39"/>
      <c r="J5735" s="152">
        <v>0</v>
      </c>
    </row>
    <row r="5736" spans="1:10" ht="15.75" hidden="1" thickBot="1" x14ac:dyDescent="0.3">
      <c r="A5736" s="172"/>
      <c r="B5736" s="175"/>
      <c r="C5736" s="54"/>
      <c r="D5736" s="155"/>
      <c r="E5736" s="65"/>
      <c r="F5736" s="75" t="s">
        <v>416</v>
      </c>
      <c r="G5736" s="75" t="str">
        <f>IF(ISNUMBER(F5736),E5736*F5736,"")</f>
        <v/>
      </c>
      <c r="H5736" s="76"/>
      <c r="I5736" s="73"/>
      <c r="J5736" s="152">
        <v>0</v>
      </c>
    </row>
    <row r="5737" spans="1:10" ht="15.75" hidden="1" thickBot="1" x14ac:dyDescent="0.3">
      <c r="A5737" s="170" t="s">
        <v>4601</v>
      </c>
      <c r="B5737" s="173" t="str">
        <f>INDEX(Orçamentária!A:B,MATCH(Composições!A5737,Orçamentária!A:A,0),2)</f>
        <v>Eletroduto de aço galvanizado de 2 1/2”</v>
      </c>
      <c r="C5737" s="40"/>
      <c r="D5737" s="25" t="s">
        <v>69</v>
      </c>
      <c r="E5737" s="26"/>
      <c r="F5737" s="48" t="s">
        <v>416</v>
      </c>
      <c r="G5737" s="27" t="str">
        <f>IF(ISNUMBER(F5737),E5737*F5737,"")</f>
        <v/>
      </c>
      <c r="H5737" s="28"/>
      <c r="I5737" s="29"/>
      <c r="J5737" s="152">
        <v>0</v>
      </c>
    </row>
    <row r="5738" spans="1:10" ht="15.75" hidden="1" thickBot="1" x14ac:dyDescent="0.3">
      <c r="A5738" s="171"/>
      <c r="B5738" s="174"/>
      <c r="C5738" s="31"/>
      <c r="D5738" s="31"/>
      <c r="E5738" s="32"/>
      <c r="F5738" s="53" t="s">
        <v>416</v>
      </c>
      <c r="G5738" s="53" t="str">
        <f>IF(ISNUMBER(F5738),E5738*F5738,"")</f>
        <v/>
      </c>
      <c r="H5738" s="72"/>
      <c r="I5738" s="73"/>
      <c r="J5738" s="152">
        <v>0</v>
      </c>
    </row>
    <row r="5739" spans="1:10" ht="26.25" hidden="1" thickBot="1" x14ac:dyDescent="0.3">
      <c r="A5739" s="171"/>
      <c r="B5739" s="174"/>
      <c r="C5739" s="35" t="s">
        <v>5529</v>
      </c>
      <c r="D5739" s="35" t="s">
        <v>69</v>
      </c>
      <c r="E5739" s="36">
        <v>1</v>
      </c>
      <c r="F5739" s="30">
        <v>0</v>
      </c>
      <c r="G5739" s="53">
        <f>IF(ISNUMBER(F5739),E5739*F5739,"")</f>
        <v>0</v>
      </c>
      <c r="H5739" s="38">
        <f>SUM(G5739:G5739)</f>
        <v>0</v>
      </c>
      <c r="I5739" s="39"/>
      <c r="J5739" s="152">
        <v>0</v>
      </c>
    </row>
    <row r="5740" spans="1:10" ht="15.75" hidden="1" thickBot="1" x14ac:dyDescent="0.3">
      <c r="A5740" s="172"/>
      <c r="B5740" s="175"/>
      <c r="C5740" s="54"/>
      <c r="D5740" s="155"/>
      <c r="E5740" s="65"/>
      <c r="F5740" s="75" t="s">
        <v>416</v>
      </c>
      <c r="G5740" s="75" t="str">
        <f>IF(ISNUMBER(F5740),E5740*F5740,"")</f>
        <v/>
      </c>
      <c r="H5740" s="76"/>
      <c r="I5740" s="73"/>
      <c r="J5740" s="152">
        <v>0</v>
      </c>
    </row>
    <row r="5741" spans="1:10" ht="15.75" hidden="1" thickBot="1" x14ac:dyDescent="0.3">
      <c r="A5741" s="170" t="s">
        <v>4602</v>
      </c>
      <c r="B5741" s="173" t="str">
        <f>INDEX(Orçamentária!A:B,MATCH(Composições!A5741,Orçamentária!A:A,0),2)</f>
        <v xml:space="preserve">Eletroduto de aço galvanizado de 3” </v>
      </c>
      <c r="C5741" s="40"/>
      <c r="D5741" s="25" t="s">
        <v>69</v>
      </c>
      <c r="E5741" s="26"/>
      <c r="F5741" s="48" t="s">
        <v>416</v>
      </c>
      <c r="G5741" s="27" t="str">
        <f>IF(ISNUMBER(F5741),E5741*F5741,"")</f>
        <v/>
      </c>
      <c r="H5741" s="28"/>
      <c r="I5741" s="29"/>
      <c r="J5741" s="152">
        <v>0</v>
      </c>
    </row>
    <row r="5742" spans="1:10" ht="15.75" hidden="1" thickBot="1" x14ac:dyDescent="0.3">
      <c r="A5742" s="171"/>
      <c r="B5742" s="174"/>
      <c r="C5742" s="31"/>
      <c r="D5742" s="31"/>
      <c r="E5742" s="32"/>
      <c r="F5742" s="53" t="s">
        <v>416</v>
      </c>
      <c r="G5742" s="53" t="str">
        <f>IF(ISNUMBER(F5742),E5742*F5742,"")</f>
        <v/>
      </c>
      <c r="H5742" s="72"/>
      <c r="I5742" s="73"/>
      <c r="J5742" s="152">
        <v>0</v>
      </c>
    </row>
    <row r="5743" spans="1:10" ht="26.25" hidden="1" thickBot="1" x14ac:dyDescent="0.3">
      <c r="A5743" s="171"/>
      <c r="B5743" s="174"/>
      <c r="C5743" s="35" t="s">
        <v>5530</v>
      </c>
      <c r="D5743" s="35" t="s">
        <v>69</v>
      </c>
      <c r="E5743" s="36">
        <v>1</v>
      </c>
      <c r="F5743" s="30">
        <v>0</v>
      </c>
      <c r="G5743" s="53">
        <f>IF(ISNUMBER(F5743),E5743*F5743,"")</f>
        <v>0</v>
      </c>
      <c r="H5743" s="38">
        <f>SUM(G5743:G5743)</f>
        <v>0</v>
      </c>
      <c r="I5743" s="39"/>
      <c r="J5743" s="152">
        <v>0</v>
      </c>
    </row>
    <row r="5744" spans="1:10" ht="15.75" hidden="1" thickBot="1" x14ac:dyDescent="0.3">
      <c r="A5744" s="172"/>
      <c r="B5744" s="175"/>
      <c r="C5744" s="54"/>
      <c r="D5744" s="155"/>
      <c r="E5744" s="65"/>
      <c r="F5744" s="75" t="s">
        <v>416</v>
      </c>
      <c r="G5744" s="75" t="str">
        <f>IF(ISNUMBER(F5744),E5744*F5744,"")</f>
        <v/>
      </c>
      <c r="H5744" s="76"/>
      <c r="I5744" s="73"/>
      <c r="J5744" s="152">
        <v>0</v>
      </c>
    </row>
    <row r="5745" spans="1:10" ht="15.75" hidden="1" thickBot="1" x14ac:dyDescent="0.3">
      <c r="A5745" s="170" t="s">
        <v>4603</v>
      </c>
      <c r="B5745" s="173" t="str">
        <f>INDEX(Orçamentária!A:B,MATCH(Composições!A5745,Orçamentária!A:A,0),2)</f>
        <v>Eletroduto de aço galvanizado de 4”</v>
      </c>
      <c r="C5745" s="40"/>
      <c r="D5745" s="25" t="s">
        <v>69</v>
      </c>
      <c r="E5745" s="26"/>
      <c r="F5745" s="48" t="s">
        <v>416</v>
      </c>
      <c r="G5745" s="27" t="str">
        <f>IF(ISNUMBER(F5745),E5745*F5745,"")</f>
        <v/>
      </c>
      <c r="H5745" s="28"/>
      <c r="I5745" s="29"/>
      <c r="J5745" s="152">
        <v>0</v>
      </c>
    </row>
    <row r="5746" spans="1:10" ht="15.75" hidden="1" thickBot="1" x14ac:dyDescent="0.3">
      <c r="A5746" s="171"/>
      <c r="B5746" s="174"/>
      <c r="C5746" s="31"/>
      <c r="D5746" s="31"/>
      <c r="E5746" s="32"/>
      <c r="F5746" s="53" t="s">
        <v>416</v>
      </c>
      <c r="G5746" s="53" t="str">
        <f>IF(ISNUMBER(F5746),E5746*F5746,"")</f>
        <v/>
      </c>
      <c r="H5746" s="72"/>
      <c r="I5746" s="73"/>
      <c r="J5746" s="152">
        <v>0</v>
      </c>
    </row>
    <row r="5747" spans="1:10" ht="26.25" hidden="1" thickBot="1" x14ac:dyDescent="0.3">
      <c r="A5747" s="171"/>
      <c r="B5747" s="174"/>
      <c r="C5747" s="35" t="s">
        <v>5531</v>
      </c>
      <c r="D5747" s="35" t="s">
        <v>107</v>
      </c>
      <c r="E5747" s="36">
        <v>1</v>
      </c>
      <c r="F5747" s="30">
        <v>0</v>
      </c>
      <c r="G5747" s="53">
        <f>IF(ISNUMBER(F5747),E5747*F5747,"")</f>
        <v>0</v>
      </c>
      <c r="H5747" s="38">
        <f>SUM(G5747:G5747)</f>
        <v>0</v>
      </c>
      <c r="I5747" s="39"/>
      <c r="J5747" s="152">
        <v>0</v>
      </c>
    </row>
    <row r="5748" spans="1:10" ht="15.75" hidden="1" thickBot="1" x14ac:dyDescent="0.3">
      <c r="A5748" s="172"/>
      <c r="B5748" s="175"/>
      <c r="C5748" s="54"/>
      <c r="D5748" s="155"/>
      <c r="E5748" s="65"/>
      <c r="F5748" s="75" t="s">
        <v>416</v>
      </c>
      <c r="G5748" s="75" t="str">
        <f>IF(ISNUMBER(F5748),E5748*F5748,"")</f>
        <v/>
      </c>
      <c r="H5748" s="76"/>
      <c r="I5748" s="73"/>
      <c r="J5748" s="152">
        <v>0</v>
      </c>
    </row>
    <row r="5749" spans="1:10" ht="15.75" hidden="1" thickBot="1" x14ac:dyDescent="0.3">
      <c r="A5749" s="170" t="s">
        <v>4613</v>
      </c>
      <c r="B5749" s="173" t="str">
        <f>INDEX(Orçamentária!A:B,MATCH(Composições!A5749,Orçamentária!A:A,0),2)</f>
        <v>Luva para eletroduto 1/2”</v>
      </c>
      <c r="C5749" s="40"/>
      <c r="D5749" s="25" t="s">
        <v>16</v>
      </c>
      <c r="E5749" s="26"/>
      <c r="F5749" s="48" t="s">
        <v>416</v>
      </c>
      <c r="G5749" s="27" t="str">
        <f>IF(ISNUMBER(F5749),E5749*F5749,"")</f>
        <v/>
      </c>
      <c r="H5749" s="28"/>
      <c r="I5749" s="29"/>
      <c r="J5749" s="152">
        <v>0</v>
      </c>
    </row>
    <row r="5750" spans="1:10" ht="15.75" hidden="1" thickBot="1" x14ac:dyDescent="0.3">
      <c r="A5750" s="171"/>
      <c r="B5750" s="174"/>
      <c r="C5750" s="31"/>
      <c r="D5750" s="31"/>
      <c r="E5750" s="32"/>
      <c r="F5750" s="53" t="s">
        <v>416</v>
      </c>
      <c r="G5750" s="53" t="str">
        <f>IF(ISNUMBER(F5750),E5750*F5750,"")</f>
        <v/>
      </c>
      <c r="H5750" s="72"/>
      <c r="I5750" s="73"/>
      <c r="J5750" s="152">
        <v>0</v>
      </c>
    </row>
    <row r="5751" spans="1:10" ht="26.25" hidden="1" thickBot="1" x14ac:dyDescent="0.3">
      <c r="A5751" s="171"/>
      <c r="B5751" s="174"/>
      <c r="C5751" s="35" t="s">
        <v>8260</v>
      </c>
      <c r="D5751" s="35" t="s">
        <v>213</v>
      </c>
      <c r="E5751" s="36">
        <v>1</v>
      </c>
      <c r="F5751" s="30">
        <v>1.6435</v>
      </c>
      <c r="G5751" s="53">
        <f>IF(ISNUMBER(F5751),E5751*F5751,"")</f>
        <v>1.6435</v>
      </c>
      <c r="H5751" s="38">
        <f>SUM(G5751:G5751)</f>
        <v>1.6435</v>
      </c>
      <c r="I5751" s="39"/>
      <c r="J5751" s="152">
        <v>0</v>
      </c>
    </row>
    <row r="5752" spans="1:10" ht="15.75" hidden="1" thickBot="1" x14ac:dyDescent="0.3">
      <c r="A5752" s="172"/>
      <c r="B5752" s="175"/>
      <c r="C5752" s="54"/>
      <c r="D5752" s="155"/>
      <c r="E5752" s="65"/>
      <c r="F5752" s="75" t="s">
        <v>416</v>
      </c>
      <c r="G5752" s="75" t="str">
        <f>IF(ISNUMBER(F5752),E5752*F5752,"")</f>
        <v/>
      </c>
      <c r="H5752" s="76"/>
      <c r="I5752" s="73"/>
      <c r="J5752" s="152">
        <v>0</v>
      </c>
    </row>
    <row r="5753" spans="1:10" ht="15.75" hidden="1" thickBot="1" x14ac:dyDescent="0.3">
      <c r="A5753" s="170" t="s">
        <v>4615</v>
      </c>
      <c r="B5753" s="173" t="str">
        <f>INDEX(Orçamentária!A:B,MATCH(Composições!A5753,Orçamentária!A:A,0),2)</f>
        <v>Curva para eletroduto 1/2”</v>
      </c>
      <c r="C5753" s="40"/>
      <c r="D5753" s="25" t="s">
        <v>16</v>
      </c>
      <c r="E5753" s="26"/>
      <c r="F5753" s="48" t="s">
        <v>416</v>
      </c>
      <c r="G5753" s="27" t="str">
        <f>IF(ISNUMBER(F5753),E5753*F5753,"")</f>
        <v/>
      </c>
      <c r="H5753" s="28"/>
      <c r="I5753" s="29"/>
      <c r="J5753" s="152">
        <v>0</v>
      </c>
    </row>
    <row r="5754" spans="1:10" ht="15.75" hidden="1" thickBot="1" x14ac:dyDescent="0.3">
      <c r="A5754" s="171"/>
      <c r="B5754" s="174"/>
      <c r="C5754" s="31"/>
      <c r="D5754" s="31"/>
      <c r="E5754" s="32"/>
      <c r="F5754" s="53" t="s">
        <v>416</v>
      </c>
      <c r="G5754" s="53" t="str">
        <f>IF(ISNUMBER(F5754),E5754*F5754,"")</f>
        <v/>
      </c>
      <c r="H5754" s="72"/>
      <c r="I5754" s="73"/>
      <c r="J5754" s="152">
        <v>0</v>
      </c>
    </row>
    <row r="5755" spans="1:10" ht="26.25" hidden="1" thickBot="1" x14ac:dyDescent="0.3">
      <c r="A5755" s="171"/>
      <c r="B5755" s="174"/>
      <c r="C5755" s="35" t="s">
        <v>8126</v>
      </c>
      <c r="D5755" s="35" t="s">
        <v>213</v>
      </c>
      <c r="E5755" s="36">
        <v>1</v>
      </c>
      <c r="F5755" s="30">
        <v>4.1040000000000001</v>
      </c>
      <c r="G5755" s="53">
        <f>IF(ISNUMBER(F5755),E5755*F5755,"")</f>
        <v>4.1040000000000001</v>
      </c>
      <c r="H5755" s="38">
        <f>SUM(G5755:G5755)</f>
        <v>4.1040000000000001</v>
      </c>
      <c r="I5755" s="39"/>
      <c r="J5755" s="152">
        <v>0</v>
      </c>
    </row>
    <row r="5756" spans="1:10" ht="15.75" hidden="1" thickBot="1" x14ac:dyDescent="0.3">
      <c r="A5756" s="172"/>
      <c r="B5756" s="175"/>
      <c r="C5756" s="54"/>
      <c r="D5756" s="155"/>
      <c r="E5756" s="65"/>
      <c r="F5756" s="75" t="s">
        <v>416</v>
      </c>
      <c r="G5756" s="75" t="str">
        <f>IF(ISNUMBER(F5756),E5756*F5756,"")</f>
        <v/>
      </c>
      <c r="H5756" s="76"/>
      <c r="I5756" s="73"/>
      <c r="J5756" s="152">
        <v>0</v>
      </c>
    </row>
    <row r="5757" spans="1:10" ht="15.75" hidden="1" thickBot="1" x14ac:dyDescent="0.3">
      <c r="A5757" s="170" t="s">
        <v>4616</v>
      </c>
      <c r="B5757" s="173" t="str">
        <f>INDEX(Orçamentária!A:B,MATCH(Composições!A5757,Orçamentária!A:A,0),2)</f>
        <v>Conector reto para eletroduto 3/4”</v>
      </c>
      <c r="C5757" s="40"/>
      <c r="D5757" s="25" t="s">
        <v>16</v>
      </c>
      <c r="E5757" s="26"/>
      <c r="F5757" s="48" t="s">
        <v>416</v>
      </c>
      <c r="G5757" s="27" t="str">
        <f>IF(ISNUMBER(F5757),E5757*F5757,"")</f>
        <v/>
      </c>
      <c r="H5757" s="28"/>
      <c r="I5757" s="29"/>
      <c r="J5757" s="152">
        <v>0</v>
      </c>
    </row>
    <row r="5758" spans="1:10" ht="15.75" hidden="1" thickBot="1" x14ac:dyDescent="0.3">
      <c r="A5758" s="171"/>
      <c r="B5758" s="174"/>
      <c r="C5758" s="31"/>
      <c r="D5758" s="31"/>
      <c r="E5758" s="32"/>
      <c r="F5758" s="53" t="s">
        <v>416</v>
      </c>
      <c r="G5758" s="53" t="str">
        <f>IF(ISNUMBER(F5758),E5758*F5758,"")</f>
        <v/>
      </c>
      <c r="H5758" s="72"/>
      <c r="I5758" s="73"/>
      <c r="J5758" s="152">
        <v>0</v>
      </c>
    </row>
    <row r="5759" spans="1:10" ht="39" hidden="1" thickBot="1" x14ac:dyDescent="0.3">
      <c r="A5759" s="171"/>
      <c r="B5759" s="174"/>
      <c r="C5759" s="35" t="s">
        <v>8095</v>
      </c>
      <c r="D5759" s="35" t="s">
        <v>213</v>
      </c>
      <c r="E5759" s="36">
        <v>1</v>
      </c>
      <c r="F5759" s="30">
        <v>1.7859999999999998</v>
      </c>
      <c r="G5759" s="53">
        <f>IF(ISNUMBER(F5759),E5759*F5759,"")</f>
        <v>1.7859999999999998</v>
      </c>
      <c r="H5759" s="38">
        <f>SUM(G5759:G5759)</f>
        <v>1.7859999999999998</v>
      </c>
      <c r="I5759" s="39"/>
      <c r="J5759" s="152">
        <v>0</v>
      </c>
    </row>
    <row r="5760" spans="1:10" ht="15.75" hidden="1" thickBot="1" x14ac:dyDescent="0.3">
      <c r="A5760" s="172"/>
      <c r="B5760" s="175"/>
      <c r="C5760" s="54"/>
      <c r="D5760" s="155"/>
      <c r="E5760" s="65"/>
      <c r="F5760" s="75" t="s">
        <v>416</v>
      </c>
      <c r="G5760" s="75" t="str">
        <f>IF(ISNUMBER(F5760),E5760*F5760,"")</f>
        <v/>
      </c>
      <c r="H5760" s="76"/>
      <c r="I5760" s="73"/>
      <c r="J5760" s="152">
        <v>0</v>
      </c>
    </row>
    <row r="5761" spans="1:10" ht="15.75" hidden="1" thickBot="1" x14ac:dyDescent="0.3">
      <c r="A5761" s="170" t="s">
        <v>4617</v>
      </c>
      <c r="B5761" s="173" t="str">
        <f>INDEX(Orçamentária!A:B,MATCH(Composições!A5761,Orçamentária!A:A,0),2)</f>
        <v>Conector curvo para eletroduto 3/4”</v>
      </c>
      <c r="C5761" s="40"/>
      <c r="D5761" s="25" t="s">
        <v>16</v>
      </c>
      <c r="E5761" s="26"/>
      <c r="F5761" s="48" t="s">
        <v>416</v>
      </c>
      <c r="G5761" s="27" t="str">
        <f>IF(ISNUMBER(F5761),E5761*F5761,"")</f>
        <v/>
      </c>
      <c r="H5761" s="28"/>
      <c r="I5761" s="29"/>
      <c r="J5761" s="152">
        <v>0</v>
      </c>
    </row>
    <row r="5762" spans="1:10" ht="15.75" hidden="1" thickBot="1" x14ac:dyDescent="0.3">
      <c r="A5762" s="171"/>
      <c r="B5762" s="174"/>
      <c r="C5762" s="31"/>
      <c r="D5762" s="31"/>
      <c r="E5762" s="32"/>
      <c r="F5762" s="53" t="s">
        <v>416</v>
      </c>
      <c r="G5762" s="53" t="str">
        <f>IF(ISNUMBER(F5762),E5762*F5762,"")</f>
        <v/>
      </c>
      <c r="H5762" s="72"/>
      <c r="I5762" s="73"/>
      <c r="J5762" s="152">
        <v>0</v>
      </c>
    </row>
    <row r="5763" spans="1:10" ht="39" hidden="1" thickBot="1" x14ac:dyDescent="0.3">
      <c r="A5763" s="171"/>
      <c r="B5763" s="174"/>
      <c r="C5763" s="35" t="s">
        <v>8088</v>
      </c>
      <c r="D5763" s="35" t="s">
        <v>213</v>
      </c>
      <c r="E5763" s="36">
        <v>1</v>
      </c>
      <c r="F5763" s="30">
        <v>8.4169999999999998</v>
      </c>
      <c r="G5763" s="53">
        <f>IF(ISNUMBER(F5763),E5763*F5763,"")</f>
        <v>8.4169999999999998</v>
      </c>
      <c r="H5763" s="38">
        <f>SUM(G5763:G5763)</f>
        <v>8.4169999999999998</v>
      </c>
      <c r="I5763" s="39"/>
      <c r="J5763" s="152">
        <v>0</v>
      </c>
    </row>
    <row r="5764" spans="1:10" ht="15.75" hidden="1" thickBot="1" x14ac:dyDescent="0.3">
      <c r="A5764" s="172"/>
      <c r="B5764" s="175"/>
      <c r="C5764" s="54"/>
      <c r="D5764" s="155"/>
      <c r="E5764" s="65"/>
      <c r="F5764" s="75" t="s">
        <v>416</v>
      </c>
      <c r="G5764" s="75" t="str">
        <f>IF(ISNUMBER(F5764),E5764*F5764,"")</f>
        <v/>
      </c>
      <c r="H5764" s="76"/>
      <c r="I5764" s="73"/>
      <c r="J5764" s="152">
        <v>0</v>
      </c>
    </row>
    <row r="5765" spans="1:10" ht="15.75" hidden="1" thickBot="1" x14ac:dyDescent="0.3">
      <c r="A5765" s="170" t="s">
        <v>4618</v>
      </c>
      <c r="B5765" s="173" t="str">
        <f>INDEX(Orçamentária!A:B,MATCH(Composições!A5765,Orçamentária!A:A,0),2)</f>
        <v>Luva para eletroduto 3/4”</v>
      </c>
      <c r="C5765" s="40"/>
      <c r="D5765" s="25" t="s">
        <v>16</v>
      </c>
      <c r="E5765" s="26"/>
      <c r="F5765" s="48" t="s">
        <v>416</v>
      </c>
      <c r="G5765" s="27" t="str">
        <f>IF(ISNUMBER(F5765),E5765*F5765,"")</f>
        <v/>
      </c>
      <c r="H5765" s="28"/>
      <c r="I5765" s="29"/>
      <c r="J5765" s="152">
        <v>0</v>
      </c>
    </row>
    <row r="5766" spans="1:10" ht="15.75" hidden="1" thickBot="1" x14ac:dyDescent="0.3">
      <c r="A5766" s="171"/>
      <c r="B5766" s="174"/>
      <c r="C5766" s="31"/>
      <c r="D5766" s="31"/>
      <c r="E5766" s="32"/>
      <c r="F5766" s="53" t="s">
        <v>416</v>
      </c>
      <c r="G5766" s="53" t="str">
        <f>IF(ISNUMBER(F5766),E5766*F5766,"")</f>
        <v/>
      </c>
      <c r="H5766" s="72"/>
      <c r="I5766" s="73"/>
      <c r="J5766" s="152">
        <v>0</v>
      </c>
    </row>
    <row r="5767" spans="1:10" ht="26.25" hidden="1" thickBot="1" x14ac:dyDescent="0.3">
      <c r="A5767" s="171"/>
      <c r="B5767" s="174"/>
      <c r="C5767" s="35" t="s">
        <v>8261</v>
      </c>
      <c r="D5767" s="35" t="s">
        <v>213</v>
      </c>
      <c r="E5767" s="36">
        <v>1</v>
      </c>
      <c r="F5767" s="30">
        <v>1.748</v>
      </c>
      <c r="G5767" s="53">
        <f>IF(ISNUMBER(F5767),E5767*F5767,"")</f>
        <v>1.748</v>
      </c>
      <c r="H5767" s="38">
        <f>SUM(G5767:G5767)</f>
        <v>1.748</v>
      </c>
      <c r="I5767" s="39"/>
      <c r="J5767" s="152">
        <v>0</v>
      </c>
    </row>
    <row r="5768" spans="1:10" ht="15.75" hidden="1" thickBot="1" x14ac:dyDescent="0.3">
      <c r="A5768" s="172"/>
      <c r="B5768" s="175"/>
      <c r="C5768" s="54"/>
      <c r="D5768" s="155"/>
      <c r="E5768" s="65"/>
      <c r="F5768" s="75" t="s">
        <v>416</v>
      </c>
      <c r="G5768" s="75" t="str">
        <f>IF(ISNUMBER(F5768),E5768*F5768,"")</f>
        <v/>
      </c>
      <c r="H5768" s="76"/>
      <c r="I5768" s="73"/>
      <c r="J5768" s="152">
        <v>0</v>
      </c>
    </row>
    <row r="5769" spans="1:10" ht="15.75" hidden="1" thickBot="1" x14ac:dyDescent="0.3">
      <c r="A5769" s="170" t="s">
        <v>4620</v>
      </c>
      <c r="B5769" s="173" t="str">
        <f>INDEX(Orçamentária!A:B,MATCH(Composições!A5769,Orçamentária!A:A,0),2)</f>
        <v>Curva para eletroduto 3/4”</v>
      </c>
      <c r="C5769" s="40"/>
      <c r="D5769" s="25" t="s">
        <v>16</v>
      </c>
      <c r="E5769" s="26"/>
      <c r="F5769" s="48" t="s">
        <v>416</v>
      </c>
      <c r="G5769" s="27" t="str">
        <f>IF(ISNUMBER(F5769),E5769*F5769,"")</f>
        <v/>
      </c>
      <c r="H5769" s="28"/>
      <c r="I5769" s="29"/>
      <c r="J5769" s="152">
        <v>0</v>
      </c>
    </row>
    <row r="5770" spans="1:10" ht="15.75" hidden="1" thickBot="1" x14ac:dyDescent="0.3">
      <c r="A5770" s="171"/>
      <c r="B5770" s="174"/>
      <c r="C5770" s="31"/>
      <c r="D5770" s="31"/>
      <c r="E5770" s="32"/>
      <c r="F5770" s="53" t="s">
        <v>416</v>
      </c>
      <c r="G5770" s="53" t="str">
        <f>IF(ISNUMBER(F5770),E5770*F5770,"")</f>
        <v/>
      </c>
      <c r="H5770" s="72"/>
      <c r="I5770" s="73"/>
      <c r="J5770" s="152">
        <v>0</v>
      </c>
    </row>
    <row r="5771" spans="1:10" ht="26.25" hidden="1" thickBot="1" x14ac:dyDescent="0.3">
      <c r="A5771" s="171"/>
      <c r="B5771" s="174"/>
      <c r="C5771" s="35" t="s">
        <v>8127</v>
      </c>
      <c r="D5771" s="35" t="s">
        <v>213</v>
      </c>
      <c r="E5771" s="36">
        <v>1</v>
      </c>
      <c r="F5771" s="30">
        <v>4.6360000000000001</v>
      </c>
      <c r="G5771" s="53">
        <f>IF(ISNUMBER(F5771),E5771*F5771,"")</f>
        <v>4.6360000000000001</v>
      </c>
      <c r="H5771" s="38">
        <f>SUM(G5771:G5771)</f>
        <v>4.6360000000000001</v>
      </c>
      <c r="I5771" s="39"/>
      <c r="J5771" s="152">
        <v>0</v>
      </c>
    </row>
    <row r="5772" spans="1:10" ht="15.75" hidden="1" thickBot="1" x14ac:dyDescent="0.3">
      <c r="A5772" s="172"/>
      <c r="B5772" s="175"/>
      <c r="C5772" s="54"/>
      <c r="D5772" s="155"/>
      <c r="E5772" s="65"/>
      <c r="F5772" s="75" t="s">
        <v>416</v>
      </c>
      <c r="G5772" s="75" t="str">
        <f>IF(ISNUMBER(F5772),E5772*F5772,"")</f>
        <v/>
      </c>
      <c r="H5772" s="76"/>
      <c r="I5772" s="73"/>
      <c r="J5772" s="152">
        <v>0</v>
      </c>
    </row>
    <row r="5773" spans="1:10" ht="15.75" hidden="1" thickBot="1" x14ac:dyDescent="0.3">
      <c r="A5773" s="170" t="s">
        <v>4621</v>
      </c>
      <c r="B5773" s="173" t="str">
        <f>INDEX(Orçamentária!A:B,MATCH(Composições!A5773,Orçamentária!A:A,0),2)</f>
        <v>Conector reto para eletroduto 1”</v>
      </c>
      <c r="C5773" s="40"/>
      <c r="D5773" s="25" t="s">
        <v>16</v>
      </c>
      <c r="E5773" s="26"/>
      <c r="F5773" s="48" t="s">
        <v>416</v>
      </c>
      <c r="G5773" s="27" t="str">
        <f>IF(ISNUMBER(F5773),E5773*F5773,"")</f>
        <v/>
      </c>
      <c r="H5773" s="28"/>
      <c r="I5773" s="29"/>
      <c r="J5773" s="152">
        <v>0</v>
      </c>
    </row>
    <row r="5774" spans="1:10" ht="15.75" hidden="1" thickBot="1" x14ac:dyDescent="0.3">
      <c r="A5774" s="171"/>
      <c r="B5774" s="174"/>
      <c r="C5774" s="31"/>
      <c r="D5774" s="31"/>
      <c r="E5774" s="32"/>
      <c r="F5774" s="53" t="s">
        <v>416</v>
      </c>
      <c r="G5774" s="53" t="str">
        <f>IF(ISNUMBER(F5774),E5774*F5774,"")</f>
        <v/>
      </c>
      <c r="H5774" s="72"/>
      <c r="I5774" s="73"/>
      <c r="J5774" s="152">
        <v>0</v>
      </c>
    </row>
    <row r="5775" spans="1:10" ht="39" hidden="1" thickBot="1" x14ac:dyDescent="0.3">
      <c r="A5775" s="171"/>
      <c r="B5775" s="174"/>
      <c r="C5775" s="35" t="s">
        <v>8093</v>
      </c>
      <c r="D5775" s="35" t="s">
        <v>213</v>
      </c>
      <c r="E5775" s="36">
        <v>1</v>
      </c>
      <c r="F5775" s="30">
        <v>3.1825000000000001</v>
      </c>
      <c r="G5775" s="53">
        <f>IF(ISNUMBER(F5775),E5775*F5775,"")</f>
        <v>3.1825000000000001</v>
      </c>
      <c r="H5775" s="38">
        <f>SUM(G5775:G5775)</f>
        <v>3.1825000000000001</v>
      </c>
      <c r="I5775" s="39"/>
      <c r="J5775" s="152">
        <v>0</v>
      </c>
    </row>
    <row r="5776" spans="1:10" ht="15.75" hidden="1" thickBot="1" x14ac:dyDescent="0.3">
      <c r="A5776" s="172"/>
      <c r="B5776" s="175"/>
      <c r="C5776" s="54"/>
      <c r="D5776" s="155"/>
      <c r="E5776" s="65"/>
      <c r="F5776" s="75" t="s">
        <v>416</v>
      </c>
      <c r="G5776" s="75" t="str">
        <f>IF(ISNUMBER(F5776),E5776*F5776,"")</f>
        <v/>
      </c>
      <c r="H5776" s="76"/>
      <c r="I5776" s="73"/>
      <c r="J5776" s="152">
        <v>0</v>
      </c>
    </row>
    <row r="5777" spans="1:10" ht="15.75" hidden="1" thickBot="1" x14ac:dyDescent="0.3">
      <c r="A5777" s="170" t="s">
        <v>4622</v>
      </c>
      <c r="B5777" s="173" t="str">
        <f>INDEX(Orçamentária!A:B,MATCH(Composições!A5777,Orçamentária!A:A,0),2)</f>
        <v>Conector curvo para eletroduto 1”</v>
      </c>
      <c r="C5777" s="40"/>
      <c r="D5777" s="25" t="s">
        <v>16</v>
      </c>
      <c r="E5777" s="26"/>
      <c r="F5777" s="48" t="s">
        <v>416</v>
      </c>
      <c r="G5777" s="27" t="str">
        <f>IF(ISNUMBER(F5777),E5777*F5777,"")</f>
        <v/>
      </c>
      <c r="H5777" s="28"/>
      <c r="I5777" s="29"/>
      <c r="J5777" s="152">
        <v>0</v>
      </c>
    </row>
    <row r="5778" spans="1:10" ht="15.75" hidden="1" thickBot="1" x14ac:dyDescent="0.3">
      <c r="A5778" s="171"/>
      <c r="B5778" s="174"/>
      <c r="C5778" s="31"/>
      <c r="D5778" s="31"/>
      <c r="E5778" s="32"/>
      <c r="F5778" s="53" t="s">
        <v>416</v>
      </c>
      <c r="G5778" s="53" t="str">
        <f>IF(ISNUMBER(F5778),E5778*F5778,"")</f>
        <v/>
      </c>
      <c r="H5778" s="72"/>
      <c r="I5778" s="73"/>
      <c r="J5778" s="152">
        <v>0</v>
      </c>
    </row>
    <row r="5779" spans="1:10" ht="39" hidden="1" thickBot="1" x14ac:dyDescent="0.3">
      <c r="A5779" s="171"/>
      <c r="B5779" s="174"/>
      <c r="C5779" s="35" t="s">
        <v>8085</v>
      </c>
      <c r="D5779" s="35" t="s">
        <v>213</v>
      </c>
      <c r="E5779" s="36">
        <v>1</v>
      </c>
      <c r="F5779" s="30">
        <v>10.1175</v>
      </c>
      <c r="G5779" s="53">
        <f>IF(ISNUMBER(F5779),E5779*F5779,"")</f>
        <v>10.1175</v>
      </c>
      <c r="H5779" s="38">
        <f>SUM(G5779:G5779)</f>
        <v>10.1175</v>
      </c>
      <c r="I5779" s="39"/>
      <c r="J5779" s="152">
        <v>0</v>
      </c>
    </row>
    <row r="5780" spans="1:10" ht="15.75" hidden="1" thickBot="1" x14ac:dyDescent="0.3">
      <c r="A5780" s="172"/>
      <c r="B5780" s="175"/>
      <c r="C5780" s="54"/>
      <c r="D5780" s="155"/>
      <c r="E5780" s="65"/>
      <c r="F5780" s="75" t="s">
        <v>416</v>
      </c>
      <c r="G5780" s="75" t="str">
        <f>IF(ISNUMBER(F5780),E5780*F5780,"")</f>
        <v/>
      </c>
      <c r="H5780" s="76"/>
      <c r="I5780" s="73"/>
      <c r="J5780" s="152">
        <v>0</v>
      </c>
    </row>
    <row r="5781" spans="1:10" ht="15.75" hidden="1" thickBot="1" x14ac:dyDescent="0.3">
      <c r="A5781" s="170" t="s">
        <v>4623</v>
      </c>
      <c r="B5781" s="173" t="str">
        <f>INDEX(Orçamentária!A:B,MATCH(Composições!A5781,Orçamentária!A:A,0),2)</f>
        <v>Luva para eletroduto 1”</v>
      </c>
      <c r="C5781" s="40"/>
      <c r="D5781" s="25" t="s">
        <v>16</v>
      </c>
      <c r="E5781" s="26"/>
      <c r="F5781" s="48" t="s">
        <v>416</v>
      </c>
      <c r="G5781" s="27" t="str">
        <f>IF(ISNUMBER(F5781),E5781*F5781,"")</f>
        <v/>
      </c>
      <c r="H5781" s="28"/>
      <c r="I5781" s="29"/>
      <c r="J5781" s="152">
        <v>0</v>
      </c>
    </row>
    <row r="5782" spans="1:10" ht="15.75" hidden="1" thickBot="1" x14ac:dyDescent="0.3">
      <c r="A5782" s="171"/>
      <c r="B5782" s="174"/>
      <c r="C5782" s="31"/>
      <c r="D5782" s="31"/>
      <c r="E5782" s="32"/>
      <c r="F5782" s="53" t="s">
        <v>416</v>
      </c>
      <c r="G5782" s="53" t="str">
        <f>IF(ISNUMBER(F5782),E5782*F5782,"")</f>
        <v/>
      </c>
      <c r="H5782" s="72"/>
      <c r="I5782" s="73"/>
      <c r="J5782" s="152">
        <v>0</v>
      </c>
    </row>
    <row r="5783" spans="1:10" ht="26.25" hidden="1" thickBot="1" x14ac:dyDescent="0.3">
      <c r="A5783" s="171"/>
      <c r="B5783" s="174"/>
      <c r="C5783" s="35" t="s">
        <v>8262</v>
      </c>
      <c r="D5783" s="35" t="s">
        <v>213</v>
      </c>
      <c r="E5783" s="36">
        <v>1</v>
      </c>
      <c r="F5783" s="30">
        <v>2.0329999999999999</v>
      </c>
      <c r="G5783" s="53">
        <f>IF(ISNUMBER(F5783),E5783*F5783,"")</f>
        <v>2.0329999999999999</v>
      </c>
      <c r="H5783" s="38">
        <f>SUM(G5783:G5783)</f>
        <v>2.0329999999999999</v>
      </c>
      <c r="I5783" s="39"/>
      <c r="J5783" s="152">
        <v>0</v>
      </c>
    </row>
    <row r="5784" spans="1:10" ht="15.75" hidden="1" thickBot="1" x14ac:dyDescent="0.3">
      <c r="A5784" s="172"/>
      <c r="B5784" s="175"/>
      <c r="C5784" s="54"/>
      <c r="D5784" s="155"/>
      <c r="E5784" s="65"/>
      <c r="F5784" s="75" t="s">
        <v>416</v>
      </c>
      <c r="G5784" s="75" t="str">
        <f>IF(ISNUMBER(F5784),E5784*F5784,"")</f>
        <v/>
      </c>
      <c r="H5784" s="76"/>
      <c r="I5784" s="73"/>
      <c r="J5784" s="152">
        <v>0</v>
      </c>
    </row>
    <row r="5785" spans="1:10" ht="15.75" hidden="1" thickBot="1" x14ac:dyDescent="0.3">
      <c r="A5785" s="170" t="s">
        <v>4625</v>
      </c>
      <c r="B5785" s="173" t="str">
        <f>INDEX(Orçamentária!A:B,MATCH(Composições!A5785,Orçamentária!A:A,0),2)</f>
        <v>Curva para eletroduto 1”</v>
      </c>
      <c r="C5785" s="40"/>
      <c r="D5785" s="25" t="s">
        <v>16</v>
      </c>
      <c r="E5785" s="26"/>
      <c r="F5785" s="48" t="s">
        <v>416</v>
      </c>
      <c r="G5785" s="27" t="str">
        <f>IF(ISNUMBER(F5785),E5785*F5785,"")</f>
        <v/>
      </c>
      <c r="H5785" s="28"/>
      <c r="I5785" s="29"/>
      <c r="J5785" s="152">
        <v>0</v>
      </c>
    </row>
    <row r="5786" spans="1:10" ht="15.75" hidden="1" thickBot="1" x14ac:dyDescent="0.3">
      <c r="A5786" s="171"/>
      <c r="B5786" s="174"/>
      <c r="C5786" s="31"/>
      <c r="D5786" s="31"/>
      <c r="E5786" s="32"/>
      <c r="F5786" s="53" t="s">
        <v>416</v>
      </c>
      <c r="G5786" s="53" t="str">
        <f>IF(ISNUMBER(F5786),E5786*F5786,"")</f>
        <v/>
      </c>
      <c r="H5786" s="72"/>
      <c r="I5786" s="73"/>
      <c r="J5786" s="152">
        <v>0</v>
      </c>
    </row>
    <row r="5787" spans="1:10" ht="26.25" hidden="1" thickBot="1" x14ac:dyDescent="0.3">
      <c r="A5787" s="171"/>
      <c r="B5787" s="174"/>
      <c r="C5787" s="35" t="s">
        <v>8128</v>
      </c>
      <c r="D5787" s="35" t="s">
        <v>213</v>
      </c>
      <c r="E5787" s="36">
        <v>1</v>
      </c>
      <c r="F5787" s="30">
        <v>6.3079999999999998</v>
      </c>
      <c r="G5787" s="53">
        <f>IF(ISNUMBER(F5787),E5787*F5787,"")</f>
        <v>6.3079999999999998</v>
      </c>
      <c r="H5787" s="38">
        <f>SUM(G5787:G5787)</f>
        <v>6.3079999999999998</v>
      </c>
      <c r="I5787" s="39"/>
      <c r="J5787" s="152">
        <v>0</v>
      </c>
    </row>
    <row r="5788" spans="1:10" ht="15.75" hidden="1" thickBot="1" x14ac:dyDescent="0.3">
      <c r="A5788" s="172"/>
      <c r="B5788" s="175"/>
      <c r="C5788" s="54"/>
      <c r="D5788" s="155"/>
      <c r="E5788" s="65"/>
      <c r="F5788" s="75" t="s">
        <v>416</v>
      </c>
      <c r="G5788" s="75" t="str">
        <f>IF(ISNUMBER(F5788),E5788*F5788,"")</f>
        <v/>
      </c>
      <c r="H5788" s="76"/>
      <c r="I5788" s="73"/>
      <c r="J5788" s="152">
        <v>0</v>
      </c>
    </row>
    <row r="5789" spans="1:10" ht="15.75" hidden="1" thickBot="1" x14ac:dyDescent="0.3">
      <c r="A5789" s="170" t="s">
        <v>4626</v>
      </c>
      <c r="B5789" s="173" t="str">
        <f>INDEX(Orçamentária!A:B,MATCH(Composições!A5789,Orçamentária!A:A,0),2)</f>
        <v>Conector reto para eletroduto 1 1/4”</v>
      </c>
      <c r="C5789" s="40"/>
      <c r="D5789" s="25" t="s">
        <v>16</v>
      </c>
      <c r="E5789" s="26"/>
      <c r="F5789" s="48" t="s">
        <v>416</v>
      </c>
      <c r="G5789" s="27" t="str">
        <f>IF(ISNUMBER(F5789),E5789*F5789,"")</f>
        <v/>
      </c>
      <c r="H5789" s="28"/>
      <c r="I5789" s="29"/>
      <c r="J5789" s="152">
        <v>0</v>
      </c>
    </row>
    <row r="5790" spans="1:10" ht="15.75" hidden="1" thickBot="1" x14ac:dyDescent="0.3">
      <c r="A5790" s="171"/>
      <c r="B5790" s="174"/>
      <c r="C5790" s="31"/>
      <c r="D5790" s="31"/>
      <c r="E5790" s="32"/>
      <c r="F5790" s="53" t="s">
        <v>416</v>
      </c>
      <c r="G5790" s="53" t="str">
        <f>IF(ISNUMBER(F5790),E5790*F5790,"")</f>
        <v/>
      </c>
      <c r="H5790" s="72"/>
      <c r="I5790" s="73"/>
      <c r="J5790" s="152">
        <v>0</v>
      </c>
    </row>
    <row r="5791" spans="1:10" ht="39" hidden="1" thickBot="1" x14ac:dyDescent="0.3">
      <c r="A5791" s="171"/>
      <c r="B5791" s="174"/>
      <c r="C5791" s="35" t="s">
        <v>8092</v>
      </c>
      <c r="D5791" s="35" t="s">
        <v>213</v>
      </c>
      <c r="E5791" s="36">
        <v>1</v>
      </c>
      <c r="F5791" s="30">
        <v>4.4649999999999999</v>
      </c>
      <c r="G5791" s="53">
        <f>IF(ISNUMBER(F5791),E5791*F5791,"")</f>
        <v>4.4649999999999999</v>
      </c>
      <c r="H5791" s="38">
        <f>SUM(G5791:G5791)</f>
        <v>4.4649999999999999</v>
      </c>
      <c r="I5791" s="39"/>
      <c r="J5791" s="152">
        <v>0</v>
      </c>
    </row>
    <row r="5792" spans="1:10" ht="15.75" hidden="1" thickBot="1" x14ac:dyDescent="0.3">
      <c r="A5792" s="172"/>
      <c r="B5792" s="175"/>
      <c r="C5792" s="54"/>
      <c r="D5792" s="155"/>
      <c r="E5792" s="65"/>
      <c r="F5792" s="75" t="s">
        <v>416</v>
      </c>
      <c r="G5792" s="75" t="str">
        <f>IF(ISNUMBER(F5792),E5792*F5792,"")</f>
        <v/>
      </c>
      <c r="H5792" s="76"/>
      <c r="I5792" s="73"/>
      <c r="J5792" s="152">
        <v>0</v>
      </c>
    </row>
    <row r="5793" spans="1:10" ht="15.75" hidden="1" thickBot="1" x14ac:dyDescent="0.3">
      <c r="A5793" s="170" t="s">
        <v>4627</v>
      </c>
      <c r="B5793" s="173" t="str">
        <f>INDEX(Orçamentária!A:B,MATCH(Composições!A5793,Orçamentária!A:A,0),2)</f>
        <v>Conector curvo para eletroduto 1 1/4”</v>
      </c>
      <c r="C5793" s="40"/>
      <c r="D5793" s="25" t="s">
        <v>16</v>
      </c>
      <c r="E5793" s="26"/>
      <c r="F5793" s="48" t="s">
        <v>416</v>
      </c>
      <c r="G5793" s="27" t="str">
        <f>IF(ISNUMBER(F5793),E5793*F5793,"")</f>
        <v/>
      </c>
      <c r="H5793" s="28"/>
      <c r="I5793" s="29"/>
      <c r="J5793" s="152">
        <v>0</v>
      </c>
    </row>
    <row r="5794" spans="1:10" ht="15.75" hidden="1" thickBot="1" x14ac:dyDescent="0.3">
      <c r="A5794" s="171"/>
      <c r="B5794" s="174"/>
      <c r="C5794" s="31"/>
      <c r="D5794" s="31"/>
      <c r="E5794" s="32"/>
      <c r="F5794" s="53" t="s">
        <v>416</v>
      </c>
      <c r="G5794" s="53" t="str">
        <f>IF(ISNUMBER(F5794),E5794*F5794,"")</f>
        <v/>
      </c>
      <c r="H5794" s="72"/>
      <c r="I5794" s="73"/>
      <c r="J5794" s="152">
        <v>0</v>
      </c>
    </row>
    <row r="5795" spans="1:10" ht="39" hidden="1" thickBot="1" x14ac:dyDescent="0.3">
      <c r="A5795" s="171"/>
      <c r="B5795" s="174"/>
      <c r="C5795" s="35" t="s">
        <v>8084</v>
      </c>
      <c r="D5795" s="35" t="s">
        <v>213</v>
      </c>
      <c r="E5795" s="36">
        <v>1</v>
      </c>
      <c r="F5795" s="30">
        <v>12.597</v>
      </c>
      <c r="G5795" s="53">
        <f>IF(ISNUMBER(F5795),E5795*F5795,"")</f>
        <v>12.597</v>
      </c>
      <c r="H5795" s="38">
        <f>SUM(G5795:G5795)</f>
        <v>12.597</v>
      </c>
      <c r="I5795" s="39"/>
      <c r="J5795" s="152">
        <v>0</v>
      </c>
    </row>
    <row r="5796" spans="1:10" ht="15.75" hidden="1" thickBot="1" x14ac:dyDescent="0.3">
      <c r="A5796" s="172"/>
      <c r="B5796" s="175"/>
      <c r="C5796" s="54"/>
      <c r="D5796" s="155"/>
      <c r="E5796" s="65"/>
      <c r="F5796" s="75" t="s">
        <v>416</v>
      </c>
      <c r="G5796" s="75" t="str">
        <f>IF(ISNUMBER(F5796),E5796*F5796,"")</f>
        <v/>
      </c>
      <c r="H5796" s="76"/>
      <c r="I5796" s="73"/>
      <c r="J5796" s="152">
        <v>0</v>
      </c>
    </row>
    <row r="5797" spans="1:10" ht="15.75" hidden="1" thickBot="1" x14ac:dyDescent="0.3">
      <c r="A5797" s="170" t="s">
        <v>4628</v>
      </c>
      <c r="B5797" s="173" t="str">
        <f>INDEX(Orçamentária!A:B,MATCH(Composições!A5797,Orçamentária!A:A,0),2)</f>
        <v>Luva para eletroduto 1 1/4”</v>
      </c>
      <c r="C5797" s="40"/>
      <c r="D5797" s="25" t="s">
        <v>16</v>
      </c>
      <c r="E5797" s="26"/>
      <c r="F5797" s="48" t="s">
        <v>416</v>
      </c>
      <c r="G5797" s="27" t="str">
        <f>IF(ISNUMBER(F5797),E5797*F5797,"")</f>
        <v/>
      </c>
      <c r="H5797" s="28"/>
      <c r="I5797" s="29"/>
      <c r="J5797" s="152">
        <v>0</v>
      </c>
    </row>
    <row r="5798" spans="1:10" ht="15.75" hidden="1" thickBot="1" x14ac:dyDescent="0.3">
      <c r="A5798" s="171"/>
      <c r="B5798" s="174"/>
      <c r="C5798" s="31"/>
      <c r="D5798" s="31"/>
      <c r="E5798" s="32"/>
      <c r="F5798" s="53" t="s">
        <v>416</v>
      </c>
      <c r="G5798" s="53" t="str">
        <f>IF(ISNUMBER(F5798),E5798*F5798,"")</f>
        <v/>
      </c>
      <c r="H5798" s="72"/>
      <c r="I5798" s="73"/>
      <c r="J5798" s="152">
        <v>0</v>
      </c>
    </row>
    <row r="5799" spans="1:10" ht="26.25" hidden="1" thickBot="1" x14ac:dyDescent="0.3">
      <c r="A5799" s="171"/>
      <c r="B5799" s="174"/>
      <c r="C5799" s="35" t="s">
        <v>8263</v>
      </c>
      <c r="D5799" s="35" t="s">
        <v>213</v>
      </c>
      <c r="E5799" s="36">
        <v>1</v>
      </c>
      <c r="F5799" s="30">
        <v>3.61</v>
      </c>
      <c r="G5799" s="53">
        <f>IF(ISNUMBER(F5799),E5799*F5799,"")</f>
        <v>3.61</v>
      </c>
      <c r="H5799" s="38">
        <f>SUM(G5799:G5799)</f>
        <v>3.61</v>
      </c>
      <c r="I5799" s="39"/>
      <c r="J5799" s="152">
        <v>0</v>
      </c>
    </row>
    <row r="5800" spans="1:10" ht="15.75" hidden="1" thickBot="1" x14ac:dyDescent="0.3">
      <c r="A5800" s="172"/>
      <c r="B5800" s="175"/>
      <c r="C5800" s="54"/>
      <c r="D5800" s="155"/>
      <c r="E5800" s="65"/>
      <c r="F5800" s="75" t="s">
        <v>416</v>
      </c>
      <c r="G5800" s="75" t="str">
        <f>IF(ISNUMBER(F5800),E5800*F5800,"")</f>
        <v/>
      </c>
      <c r="H5800" s="76"/>
      <c r="I5800" s="73"/>
      <c r="J5800" s="152">
        <v>0</v>
      </c>
    </row>
    <row r="5801" spans="1:10" ht="15.75" hidden="1" thickBot="1" x14ac:dyDescent="0.3">
      <c r="A5801" s="170" t="s">
        <v>4630</v>
      </c>
      <c r="B5801" s="173" t="str">
        <f>INDEX(Orçamentária!A:B,MATCH(Composições!A5801,Orçamentária!A:A,0),2)</f>
        <v>Curva para eletroduto 1 1/4”</v>
      </c>
      <c r="C5801" s="40"/>
      <c r="D5801" s="25" t="s">
        <v>16</v>
      </c>
      <c r="E5801" s="26"/>
      <c r="F5801" s="48" t="s">
        <v>416</v>
      </c>
      <c r="G5801" s="27" t="str">
        <f>IF(ISNUMBER(F5801),E5801*F5801,"")</f>
        <v/>
      </c>
      <c r="H5801" s="28"/>
      <c r="I5801" s="29"/>
      <c r="J5801" s="152">
        <v>0</v>
      </c>
    </row>
    <row r="5802" spans="1:10" ht="15.75" hidden="1" thickBot="1" x14ac:dyDescent="0.3">
      <c r="A5802" s="171"/>
      <c r="B5802" s="174"/>
      <c r="C5802" s="31"/>
      <c r="D5802" s="31"/>
      <c r="E5802" s="32"/>
      <c r="F5802" s="53" t="s">
        <v>416</v>
      </c>
      <c r="G5802" s="53" t="str">
        <f>IF(ISNUMBER(F5802),E5802*F5802,"")</f>
        <v/>
      </c>
      <c r="H5802" s="72"/>
      <c r="I5802" s="73"/>
      <c r="J5802" s="152">
        <v>0</v>
      </c>
    </row>
    <row r="5803" spans="1:10" ht="26.25" hidden="1" thickBot="1" x14ac:dyDescent="0.3">
      <c r="A5803" s="171"/>
      <c r="B5803" s="174"/>
      <c r="C5803" s="35" t="s">
        <v>8129</v>
      </c>
      <c r="D5803" s="35" t="s">
        <v>213</v>
      </c>
      <c r="E5803" s="36">
        <v>1</v>
      </c>
      <c r="F5803" s="30">
        <v>14.363999999999999</v>
      </c>
      <c r="G5803" s="53">
        <f>IF(ISNUMBER(F5803),E5803*F5803,"")</f>
        <v>14.363999999999999</v>
      </c>
      <c r="H5803" s="38">
        <f>SUM(G5803:G5803)</f>
        <v>14.363999999999999</v>
      </c>
      <c r="I5803" s="39"/>
      <c r="J5803" s="152">
        <v>0</v>
      </c>
    </row>
    <row r="5804" spans="1:10" ht="15.75" hidden="1" thickBot="1" x14ac:dyDescent="0.3">
      <c r="A5804" s="172"/>
      <c r="B5804" s="175"/>
      <c r="C5804" s="54"/>
      <c r="D5804" s="155"/>
      <c r="E5804" s="65"/>
      <c r="F5804" s="75" t="s">
        <v>416</v>
      </c>
      <c r="G5804" s="75" t="str">
        <f>IF(ISNUMBER(F5804),E5804*F5804,"")</f>
        <v/>
      </c>
      <c r="H5804" s="76"/>
      <c r="I5804" s="73"/>
      <c r="J5804" s="152">
        <v>0</v>
      </c>
    </row>
    <row r="5805" spans="1:10" ht="15.75" hidden="1" thickBot="1" x14ac:dyDescent="0.3">
      <c r="A5805" s="170" t="s">
        <v>4631</v>
      </c>
      <c r="B5805" s="173" t="str">
        <f>INDEX(Orçamentária!A:B,MATCH(Composições!A5805,Orçamentária!A:A,0),2)</f>
        <v>Conector reto para eletroduto 1 1/2”</v>
      </c>
      <c r="C5805" s="40"/>
      <c r="D5805" s="25" t="s">
        <v>16</v>
      </c>
      <c r="E5805" s="26"/>
      <c r="F5805" s="48" t="s">
        <v>416</v>
      </c>
      <c r="G5805" s="27" t="str">
        <f>IF(ISNUMBER(F5805),E5805*F5805,"")</f>
        <v/>
      </c>
      <c r="H5805" s="28"/>
      <c r="I5805" s="29"/>
      <c r="J5805" s="152">
        <v>0</v>
      </c>
    </row>
    <row r="5806" spans="1:10" ht="15.75" hidden="1" thickBot="1" x14ac:dyDescent="0.3">
      <c r="A5806" s="171"/>
      <c r="B5806" s="174"/>
      <c r="C5806" s="31"/>
      <c r="D5806" s="31"/>
      <c r="E5806" s="32"/>
      <c r="F5806" s="53" t="s">
        <v>416</v>
      </c>
      <c r="G5806" s="53" t="str">
        <f>IF(ISNUMBER(F5806),E5806*F5806,"")</f>
        <v/>
      </c>
      <c r="H5806" s="72"/>
      <c r="I5806" s="73"/>
      <c r="J5806" s="152">
        <v>0</v>
      </c>
    </row>
    <row r="5807" spans="1:10" ht="39" hidden="1" thickBot="1" x14ac:dyDescent="0.3">
      <c r="A5807" s="171"/>
      <c r="B5807" s="174"/>
      <c r="C5807" s="35" t="s">
        <v>8091</v>
      </c>
      <c r="D5807" s="35" t="s">
        <v>213</v>
      </c>
      <c r="E5807" s="36">
        <v>1</v>
      </c>
      <c r="F5807" s="30">
        <v>6.9729999999999999</v>
      </c>
      <c r="G5807" s="53">
        <f>IF(ISNUMBER(F5807),E5807*F5807,"")</f>
        <v>6.9729999999999999</v>
      </c>
      <c r="H5807" s="38">
        <f>SUM(G5807:G5807)</f>
        <v>6.9729999999999999</v>
      </c>
      <c r="I5807" s="39"/>
      <c r="J5807" s="152">
        <v>0</v>
      </c>
    </row>
    <row r="5808" spans="1:10" ht="15.75" hidden="1" thickBot="1" x14ac:dyDescent="0.3">
      <c r="A5808" s="172"/>
      <c r="B5808" s="175"/>
      <c r="C5808" s="54"/>
      <c r="D5808" s="155"/>
      <c r="E5808" s="65"/>
      <c r="F5808" s="75" t="s">
        <v>416</v>
      </c>
      <c r="G5808" s="75" t="str">
        <f>IF(ISNUMBER(F5808),E5808*F5808,"")</f>
        <v/>
      </c>
      <c r="H5808" s="76"/>
      <c r="I5808" s="73"/>
      <c r="J5808" s="152">
        <v>0</v>
      </c>
    </row>
    <row r="5809" spans="1:10" ht="15.75" hidden="1" thickBot="1" x14ac:dyDescent="0.3">
      <c r="A5809" s="170" t="s">
        <v>4632</v>
      </c>
      <c r="B5809" s="173" t="str">
        <f>INDEX(Orçamentária!A:B,MATCH(Composições!A5809,Orçamentária!A:A,0),2)</f>
        <v>Conector curvo para eletroduto 1 1/2”</v>
      </c>
      <c r="C5809" s="40"/>
      <c r="D5809" s="25" t="s">
        <v>16</v>
      </c>
      <c r="E5809" s="26"/>
      <c r="F5809" s="48" t="s">
        <v>416</v>
      </c>
      <c r="G5809" s="27" t="str">
        <f>IF(ISNUMBER(F5809),E5809*F5809,"")</f>
        <v/>
      </c>
      <c r="H5809" s="28"/>
      <c r="I5809" s="29"/>
      <c r="J5809" s="152">
        <v>0</v>
      </c>
    </row>
    <row r="5810" spans="1:10" ht="15.75" hidden="1" thickBot="1" x14ac:dyDescent="0.3">
      <c r="A5810" s="171"/>
      <c r="B5810" s="174"/>
      <c r="C5810" s="31"/>
      <c r="D5810" s="31"/>
      <c r="E5810" s="32"/>
      <c r="F5810" s="53" t="s">
        <v>416</v>
      </c>
      <c r="G5810" s="53" t="str">
        <f>IF(ISNUMBER(F5810),E5810*F5810,"")</f>
        <v/>
      </c>
      <c r="H5810" s="72"/>
      <c r="I5810" s="73"/>
      <c r="J5810" s="152">
        <v>0</v>
      </c>
    </row>
    <row r="5811" spans="1:10" ht="39" hidden="1" thickBot="1" x14ac:dyDescent="0.3">
      <c r="A5811" s="171"/>
      <c r="B5811" s="174"/>
      <c r="C5811" s="35" t="s">
        <v>8083</v>
      </c>
      <c r="D5811" s="35" t="s">
        <v>213</v>
      </c>
      <c r="E5811" s="36">
        <v>1</v>
      </c>
      <c r="F5811" s="30">
        <v>19.494</v>
      </c>
      <c r="G5811" s="53">
        <f>IF(ISNUMBER(F5811),E5811*F5811,"")</f>
        <v>19.494</v>
      </c>
      <c r="H5811" s="38">
        <f>SUM(G5811:G5811)</f>
        <v>19.494</v>
      </c>
      <c r="I5811" s="39"/>
      <c r="J5811" s="152">
        <v>0</v>
      </c>
    </row>
    <row r="5812" spans="1:10" ht="15.75" hidden="1" thickBot="1" x14ac:dyDescent="0.3">
      <c r="A5812" s="172"/>
      <c r="B5812" s="175"/>
      <c r="C5812" s="54"/>
      <c r="D5812" s="155"/>
      <c r="E5812" s="65"/>
      <c r="F5812" s="75" t="s">
        <v>416</v>
      </c>
      <c r="G5812" s="75" t="str">
        <f>IF(ISNUMBER(F5812),E5812*F5812,"")</f>
        <v/>
      </c>
      <c r="H5812" s="76"/>
      <c r="I5812" s="73"/>
      <c r="J5812" s="152">
        <v>0</v>
      </c>
    </row>
    <row r="5813" spans="1:10" ht="15.75" hidden="1" thickBot="1" x14ac:dyDescent="0.3">
      <c r="A5813" s="170" t="s">
        <v>4633</v>
      </c>
      <c r="B5813" s="173" t="str">
        <f>INDEX(Orçamentária!A:B,MATCH(Composições!A5813,Orçamentária!A:A,0),2)</f>
        <v>Luva para eletroduto 1 1/2”</v>
      </c>
      <c r="C5813" s="40"/>
      <c r="D5813" s="25" t="s">
        <v>16</v>
      </c>
      <c r="E5813" s="26"/>
      <c r="F5813" s="48" t="s">
        <v>416</v>
      </c>
      <c r="G5813" s="27" t="str">
        <f>IF(ISNUMBER(F5813),E5813*F5813,"")</f>
        <v/>
      </c>
      <c r="H5813" s="28"/>
      <c r="I5813" s="29"/>
      <c r="J5813" s="152">
        <v>0</v>
      </c>
    </row>
    <row r="5814" spans="1:10" ht="15.75" hidden="1" thickBot="1" x14ac:dyDescent="0.3">
      <c r="A5814" s="171"/>
      <c r="B5814" s="174"/>
      <c r="C5814" s="31"/>
      <c r="D5814" s="31"/>
      <c r="E5814" s="32"/>
      <c r="F5814" s="53" t="s">
        <v>416</v>
      </c>
      <c r="G5814" s="53" t="str">
        <f>IF(ISNUMBER(F5814),E5814*F5814,"")</f>
        <v/>
      </c>
      <c r="H5814" s="72"/>
      <c r="I5814" s="73"/>
      <c r="J5814" s="152">
        <v>0</v>
      </c>
    </row>
    <row r="5815" spans="1:10" ht="26.25" hidden="1" thickBot="1" x14ac:dyDescent="0.3">
      <c r="A5815" s="171"/>
      <c r="B5815" s="174"/>
      <c r="C5815" s="35" t="s">
        <v>8264</v>
      </c>
      <c r="D5815" s="35" t="s">
        <v>213</v>
      </c>
      <c r="E5815" s="36">
        <v>1</v>
      </c>
      <c r="F5815" s="30">
        <v>5.2249999999999996</v>
      </c>
      <c r="G5815" s="53">
        <f>IF(ISNUMBER(F5815),E5815*F5815,"")</f>
        <v>5.2249999999999996</v>
      </c>
      <c r="H5815" s="38">
        <f>SUM(G5815:G5815)</f>
        <v>5.2249999999999996</v>
      </c>
      <c r="I5815" s="39"/>
      <c r="J5815" s="152">
        <v>0</v>
      </c>
    </row>
    <row r="5816" spans="1:10" ht="15.75" hidden="1" thickBot="1" x14ac:dyDescent="0.3">
      <c r="A5816" s="172"/>
      <c r="B5816" s="175"/>
      <c r="C5816" s="54"/>
      <c r="D5816" s="155"/>
      <c r="E5816" s="65"/>
      <c r="F5816" s="75" t="s">
        <v>416</v>
      </c>
      <c r="G5816" s="75" t="str">
        <f>IF(ISNUMBER(F5816),E5816*F5816,"")</f>
        <v/>
      </c>
      <c r="H5816" s="76"/>
      <c r="I5816" s="73"/>
      <c r="J5816" s="152">
        <v>0</v>
      </c>
    </row>
    <row r="5817" spans="1:10" ht="15.75" hidden="1" thickBot="1" x14ac:dyDescent="0.3">
      <c r="A5817" s="170" t="s">
        <v>4635</v>
      </c>
      <c r="B5817" s="173" t="str">
        <f>INDEX(Orçamentária!A:B,MATCH(Composições!A5689,Orçamentária!A:A,0),2)</f>
        <v>Terminal de compressão 240 mm²</v>
      </c>
      <c r="C5817" s="40"/>
      <c r="D5817" s="25" t="s">
        <v>16</v>
      </c>
      <c r="E5817" s="26"/>
      <c r="F5817" s="48" t="s">
        <v>416</v>
      </c>
      <c r="G5817" s="27" t="str">
        <f>IF(ISNUMBER(F5817),E5817*F5817,"")</f>
        <v/>
      </c>
      <c r="H5817" s="28"/>
      <c r="I5817" s="29"/>
      <c r="J5817" s="152">
        <v>0</v>
      </c>
    </row>
    <row r="5818" spans="1:10" ht="15.75" hidden="1" thickBot="1" x14ac:dyDescent="0.3">
      <c r="A5818" s="171"/>
      <c r="B5818" s="174"/>
      <c r="C5818" s="31"/>
      <c r="D5818" s="31"/>
      <c r="E5818" s="32"/>
      <c r="F5818" s="53" t="s">
        <v>416</v>
      </c>
      <c r="G5818" s="53" t="str">
        <f>IF(ISNUMBER(F5818),E5818*F5818,"")</f>
        <v/>
      </c>
      <c r="H5818" s="72"/>
      <c r="I5818" s="73"/>
      <c r="J5818" s="152">
        <v>0</v>
      </c>
    </row>
    <row r="5819" spans="1:10" ht="26.25" hidden="1" thickBot="1" x14ac:dyDescent="0.3">
      <c r="A5819" s="171"/>
      <c r="B5819" s="174"/>
      <c r="C5819" s="35" t="s">
        <v>8130</v>
      </c>
      <c r="D5819" s="35" t="s">
        <v>213</v>
      </c>
      <c r="E5819" s="36">
        <v>1</v>
      </c>
      <c r="F5819" s="30">
        <v>17.518000000000001</v>
      </c>
      <c r="G5819" s="53">
        <f>IF(ISNUMBER(F5819),E5819*F5819,"")</f>
        <v>17.518000000000001</v>
      </c>
      <c r="H5819" s="38">
        <f>SUM(G5819:G5819)</f>
        <v>17.518000000000001</v>
      </c>
      <c r="I5819" s="39"/>
      <c r="J5819" s="152">
        <v>0</v>
      </c>
    </row>
    <row r="5820" spans="1:10" ht="15.75" hidden="1" thickBot="1" x14ac:dyDescent="0.3">
      <c r="A5820" s="172"/>
      <c r="B5820" s="175"/>
      <c r="C5820" s="54"/>
      <c r="D5820" s="155"/>
      <c r="E5820" s="65"/>
      <c r="F5820" s="75" t="s">
        <v>416</v>
      </c>
      <c r="G5820" s="75" t="str">
        <f>IF(ISNUMBER(F5820),E5820*F5820,"")</f>
        <v/>
      </c>
      <c r="H5820" s="76"/>
      <c r="I5820" s="73"/>
      <c r="J5820" s="152">
        <v>0</v>
      </c>
    </row>
    <row r="5821" spans="1:10" ht="15.75" hidden="1" thickBot="1" x14ac:dyDescent="0.3">
      <c r="A5821" s="170" t="s">
        <v>4636</v>
      </c>
      <c r="B5821" s="173" t="str">
        <f>INDEX(Orçamentária!A:B,MATCH(Composições!A5821,Orçamentária!A:A,0),2)</f>
        <v>Conector reto para eletroduto 2”</v>
      </c>
      <c r="C5821" s="40"/>
      <c r="D5821" s="25" t="s">
        <v>16</v>
      </c>
      <c r="E5821" s="26"/>
      <c r="F5821" s="48" t="s">
        <v>416</v>
      </c>
      <c r="G5821" s="27" t="str">
        <f>IF(ISNUMBER(F5821),E5821*F5821,"")</f>
        <v/>
      </c>
      <c r="H5821" s="28"/>
      <c r="I5821" s="29"/>
      <c r="J5821" s="152">
        <v>0</v>
      </c>
    </row>
    <row r="5822" spans="1:10" ht="15.75" hidden="1" thickBot="1" x14ac:dyDescent="0.3">
      <c r="A5822" s="171"/>
      <c r="B5822" s="174"/>
      <c r="C5822" s="31"/>
      <c r="D5822" s="31"/>
      <c r="E5822" s="32"/>
      <c r="F5822" s="53" t="s">
        <v>416</v>
      </c>
      <c r="G5822" s="53" t="str">
        <f>IF(ISNUMBER(F5822),E5822*F5822,"")</f>
        <v/>
      </c>
      <c r="H5822" s="72"/>
      <c r="I5822" s="73"/>
      <c r="J5822" s="152">
        <v>0</v>
      </c>
    </row>
    <row r="5823" spans="1:10" ht="39" hidden="1" thickBot="1" x14ac:dyDescent="0.3">
      <c r="A5823" s="171"/>
      <c r="B5823" s="174"/>
      <c r="C5823" s="35" t="s">
        <v>8094</v>
      </c>
      <c r="D5823" s="35" t="s">
        <v>213</v>
      </c>
      <c r="E5823" s="36">
        <v>1</v>
      </c>
      <c r="F5823" s="30">
        <v>7.7330000000000005</v>
      </c>
      <c r="G5823" s="53">
        <f>IF(ISNUMBER(F5823),E5823*F5823,"")</f>
        <v>7.7330000000000005</v>
      </c>
      <c r="H5823" s="38">
        <f>SUM(G5823:G5823)</f>
        <v>7.7330000000000005</v>
      </c>
      <c r="I5823" s="39"/>
      <c r="J5823" s="152">
        <v>0</v>
      </c>
    </row>
    <row r="5824" spans="1:10" ht="15.75" hidden="1" thickBot="1" x14ac:dyDescent="0.3">
      <c r="A5824" s="172"/>
      <c r="B5824" s="175"/>
      <c r="C5824" s="54"/>
      <c r="D5824" s="155"/>
      <c r="E5824" s="65"/>
      <c r="F5824" s="75" t="s">
        <v>416</v>
      </c>
      <c r="G5824" s="75" t="str">
        <f>IF(ISNUMBER(F5824),E5824*F5824,"")</f>
        <v/>
      </c>
      <c r="H5824" s="76"/>
      <c r="I5824" s="73"/>
      <c r="J5824" s="152">
        <v>0</v>
      </c>
    </row>
    <row r="5825" spans="1:10" ht="15.75" hidden="1" thickBot="1" x14ac:dyDescent="0.3">
      <c r="A5825" s="170" t="s">
        <v>4637</v>
      </c>
      <c r="B5825" s="173" t="str">
        <f>INDEX(Orçamentária!A:B,MATCH(Composições!A5825,Orçamentária!A:A,0),2)</f>
        <v>Conector curvo para eletroduto 2”</v>
      </c>
      <c r="C5825" s="40"/>
      <c r="D5825" s="25" t="s">
        <v>16</v>
      </c>
      <c r="E5825" s="26"/>
      <c r="F5825" s="48" t="s">
        <v>416</v>
      </c>
      <c r="G5825" s="27" t="str">
        <f>IF(ISNUMBER(F5825),E5825*F5825,"")</f>
        <v/>
      </c>
      <c r="H5825" s="28"/>
      <c r="I5825" s="29"/>
      <c r="J5825" s="152">
        <v>0</v>
      </c>
    </row>
    <row r="5826" spans="1:10" ht="15.75" hidden="1" thickBot="1" x14ac:dyDescent="0.3">
      <c r="A5826" s="171"/>
      <c r="B5826" s="174"/>
      <c r="C5826" s="31"/>
      <c r="D5826" s="31"/>
      <c r="E5826" s="32"/>
      <c r="F5826" s="53" t="s">
        <v>416</v>
      </c>
      <c r="G5826" s="53" t="str">
        <f>IF(ISNUMBER(F5826),E5826*F5826,"")</f>
        <v/>
      </c>
      <c r="H5826" s="72"/>
      <c r="I5826" s="73"/>
      <c r="J5826" s="152">
        <v>0</v>
      </c>
    </row>
    <row r="5827" spans="1:10" ht="39" hidden="1" thickBot="1" x14ac:dyDescent="0.3">
      <c r="A5827" s="171"/>
      <c r="B5827" s="174"/>
      <c r="C5827" s="35" t="s">
        <v>8087</v>
      </c>
      <c r="D5827" s="35" t="s">
        <v>213</v>
      </c>
      <c r="E5827" s="36">
        <v>1</v>
      </c>
      <c r="F5827" s="30">
        <v>39.500999999999998</v>
      </c>
      <c r="G5827" s="53">
        <f>IF(ISNUMBER(F5827),E5827*F5827,"")</f>
        <v>39.500999999999998</v>
      </c>
      <c r="H5827" s="38">
        <f>SUM(G5827:G5827)</f>
        <v>39.500999999999998</v>
      </c>
      <c r="I5827" s="39"/>
      <c r="J5827" s="152">
        <v>0</v>
      </c>
    </row>
    <row r="5828" spans="1:10" ht="15.75" hidden="1" thickBot="1" x14ac:dyDescent="0.3">
      <c r="A5828" s="172"/>
      <c r="B5828" s="175"/>
      <c r="C5828" s="54"/>
      <c r="D5828" s="155"/>
      <c r="E5828" s="65"/>
      <c r="F5828" s="75" t="s">
        <v>416</v>
      </c>
      <c r="G5828" s="75" t="str">
        <f>IF(ISNUMBER(F5828),E5828*F5828,"")</f>
        <v/>
      </c>
      <c r="H5828" s="76"/>
      <c r="I5828" s="73"/>
      <c r="J5828" s="152">
        <v>0</v>
      </c>
    </row>
    <row r="5829" spans="1:10" ht="15.75" hidden="1" thickBot="1" x14ac:dyDescent="0.3">
      <c r="A5829" s="170" t="s">
        <v>4638</v>
      </c>
      <c r="B5829" s="173" t="str">
        <f>INDEX(Orçamentária!A:B,MATCH(Composições!A5829,Orçamentária!A:A,0),2)</f>
        <v>Luva para eletroduto 2”</v>
      </c>
      <c r="C5829" s="40"/>
      <c r="D5829" s="25" t="s">
        <v>16</v>
      </c>
      <c r="E5829" s="26"/>
      <c r="F5829" s="48" t="s">
        <v>416</v>
      </c>
      <c r="G5829" s="27" t="str">
        <f>IF(ISNUMBER(F5829),E5829*F5829,"")</f>
        <v/>
      </c>
      <c r="H5829" s="28"/>
      <c r="I5829" s="29"/>
      <c r="J5829" s="152">
        <v>0</v>
      </c>
    </row>
    <row r="5830" spans="1:10" ht="15.75" hidden="1" thickBot="1" x14ac:dyDescent="0.3">
      <c r="A5830" s="171"/>
      <c r="B5830" s="174"/>
      <c r="C5830" s="31"/>
      <c r="D5830" s="31"/>
      <c r="E5830" s="32"/>
      <c r="F5830" s="53" t="s">
        <v>416</v>
      </c>
      <c r="G5830" s="53" t="str">
        <f>IF(ISNUMBER(F5830),E5830*F5830,"")</f>
        <v/>
      </c>
      <c r="H5830" s="72"/>
      <c r="I5830" s="73"/>
      <c r="J5830" s="152">
        <v>0</v>
      </c>
    </row>
    <row r="5831" spans="1:10" ht="26.25" hidden="1" thickBot="1" x14ac:dyDescent="0.3">
      <c r="A5831" s="171"/>
      <c r="B5831" s="174"/>
      <c r="C5831" s="35" t="s">
        <v>8265</v>
      </c>
      <c r="D5831" s="35" t="s">
        <v>213</v>
      </c>
      <c r="E5831" s="36">
        <v>1</v>
      </c>
      <c r="F5831" s="30">
        <v>7.2770000000000001</v>
      </c>
      <c r="G5831" s="53">
        <f>IF(ISNUMBER(F5831),E5831*F5831,"")</f>
        <v>7.2770000000000001</v>
      </c>
      <c r="H5831" s="38">
        <f>SUM(G5831:G5831)</f>
        <v>7.2770000000000001</v>
      </c>
      <c r="I5831" s="39"/>
      <c r="J5831" s="152">
        <v>0</v>
      </c>
    </row>
    <row r="5832" spans="1:10" ht="15.75" hidden="1" thickBot="1" x14ac:dyDescent="0.3">
      <c r="A5832" s="172"/>
      <c r="B5832" s="175"/>
      <c r="C5832" s="54"/>
      <c r="D5832" s="155"/>
      <c r="E5832" s="65"/>
      <c r="F5832" s="75" t="s">
        <v>416</v>
      </c>
      <c r="G5832" s="75" t="str">
        <f>IF(ISNUMBER(F5832),E5832*F5832,"")</f>
        <v/>
      </c>
      <c r="H5832" s="76"/>
      <c r="I5832" s="73"/>
      <c r="J5832" s="152">
        <v>0</v>
      </c>
    </row>
    <row r="5833" spans="1:10" ht="15.75" hidden="1" thickBot="1" x14ac:dyDescent="0.3">
      <c r="A5833" s="170" t="s">
        <v>4640</v>
      </c>
      <c r="B5833" s="173" t="str">
        <f>INDEX(Orçamentária!A:B,MATCH(Composições!A5833,Orçamentária!A:A,0),2)</f>
        <v>Curva para eletroduto 2”</v>
      </c>
      <c r="C5833" s="40"/>
      <c r="D5833" s="25" t="s">
        <v>16</v>
      </c>
      <c r="E5833" s="26"/>
      <c r="F5833" s="48" t="s">
        <v>416</v>
      </c>
      <c r="G5833" s="27" t="str">
        <f>IF(ISNUMBER(F5833),E5833*F5833,"")</f>
        <v/>
      </c>
      <c r="H5833" s="28"/>
      <c r="I5833" s="29"/>
      <c r="J5833" s="152">
        <v>0</v>
      </c>
    </row>
    <row r="5834" spans="1:10" ht="15.75" hidden="1" thickBot="1" x14ac:dyDescent="0.3">
      <c r="A5834" s="171"/>
      <c r="B5834" s="174"/>
      <c r="C5834" s="31"/>
      <c r="D5834" s="31"/>
      <c r="E5834" s="32"/>
      <c r="F5834" s="53" t="s">
        <v>416</v>
      </c>
      <c r="G5834" s="53" t="str">
        <f>IF(ISNUMBER(F5834),E5834*F5834,"")</f>
        <v/>
      </c>
      <c r="H5834" s="72"/>
      <c r="I5834" s="73"/>
      <c r="J5834" s="152">
        <v>0</v>
      </c>
    </row>
    <row r="5835" spans="1:10" ht="26.25" hidden="1" thickBot="1" x14ac:dyDescent="0.3">
      <c r="A5835" s="171"/>
      <c r="B5835" s="174"/>
      <c r="C5835" s="35" t="s">
        <v>8131</v>
      </c>
      <c r="D5835" s="35" t="s">
        <v>213</v>
      </c>
      <c r="E5835" s="36">
        <v>1</v>
      </c>
      <c r="F5835" s="30">
        <v>25.7165</v>
      </c>
      <c r="G5835" s="53">
        <f>IF(ISNUMBER(F5835),E5835*F5835,"")</f>
        <v>25.7165</v>
      </c>
      <c r="H5835" s="38">
        <f>SUM(G5835:G5835)</f>
        <v>25.7165</v>
      </c>
      <c r="I5835" s="39"/>
      <c r="J5835" s="152">
        <v>0</v>
      </c>
    </row>
    <row r="5836" spans="1:10" ht="15.75" hidden="1" thickBot="1" x14ac:dyDescent="0.3">
      <c r="A5836" s="172"/>
      <c r="B5836" s="175"/>
      <c r="C5836" s="54"/>
      <c r="D5836" s="155"/>
      <c r="E5836" s="65"/>
      <c r="F5836" s="75" t="s">
        <v>416</v>
      </c>
      <c r="G5836" s="75" t="str">
        <f>IF(ISNUMBER(F5836),E5836*F5836,"")</f>
        <v/>
      </c>
      <c r="H5836" s="76"/>
      <c r="I5836" s="73"/>
      <c r="J5836" s="152">
        <v>0</v>
      </c>
    </row>
    <row r="5837" spans="1:10" ht="15.75" hidden="1" thickBot="1" x14ac:dyDescent="0.3">
      <c r="A5837" s="170" t="s">
        <v>4642</v>
      </c>
      <c r="B5837" s="173" t="str">
        <f>INDEX(Orçamentária!A:B,MATCH(Composições!A5837,Orçamentária!A:A,0),2)</f>
        <v>Conector curvo para eletroduto 2 1/2”</v>
      </c>
      <c r="C5837" s="40"/>
      <c r="D5837" s="25" t="s">
        <v>16</v>
      </c>
      <c r="E5837" s="26"/>
      <c r="F5837" s="48" t="s">
        <v>416</v>
      </c>
      <c r="G5837" s="27" t="str">
        <f>IF(ISNUMBER(F5837),E5837*F5837,"")</f>
        <v/>
      </c>
      <c r="H5837" s="28"/>
      <c r="I5837" s="29"/>
      <c r="J5837" s="152">
        <v>0</v>
      </c>
    </row>
    <row r="5838" spans="1:10" ht="15.75" hidden="1" thickBot="1" x14ac:dyDescent="0.3">
      <c r="A5838" s="171"/>
      <c r="B5838" s="174"/>
      <c r="C5838" s="31"/>
      <c r="D5838" s="31"/>
      <c r="E5838" s="32"/>
      <c r="F5838" s="53" t="s">
        <v>416</v>
      </c>
      <c r="G5838" s="53" t="str">
        <f>IF(ISNUMBER(F5838),E5838*F5838,"")</f>
        <v/>
      </c>
      <c r="H5838" s="72"/>
      <c r="I5838" s="73"/>
      <c r="J5838" s="152">
        <v>0</v>
      </c>
    </row>
    <row r="5839" spans="1:10" ht="39" hidden="1" thickBot="1" x14ac:dyDescent="0.3">
      <c r="A5839" s="171"/>
      <c r="B5839" s="174"/>
      <c r="C5839" s="35" t="s">
        <v>8086</v>
      </c>
      <c r="D5839" s="35" t="s">
        <v>213</v>
      </c>
      <c r="E5839" s="36">
        <v>1</v>
      </c>
      <c r="F5839" s="30">
        <v>92.786500000000004</v>
      </c>
      <c r="G5839" s="53">
        <f>IF(ISNUMBER(F5839),E5839*F5839,"")</f>
        <v>92.786500000000004</v>
      </c>
      <c r="H5839" s="38">
        <f>SUM(G5839:G5839)</f>
        <v>92.786500000000004</v>
      </c>
      <c r="I5839" s="39"/>
      <c r="J5839" s="152">
        <v>0</v>
      </c>
    </row>
    <row r="5840" spans="1:10" ht="15.75" hidden="1" thickBot="1" x14ac:dyDescent="0.3">
      <c r="A5840" s="172"/>
      <c r="B5840" s="175"/>
      <c r="C5840" s="54"/>
      <c r="D5840" s="155"/>
      <c r="E5840" s="65"/>
      <c r="F5840" s="75" t="s">
        <v>416</v>
      </c>
      <c r="G5840" s="75" t="str">
        <f>IF(ISNUMBER(F5840),E5840*F5840,"")</f>
        <v/>
      </c>
      <c r="H5840" s="76"/>
      <c r="I5840" s="73"/>
      <c r="J5840" s="152">
        <v>0</v>
      </c>
    </row>
    <row r="5841" spans="1:10" ht="15.75" hidden="1" thickBot="1" x14ac:dyDescent="0.3">
      <c r="A5841" s="170" t="s">
        <v>4643</v>
      </c>
      <c r="B5841" s="173" t="str">
        <f>INDEX(Orçamentária!A:B,MATCH(Composições!A5841,Orçamentária!A:A,0),2)</f>
        <v>Luva para eletroduto 2 1/2”</v>
      </c>
      <c r="C5841" s="40"/>
      <c r="D5841" s="25" t="s">
        <v>16</v>
      </c>
      <c r="E5841" s="26"/>
      <c r="F5841" s="48" t="s">
        <v>416</v>
      </c>
      <c r="G5841" s="27" t="str">
        <f>IF(ISNUMBER(F5841),E5841*F5841,"")</f>
        <v/>
      </c>
      <c r="H5841" s="28"/>
      <c r="I5841" s="29"/>
      <c r="J5841" s="152">
        <v>0</v>
      </c>
    </row>
    <row r="5842" spans="1:10" ht="15.75" hidden="1" thickBot="1" x14ac:dyDescent="0.3">
      <c r="A5842" s="171"/>
      <c r="B5842" s="174"/>
      <c r="C5842" s="31"/>
      <c r="D5842" s="31"/>
      <c r="E5842" s="32"/>
      <c r="F5842" s="53" t="s">
        <v>416</v>
      </c>
      <c r="G5842" s="53" t="str">
        <f>IF(ISNUMBER(F5842),E5842*F5842,"")</f>
        <v/>
      </c>
      <c r="H5842" s="72"/>
      <c r="I5842" s="73"/>
      <c r="J5842" s="152">
        <v>0</v>
      </c>
    </row>
    <row r="5843" spans="1:10" ht="26.25" hidden="1" thickBot="1" x14ac:dyDescent="0.3">
      <c r="A5843" s="171"/>
      <c r="B5843" s="174"/>
      <c r="C5843" s="35" t="s">
        <v>8266</v>
      </c>
      <c r="D5843" s="35" t="s">
        <v>213</v>
      </c>
      <c r="E5843" s="36">
        <v>1</v>
      </c>
      <c r="F5843" s="30">
        <v>10.620999999999999</v>
      </c>
      <c r="G5843" s="53">
        <f>IF(ISNUMBER(F5843),E5843*F5843,"")</f>
        <v>10.620999999999999</v>
      </c>
      <c r="H5843" s="38">
        <f>SUM(G5843:G5843)</f>
        <v>10.620999999999999</v>
      </c>
      <c r="I5843" s="39"/>
      <c r="J5843" s="152">
        <v>0</v>
      </c>
    </row>
    <row r="5844" spans="1:10" ht="15.75" hidden="1" thickBot="1" x14ac:dyDescent="0.3">
      <c r="A5844" s="172"/>
      <c r="B5844" s="175"/>
      <c r="C5844" s="54"/>
      <c r="D5844" s="155"/>
      <c r="E5844" s="65"/>
      <c r="F5844" s="75" t="s">
        <v>416</v>
      </c>
      <c r="G5844" s="75" t="str">
        <f>IF(ISNUMBER(F5844),E5844*F5844,"")</f>
        <v/>
      </c>
      <c r="H5844" s="76"/>
      <c r="I5844" s="73"/>
      <c r="J5844" s="152">
        <v>0</v>
      </c>
    </row>
    <row r="5845" spans="1:10" ht="15.75" hidden="1" thickBot="1" x14ac:dyDescent="0.3">
      <c r="A5845" s="170" t="s">
        <v>4645</v>
      </c>
      <c r="B5845" s="173" t="str">
        <f>INDEX(Orçamentária!A:B,MATCH(Composições!A5845,Orçamentária!A:A,0),2)</f>
        <v>Curva para eletroduto 2 1/2”</v>
      </c>
      <c r="C5845" s="40"/>
      <c r="D5845" s="25" t="s">
        <v>16</v>
      </c>
      <c r="E5845" s="26"/>
      <c r="F5845" s="48" t="s">
        <v>416</v>
      </c>
      <c r="G5845" s="27" t="str">
        <f>IF(ISNUMBER(F5845),E5845*F5845,"")</f>
        <v/>
      </c>
      <c r="H5845" s="28"/>
      <c r="I5845" s="29"/>
      <c r="J5845" s="152">
        <v>0</v>
      </c>
    </row>
    <row r="5846" spans="1:10" ht="15.75" hidden="1" thickBot="1" x14ac:dyDescent="0.3">
      <c r="A5846" s="171"/>
      <c r="B5846" s="174"/>
      <c r="C5846" s="31"/>
      <c r="D5846" s="31"/>
      <c r="E5846" s="32"/>
      <c r="F5846" s="53" t="s">
        <v>416</v>
      </c>
      <c r="G5846" s="53" t="str">
        <f>IF(ISNUMBER(F5846),E5846*F5846,"")</f>
        <v/>
      </c>
      <c r="H5846" s="72"/>
      <c r="I5846" s="73"/>
      <c r="J5846" s="152">
        <v>0</v>
      </c>
    </row>
    <row r="5847" spans="1:10" ht="26.25" hidden="1" thickBot="1" x14ac:dyDescent="0.3">
      <c r="A5847" s="171"/>
      <c r="B5847" s="174"/>
      <c r="C5847" s="35" t="s">
        <v>8132</v>
      </c>
      <c r="D5847" s="35" t="s">
        <v>213</v>
      </c>
      <c r="E5847" s="36">
        <v>1</v>
      </c>
      <c r="F5847" s="30">
        <v>65.122499999999988</v>
      </c>
      <c r="G5847" s="53">
        <f>IF(ISNUMBER(F5847),E5847*F5847,"")</f>
        <v>65.122499999999988</v>
      </c>
      <c r="H5847" s="38">
        <f>SUM(G5847:G5847)</f>
        <v>65.122499999999988</v>
      </c>
      <c r="I5847" s="39"/>
      <c r="J5847" s="152">
        <v>0</v>
      </c>
    </row>
    <row r="5848" spans="1:10" ht="15.75" hidden="1" thickBot="1" x14ac:dyDescent="0.3">
      <c r="A5848" s="172"/>
      <c r="B5848" s="175"/>
      <c r="C5848" s="54"/>
      <c r="D5848" s="155"/>
      <c r="E5848" s="65"/>
      <c r="F5848" s="75" t="s">
        <v>416</v>
      </c>
      <c r="G5848" s="75" t="str">
        <f>IF(ISNUMBER(F5848),E5848*F5848,"")</f>
        <v/>
      </c>
      <c r="H5848" s="76"/>
      <c r="I5848" s="73"/>
      <c r="J5848" s="152">
        <v>0</v>
      </c>
    </row>
    <row r="5849" spans="1:10" ht="15.75" hidden="1" thickBot="1" x14ac:dyDescent="0.3">
      <c r="A5849" s="170" t="s">
        <v>4646</v>
      </c>
      <c r="B5849" s="173" t="str">
        <f>INDEX(Orçamentária!A:B,MATCH(Composições!A5849,Orçamentária!A:A,0),2)</f>
        <v>Conector reto para eletroduto 3”</v>
      </c>
      <c r="C5849" s="40"/>
      <c r="D5849" s="25" t="s">
        <v>16</v>
      </c>
      <c r="E5849" s="26"/>
      <c r="F5849" s="48" t="s">
        <v>416</v>
      </c>
      <c r="G5849" s="27" t="str">
        <f>IF(ISNUMBER(F5849),E5849*F5849,"")</f>
        <v/>
      </c>
      <c r="H5849" s="28"/>
      <c r="I5849" s="29"/>
      <c r="J5849" s="152">
        <v>0</v>
      </c>
    </row>
    <row r="5850" spans="1:10" ht="15.75" hidden="1" thickBot="1" x14ac:dyDescent="0.3">
      <c r="A5850" s="171"/>
      <c r="B5850" s="174"/>
      <c r="C5850" s="31"/>
      <c r="D5850" s="31"/>
      <c r="E5850" s="32"/>
      <c r="F5850" s="53" t="s">
        <v>416</v>
      </c>
      <c r="G5850" s="53" t="str">
        <f>IF(ISNUMBER(F5850),E5850*F5850,"")</f>
        <v/>
      </c>
      <c r="H5850" s="72"/>
      <c r="I5850" s="73"/>
      <c r="J5850" s="152">
        <v>0</v>
      </c>
    </row>
    <row r="5851" spans="1:10" ht="39" hidden="1" thickBot="1" x14ac:dyDescent="0.3">
      <c r="A5851" s="171"/>
      <c r="B5851" s="174"/>
      <c r="C5851" s="35" t="s">
        <v>8096</v>
      </c>
      <c r="D5851" s="35" t="s">
        <v>213</v>
      </c>
      <c r="E5851" s="36">
        <v>1</v>
      </c>
      <c r="F5851" s="30">
        <v>25.497999999999998</v>
      </c>
      <c r="G5851" s="53">
        <f>IF(ISNUMBER(F5851),E5851*F5851,"")</f>
        <v>25.497999999999998</v>
      </c>
      <c r="H5851" s="38">
        <f>SUM(G5851:G5851)</f>
        <v>25.497999999999998</v>
      </c>
      <c r="I5851" s="39"/>
      <c r="J5851" s="152">
        <v>0</v>
      </c>
    </row>
    <row r="5852" spans="1:10" ht="15.75" hidden="1" thickBot="1" x14ac:dyDescent="0.3">
      <c r="A5852" s="172"/>
      <c r="B5852" s="175"/>
      <c r="C5852" s="54"/>
      <c r="D5852" s="155"/>
      <c r="E5852" s="65"/>
      <c r="F5852" s="75" t="s">
        <v>416</v>
      </c>
      <c r="G5852" s="75" t="str">
        <f>IF(ISNUMBER(F5852),E5852*F5852,"")</f>
        <v/>
      </c>
      <c r="H5852" s="76"/>
      <c r="I5852" s="73"/>
      <c r="J5852" s="152">
        <v>0</v>
      </c>
    </row>
    <row r="5853" spans="1:10" ht="15.75" hidden="1" thickBot="1" x14ac:dyDescent="0.3">
      <c r="A5853" s="170" t="s">
        <v>4647</v>
      </c>
      <c r="B5853" s="173" t="str">
        <f>INDEX(Orçamentária!A:B,MATCH(Composições!A5853,Orçamentária!A:A,0),2)</f>
        <v>Conector curvo para eletroduto 3”</v>
      </c>
      <c r="C5853" s="40"/>
      <c r="D5853" s="25" t="s">
        <v>16</v>
      </c>
      <c r="E5853" s="26"/>
      <c r="F5853" s="48" t="s">
        <v>416</v>
      </c>
      <c r="G5853" s="27" t="str">
        <f>IF(ISNUMBER(F5853),E5853*F5853,"")</f>
        <v/>
      </c>
      <c r="H5853" s="28"/>
      <c r="I5853" s="29"/>
      <c r="J5853" s="152">
        <v>0</v>
      </c>
    </row>
    <row r="5854" spans="1:10" ht="15.75" hidden="1" thickBot="1" x14ac:dyDescent="0.3">
      <c r="A5854" s="171"/>
      <c r="B5854" s="174"/>
      <c r="C5854" s="31"/>
      <c r="D5854" s="31"/>
      <c r="E5854" s="32"/>
      <c r="F5854" s="53" t="s">
        <v>416</v>
      </c>
      <c r="G5854" s="53" t="str">
        <f>IF(ISNUMBER(F5854),E5854*F5854,"")</f>
        <v/>
      </c>
      <c r="H5854" s="72"/>
      <c r="I5854" s="73"/>
      <c r="J5854" s="152">
        <v>0</v>
      </c>
    </row>
    <row r="5855" spans="1:10" ht="39" hidden="1" thickBot="1" x14ac:dyDescent="0.3">
      <c r="A5855" s="171"/>
      <c r="B5855" s="174"/>
      <c r="C5855" s="35" t="s">
        <v>8089</v>
      </c>
      <c r="D5855" s="35" t="s">
        <v>213</v>
      </c>
      <c r="E5855" s="36">
        <v>1</v>
      </c>
      <c r="F5855" s="30">
        <v>111.88149999999999</v>
      </c>
      <c r="G5855" s="53">
        <f>IF(ISNUMBER(F5855),E5855*F5855,"")</f>
        <v>111.88149999999999</v>
      </c>
      <c r="H5855" s="38">
        <f>SUM(G5855:G5855)</f>
        <v>111.88149999999999</v>
      </c>
      <c r="I5855" s="39"/>
      <c r="J5855" s="152">
        <v>0</v>
      </c>
    </row>
    <row r="5856" spans="1:10" ht="15.75" hidden="1" thickBot="1" x14ac:dyDescent="0.3">
      <c r="A5856" s="172"/>
      <c r="B5856" s="175"/>
      <c r="C5856" s="54"/>
      <c r="D5856" s="155"/>
      <c r="E5856" s="65"/>
      <c r="F5856" s="75" t="s">
        <v>416</v>
      </c>
      <c r="G5856" s="75" t="str">
        <f>IF(ISNUMBER(F5856),E5856*F5856,"")</f>
        <v/>
      </c>
      <c r="H5856" s="76"/>
      <c r="I5856" s="73"/>
      <c r="J5856" s="152">
        <v>0</v>
      </c>
    </row>
    <row r="5857" spans="1:10" ht="15.75" hidden="1" thickBot="1" x14ac:dyDescent="0.3">
      <c r="A5857" s="170" t="s">
        <v>4648</v>
      </c>
      <c r="B5857" s="173" t="str">
        <f>INDEX(Orçamentária!A:B,MATCH(Composições!A5857,Orçamentária!A:A,0),2)</f>
        <v>Luva para eletroduto 3”</v>
      </c>
      <c r="C5857" s="40"/>
      <c r="D5857" s="25" t="s">
        <v>16</v>
      </c>
      <c r="E5857" s="26"/>
      <c r="F5857" s="48" t="s">
        <v>416</v>
      </c>
      <c r="G5857" s="27" t="str">
        <f>IF(ISNUMBER(F5857),E5857*F5857,"")</f>
        <v/>
      </c>
      <c r="H5857" s="28"/>
      <c r="I5857" s="29"/>
      <c r="J5857" s="152">
        <v>0</v>
      </c>
    </row>
    <row r="5858" spans="1:10" ht="15.75" hidden="1" thickBot="1" x14ac:dyDescent="0.3">
      <c r="A5858" s="171"/>
      <c r="B5858" s="174"/>
      <c r="C5858" s="31"/>
      <c r="D5858" s="31"/>
      <c r="E5858" s="32"/>
      <c r="F5858" s="53" t="s">
        <v>416</v>
      </c>
      <c r="G5858" s="53" t="str">
        <f>IF(ISNUMBER(F5858),E5858*F5858,"")</f>
        <v/>
      </c>
      <c r="H5858" s="72"/>
      <c r="I5858" s="73"/>
      <c r="J5858" s="152">
        <v>0</v>
      </c>
    </row>
    <row r="5859" spans="1:10" ht="26.25" hidden="1" thickBot="1" x14ac:dyDescent="0.3">
      <c r="A5859" s="171"/>
      <c r="B5859" s="174"/>
      <c r="C5859" s="35" t="s">
        <v>8267</v>
      </c>
      <c r="D5859" s="35" t="s">
        <v>213</v>
      </c>
      <c r="E5859" s="36">
        <v>1</v>
      </c>
      <c r="F5859" s="30">
        <v>16.1785</v>
      </c>
      <c r="G5859" s="53">
        <f>IF(ISNUMBER(F5859),E5859*F5859,"")</f>
        <v>16.1785</v>
      </c>
      <c r="H5859" s="38">
        <f>SUM(G5859:G5859)</f>
        <v>16.1785</v>
      </c>
      <c r="I5859" s="39"/>
      <c r="J5859" s="152">
        <v>0</v>
      </c>
    </row>
    <row r="5860" spans="1:10" ht="15.75" hidden="1" thickBot="1" x14ac:dyDescent="0.3">
      <c r="A5860" s="172"/>
      <c r="B5860" s="175"/>
      <c r="C5860" s="54"/>
      <c r="D5860" s="155"/>
      <c r="E5860" s="65"/>
      <c r="F5860" s="75" t="s">
        <v>416</v>
      </c>
      <c r="G5860" s="75" t="str">
        <f>IF(ISNUMBER(F5860),E5860*F5860,"")</f>
        <v/>
      </c>
      <c r="H5860" s="76"/>
      <c r="I5860" s="73"/>
      <c r="J5860" s="152">
        <v>0</v>
      </c>
    </row>
    <row r="5861" spans="1:10" ht="15.75" hidden="1" thickBot="1" x14ac:dyDescent="0.3">
      <c r="A5861" s="170" t="s">
        <v>4650</v>
      </c>
      <c r="B5861" s="173" t="str">
        <f>INDEX(Orçamentária!A:B,MATCH(Composições!A5861,Orçamentária!A:A,0),2)</f>
        <v>Curva para eletroduto 3”</v>
      </c>
      <c r="C5861" s="40"/>
      <c r="D5861" s="25" t="s">
        <v>16</v>
      </c>
      <c r="E5861" s="26"/>
      <c r="F5861" s="48" t="s">
        <v>416</v>
      </c>
      <c r="G5861" s="27" t="str">
        <f>IF(ISNUMBER(F5861),E5861*F5861,"")</f>
        <v/>
      </c>
      <c r="H5861" s="28"/>
      <c r="I5861" s="29"/>
      <c r="J5861" s="152">
        <v>0</v>
      </c>
    </row>
    <row r="5862" spans="1:10" ht="15.75" hidden="1" thickBot="1" x14ac:dyDescent="0.3">
      <c r="A5862" s="171"/>
      <c r="B5862" s="174"/>
      <c r="C5862" s="31"/>
      <c r="D5862" s="31"/>
      <c r="E5862" s="32"/>
      <c r="F5862" s="53" t="s">
        <v>416</v>
      </c>
      <c r="G5862" s="53" t="str">
        <f>IF(ISNUMBER(F5862),E5862*F5862,"")</f>
        <v/>
      </c>
      <c r="H5862" s="72"/>
      <c r="I5862" s="73"/>
      <c r="J5862" s="152">
        <v>0</v>
      </c>
    </row>
    <row r="5863" spans="1:10" ht="26.25" hidden="1" thickBot="1" x14ac:dyDescent="0.3">
      <c r="A5863" s="171"/>
      <c r="B5863" s="174"/>
      <c r="C5863" s="35" t="s">
        <v>8133</v>
      </c>
      <c r="D5863" s="35" t="s">
        <v>213</v>
      </c>
      <c r="E5863" s="36">
        <v>1</v>
      </c>
      <c r="F5863" s="30">
        <v>85.5</v>
      </c>
      <c r="G5863" s="53">
        <f>IF(ISNUMBER(F5863),E5863*F5863,"")</f>
        <v>85.5</v>
      </c>
      <c r="H5863" s="38">
        <f>SUM(G5863:G5863)</f>
        <v>85.5</v>
      </c>
      <c r="I5863" s="39"/>
      <c r="J5863" s="152">
        <v>0</v>
      </c>
    </row>
    <row r="5864" spans="1:10" ht="15.75" hidden="1" thickBot="1" x14ac:dyDescent="0.3">
      <c r="A5864" s="172"/>
      <c r="B5864" s="175"/>
      <c r="C5864" s="54"/>
      <c r="D5864" s="155"/>
      <c r="E5864" s="65"/>
      <c r="F5864" s="75" t="s">
        <v>416</v>
      </c>
      <c r="G5864" s="75" t="str">
        <f>IF(ISNUMBER(F5864),E5864*F5864,"")</f>
        <v/>
      </c>
      <c r="H5864" s="76"/>
      <c r="I5864" s="73"/>
      <c r="J5864" s="152">
        <v>0</v>
      </c>
    </row>
    <row r="5865" spans="1:10" ht="15.75" hidden="1" thickBot="1" x14ac:dyDescent="0.3">
      <c r="A5865" s="170" t="s">
        <v>4651</v>
      </c>
      <c r="B5865" s="173" t="str">
        <f>INDEX(Orçamentária!A:B,MATCH(Composições!A5865,Orçamentária!A:A,0),2)</f>
        <v>Conector reto para eletroduto 4”</v>
      </c>
      <c r="C5865" s="40"/>
      <c r="D5865" s="25" t="s">
        <v>16</v>
      </c>
      <c r="E5865" s="26"/>
      <c r="F5865" s="48" t="s">
        <v>416</v>
      </c>
      <c r="G5865" s="27" t="str">
        <f>IF(ISNUMBER(F5865),E5865*F5865,"")</f>
        <v/>
      </c>
      <c r="H5865" s="28"/>
      <c r="I5865" s="29"/>
      <c r="J5865" s="152">
        <v>0</v>
      </c>
    </row>
    <row r="5866" spans="1:10" ht="15.75" hidden="1" thickBot="1" x14ac:dyDescent="0.3">
      <c r="A5866" s="171"/>
      <c r="B5866" s="174"/>
      <c r="C5866" s="31"/>
      <c r="D5866" s="31"/>
      <c r="E5866" s="32"/>
      <c r="F5866" s="53" t="s">
        <v>416</v>
      </c>
      <c r="G5866" s="53" t="str">
        <f>IF(ISNUMBER(F5866),E5866*F5866,"")</f>
        <v/>
      </c>
      <c r="H5866" s="72"/>
      <c r="I5866" s="73"/>
      <c r="J5866" s="152">
        <v>0</v>
      </c>
    </row>
    <row r="5867" spans="1:10" ht="39" hidden="1" thickBot="1" x14ac:dyDescent="0.3">
      <c r="A5867" s="171"/>
      <c r="B5867" s="174"/>
      <c r="C5867" s="35" t="s">
        <v>8097</v>
      </c>
      <c r="D5867" s="35" t="s">
        <v>213</v>
      </c>
      <c r="E5867" s="36">
        <v>1</v>
      </c>
      <c r="F5867" s="30">
        <v>39.966499999999996</v>
      </c>
      <c r="G5867" s="53">
        <f>IF(ISNUMBER(F5867),E5867*F5867,"")</f>
        <v>39.966499999999996</v>
      </c>
      <c r="H5867" s="38">
        <f>SUM(G5867:G5867)</f>
        <v>39.966499999999996</v>
      </c>
      <c r="I5867" s="39"/>
      <c r="J5867" s="152">
        <v>0</v>
      </c>
    </row>
    <row r="5868" spans="1:10" ht="15.75" hidden="1" thickBot="1" x14ac:dyDescent="0.3">
      <c r="A5868" s="172"/>
      <c r="B5868" s="175"/>
      <c r="C5868" s="54"/>
      <c r="D5868" s="155"/>
      <c r="E5868" s="65"/>
      <c r="F5868" s="75" t="s">
        <v>416</v>
      </c>
      <c r="G5868" s="75" t="str">
        <f>IF(ISNUMBER(F5868),E5868*F5868,"")</f>
        <v/>
      </c>
      <c r="H5868" s="76"/>
      <c r="I5868" s="73"/>
      <c r="J5868" s="152">
        <v>0</v>
      </c>
    </row>
    <row r="5869" spans="1:10" ht="15.75" hidden="1" thickBot="1" x14ac:dyDescent="0.3">
      <c r="A5869" s="170" t="s">
        <v>4652</v>
      </c>
      <c r="B5869" s="173" t="str">
        <f>INDEX(Orçamentária!A:B,MATCH(Composições!A5869,Orçamentária!A:A,0),2)</f>
        <v>Conector curvo para eletroduto 4”</v>
      </c>
      <c r="C5869" s="40"/>
      <c r="D5869" s="25" t="s">
        <v>16</v>
      </c>
      <c r="E5869" s="26"/>
      <c r="F5869" s="48" t="s">
        <v>416</v>
      </c>
      <c r="G5869" s="27" t="str">
        <f>IF(ISNUMBER(F5869),E5869*F5869,"")</f>
        <v/>
      </c>
      <c r="H5869" s="28"/>
      <c r="I5869" s="29"/>
      <c r="J5869" s="152">
        <v>0</v>
      </c>
    </row>
    <row r="5870" spans="1:10" ht="15.75" hidden="1" thickBot="1" x14ac:dyDescent="0.3">
      <c r="A5870" s="171"/>
      <c r="B5870" s="174"/>
      <c r="C5870" s="31"/>
      <c r="D5870" s="31"/>
      <c r="E5870" s="32"/>
      <c r="F5870" s="53" t="s">
        <v>416</v>
      </c>
      <c r="G5870" s="53" t="str">
        <f>IF(ISNUMBER(F5870),E5870*F5870,"")</f>
        <v/>
      </c>
      <c r="H5870" s="72"/>
      <c r="I5870" s="73"/>
      <c r="J5870" s="152">
        <v>0</v>
      </c>
    </row>
    <row r="5871" spans="1:10" ht="39" hidden="1" thickBot="1" x14ac:dyDescent="0.3">
      <c r="A5871" s="171"/>
      <c r="B5871" s="174"/>
      <c r="C5871" s="35" t="s">
        <v>8090</v>
      </c>
      <c r="D5871" s="35" t="s">
        <v>213</v>
      </c>
      <c r="E5871" s="36">
        <v>1</v>
      </c>
      <c r="F5871" s="30">
        <v>205.92199999999997</v>
      </c>
      <c r="G5871" s="53">
        <f>IF(ISNUMBER(F5871),E5871*F5871,"")</f>
        <v>205.92199999999997</v>
      </c>
      <c r="H5871" s="38">
        <f>SUM(G5871:G5871)</f>
        <v>205.92199999999997</v>
      </c>
      <c r="I5871" s="39"/>
      <c r="J5871" s="152">
        <v>0</v>
      </c>
    </row>
    <row r="5872" spans="1:10" ht="15.75" hidden="1" thickBot="1" x14ac:dyDescent="0.3">
      <c r="A5872" s="172"/>
      <c r="B5872" s="175"/>
      <c r="C5872" s="54"/>
      <c r="D5872" s="155"/>
      <c r="E5872" s="65"/>
      <c r="F5872" s="75" t="s">
        <v>416</v>
      </c>
      <c r="G5872" s="75" t="str">
        <f>IF(ISNUMBER(F5872),E5872*F5872,"")</f>
        <v/>
      </c>
      <c r="H5872" s="76"/>
      <c r="I5872" s="73"/>
      <c r="J5872" s="152">
        <v>0</v>
      </c>
    </row>
    <row r="5873" spans="1:10" ht="15.75" hidden="1" thickBot="1" x14ac:dyDescent="0.3">
      <c r="A5873" s="170" t="s">
        <v>4653</v>
      </c>
      <c r="B5873" s="173" t="str">
        <f>INDEX(Orçamentária!A:B,MATCH(Composições!A5873,Orçamentária!A:A,0),2)</f>
        <v>Luva para eletroduto 4”</v>
      </c>
      <c r="C5873" s="40"/>
      <c r="D5873" s="25" t="s">
        <v>16</v>
      </c>
      <c r="E5873" s="26"/>
      <c r="F5873" s="48" t="s">
        <v>416</v>
      </c>
      <c r="G5873" s="27" t="str">
        <f>IF(ISNUMBER(F5873),E5873*F5873,"")</f>
        <v/>
      </c>
      <c r="H5873" s="28"/>
      <c r="I5873" s="29"/>
      <c r="J5873" s="152">
        <v>0</v>
      </c>
    </row>
    <row r="5874" spans="1:10" ht="15.75" hidden="1" thickBot="1" x14ac:dyDescent="0.3">
      <c r="A5874" s="171"/>
      <c r="B5874" s="174"/>
      <c r="C5874" s="31"/>
      <c r="D5874" s="31"/>
      <c r="E5874" s="32"/>
      <c r="F5874" s="53" t="s">
        <v>416</v>
      </c>
      <c r="G5874" s="53" t="str">
        <f>IF(ISNUMBER(F5874),E5874*F5874,"")</f>
        <v/>
      </c>
      <c r="H5874" s="72"/>
      <c r="I5874" s="73"/>
      <c r="J5874" s="152">
        <v>0</v>
      </c>
    </row>
    <row r="5875" spans="1:10" ht="26.25" hidden="1" thickBot="1" x14ac:dyDescent="0.3">
      <c r="A5875" s="171"/>
      <c r="B5875" s="174"/>
      <c r="C5875" s="35" t="s">
        <v>8259</v>
      </c>
      <c r="D5875" s="35" t="s">
        <v>213</v>
      </c>
      <c r="E5875" s="36">
        <v>1</v>
      </c>
      <c r="F5875" s="30">
        <v>25.526499999999999</v>
      </c>
      <c r="G5875" s="53">
        <f>IF(ISNUMBER(F5875),E5875*F5875,"")</f>
        <v>25.526499999999999</v>
      </c>
      <c r="H5875" s="38">
        <f>SUM(G5875:G5875)</f>
        <v>25.526499999999999</v>
      </c>
      <c r="I5875" s="39"/>
      <c r="J5875" s="152">
        <v>0</v>
      </c>
    </row>
    <row r="5876" spans="1:10" ht="15.75" hidden="1" thickBot="1" x14ac:dyDescent="0.3">
      <c r="A5876" s="172"/>
      <c r="B5876" s="175"/>
      <c r="C5876" s="54"/>
      <c r="D5876" s="155"/>
      <c r="E5876" s="65"/>
      <c r="F5876" s="75" t="s">
        <v>416</v>
      </c>
      <c r="G5876" s="75" t="str">
        <f>IF(ISNUMBER(F5876),E5876*F5876,"")</f>
        <v/>
      </c>
      <c r="H5876" s="76"/>
      <c r="I5876" s="73"/>
      <c r="J5876" s="152">
        <v>0</v>
      </c>
    </row>
    <row r="5877" spans="1:10" ht="15.75" hidden="1" thickBot="1" x14ac:dyDescent="0.3">
      <c r="A5877" s="170" t="s">
        <v>4655</v>
      </c>
      <c r="B5877" s="173" t="str">
        <f>INDEX(Orçamentária!A:B,MATCH(Composições!A5877,Orçamentária!A:A,0),2)</f>
        <v>Curva para eletroduto 4”</v>
      </c>
      <c r="C5877" s="40"/>
      <c r="D5877" s="25" t="s">
        <v>16</v>
      </c>
      <c r="E5877" s="26"/>
      <c r="F5877" s="48" t="s">
        <v>416</v>
      </c>
      <c r="G5877" s="27" t="str">
        <f>IF(ISNUMBER(F5877),E5877*F5877,"")</f>
        <v/>
      </c>
      <c r="H5877" s="28"/>
      <c r="I5877" s="29"/>
      <c r="J5877" s="152">
        <v>0</v>
      </c>
    </row>
    <row r="5878" spans="1:10" ht="15.75" hidden="1" thickBot="1" x14ac:dyDescent="0.3">
      <c r="A5878" s="171"/>
      <c r="B5878" s="174"/>
      <c r="C5878" s="31"/>
      <c r="D5878" s="31"/>
      <c r="E5878" s="32"/>
      <c r="F5878" s="53" t="s">
        <v>416</v>
      </c>
      <c r="G5878" s="53" t="str">
        <f>IF(ISNUMBER(F5878),E5878*F5878,"")</f>
        <v/>
      </c>
      <c r="H5878" s="72"/>
      <c r="I5878" s="73"/>
      <c r="J5878" s="152">
        <v>0</v>
      </c>
    </row>
    <row r="5879" spans="1:10" ht="26.25" hidden="1" thickBot="1" x14ac:dyDescent="0.3">
      <c r="A5879" s="171"/>
      <c r="B5879" s="174"/>
      <c r="C5879" s="35" t="s">
        <v>8125</v>
      </c>
      <c r="D5879" s="35" t="s">
        <v>213</v>
      </c>
      <c r="E5879" s="36">
        <v>1</v>
      </c>
      <c r="F5879" s="30">
        <v>145.00799999999998</v>
      </c>
      <c r="G5879" s="53">
        <f>IF(ISNUMBER(F5879),E5879*F5879,"")</f>
        <v>145.00799999999998</v>
      </c>
      <c r="H5879" s="38">
        <f>SUM(G5879:G5879)</f>
        <v>145.00799999999998</v>
      </c>
      <c r="I5879" s="39"/>
      <c r="J5879" s="152">
        <v>0</v>
      </c>
    </row>
    <row r="5880" spans="1:10" ht="15.75" hidden="1" thickBot="1" x14ac:dyDescent="0.3">
      <c r="A5880" s="172"/>
      <c r="B5880" s="175"/>
      <c r="C5880" s="54"/>
      <c r="D5880" s="155"/>
      <c r="E5880" s="65"/>
      <c r="F5880" s="75" t="s">
        <v>416</v>
      </c>
      <c r="G5880" s="75" t="str">
        <f>IF(ISNUMBER(F5880),E5880*F5880,"")</f>
        <v/>
      </c>
      <c r="H5880" s="76"/>
      <c r="I5880" s="73"/>
      <c r="J5880" s="152">
        <v>0</v>
      </c>
    </row>
    <row r="5881" spans="1:10" ht="15.75" hidden="1" thickBot="1" x14ac:dyDescent="0.3">
      <c r="A5881" s="170" t="s">
        <v>4656</v>
      </c>
      <c r="B5881" s="173" t="str">
        <f>INDEX(Orçamentária!A:B,MATCH(Composições!A5881,Orçamentária!A:A,0),2)</f>
        <v>Eletroduto de PVC Corrugado Reforçado 3/4” (DE 25mm)</v>
      </c>
      <c r="C5881" s="40"/>
      <c r="D5881" s="25" t="s">
        <v>69</v>
      </c>
      <c r="E5881" s="26"/>
      <c r="F5881" s="48" t="s">
        <v>416</v>
      </c>
      <c r="G5881" s="27" t="str">
        <f>IF(ISNUMBER(F5881),E5881*F5881,"")</f>
        <v/>
      </c>
      <c r="H5881" s="28"/>
      <c r="I5881" s="29"/>
      <c r="J5881" s="152">
        <v>0</v>
      </c>
    </row>
    <row r="5882" spans="1:10" ht="15.75" hidden="1" thickBot="1" x14ac:dyDescent="0.3">
      <c r="A5882" s="171"/>
      <c r="B5882" s="174"/>
      <c r="C5882" s="31"/>
      <c r="D5882" s="31"/>
      <c r="E5882" s="32"/>
      <c r="F5882" s="53" t="s">
        <v>416</v>
      </c>
      <c r="G5882" s="53" t="str">
        <f>IF(ISNUMBER(F5882),E5882*F5882,"")</f>
        <v/>
      </c>
      <c r="H5882" s="72"/>
      <c r="I5882" s="73"/>
      <c r="J5882" s="152">
        <v>0</v>
      </c>
    </row>
    <row r="5883" spans="1:10" ht="26.25" hidden="1" thickBot="1" x14ac:dyDescent="0.3">
      <c r="A5883" s="171"/>
      <c r="B5883" s="174"/>
      <c r="C5883" s="35" t="s">
        <v>8149</v>
      </c>
      <c r="D5883" s="35" t="s">
        <v>385</v>
      </c>
      <c r="E5883" s="36">
        <v>1</v>
      </c>
      <c r="F5883" s="30">
        <v>4.4935</v>
      </c>
      <c r="G5883" s="53">
        <f>IF(ISNUMBER(F5883),E5883*F5883,"")</f>
        <v>4.4935</v>
      </c>
      <c r="H5883" s="38">
        <f>SUM(G5883:G5883)</f>
        <v>4.4935</v>
      </c>
      <c r="I5883" s="39"/>
      <c r="J5883" s="152">
        <v>0</v>
      </c>
    </row>
    <row r="5884" spans="1:10" ht="15.75" hidden="1" thickBot="1" x14ac:dyDescent="0.3">
      <c r="A5884" s="172"/>
      <c r="B5884" s="175"/>
      <c r="C5884" s="54"/>
      <c r="D5884" s="155"/>
      <c r="E5884" s="65"/>
      <c r="F5884" s="75" t="s">
        <v>416</v>
      </c>
      <c r="G5884" s="75" t="str">
        <f>IF(ISNUMBER(F5884),E5884*F5884,"")</f>
        <v/>
      </c>
      <c r="H5884" s="76"/>
      <c r="I5884" s="73"/>
      <c r="J5884" s="152">
        <v>0</v>
      </c>
    </row>
    <row r="5885" spans="1:10" ht="15.75" hidden="1" thickBot="1" x14ac:dyDescent="0.3">
      <c r="A5885" s="170" t="s">
        <v>4657</v>
      </c>
      <c r="B5885" s="173" t="str">
        <f>INDEX(Orçamentária!A:B,MATCH(Composições!A5885,Orçamentária!A:A,0),2)</f>
        <v>Eletroduto de PVC Corrugado Reforçado 1” (DE 32mm)</v>
      </c>
      <c r="C5885" s="40"/>
      <c r="D5885" s="25" t="s">
        <v>69</v>
      </c>
      <c r="E5885" s="26"/>
      <c r="F5885" s="48" t="s">
        <v>416</v>
      </c>
      <c r="G5885" s="27" t="str">
        <f>IF(ISNUMBER(F5885),E5885*F5885,"")</f>
        <v/>
      </c>
      <c r="H5885" s="28"/>
      <c r="I5885" s="29"/>
      <c r="J5885" s="152">
        <v>0</v>
      </c>
    </row>
    <row r="5886" spans="1:10" ht="15.75" hidden="1" thickBot="1" x14ac:dyDescent="0.3">
      <c r="A5886" s="171"/>
      <c r="B5886" s="174"/>
      <c r="C5886" s="31"/>
      <c r="D5886" s="31"/>
      <c r="E5886" s="32"/>
      <c r="F5886" s="53" t="s">
        <v>416</v>
      </c>
      <c r="G5886" s="53" t="str">
        <f>IF(ISNUMBER(F5886),E5886*F5886,"")</f>
        <v/>
      </c>
      <c r="H5886" s="72"/>
      <c r="I5886" s="73"/>
      <c r="J5886" s="152">
        <v>0</v>
      </c>
    </row>
    <row r="5887" spans="1:10" ht="26.25" hidden="1" thickBot="1" x14ac:dyDescent="0.3">
      <c r="A5887" s="171"/>
      <c r="B5887" s="174"/>
      <c r="C5887" s="35" t="s">
        <v>8150</v>
      </c>
      <c r="D5887" s="35" t="s">
        <v>385</v>
      </c>
      <c r="E5887" s="36">
        <v>1</v>
      </c>
      <c r="F5887" s="30">
        <v>8.6449999999999996</v>
      </c>
      <c r="G5887" s="53">
        <f>IF(ISNUMBER(F5887),E5887*F5887,"")</f>
        <v>8.6449999999999996</v>
      </c>
      <c r="H5887" s="38">
        <f>SUM(G5887:G5887)</f>
        <v>8.6449999999999996</v>
      </c>
      <c r="I5887" s="39"/>
      <c r="J5887" s="152">
        <v>0</v>
      </c>
    </row>
    <row r="5888" spans="1:10" ht="15.75" hidden="1" thickBot="1" x14ac:dyDescent="0.3">
      <c r="A5888" s="172"/>
      <c r="B5888" s="175"/>
      <c r="C5888" s="54"/>
      <c r="D5888" s="155"/>
      <c r="E5888" s="65"/>
      <c r="F5888" s="75" t="s">
        <v>416</v>
      </c>
      <c r="G5888" s="75" t="str">
        <f>IF(ISNUMBER(F5888),E5888*F5888,"")</f>
        <v/>
      </c>
      <c r="H5888" s="76"/>
      <c r="I5888" s="73"/>
      <c r="J5888" s="152">
        <v>0</v>
      </c>
    </row>
    <row r="5889" spans="1:10" ht="15.75" hidden="1" thickBot="1" x14ac:dyDescent="0.3">
      <c r="A5889" s="170" t="s">
        <v>4658</v>
      </c>
      <c r="B5889" s="173" t="str">
        <f>INDEX(Orçamentária!A:B,MATCH(Composições!A5889,Orçamentária!A:A,0),2)</f>
        <v>Eletroduto flexível metálico com capa de PVC 3/4”</v>
      </c>
      <c r="C5889" s="40"/>
      <c r="D5889" s="25" t="s">
        <v>69</v>
      </c>
      <c r="E5889" s="26"/>
      <c r="F5889" s="48" t="s">
        <v>416</v>
      </c>
      <c r="G5889" s="27" t="str">
        <f>IF(ISNUMBER(F5889),E5889*F5889,"")</f>
        <v/>
      </c>
      <c r="H5889" s="28"/>
      <c r="I5889" s="29"/>
      <c r="J5889" s="152">
        <v>0</v>
      </c>
    </row>
    <row r="5890" spans="1:10" ht="15.75" hidden="1" thickBot="1" x14ac:dyDescent="0.3">
      <c r="A5890" s="171"/>
      <c r="B5890" s="174"/>
      <c r="C5890" s="31"/>
      <c r="D5890" s="31"/>
      <c r="E5890" s="32"/>
      <c r="F5890" s="53" t="s">
        <v>416</v>
      </c>
      <c r="G5890" s="53" t="str">
        <f>IF(ISNUMBER(F5890),E5890*F5890,"")</f>
        <v/>
      </c>
      <c r="H5890" s="72"/>
      <c r="I5890" s="73"/>
      <c r="J5890" s="152">
        <v>0</v>
      </c>
    </row>
    <row r="5891" spans="1:10" ht="39" hidden="1" thickBot="1" x14ac:dyDescent="0.3">
      <c r="A5891" s="171"/>
      <c r="B5891" s="174"/>
      <c r="C5891" s="35" t="s">
        <v>8145</v>
      </c>
      <c r="D5891" s="35" t="s">
        <v>385</v>
      </c>
      <c r="E5891" s="36">
        <v>1</v>
      </c>
      <c r="F5891" s="30">
        <v>10.535499999999999</v>
      </c>
      <c r="G5891" s="53">
        <f>IF(ISNUMBER(F5891),E5891*F5891,"")</f>
        <v>10.535499999999999</v>
      </c>
      <c r="H5891" s="38">
        <f>SUM(G5891:G5891)</f>
        <v>10.535499999999999</v>
      </c>
      <c r="I5891" s="39"/>
      <c r="J5891" s="152">
        <v>0</v>
      </c>
    </row>
    <row r="5892" spans="1:10" ht="15.75" hidden="1" thickBot="1" x14ac:dyDescent="0.3">
      <c r="A5892" s="172"/>
      <c r="B5892" s="175"/>
      <c r="C5892" s="54"/>
      <c r="D5892" s="155"/>
      <c r="E5892" s="65"/>
      <c r="F5892" s="75" t="s">
        <v>416</v>
      </c>
      <c r="G5892" s="75" t="str">
        <f>IF(ISNUMBER(F5892),E5892*F5892,"")</f>
        <v/>
      </c>
      <c r="H5892" s="76"/>
      <c r="I5892" s="73"/>
      <c r="J5892" s="152">
        <v>0</v>
      </c>
    </row>
    <row r="5893" spans="1:10" ht="15.75" hidden="1" thickBot="1" x14ac:dyDescent="0.3">
      <c r="A5893" s="170" t="s">
        <v>4660</v>
      </c>
      <c r="B5893" s="173" t="str">
        <f>INDEX(Orçamentária!A:B,MATCH(Composições!A5893,Orçamentária!A:A,0),2)</f>
        <v>Eletroduto flexível metálico com capa de PVC 1”</v>
      </c>
      <c r="C5893" s="40"/>
      <c r="D5893" s="25" t="s">
        <v>69</v>
      </c>
      <c r="E5893" s="26"/>
      <c r="F5893" s="48" t="s">
        <v>416</v>
      </c>
      <c r="G5893" s="27" t="str">
        <f>IF(ISNUMBER(F5893),E5893*F5893,"")</f>
        <v/>
      </c>
      <c r="H5893" s="28"/>
      <c r="I5893" s="29"/>
      <c r="J5893" s="152">
        <v>0</v>
      </c>
    </row>
    <row r="5894" spans="1:10" ht="15.75" hidden="1" thickBot="1" x14ac:dyDescent="0.3">
      <c r="A5894" s="171"/>
      <c r="B5894" s="174"/>
      <c r="C5894" s="31"/>
      <c r="D5894" s="31"/>
      <c r="E5894" s="32"/>
      <c r="F5894" s="53" t="s">
        <v>416</v>
      </c>
      <c r="G5894" s="53" t="str">
        <f>IF(ISNUMBER(F5894),E5894*F5894,"")</f>
        <v/>
      </c>
      <c r="H5894" s="72"/>
      <c r="I5894" s="73"/>
      <c r="J5894" s="152">
        <v>0</v>
      </c>
    </row>
    <row r="5895" spans="1:10" ht="39" hidden="1" thickBot="1" x14ac:dyDescent="0.3">
      <c r="A5895" s="171"/>
      <c r="B5895" s="174"/>
      <c r="C5895" s="35" t="s">
        <v>8146</v>
      </c>
      <c r="D5895" s="35" t="s">
        <v>385</v>
      </c>
      <c r="E5895" s="36">
        <v>1</v>
      </c>
      <c r="F5895" s="30">
        <v>13.8225</v>
      </c>
      <c r="G5895" s="53">
        <f>IF(ISNUMBER(F5895),E5895*F5895,"")</f>
        <v>13.8225</v>
      </c>
      <c r="H5895" s="38">
        <f>SUM(G5895:G5895)</f>
        <v>13.8225</v>
      </c>
      <c r="I5895" s="39"/>
      <c r="J5895" s="152">
        <v>0</v>
      </c>
    </row>
    <row r="5896" spans="1:10" ht="15.75" hidden="1" thickBot="1" x14ac:dyDescent="0.3">
      <c r="A5896" s="172"/>
      <c r="B5896" s="175"/>
      <c r="C5896" s="54"/>
      <c r="D5896" s="155"/>
      <c r="E5896" s="65"/>
      <c r="F5896" s="75" t="s">
        <v>416</v>
      </c>
      <c r="G5896" s="75" t="str">
        <f>IF(ISNUMBER(F5896),E5896*F5896,"")</f>
        <v/>
      </c>
      <c r="H5896" s="76"/>
      <c r="I5896" s="73"/>
      <c r="J5896" s="152">
        <v>0</v>
      </c>
    </row>
    <row r="5897" spans="1:10" ht="15.75" hidden="1" thickBot="1" x14ac:dyDescent="0.3">
      <c r="A5897" s="170" t="s">
        <v>4662</v>
      </c>
      <c r="B5897" s="173" t="str">
        <f>INDEX(Orçamentária!A:B,MATCH(Composições!A5897,Orçamentária!A:A,0),2)</f>
        <v>Eletroduto flexível metálico com capa de PVC 1 1/4”</v>
      </c>
      <c r="C5897" s="40"/>
      <c r="D5897" s="25" t="s">
        <v>69</v>
      </c>
      <c r="E5897" s="26"/>
      <c r="F5897" s="48" t="s">
        <v>416</v>
      </c>
      <c r="G5897" s="27" t="str">
        <f>IF(ISNUMBER(F5897),E5897*F5897,"")</f>
        <v/>
      </c>
      <c r="H5897" s="28"/>
      <c r="I5897" s="29"/>
      <c r="J5897" s="152">
        <v>0</v>
      </c>
    </row>
    <row r="5898" spans="1:10" ht="15.75" hidden="1" thickBot="1" x14ac:dyDescent="0.3">
      <c r="A5898" s="171"/>
      <c r="B5898" s="174"/>
      <c r="C5898" s="31"/>
      <c r="D5898" s="31"/>
      <c r="E5898" s="32"/>
      <c r="F5898" s="53" t="s">
        <v>416</v>
      </c>
      <c r="G5898" s="53" t="str">
        <f>IF(ISNUMBER(F5898),E5898*F5898,"")</f>
        <v/>
      </c>
      <c r="H5898" s="72"/>
      <c r="I5898" s="73"/>
      <c r="J5898" s="152">
        <v>0</v>
      </c>
    </row>
    <row r="5899" spans="1:10" ht="39" hidden="1" thickBot="1" x14ac:dyDescent="0.3">
      <c r="A5899" s="171"/>
      <c r="B5899" s="174"/>
      <c r="C5899" s="35" t="s">
        <v>8147</v>
      </c>
      <c r="D5899" s="35" t="s">
        <v>385</v>
      </c>
      <c r="E5899" s="36">
        <v>1</v>
      </c>
      <c r="F5899" s="30">
        <v>20.852499999999999</v>
      </c>
      <c r="G5899" s="53">
        <f>IF(ISNUMBER(F5899),E5899*F5899,"")</f>
        <v>20.852499999999999</v>
      </c>
      <c r="H5899" s="38">
        <f>SUM(G5899:G5899)</f>
        <v>20.852499999999999</v>
      </c>
      <c r="I5899" s="39"/>
      <c r="J5899" s="152">
        <v>0</v>
      </c>
    </row>
    <row r="5900" spans="1:10" ht="15.75" hidden="1" thickBot="1" x14ac:dyDescent="0.3">
      <c r="A5900" s="172"/>
      <c r="B5900" s="175"/>
      <c r="C5900" s="54"/>
      <c r="D5900" s="155"/>
      <c r="E5900" s="65"/>
      <c r="F5900" s="75" t="s">
        <v>416</v>
      </c>
      <c r="G5900" s="75" t="str">
        <f>IF(ISNUMBER(F5900),E5900*F5900,"")</f>
        <v/>
      </c>
      <c r="H5900" s="76"/>
      <c r="I5900" s="73"/>
      <c r="J5900" s="152">
        <v>0</v>
      </c>
    </row>
    <row r="5901" spans="1:10" ht="15.75" hidden="1" thickBot="1" x14ac:dyDescent="0.3">
      <c r="A5901" s="170" t="s">
        <v>4664</v>
      </c>
      <c r="B5901" s="173" t="str">
        <f>INDEX(Orçamentária!A:B,MATCH(Composições!A5901,Orçamentária!A:A,0),2)</f>
        <v>Eletroduto flexível metálico com capa de PVC 1 1/2”</v>
      </c>
      <c r="C5901" s="40"/>
      <c r="D5901" s="25" t="s">
        <v>69</v>
      </c>
      <c r="E5901" s="26"/>
      <c r="F5901" s="48" t="s">
        <v>416</v>
      </c>
      <c r="G5901" s="27" t="str">
        <f>IF(ISNUMBER(F5901),E5901*F5901,"")</f>
        <v/>
      </c>
      <c r="H5901" s="28"/>
      <c r="I5901" s="29"/>
      <c r="J5901" s="152">
        <v>0</v>
      </c>
    </row>
    <row r="5902" spans="1:10" ht="15.75" hidden="1" thickBot="1" x14ac:dyDescent="0.3">
      <c r="A5902" s="171"/>
      <c r="B5902" s="174"/>
      <c r="C5902" s="31"/>
      <c r="D5902" s="31"/>
      <c r="E5902" s="32"/>
      <c r="F5902" s="53" t="s">
        <v>416</v>
      </c>
      <c r="G5902" s="53" t="str">
        <f>IF(ISNUMBER(F5902),E5902*F5902,"")</f>
        <v/>
      </c>
      <c r="H5902" s="72"/>
      <c r="I5902" s="73"/>
      <c r="J5902" s="152">
        <v>0</v>
      </c>
    </row>
    <row r="5903" spans="1:10" ht="39" hidden="1" thickBot="1" x14ac:dyDescent="0.3">
      <c r="A5903" s="171"/>
      <c r="B5903" s="174"/>
      <c r="C5903" s="35" t="s">
        <v>1065</v>
      </c>
      <c r="D5903" s="35" t="s">
        <v>385</v>
      </c>
      <c r="E5903" s="36">
        <v>1</v>
      </c>
      <c r="F5903" s="30">
        <v>26.847000000000001</v>
      </c>
      <c r="G5903" s="53">
        <f>IF(ISNUMBER(F5903),E5903*F5903,"")</f>
        <v>26.847000000000001</v>
      </c>
      <c r="H5903" s="38">
        <f>SUM(G5903:G5903)</f>
        <v>26.847000000000001</v>
      </c>
      <c r="I5903" s="39"/>
      <c r="J5903" s="152">
        <v>0</v>
      </c>
    </row>
    <row r="5904" spans="1:10" ht="15.75" hidden="1" thickBot="1" x14ac:dyDescent="0.3">
      <c r="A5904" s="172"/>
      <c r="B5904" s="175"/>
      <c r="C5904" s="54"/>
      <c r="D5904" s="155"/>
      <c r="E5904" s="65"/>
      <c r="F5904" s="75" t="s">
        <v>416</v>
      </c>
      <c r="G5904" s="75" t="str">
        <f>IF(ISNUMBER(F5904),E5904*F5904,"")</f>
        <v/>
      </c>
      <c r="H5904" s="76"/>
      <c r="I5904" s="73"/>
      <c r="J5904" s="152">
        <v>0</v>
      </c>
    </row>
    <row r="5905" spans="1:10" ht="15.75" hidden="1" thickBot="1" x14ac:dyDescent="0.3">
      <c r="A5905" s="170" t="s">
        <v>4666</v>
      </c>
      <c r="B5905" s="173" t="str">
        <f>INDEX(Orçamentária!A:B,MATCH(Composições!A5905,Orçamentária!A:A,0),2)</f>
        <v>Eletroduto flexível metálico com capa de PVC 2”</v>
      </c>
      <c r="C5905" s="40"/>
      <c r="D5905" s="25" t="s">
        <v>69</v>
      </c>
      <c r="E5905" s="26"/>
      <c r="F5905" s="48" t="s">
        <v>416</v>
      </c>
      <c r="G5905" s="27" t="str">
        <f>IF(ISNUMBER(F5905),E5905*F5905,"")</f>
        <v/>
      </c>
      <c r="H5905" s="28"/>
      <c r="I5905" s="29"/>
      <c r="J5905" s="152">
        <v>0</v>
      </c>
    </row>
    <row r="5906" spans="1:10" ht="15.75" hidden="1" thickBot="1" x14ac:dyDescent="0.3">
      <c r="A5906" s="171"/>
      <c r="B5906" s="174"/>
      <c r="C5906" s="31"/>
      <c r="D5906" s="31"/>
      <c r="E5906" s="32"/>
      <c r="F5906" s="53" t="s">
        <v>416</v>
      </c>
      <c r="G5906" s="53" t="str">
        <f>IF(ISNUMBER(F5906),E5906*F5906,"")</f>
        <v/>
      </c>
      <c r="H5906" s="72"/>
      <c r="I5906" s="73"/>
      <c r="J5906" s="152">
        <v>0</v>
      </c>
    </row>
    <row r="5907" spans="1:10" ht="39" hidden="1" thickBot="1" x14ac:dyDescent="0.3">
      <c r="A5907" s="171"/>
      <c r="B5907" s="174"/>
      <c r="C5907" s="35" t="s">
        <v>8148</v>
      </c>
      <c r="D5907" s="35" t="s">
        <v>385</v>
      </c>
      <c r="E5907" s="36">
        <v>1</v>
      </c>
      <c r="F5907" s="30">
        <v>35.757999999999996</v>
      </c>
      <c r="G5907" s="53">
        <f>IF(ISNUMBER(F5907),E5907*F5907,"")</f>
        <v>35.757999999999996</v>
      </c>
      <c r="H5907" s="38">
        <f>SUM(G5907:G5907)</f>
        <v>35.757999999999996</v>
      </c>
      <c r="I5907" s="39"/>
      <c r="J5907" s="152">
        <v>0</v>
      </c>
    </row>
    <row r="5908" spans="1:10" ht="15.75" hidden="1" thickBot="1" x14ac:dyDescent="0.3">
      <c r="A5908" s="172"/>
      <c r="B5908" s="175"/>
      <c r="C5908" s="54"/>
      <c r="D5908" s="155"/>
      <c r="E5908" s="65"/>
      <c r="F5908" s="75" t="s">
        <v>416</v>
      </c>
      <c r="G5908" s="75" t="str">
        <f>IF(ISNUMBER(F5908),E5908*F5908,"")</f>
        <v/>
      </c>
      <c r="H5908" s="76"/>
      <c r="I5908" s="73"/>
      <c r="J5908" s="152">
        <v>0</v>
      </c>
    </row>
    <row r="5909" spans="1:10" ht="15.75" hidden="1" thickBot="1" x14ac:dyDescent="0.3">
      <c r="A5909" s="170" t="s">
        <v>4668</v>
      </c>
      <c r="B5909" s="173" t="str">
        <f>INDEX(Orçamentária!A:B,MATCH(Composições!A5909,Orçamentária!A:A,0),2)</f>
        <v>Eletroduto de PEAD de 1 1/4”</v>
      </c>
      <c r="C5909" s="40"/>
      <c r="D5909" s="25" t="s">
        <v>69</v>
      </c>
      <c r="E5909" s="26"/>
      <c r="F5909" s="48" t="s">
        <v>416</v>
      </c>
      <c r="G5909" s="27" t="str">
        <f>IF(ISNUMBER(F5909),E5909*F5909,"")</f>
        <v/>
      </c>
      <c r="H5909" s="28"/>
      <c r="I5909" s="29"/>
      <c r="J5909" s="152">
        <v>0</v>
      </c>
    </row>
    <row r="5910" spans="1:10" ht="15.75" hidden="1" thickBot="1" x14ac:dyDescent="0.3">
      <c r="A5910" s="171"/>
      <c r="B5910" s="174"/>
      <c r="C5910" s="31"/>
      <c r="D5910" s="31"/>
      <c r="E5910" s="32"/>
      <c r="F5910" s="53" t="s">
        <v>416</v>
      </c>
      <c r="G5910" s="53" t="str">
        <f>IF(ISNUMBER(F5910),E5910*F5910,"")</f>
        <v/>
      </c>
      <c r="H5910" s="72"/>
      <c r="I5910" s="73"/>
      <c r="J5910" s="152">
        <v>0</v>
      </c>
    </row>
    <row r="5911" spans="1:10" ht="39" hidden="1" thickBot="1" x14ac:dyDescent="0.3">
      <c r="A5911" s="171"/>
      <c r="B5911" s="174"/>
      <c r="C5911" s="35" t="s">
        <v>8152</v>
      </c>
      <c r="D5911" s="35" t="s">
        <v>385</v>
      </c>
      <c r="E5911" s="36">
        <v>1</v>
      </c>
      <c r="F5911" s="30">
        <v>3.3344999999999998</v>
      </c>
      <c r="G5911" s="53">
        <f>IF(ISNUMBER(F5911),E5911*F5911,"")</f>
        <v>3.3344999999999998</v>
      </c>
      <c r="H5911" s="38">
        <f>SUM(G5911:G5911)</f>
        <v>3.3344999999999998</v>
      </c>
      <c r="I5911" s="39"/>
      <c r="J5911" s="152">
        <v>0</v>
      </c>
    </row>
    <row r="5912" spans="1:10" ht="15.75" hidden="1" thickBot="1" x14ac:dyDescent="0.3">
      <c r="A5912" s="172"/>
      <c r="B5912" s="175"/>
      <c r="C5912" s="54"/>
      <c r="D5912" s="155"/>
      <c r="E5912" s="65"/>
      <c r="F5912" s="75" t="s">
        <v>416</v>
      </c>
      <c r="G5912" s="75" t="str">
        <f>IF(ISNUMBER(F5912),E5912*F5912,"")</f>
        <v/>
      </c>
      <c r="H5912" s="76"/>
      <c r="I5912" s="73"/>
      <c r="J5912" s="152">
        <v>0</v>
      </c>
    </row>
    <row r="5913" spans="1:10" ht="15.75" hidden="1" thickBot="1" x14ac:dyDescent="0.3">
      <c r="A5913" s="170" t="s">
        <v>4669</v>
      </c>
      <c r="B5913" s="173" t="str">
        <f>INDEX(Orçamentária!A:B,MATCH(Composições!A5913,Orçamentária!A:A,0),2)</f>
        <v>Terminal para eletroduto de PEAD de 1 1/4”</v>
      </c>
      <c r="C5913" s="40"/>
      <c r="D5913" s="25" t="s">
        <v>16</v>
      </c>
      <c r="E5913" s="26"/>
      <c r="F5913" s="48" t="s">
        <v>416</v>
      </c>
      <c r="G5913" s="27" t="str">
        <f>IF(ISNUMBER(F5913),E5913*F5913,"")</f>
        <v/>
      </c>
      <c r="H5913" s="28"/>
      <c r="I5913" s="29"/>
      <c r="J5913" s="152">
        <v>0</v>
      </c>
    </row>
    <row r="5914" spans="1:10" ht="15.75" hidden="1" thickBot="1" x14ac:dyDescent="0.3">
      <c r="A5914" s="171"/>
      <c r="B5914" s="174"/>
      <c r="C5914" s="31"/>
      <c r="D5914" s="31"/>
      <c r="E5914" s="32"/>
      <c r="F5914" s="53" t="s">
        <v>416</v>
      </c>
      <c r="G5914" s="53" t="str">
        <f>IF(ISNUMBER(F5914),E5914*F5914,"")</f>
        <v/>
      </c>
      <c r="H5914" s="72"/>
      <c r="I5914" s="73"/>
      <c r="J5914" s="152">
        <v>0</v>
      </c>
    </row>
    <row r="5915" spans="1:10" ht="26.25" hidden="1" thickBot="1" x14ac:dyDescent="0.3">
      <c r="A5915" s="171"/>
      <c r="B5915" s="174"/>
      <c r="C5915" s="35" t="s">
        <v>8386</v>
      </c>
      <c r="D5915" s="35" t="s">
        <v>213</v>
      </c>
      <c r="E5915" s="36">
        <v>1</v>
      </c>
      <c r="F5915" s="30">
        <v>5.5385</v>
      </c>
      <c r="G5915" s="53">
        <f>IF(ISNUMBER(F5915),E5915*F5915,"")</f>
        <v>5.5385</v>
      </c>
      <c r="H5915" s="38">
        <f>SUM(G5915:G5915)</f>
        <v>5.5385</v>
      </c>
      <c r="I5915" s="39"/>
      <c r="J5915" s="152">
        <v>0</v>
      </c>
    </row>
    <row r="5916" spans="1:10" ht="15.75" hidden="1" thickBot="1" x14ac:dyDescent="0.3">
      <c r="A5916" s="172"/>
      <c r="B5916" s="175"/>
      <c r="C5916" s="54"/>
      <c r="D5916" s="155"/>
      <c r="E5916" s="65"/>
      <c r="F5916" s="75" t="s">
        <v>416</v>
      </c>
      <c r="G5916" s="75" t="str">
        <f>IF(ISNUMBER(F5916),E5916*F5916,"")</f>
        <v/>
      </c>
      <c r="H5916" s="76"/>
      <c r="I5916" s="73"/>
      <c r="J5916" s="152">
        <v>0</v>
      </c>
    </row>
    <row r="5917" spans="1:10" ht="15.75" hidden="1" thickBot="1" x14ac:dyDescent="0.3">
      <c r="A5917" s="170" t="s">
        <v>4670</v>
      </c>
      <c r="B5917" s="173" t="str">
        <f>INDEX(Orçamentária!A:B,MATCH(Composições!A5917,Orçamentária!A:A,0),2)</f>
        <v>Eletroduto de PEAD de 2”</v>
      </c>
      <c r="C5917" s="40"/>
      <c r="D5917" s="25" t="s">
        <v>69</v>
      </c>
      <c r="E5917" s="26"/>
      <c r="F5917" s="48" t="s">
        <v>416</v>
      </c>
      <c r="G5917" s="27" t="str">
        <f>IF(ISNUMBER(F5917),E5917*F5917,"")</f>
        <v/>
      </c>
      <c r="H5917" s="28"/>
      <c r="I5917" s="29"/>
      <c r="J5917" s="152">
        <v>0</v>
      </c>
    </row>
    <row r="5918" spans="1:10" ht="15.75" hidden="1" thickBot="1" x14ac:dyDescent="0.3">
      <c r="A5918" s="171"/>
      <c r="B5918" s="174"/>
      <c r="C5918" s="31"/>
      <c r="D5918" s="31"/>
      <c r="E5918" s="32"/>
      <c r="F5918" s="53" t="s">
        <v>416</v>
      </c>
      <c r="G5918" s="53" t="str">
        <f>IF(ISNUMBER(F5918),E5918*F5918,"")</f>
        <v/>
      </c>
      <c r="H5918" s="72"/>
      <c r="I5918" s="73"/>
      <c r="J5918" s="152">
        <v>0</v>
      </c>
    </row>
    <row r="5919" spans="1:10" ht="39" hidden="1" thickBot="1" x14ac:dyDescent="0.3">
      <c r="A5919" s="171"/>
      <c r="B5919" s="174"/>
      <c r="C5919" s="35" t="s">
        <v>8533</v>
      </c>
      <c r="D5919" s="35" t="s">
        <v>385</v>
      </c>
      <c r="E5919" s="36">
        <v>1</v>
      </c>
      <c r="F5919" s="30">
        <v>5.4909999999999997</v>
      </c>
      <c r="G5919" s="53">
        <f>IF(ISNUMBER(F5919),E5919*F5919,"")</f>
        <v>5.4909999999999997</v>
      </c>
      <c r="H5919" s="38">
        <f>SUM(G5919:G5919)</f>
        <v>5.4909999999999997</v>
      </c>
      <c r="I5919" s="39"/>
      <c r="J5919" s="152">
        <v>0</v>
      </c>
    </row>
    <row r="5920" spans="1:10" ht="15.75" hidden="1" thickBot="1" x14ac:dyDescent="0.3">
      <c r="A5920" s="172"/>
      <c r="B5920" s="175"/>
      <c r="C5920" s="54"/>
      <c r="D5920" s="155"/>
      <c r="E5920" s="65"/>
      <c r="F5920" s="75" t="s">
        <v>416</v>
      </c>
      <c r="G5920" s="75" t="str">
        <f>IF(ISNUMBER(F5920),E5920*F5920,"")</f>
        <v/>
      </c>
      <c r="H5920" s="76"/>
      <c r="I5920" s="73"/>
      <c r="J5920" s="152">
        <v>0</v>
      </c>
    </row>
    <row r="5921" spans="1:10" ht="15.75" hidden="1" thickBot="1" x14ac:dyDescent="0.3">
      <c r="A5921" s="170" t="s">
        <v>4671</v>
      </c>
      <c r="B5921" s="173" t="str">
        <f>INDEX(Orçamentária!A:B,MATCH(Composições!A5921,Orçamentária!A:A,0),2)</f>
        <v>Terminal para eletroduto de PEAD de 2”</v>
      </c>
      <c r="C5921" s="40"/>
      <c r="D5921" s="25" t="s">
        <v>16</v>
      </c>
      <c r="E5921" s="26"/>
      <c r="F5921" s="48" t="s">
        <v>416</v>
      </c>
      <c r="G5921" s="27" t="str">
        <f>IF(ISNUMBER(F5921),E5921*F5921,"")</f>
        <v/>
      </c>
      <c r="H5921" s="28"/>
      <c r="I5921" s="29"/>
      <c r="J5921" s="152">
        <v>0</v>
      </c>
    </row>
    <row r="5922" spans="1:10" ht="15.75" hidden="1" thickBot="1" x14ac:dyDescent="0.3">
      <c r="A5922" s="171"/>
      <c r="B5922" s="174"/>
      <c r="C5922" s="31"/>
      <c r="D5922" s="31"/>
      <c r="E5922" s="32"/>
      <c r="F5922" s="53" t="s">
        <v>416</v>
      </c>
      <c r="G5922" s="53" t="str">
        <f>IF(ISNUMBER(F5922),E5922*F5922,"")</f>
        <v/>
      </c>
      <c r="H5922" s="72"/>
      <c r="I5922" s="73"/>
      <c r="J5922" s="152">
        <v>0</v>
      </c>
    </row>
    <row r="5923" spans="1:10" ht="26.25" hidden="1" thickBot="1" x14ac:dyDescent="0.3">
      <c r="A5923" s="171"/>
      <c r="B5923" s="174"/>
      <c r="C5923" s="35" t="s">
        <v>8387</v>
      </c>
      <c r="D5923" s="35" t="s">
        <v>213</v>
      </c>
      <c r="E5923" s="36">
        <v>1</v>
      </c>
      <c r="F5923" s="30">
        <v>6.327</v>
      </c>
      <c r="G5923" s="53">
        <f>IF(ISNUMBER(F5923),E5923*F5923,"")</f>
        <v>6.327</v>
      </c>
      <c r="H5923" s="38">
        <f>SUM(G5923:G5923)</f>
        <v>6.327</v>
      </c>
      <c r="I5923" s="39"/>
      <c r="J5923" s="152">
        <v>0</v>
      </c>
    </row>
    <row r="5924" spans="1:10" ht="15.75" hidden="1" thickBot="1" x14ac:dyDescent="0.3">
      <c r="A5924" s="172"/>
      <c r="B5924" s="175"/>
      <c r="C5924" s="54"/>
      <c r="D5924" s="155"/>
      <c r="E5924" s="65"/>
      <c r="F5924" s="75" t="s">
        <v>416</v>
      </c>
      <c r="G5924" s="75" t="str">
        <f>IF(ISNUMBER(F5924),E5924*F5924,"")</f>
        <v/>
      </c>
      <c r="H5924" s="76"/>
      <c r="I5924" s="73"/>
      <c r="J5924" s="152">
        <v>0</v>
      </c>
    </row>
    <row r="5925" spans="1:10" ht="15.75" hidden="1" thickBot="1" x14ac:dyDescent="0.3">
      <c r="A5925" s="170" t="s">
        <v>4672</v>
      </c>
      <c r="B5925" s="173" t="str">
        <f>INDEX(Orçamentária!A:B,MATCH(Composições!A5925,Orçamentária!A:A,0),2)</f>
        <v>Eletroduto de PEAD de 3”</v>
      </c>
      <c r="C5925" s="40"/>
      <c r="D5925" s="25" t="s">
        <v>69</v>
      </c>
      <c r="E5925" s="26"/>
      <c r="F5925" s="48" t="s">
        <v>416</v>
      </c>
      <c r="G5925" s="27" t="str">
        <f>IF(ISNUMBER(F5925),E5925*F5925,"")</f>
        <v/>
      </c>
      <c r="H5925" s="28"/>
      <c r="I5925" s="29"/>
      <c r="J5925" s="152">
        <v>0</v>
      </c>
    </row>
    <row r="5926" spans="1:10" ht="15.75" hidden="1" thickBot="1" x14ac:dyDescent="0.3">
      <c r="A5926" s="171"/>
      <c r="B5926" s="174"/>
      <c r="C5926" s="31"/>
      <c r="D5926" s="31"/>
      <c r="E5926" s="32"/>
      <c r="F5926" s="53" t="s">
        <v>416</v>
      </c>
      <c r="G5926" s="53" t="str">
        <f>IF(ISNUMBER(F5926),E5926*F5926,"")</f>
        <v/>
      </c>
      <c r="H5926" s="72"/>
      <c r="I5926" s="73"/>
      <c r="J5926" s="152">
        <v>0</v>
      </c>
    </row>
    <row r="5927" spans="1:10" ht="39" hidden="1" thickBot="1" x14ac:dyDescent="0.3">
      <c r="A5927" s="171"/>
      <c r="B5927" s="174"/>
      <c r="C5927" s="35" t="s">
        <v>8528</v>
      </c>
      <c r="D5927" s="35" t="s">
        <v>385</v>
      </c>
      <c r="E5927" s="36">
        <v>1</v>
      </c>
      <c r="F5927" s="30">
        <v>7.6949999999999994</v>
      </c>
      <c r="G5927" s="53">
        <f>IF(ISNUMBER(F5927),E5927*F5927,"")</f>
        <v>7.6949999999999994</v>
      </c>
      <c r="H5927" s="38">
        <f>SUM(G5927:G5927)</f>
        <v>7.6949999999999994</v>
      </c>
      <c r="I5927" s="39"/>
      <c r="J5927" s="152">
        <v>0</v>
      </c>
    </row>
    <row r="5928" spans="1:10" ht="15.75" hidden="1" thickBot="1" x14ac:dyDescent="0.3">
      <c r="A5928" s="172"/>
      <c r="B5928" s="175"/>
      <c r="C5928" s="54"/>
      <c r="D5928" s="155"/>
      <c r="E5928" s="65"/>
      <c r="F5928" s="75" t="s">
        <v>416</v>
      </c>
      <c r="G5928" s="75" t="str">
        <f>IF(ISNUMBER(F5928),E5928*F5928,"")</f>
        <v/>
      </c>
      <c r="H5928" s="76"/>
      <c r="I5928" s="73"/>
      <c r="J5928" s="152">
        <v>0</v>
      </c>
    </row>
    <row r="5929" spans="1:10" ht="15.75" hidden="1" thickBot="1" x14ac:dyDescent="0.3">
      <c r="A5929" s="170" t="s">
        <v>4673</v>
      </c>
      <c r="B5929" s="173" t="str">
        <f>INDEX(Orçamentária!A:B,MATCH(Composições!A5929,Orçamentária!A:A,0),2)</f>
        <v>Terminal para eletroduto de PEAD de 3”</v>
      </c>
      <c r="C5929" s="40"/>
      <c r="D5929" s="25" t="s">
        <v>16</v>
      </c>
      <c r="E5929" s="26"/>
      <c r="F5929" s="48" t="s">
        <v>416</v>
      </c>
      <c r="G5929" s="27" t="str">
        <f>IF(ISNUMBER(F5929),E5929*F5929,"")</f>
        <v/>
      </c>
      <c r="H5929" s="28"/>
      <c r="I5929" s="29"/>
      <c r="J5929" s="152">
        <v>0</v>
      </c>
    </row>
    <row r="5930" spans="1:10" ht="15.75" hidden="1" thickBot="1" x14ac:dyDescent="0.3">
      <c r="A5930" s="171"/>
      <c r="B5930" s="174"/>
      <c r="C5930" s="31"/>
      <c r="D5930" s="31"/>
      <c r="E5930" s="32"/>
      <c r="F5930" s="53" t="s">
        <v>416</v>
      </c>
      <c r="G5930" s="53" t="str">
        <f>IF(ISNUMBER(F5930),E5930*F5930,"")</f>
        <v/>
      </c>
      <c r="H5930" s="72"/>
      <c r="I5930" s="73"/>
      <c r="J5930" s="152">
        <v>0</v>
      </c>
    </row>
    <row r="5931" spans="1:10" ht="26.25" hidden="1" thickBot="1" x14ac:dyDescent="0.3">
      <c r="A5931" s="171"/>
      <c r="B5931" s="174"/>
      <c r="C5931" s="35" t="s">
        <v>8388</v>
      </c>
      <c r="D5931" s="35" t="s">
        <v>213</v>
      </c>
      <c r="E5931" s="36">
        <v>1</v>
      </c>
      <c r="F5931" s="30">
        <v>9.3290000000000006</v>
      </c>
      <c r="G5931" s="53">
        <f>IF(ISNUMBER(F5931),E5931*F5931,"")</f>
        <v>9.3290000000000006</v>
      </c>
      <c r="H5931" s="38">
        <f>SUM(G5931:G5931)</f>
        <v>9.3290000000000006</v>
      </c>
      <c r="I5931" s="39"/>
      <c r="J5931" s="152">
        <v>0</v>
      </c>
    </row>
    <row r="5932" spans="1:10" ht="15.75" hidden="1" thickBot="1" x14ac:dyDescent="0.3">
      <c r="A5932" s="172"/>
      <c r="B5932" s="175"/>
      <c r="C5932" s="54"/>
      <c r="D5932" s="155"/>
      <c r="E5932" s="65"/>
      <c r="F5932" s="75" t="s">
        <v>416</v>
      </c>
      <c r="G5932" s="75" t="str">
        <f>IF(ISNUMBER(F5932),E5932*F5932,"")</f>
        <v/>
      </c>
      <c r="H5932" s="76"/>
      <c r="I5932" s="73"/>
      <c r="J5932" s="152">
        <v>0</v>
      </c>
    </row>
    <row r="5933" spans="1:10" ht="15.75" hidden="1" thickBot="1" x14ac:dyDescent="0.3">
      <c r="A5933" s="170" t="s">
        <v>4674</v>
      </c>
      <c r="B5933" s="173" t="str">
        <f>INDEX(Orçamentária!A:B,MATCH(Composições!A5933,Orçamentária!A:A,0),2)</f>
        <v>Eletroduto de PVC de 3/4”</v>
      </c>
      <c r="C5933" s="40"/>
      <c r="D5933" s="25" t="s">
        <v>69</v>
      </c>
      <c r="E5933" s="26"/>
      <c r="F5933" s="48" t="s">
        <v>416</v>
      </c>
      <c r="G5933" s="27" t="str">
        <f>IF(ISNUMBER(F5933),E5933*F5933,"")</f>
        <v/>
      </c>
      <c r="H5933" s="28"/>
      <c r="I5933" s="29"/>
      <c r="J5933" s="152">
        <v>0</v>
      </c>
    </row>
    <row r="5934" spans="1:10" ht="15.75" hidden="1" thickBot="1" x14ac:dyDescent="0.3">
      <c r="A5934" s="171"/>
      <c r="B5934" s="174"/>
      <c r="C5934" s="31"/>
      <c r="D5934" s="31"/>
      <c r="E5934" s="32"/>
      <c r="F5934" s="53" t="s">
        <v>416</v>
      </c>
      <c r="G5934" s="53" t="str">
        <f>IF(ISNUMBER(F5934),E5934*F5934,"")</f>
        <v/>
      </c>
      <c r="H5934" s="72"/>
      <c r="I5934" s="73"/>
      <c r="J5934" s="152">
        <v>0</v>
      </c>
    </row>
    <row r="5935" spans="1:10" ht="15.75" hidden="1" thickBot="1" x14ac:dyDescent="0.3">
      <c r="A5935" s="171"/>
      <c r="B5935" s="174"/>
      <c r="C5935" s="35" t="s">
        <v>8144</v>
      </c>
      <c r="D5935" s="35" t="s">
        <v>385</v>
      </c>
      <c r="E5935" s="36">
        <v>1</v>
      </c>
      <c r="F5935" s="30">
        <v>5.6050000000000004</v>
      </c>
      <c r="G5935" s="53">
        <f>IF(ISNUMBER(F5935),E5935*F5935,"")</f>
        <v>5.6050000000000004</v>
      </c>
      <c r="H5935" s="38">
        <f>SUM(G5935:G5935)</f>
        <v>5.6050000000000004</v>
      </c>
      <c r="I5935" s="39"/>
      <c r="J5935" s="152">
        <v>0</v>
      </c>
    </row>
    <row r="5936" spans="1:10" ht="15.75" hidden="1" thickBot="1" x14ac:dyDescent="0.3">
      <c r="A5936" s="172"/>
      <c r="B5936" s="175"/>
      <c r="C5936" s="54"/>
      <c r="D5936" s="155"/>
      <c r="E5936" s="65"/>
      <c r="F5936" s="75" t="s">
        <v>416</v>
      </c>
      <c r="G5936" s="75" t="str">
        <f>IF(ISNUMBER(F5936),E5936*F5936,"")</f>
        <v/>
      </c>
      <c r="H5936" s="76"/>
      <c r="I5936" s="73"/>
      <c r="J5936" s="152">
        <v>0</v>
      </c>
    </row>
    <row r="5937" spans="1:10" ht="15.75" hidden="1" thickBot="1" x14ac:dyDescent="0.3">
      <c r="A5937" s="170" t="s">
        <v>4675</v>
      </c>
      <c r="B5937" s="173" t="str">
        <f>INDEX(Orçamentária!A:B,MATCH(Composições!A5937,Orçamentária!A:A,0),2)</f>
        <v>Luva para eletroduto de PVC de 3/4”</v>
      </c>
      <c r="C5937" s="40"/>
      <c r="D5937" s="25" t="s">
        <v>16</v>
      </c>
      <c r="E5937" s="26"/>
      <c r="F5937" s="48" t="s">
        <v>416</v>
      </c>
      <c r="G5937" s="27" t="str">
        <f>IF(ISNUMBER(F5937),E5937*F5937,"")</f>
        <v/>
      </c>
      <c r="H5937" s="28"/>
      <c r="I5937" s="29"/>
      <c r="J5937" s="152">
        <v>0</v>
      </c>
    </row>
    <row r="5938" spans="1:10" ht="15.75" hidden="1" thickBot="1" x14ac:dyDescent="0.3">
      <c r="A5938" s="171"/>
      <c r="B5938" s="174"/>
      <c r="C5938" s="31"/>
      <c r="D5938" s="31"/>
      <c r="E5938" s="32"/>
      <c r="F5938" s="53" t="s">
        <v>416</v>
      </c>
      <c r="G5938" s="53" t="str">
        <f>IF(ISNUMBER(F5938),E5938*F5938,"")</f>
        <v/>
      </c>
      <c r="H5938" s="72"/>
      <c r="I5938" s="73"/>
      <c r="J5938" s="152">
        <v>0</v>
      </c>
    </row>
    <row r="5939" spans="1:10" ht="15.75" hidden="1" thickBot="1" x14ac:dyDescent="0.3">
      <c r="A5939" s="171"/>
      <c r="B5939" s="174"/>
      <c r="C5939" s="35" t="s">
        <v>8257</v>
      </c>
      <c r="D5939" s="35" t="s">
        <v>213</v>
      </c>
      <c r="E5939" s="36">
        <v>1</v>
      </c>
      <c r="F5939" s="30">
        <v>1.6244999999999998</v>
      </c>
      <c r="G5939" s="53">
        <f>IF(ISNUMBER(F5939),E5939*F5939,"")</f>
        <v>1.6244999999999998</v>
      </c>
      <c r="H5939" s="38">
        <f>SUM(G5939:G5939)</f>
        <v>1.6244999999999998</v>
      </c>
      <c r="I5939" s="39"/>
      <c r="J5939" s="152">
        <v>0</v>
      </c>
    </row>
    <row r="5940" spans="1:10" ht="15.75" hidden="1" thickBot="1" x14ac:dyDescent="0.3">
      <c r="A5940" s="172"/>
      <c r="B5940" s="175"/>
      <c r="C5940" s="54"/>
      <c r="D5940" s="155"/>
      <c r="E5940" s="65"/>
      <c r="F5940" s="75" t="s">
        <v>416</v>
      </c>
      <c r="G5940" s="75" t="str">
        <f>IF(ISNUMBER(F5940),E5940*F5940,"")</f>
        <v/>
      </c>
      <c r="H5940" s="76"/>
      <c r="I5940" s="73"/>
      <c r="J5940" s="152">
        <v>0</v>
      </c>
    </row>
    <row r="5941" spans="1:10" ht="15.75" hidden="1" thickBot="1" x14ac:dyDescent="0.3">
      <c r="A5941" s="170" t="s">
        <v>4676</v>
      </c>
      <c r="B5941" s="173" t="str">
        <f>INDEX(Orçamentária!A:B,MATCH(Composições!A5941,Orçamentária!A:A,0),2)</f>
        <v>Curva para eletroduto de PVC de 3/4”</v>
      </c>
      <c r="C5941" s="40"/>
      <c r="D5941" s="25" t="s">
        <v>16</v>
      </c>
      <c r="E5941" s="26"/>
      <c r="F5941" s="48" t="s">
        <v>416</v>
      </c>
      <c r="G5941" s="27" t="str">
        <f>IF(ISNUMBER(F5941),E5941*F5941,"")</f>
        <v/>
      </c>
      <c r="H5941" s="28"/>
      <c r="I5941" s="29"/>
      <c r="J5941" s="152">
        <v>0</v>
      </c>
    </row>
    <row r="5942" spans="1:10" ht="15.75" hidden="1" thickBot="1" x14ac:dyDescent="0.3">
      <c r="A5942" s="171"/>
      <c r="B5942" s="174"/>
      <c r="C5942" s="31"/>
      <c r="D5942" s="31"/>
      <c r="E5942" s="32"/>
      <c r="F5942" s="53" t="s">
        <v>416</v>
      </c>
      <c r="G5942" s="53" t="str">
        <f>IF(ISNUMBER(F5942),E5942*F5942,"")</f>
        <v/>
      </c>
      <c r="H5942" s="72"/>
      <c r="I5942" s="73"/>
      <c r="J5942" s="152">
        <v>0</v>
      </c>
    </row>
    <row r="5943" spans="1:10" ht="26.25" hidden="1" thickBot="1" x14ac:dyDescent="0.3">
      <c r="A5943" s="171"/>
      <c r="B5943" s="174"/>
      <c r="C5943" s="35" t="s">
        <v>8120</v>
      </c>
      <c r="D5943" s="35" t="s">
        <v>213</v>
      </c>
      <c r="E5943" s="36">
        <v>1</v>
      </c>
      <c r="F5943" s="30">
        <v>3.5150000000000001</v>
      </c>
      <c r="G5943" s="53">
        <f>IF(ISNUMBER(F5943),E5943*F5943,"")</f>
        <v>3.5150000000000001</v>
      </c>
      <c r="H5943" s="38">
        <f>SUM(G5943:G5943)</f>
        <v>3.5150000000000001</v>
      </c>
      <c r="I5943" s="39"/>
      <c r="J5943" s="152">
        <v>0</v>
      </c>
    </row>
    <row r="5944" spans="1:10" ht="15.75" hidden="1" thickBot="1" x14ac:dyDescent="0.3">
      <c r="A5944" s="172"/>
      <c r="B5944" s="175"/>
      <c r="C5944" s="54"/>
      <c r="D5944" s="155"/>
      <c r="E5944" s="65"/>
      <c r="F5944" s="75" t="s">
        <v>416</v>
      </c>
      <c r="G5944" s="75" t="str">
        <f>IF(ISNUMBER(F5944),E5944*F5944,"")</f>
        <v/>
      </c>
      <c r="H5944" s="76"/>
      <c r="I5944" s="73"/>
      <c r="J5944" s="152">
        <v>0</v>
      </c>
    </row>
    <row r="5945" spans="1:10" ht="15.75" hidden="1" thickBot="1" x14ac:dyDescent="0.3">
      <c r="A5945" s="170" t="s">
        <v>4677</v>
      </c>
      <c r="B5945" s="173" t="str">
        <f>INDEX(Orçamentária!A:B,MATCH(Composições!A5945,Orçamentária!A:A,0),2)</f>
        <v>Eletroduto de PVC de 1”</v>
      </c>
      <c r="C5945" s="40"/>
      <c r="D5945" s="25" t="s">
        <v>69</v>
      </c>
      <c r="E5945" s="26"/>
      <c r="F5945" s="48" t="s">
        <v>416</v>
      </c>
      <c r="G5945" s="27" t="str">
        <f>IF(ISNUMBER(F5945),E5945*F5945,"")</f>
        <v/>
      </c>
      <c r="H5945" s="28"/>
      <c r="I5945" s="29"/>
      <c r="J5945" s="152">
        <v>0</v>
      </c>
    </row>
    <row r="5946" spans="1:10" ht="15.75" hidden="1" thickBot="1" x14ac:dyDescent="0.3">
      <c r="A5946" s="171"/>
      <c r="B5946" s="174"/>
      <c r="C5946" s="31"/>
      <c r="D5946" s="31"/>
      <c r="E5946" s="32"/>
      <c r="F5946" s="53" t="s">
        <v>416</v>
      </c>
      <c r="G5946" s="53" t="str">
        <f>IF(ISNUMBER(F5946),E5946*F5946,"")</f>
        <v/>
      </c>
      <c r="H5946" s="72"/>
      <c r="I5946" s="73"/>
      <c r="J5946" s="152">
        <v>0</v>
      </c>
    </row>
    <row r="5947" spans="1:10" ht="15.75" hidden="1" thickBot="1" x14ac:dyDescent="0.3">
      <c r="A5947" s="171"/>
      <c r="B5947" s="174"/>
      <c r="C5947" s="35" t="s">
        <v>8139</v>
      </c>
      <c r="D5947" s="35" t="s">
        <v>385</v>
      </c>
      <c r="E5947" s="36">
        <v>1</v>
      </c>
      <c r="F5947" s="30">
        <v>8.7590000000000003</v>
      </c>
      <c r="G5947" s="53">
        <f>IF(ISNUMBER(F5947),E5947*F5947,"")</f>
        <v>8.7590000000000003</v>
      </c>
      <c r="H5947" s="38">
        <f>SUM(G5947:G5947)</f>
        <v>8.7590000000000003</v>
      </c>
      <c r="I5947" s="39"/>
      <c r="J5947" s="152">
        <v>0</v>
      </c>
    </row>
    <row r="5948" spans="1:10" ht="15.75" hidden="1" thickBot="1" x14ac:dyDescent="0.3">
      <c r="A5948" s="172"/>
      <c r="B5948" s="175"/>
      <c r="C5948" s="54"/>
      <c r="D5948" s="155"/>
      <c r="E5948" s="65"/>
      <c r="F5948" s="75" t="s">
        <v>416</v>
      </c>
      <c r="G5948" s="75" t="str">
        <f>IF(ISNUMBER(F5948),E5948*F5948,"")</f>
        <v/>
      </c>
      <c r="H5948" s="76"/>
      <c r="I5948" s="73"/>
      <c r="J5948" s="152">
        <v>0</v>
      </c>
    </row>
    <row r="5949" spans="1:10" ht="15.75" hidden="1" thickBot="1" x14ac:dyDescent="0.3">
      <c r="A5949" s="170" t="s">
        <v>4678</v>
      </c>
      <c r="B5949" s="173" t="str">
        <f>INDEX(Orçamentária!A:B,MATCH(Composições!A5949,Orçamentária!A:A,0),2)</f>
        <v>Luva para eletroduto de PVC de 1”</v>
      </c>
      <c r="C5949" s="40"/>
      <c r="D5949" s="25" t="s">
        <v>16</v>
      </c>
      <c r="E5949" s="26"/>
      <c r="F5949" s="48" t="s">
        <v>416</v>
      </c>
      <c r="G5949" s="27" t="str">
        <f>IF(ISNUMBER(F5949),E5949*F5949,"")</f>
        <v/>
      </c>
      <c r="H5949" s="28"/>
      <c r="I5949" s="29"/>
      <c r="J5949" s="152">
        <v>0</v>
      </c>
    </row>
    <row r="5950" spans="1:10" ht="15.75" hidden="1" thickBot="1" x14ac:dyDescent="0.3">
      <c r="A5950" s="171"/>
      <c r="B5950" s="174"/>
      <c r="C5950" s="31"/>
      <c r="D5950" s="31"/>
      <c r="E5950" s="32"/>
      <c r="F5950" s="53" t="s">
        <v>416</v>
      </c>
      <c r="G5950" s="53" t="str">
        <f>IF(ISNUMBER(F5950),E5950*F5950,"")</f>
        <v/>
      </c>
      <c r="H5950" s="72"/>
      <c r="I5950" s="73"/>
      <c r="J5950" s="152">
        <v>0</v>
      </c>
    </row>
    <row r="5951" spans="1:10" ht="15.75" hidden="1" thickBot="1" x14ac:dyDescent="0.3">
      <c r="A5951" s="171"/>
      <c r="B5951" s="174"/>
      <c r="C5951" s="35" t="s">
        <v>8255</v>
      </c>
      <c r="D5951" s="35" t="s">
        <v>213</v>
      </c>
      <c r="E5951" s="36">
        <v>1</v>
      </c>
      <c r="F5951" s="30">
        <v>2.2705000000000002</v>
      </c>
      <c r="G5951" s="53">
        <f>IF(ISNUMBER(F5951),E5951*F5951,"")</f>
        <v>2.2705000000000002</v>
      </c>
      <c r="H5951" s="38">
        <f>SUM(G5951:G5951)</f>
        <v>2.2705000000000002</v>
      </c>
      <c r="I5951" s="39"/>
      <c r="J5951" s="152">
        <v>0</v>
      </c>
    </row>
    <row r="5952" spans="1:10" ht="15.75" hidden="1" thickBot="1" x14ac:dyDescent="0.3">
      <c r="A5952" s="172"/>
      <c r="B5952" s="175"/>
      <c r="C5952" s="54"/>
      <c r="D5952" s="155"/>
      <c r="E5952" s="65"/>
      <c r="F5952" s="75" t="s">
        <v>416</v>
      </c>
      <c r="G5952" s="75" t="str">
        <f>IF(ISNUMBER(F5952),E5952*F5952,"")</f>
        <v/>
      </c>
      <c r="H5952" s="76"/>
      <c r="I5952" s="73"/>
      <c r="J5952" s="152">
        <v>0</v>
      </c>
    </row>
    <row r="5953" spans="1:10" ht="15.75" hidden="1" thickBot="1" x14ac:dyDescent="0.3">
      <c r="A5953" s="170" t="s">
        <v>4679</v>
      </c>
      <c r="B5953" s="173" t="str">
        <f>INDEX(Orçamentária!A:B,MATCH(Composições!A5953,Orçamentária!A:A,0),2)</f>
        <v>Curva para eletroduto de PVC de 1”</v>
      </c>
      <c r="C5953" s="40"/>
      <c r="D5953" s="25" t="s">
        <v>16</v>
      </c>
      <c r="E5953" s="26"/>
      <c r="F5953" s="48" t="s">
        <v>416</v>
      </c>
      <c r="G5953" s="27" t="str">
        <f>IF(ISNUMBER(F5953),E5953*F5953,"")</f>
        <v/>
      </c>
      <c r="H5953" s="28"/>
      <c r="I5953" s="29"/>
      <c r="J5953" s="152">
        <v>0</v>
      </c>
    </row>
    <row r="5954" spans="1:10" ht="15.75" hidden="1" thickBot="1" x14ac:dyDescent="0.3">
      <c r="A5954" s="171"/>
      <c r="B5954" s="174"/>
      <c r="C5954" s="31"/>
      <c r="D5954" s="31"/>
      <c r="E5954" s="32"/>
      <c r="F5954" s="53" t="s">
        <v>416</v>
      </c>
      <c r="G5954" s="53" t="str">
        <f>IF(ISNUMBER(F5954),E5954*F5954,"")</f>
        <v/>
      </c>
      <c r="H5954" s="72"/>
      <c r="I5954" s="73"/>
      <c r="J5954" s="152">
        <v>0</v>
      </c>
    </row>
    <row r="5955" spans="1:10" ht="26.25" hidden="1" thickBot="1" x14ac:dyDescent="0.3">
      <c r="A5955" s="171"/>
      <c r="B5955" s="174"/>
      <c r="C5955" s="35" t="s">
        <v>8119</v>
      </c>
      <c r="D5955" s="35" t="s">
        <v>213</v>
      </c>
      <c r="E5955" s="36">
        <v>1</v>
      </c>
      <c r="F5955" s="30">
        <v>4.8639999999999999</v>
      </c>
      <c r="G5955" s="53">
        <f>IF(ISNUMBER(F5955),E5955*F5955,"")</f>
        <v>4.8639999999999999</v>
      </c>
      <c r="H5955" s="38">
        <f>SUM(G5955:G5955)</f>
        <v>4.8639999999999999</v>
      </c>
      <c r="I5955" s="39"/>
      <c r="J5955" s="152">
        <v>0</v>
      </c>
    </row>
    <row r="5956" spans="1:10" ht="15.75" hidden="1" thickBot="1" x14ac:dyDescent="0.3">
      <c r="A5956" s="172"/>
      <c r="B5956" s="175"/>
      <c r="C5956" s="54"/>
      <c r="D5956" s="155"/>
      <c r="E5956" s="65"/>
      <c r="F5956" s="75" t="s">
        <v>416</v>
      </c>
      <c r="G5956" s="75" t="str">
        <f>IF(ISNUMBER(F5956),E5956*F5956,"")</f>
        <v/>
      </c>
      <c r="H5956" s="76"/>
      <c r="I5956" s="73"/>
      <c r="J5956" s="152">
        <v>0</v>
      </c>
    </row>
    <row r="5957" spans="1:10" ht="15.75" hidden="1" thickBot="1" x14ac:dyDescent="0.3">
      <c r="A5957" s="170" t="s">
        <v>4680</v>
      </c>
      <c r="B5957" s="173" t="str">
        <f>INDEX(Orçamentária!A:B,MATCH(Composições!A5957,Orçamentária!A:A,0),2)</f>
        <v>Eletroduto de PVC de 1 1/4”</v>
      </c>
      <c r="C5957" s="40"/>
      <c r="D5957" s="25" t="s">
        <v>69</v>
      </c>
      <c r="E5957" s="26"/>
      <c r="F5957" s="48" t="s">
        <v>416</v>
      </c>
      <c r="G5957" s="27" t="str">
        <f>IF(ISNUMBER(F5957),E5957*F5957,"")</f>
        <v/>
      </c>
      <c r="H5957" s="28"/>
      <c r="I5957" s="29"/>
      <c r="J5957" s="152">
        <v>0</v>
      </c>
    </row>
    <row r="5958" spans="1:10" ht="15.75" hidden="1" thickBot="1" x14ac:dyDescent="0.3">
      <c r="A5958" s="171"/>
      <c r="B5958" s="174"/>
      <c r="C5958" s="31"/>
      <c r="D5958" s="31"/>
      <c r="E5958" s="32"/>
      <c r="F5958" s="53" t="s">
        <v>416</v>
      </c>
      <c r="G5958" s="53" t="str">
        <f>IF(ISNUMBER(F5958),E5958*F5958,"")</f>
        <v/>
      </c>
      <c r="H5958" s="72"/>
      <c r="I5958" s="73"/>
      <c r="J5958" s="152">
        <v>0</v>
      </c>
    </row>
    <row r="5959" spans="1:10" ht="15.75" hidden="1" thickBot="1" x14ac:dyDescent="0.3">
      <c r="A5959" s="171"/>
      <c r="B5959" s="174"/>
      <c r="C5959" s="35" t="s">
        <v>8141</v>
      </c>
      <c r="D5959" s="35" t="s">
        <v>385</v>
      </c>
      <c r="E5959" s="36">
        <v>1</v>
      </c>
      <c r="F5959" s="30">
        <v>11.665999999999999</v>
      </c>
      <c r="G5959" s="53">
        <f>IF(ISNUMBER(F5959),E5959*F5959,"")</f>
        <v>11.665999999999999</v>
      </c>
      <c r="H5959" s="38">
        <f>SUM(G5959:G5959)</f>
        <v>11.665999999999999</v>
      </c>
      <c r="I5959" s="39"/>
      <c r="J5959" s="152">
        <v>0</v>
      </c>
    </row>
    <row r="5960" spans="1:10" ht="15.75" hidden="1" thickBot="1" x14ac:dyDescent="0.3">
      <c r="A5960" s="172"/>
      <c r="B5960" s="175"/>
      <c r="C5960" s="54"/>
      <c r="D5960" s="155"/>
      <c r="E5960" s="65"/>
      <c r="F5960" s="75" t="s">
        <v>416</v>
      </c>
      <c r="G5960" s="75" t="str">
        <f>IF(ISNUMBER(F5960),E5960*F5960,"")</f>
        <v/>
      </c>
      <c r="H5960" s="76"/>
      <c r="I5960" s="73"/>
      <c r="J5960" s="152">
        <v>0</v>
      </c>
    </row>
    <row r="5961" spans="1:10" ht="15.75" hidden="1" thickBot="1" x14ac:dyDescent="0.3">
      <c r="A5961" s="170" t="s">
        <v>4681</v>
      </c>
      <c r="B5961" s="173" t="str">
        <f>INDEX(Orçamentária!A:B,MATCH(Composições!A5961,Orçamentária!A:A,0),2)</f>
        <v>Luva para eletroduto de PVC de 1 1/4”</v>
      </c>
      <c r="C5961" s="40"/>
      <c r="D5961" s="25" t="s">
        <v>16</v>
      </c>
      <c r="E5961" s="26"/>
      <c r="F5961" s="48" t="s">
        <v>416</v>
      </c>
      <c r="G5961" s="27" t="str">
        <f>IF(ISNUMBER(F5961),E5961*F5961,"")</f>
        <v/>
      </c>
      <c r="H5961" s="28"/>
      <c r="I5961" s="29"/>
      <c r="J5961" s="152">
        <v>0</v>
      </c>
    </row>
    <row r="5962" spans="1:10" ht="15.75" hidden="1" thickBot="1" x14ac:dyDescent="0.3">
      <c r="A5962" s="171"/>
      <c r="B5962" s="174"/>
      <c r="C5962" s="31"/>
      <c r="D5962" s="31"/>
      <c r="E5962" s="32"/>
      <c r="F5962" s="53" t="s">
        <v>416</v>
      </c>
      <c r="G5962" s="53" t="str">
        <f>IF(ISNUMBER(F5962),E5962*F5962,"")</f>
        <v/>
      </c>
      <c r="H5962" s="72"/>
      <c r="I5962" s="73"/>
      <c r="J5962" s="152">
        <v>0</v>
      </c>
    </row>
    <row r="5963" spans="1:10" ht="15.75" hidden="1" thickBot="1" x14ac:dyDescent="0.3">
      <c r="A5963" s="171"/>
      <c r="B5963" s="174"/>
      <c r="C5963" s="35" t="s">
        <v>8254</v>
      </c>
      <c r="D5963" s="35" t="s">
        <v>213</v>
      </c>
      <c r="E5963" s="36">
        <v>1</v>
      </c>
      <c r="F5963" s="30">
        <v>3.5244999999999997</v>
      </c>
      <c r="G5963" s="53">
        <f>IF(ISNUMBER(F5963),E5963*F5963,"")</f>
        <v>3.5244999999999997</v>
      </c>
      <c r="H5963" s="38">
        <f>SUM(G5963:G5963)</f>
        <v>3.5244999999999997</v>
      </c>
      <c r="I5963" s="39"/>
      <c r="J5963" s="152">
        <v>0</v>
      </c>
    </row>
    <row r="5964" spans="1:10" ht="15.75" hidden="1" thickBot="1" x14ac:dyDescent="0.3">
      <c r="A5964" s="172"/>
      <c r="B5964" s="175"/>
      <c r="C5964" s="54"/>
      <c r="D5964" s="155"/>
      <c r="E5964" s="65"/>
      <c r="F5964" s="75" t="s">
        <v>416</v>
      </c>
      <c r="G5964" s="75" t="str">
        <f>IF(ISNUMBER(F5964),E5964*F5964,"")</f>
        <v/>
      </c>
      <c r="H5964" s="76"/>
      <c r="I5964" s="73"/>
      <c r="J5964" s="152">
        <v>0</v>
      </c>
    </row>
    <row r="5965" spans="1:10" ht="15.75" hidden="1" thickBot="1" x14ac:dyDescent="0.3">
      <c r="A5965" s="170" t="s">
        <v>4682</v>
      </c>
      <c r="B5965" s="173" t="str">
        <f>INDEX(Orçamentária!A:B,MATCH(Composições!A5965,Orçamentária!A:A,0),2)</f>
        <v>Curva para eletroduto de PVC de 1 1/4”</v>
      </c>
      <c r="C5965" s="40"/>
      <c r="D5965" s="25" t="s">
        <v>16</v>
      </c>
      <c r="E5965" s="26"/>
      <c r="F5965" s="48" t="s">
        <v>416</v>
      </c>
      <c r="G5965" s="27" t="str">
        <f>IF(ISNUMBER(F5965),E5965*F5965,"")</f>
        <v/>
      </c>
      <c r="H5965" s="28"/>
      <c r="I5965" s="29"/>
      <c r="J5965" s="152">
        <v>0</v>
      </c>
    </row>
    <row r="5966" spans="1:10" ht="15.75" hidden="1" thickBot="1" x14ac:dyDescent="0.3">
      <c r="A5966" s="171"/>
      <c r="B5966" s="174"/>
      <c r="C5966" s="31"/>
      <c r="D5966" s="31"/>
      <c r="E5966" s="32"/>
      <c r="F5966" s="53" t="s">
        <v>416</v>
      </c>
      <c r="G5966" s="53" t="str">
        <f>IF(ISNUMBER(F5966),E5966*F5966,"")</f>
        <v/>
      </c>
      <c r="H5966" s="72"/>
      <c r="I5966" s="73"/>
      <c r="J5966" s="152">
        <v>0</v>
      </c>
    </row>
    <row r="5967" spans="1:10" ht="26.25" hidden="1" thickBot="1" x14ac:dyDescent="0.3">
      <c r="A5967" s="171"/>
      <c r="B5967" s="174"/>
      <c r="C5967" s="35" t="s">
        <v>8122</v>
      </c>
      <c r="D5967" s="35" t="s">
        <v>213</v>
      </c>
      <c r="E5967" s="36">
        <v>1</v>
      </c>
      <c r="F5967" s="30">
        <v>6.4124999999999996</v>
      </c>
      <c r="G5967" s="53">
        <f>IF(ISNUMBER(F5967),E5967*F5967,"")</f>
        <v>6.4124999999999996</v>
      </c>
      <c r="H5967" s="38">
        <f>SUM(G5967:G5967)</f>
        <v>6.4124999999999996</v>
      </c>
      <c r="I5967" s="39"/>
      <c r="J5967" s="152">
        <v>0</v>
      </c>
    </row>
    <row r="5968" spans="1:10" ht="15.75" hidden="1" thickBot="1" x14ac:dyDescent="0.3">
      <c r="A5968" s="172"/>
      <c r="B5968" s="175"/>
      <c r="C5968" s="54"/>
      <c r="D5968" s="155"/>
      <c r="E5968" s="65"/>
      <c r="F5968" s="75" t="s">
        <v>416</v>
      </c>
      <c r="G5968" s="75" t="str">
        <f>IF(ISNUMBER(F5968),E5968*F5968,"")</f>
        <v/>
      </c>
      <c r="H5968" s="76"/>
      <c r="I5968" s="73"/>
      <c r="J5968" s="152">
        <v>0</v>
      </c>
    </row>
    <row r="5969" spans="1:10" ht="15.75" hidden="1" thickBot="1" x14ac:dyDescent="0.3">
      <c r="A5969" s="170" t="s">
        <v>4683</v>
      </c>
      <c r="B5969" s="173" t="str">
        <f>INDEX(Orçamentária!A:B,MATCH(Composições!A5969,Orçamentária!A:A,0),2)</f>
        <v>Eletroduto de PVC de 1 1/2”</v>
      </c>
      <c r="C5969" s="40"/>
      <c r="D5969" s="25" t="s">
        <v>69</v>
      </c>
      <c r="E5969" s="26"/>
      <c r="F5969" s="48" t="s">
        <v>416</v>
      </c>
      <c r="G5969" s="27" t="str">
        <f>IF(ISNUMBER(F5969),E5969*F5969,"")</f>
        <v/>
      </c>
      <c r="H5969" s="28"/>
      <c r="I5969" s="29"/>
      <c r="J5969" s="152">
        <v>0</v>
      </c>
    </row>
    <row r="5970" spans="1:10" ht="15.75" hidden="1" thickBot="1" x14ac:dyDescent="0.3">
      <c r="A5970" s="171"/>
      <c r="B5970" s="174"/>
      <c r="C5970" s="31"/>
      <c r="D5970" s="31"/>
      <c r="E5970" s="32"/>
      <c r="F5970" s="53" t="s">
        <v>416</v>
      </c>
      <c r="G5970" s="53" t="str">
        <f>IF(ISNUMBER(F5970),E5970*F5970,"")</f>
        <v/>
      </c>
      <c r="H5970" s="72"/>
      <c r="I5970" s="73"/>
      <c r="J5970" s="152">
        <v>0</v>
      </c>
    </row>
    <row r="5971" spans="1:10" ht="15.75" hidden="1" thickBot="1" x14ac:dyDescent="0.3">
      <c r="A5971" s="171"/>
      <c r="B5971" s="174"/>
      <c r="C5971" s="35" t="s">
        <v>8140</v>
      </c>
      <c r="D5971" s="35" t="s">
        <v>385</v>
      </c>
      <c r="E5971" s="36">
        <v>1</v>
      </c>
      <c r="F5971" s="30">
        <v>12.824999999999999</v>
      </c>
      <c r="G5971" s="53">
        <f>IF(ISNUMBER(F5971),E5971*F5971,"")</f>
        <v>12.824999999999999</v>
      </c>
      <c r="H5971" s="38">
        <f>SUM(G5971:G5971)</f>
        <v>12.824999999999999</v>
      </c>
      <c r="I5971" s="39"/>
      <c r="J5971" s="152">
        <v>0</v>
      </c>
    </row>
    <row r="5972" spans="1:10" ht="15.75" hidden="1" thickBot="1" x14ac:dyDescent="0.3">
      <c r="A5972" s="172"/>
      <c r="B5972" s="175"/>
      <c r="C5972" s="54"/>
      <c r="D5972" s="155"/>
      <c r="E5972" s="65"/>
      <c r="F5972" s="75" t="s">
        <v>416</v>
      </c>
      <c r="G5972" s="75" t="str">
        <f>IF(ISNUMBER(F5972),E5972*F5972,"")</f>
        <v/>
      </c>
      <c r="H5972" s="76"/>
      <c r="I5972" s="73"/>
      <c r="J5972" s="152">
        <v>0</v>
      </c>
    </row>
    <row r="5973" spans="1:10" ht="15.75" hidden="1" thickBot="1" x14ac:dyDescent="0.3">
      <c r="A5973" s="170" t="s">
        <v>4684</v>
      </c>
      <c r="B5973" s="173" t="str">
        <f>INDEX(Orçamentária!A:B,MATCH(Composições!A5973,Orçamentária!A:A,0),2)</f>
        <v>Luva para eletroduto de PVC de 1 1/2”</v>
      </c>
      <c r="C5973" s="40"/>
      <c r="D5973" s="25" t="s">
        <v>16</v>
      </c>
      <c r="E5973" s="26"/>
      <c r="F5973" s="48" t="s">
        <v>416</v>
      </c>
      <c r="G5973" s="27" t="str">
        <f>IF(ISNUMBER(F5973),E5973*F5973,"")</f>
        <v/>
      </c>
      <c r="H5973" s="28"/>
      <c r="I5973" s="29"/>
      <c r="J5973" s="152">
        <v>0</v>
      </c>
    </row>
    <row r="5974" spans="1:10" ht="15.75" hidden="1" thickBot="1" x14ac:dyDescent="0.3">
      <c r="A5974" s="171"/>
      <c r="B5974" s="174"/>
      <c r="C5974" s="31"/>
      <c r="D5974" s="31"/>
      <c r="E5974" s="32"/>
      <c r="F5974" s="53" t="s">
        <v>416</v>
      </c>
      <c r="G5974" s="53" t="str">
        <f>IF(ISNUMBER(F5974),E5974*F5974,"")</f>
        <v/>
      </c>
      <c r="H5974" s="72"/>
      <c r="I5974" s="73"/>
      <c r="J5974" s="152">
        <v>0</v>
      </c>
    </row>
    <row r="5975" spans="1:10" ht="15.75" hidden="1" thickBot="1" x14ac:dyDescent="0.3">
      <c r="A5975" s="171"/>
      <c r="B5975" s="174"/>
      <c r="C5975" s="35" t="s">
        <v>8253</v>
      </c>
      <c r="D5975" s="35" t="s">
        <v>213</v>
      </c>
      <c r="E5975" s="36">
        <v>1</v>
      </c>
      <c r="F5975" s="30">
        <v>4.8449999999999998</v>
      </c>
      <c r="G5975" s="53">
        <f>IF(ISNUMBER(F5975),E5975*F5975,"")</f>
        <v>4.8449999999999998</v>
      </c>
      <c r="H5975" s="38">
        <f>SUM(G5975:G5975)</f>
        <v>4.8449999999999998</v>
      </c>
      <c r="I5975" s="39"/>
      <c r="J5975" s="152">
        <v>0</v>
      </c>
    </row>
    <row r="5976" spans="1:10" ht="15.75" hidden="1" thickBot="1" x14ac:dyDescent="0.3">
      <c r="A5976" s="172"/>
      <c r="B5976" s="175"/>
      <c r="C5976" s="54"/>
      <c r="D5976" s="155"/>
      <c r="E5976" s="65"/>
      <c r="F5976" s="75" t="s">
        <v>416</v>
      </c>
      <c r="G5976" s="75" t="str">
        <f>IF(ISNUMBER(F5976),E5976*F5976,"")</f>
        <v/>
      </c>
      <c r="H5976" s="76"/>
      <c r="I5976" s="73"/>
      <c r="J5976" s="152">
        <v>0</v>
      </c>
    </row>
    <row r="5977" spans="1:10" ht="15.75" hidden="1" thickBot="1" x14ac:dyDescent="0.3">
      <c r="A5977" s="170" t="s">
        <v>4685</v>
      </c>
      <c r="B5977" s="173" t="str">
        <f>INDEX(Orçamentária!A:B,MATCH(Composições!A5977,Orçamentária!A:A,0),2)</f>
        <v>Curva para eletroduto de PVC de 1 1/2”</v>
      </c>
      <c r="C5977" s="40"/>
      <c r="D5977" s="25" t="s">
        <v>16</v>
      </c>
      <c r="E5977" s="26"/>
      <c r="F5977" s="48" t="s">
        <v>416</v>
      </c>
      <c r="G5977" s="27" t="str">
        <f>IF(ISNUMBER(F5977),E5977*F5977,"")</f>
        <v/>
      </c>
      <c r="H5977" s="28"/>
      <c r="I5977" s="29"/>
      <c r="J5977" s="152">
        <v>0</v>
      </c>
    </row>
    <row r="5978" spans="1:10" ht="15.75" hidden="1" thickBot="1" x14ac:dyDescent="0.3">
      <c r="A5978" s="171"/>
      <c r="B5978" s="174"/>
      <c r="C5978" s="31"/>
      <c r="D5978" s="31"/>
      <c r="E5978" s="32"/>
      <c r="F5978" s="53" t="s">
        <v>416</v>
      </c>
      <c r="G5978" s="53" t="str">
        <f>IF(ISNUMBER(F5978),E5978*F5978,"")</f>
        <v/>
      </c>
      <c r="H5978" s="72"/>
      <c r="I5978" s="73"/>
      <c r="J5978" s="152">
        <v>0</v>
      </c>
    </row>
    <row r="5979" spans="1:10" ht="26.25" hidden="1" thickBot="1" x14ac:dyDescent="0.3">
      <c r="A5979" s="171"/>
      <c r="B5979" s="174"/>
      <c r="C5979" s="35" t="s">
        <v>8121</v>
      </c>
      <c r="D5979" s="35" t="s">
        <v>213</v>
      </c>
      <c r="E5979" s="36">
        <v>1</v>
      </c>
      <c r="F5979" s="30">
        <v>7.770999999999999</v>
      </c>
      <c r="G5979" s="53">
        <f>IF(ISNUMBER(F5979),E5979*F5979,"")</f>
        <v>7.770999999999999</v>
      </c>
      <c r="H5979" s="38">
        <f>SUM(G5979:G5979)</f>
        <v>7.770999999999999</v>
      </c>
      <c r="I5979" s="39"/>
      <c r="J5979" s="152">
        <v>0</v>
      </c>
    </row>
    <row r="5980" spans="1:10" ht="15.75" hidden="1" thickBot="1" x14ac:dyDescent="0.3">
      <c r="A5980" s="172"/>
      <c r="B5980" s="175"/>
      <c r="C5980" s="54"/>
      <c r="D5980" s="155"/>
      <c r="E5980" s="65"/>
      <c r="F5980" s="75" t="s">
        <v>416</v>
      </c>
      <c r="G5980" s="75" t="str">
        <f>IF(ISNUMBER(F5980),E5980*F5980,"")</f>
        <v/>
      </c>
      <c r="H5980" s="76"/>
      <c r="I5980" s="73"/>
      <c r="J5980" s="152">
        <v>0</v>
      </c>
    </row>
    <row r="5981" spans="1:10" ht="15.75" hidden="1" thickBot="1" x14ac:dyDescent="0.3">
      <c r="A5981" s="170" t="s">
        <v>4686</v>
      </c>
      <c r="B5981" s="173" t="str">
        <f>INDEX(Orçamentária!A:B,MATCH(Composições!A5981,Orçamentária!A:A,0),2)</f>
        <v>Eletroduto de PVC de 2”</v>
      </c>
      <c r="C5981" s="40"/>
      <c r="D5981" s="25" t="s">
        <v>69</v>
      </c>
      <c r="E5981" s="26"/>
      <c r="F5981" s="48" t="s">
        <v>416</v>
      </c>
      <c r="G5981" s="27" t="str">
        <f>IF(ISNUMBER(F5981),E5981*F5981,"")</f>
        <v/>
      </c>
      <c r="H5981" s="28"/>
      <c r="I5981" s="29"/>
      <c r="J5981" s="152">
        <v>0</v>
      </c>
    </row>
    <row r="5982" spans="1:10" ht="15.75" hidden="1" thickBot="1" x14ac:dyDescent="0.3">
      <c r="A5982" s="171"/>
      <c r="B5982" s="174"/>
      <c r="C5982" s="31"/>
      <c r="D5982" s="31"/>
      <c r="E5982" s="32"/>
      <c r="F5982" s="53" t="s">
        <v>416</v>
      </c>
      <c r="G5982" s="53" t="str">
        <f>IF(ISNUMBER(F5982),E5982*F5982,"")</f>
        <v/>
      </c>
      <c r="H5982" s="72"/>
      <c r="I5982" s="73"/>
      <c r="J5982" s="152">
        <v>0</v>
      </c>
    </row>
    <row r="5983" spans="1:10" ht="15.75" hidden="1" thickBot="1" x14ac:dyDescent="0.3">
      <c r="A5983" s="171"/>
      <c r="B5983" s="174"/>
      <c r="C5983" s="35" t="s">
        <v>8142</v>
      </c>
      <c r="D5983" s="35" t="s">
        <v>385</v>
      </c>
      <c r="E5983" s="36">
        <v>1</v>
      </c>
      <c r="F5983" s="30">
        <v>20.956999999999997</v>
      </c>
      <c r="G5983" s="53">
        <f>IF(ISNUMBER(F5983),E5983*F5983,"")</f>
        <v>20.956999999999997</v>
      </c>
      <c r="H5983" s="38">
        <f>SUM(G5983:G5983)</f>
        <v>20.956999999999997</v>
      </c>
      <c r="I5983" s="39"/>
      <c r="J5983" s="152">
        <v>0</v>
      </c>
    </row>
    <row r="5984" spans="1:10" ht="15.75" hidden="1" thickBot="1" x14ac:dyDescent="0.3">
      <c r="A5984" s="172"/>
      <c r="B5984" s="175"/>
      <c r="C5984" s="54"/>
      <c r="D5984" s="155"/>
      <c r="E5984" s="65"/>
      <c r="F5984" s="75" t="s">
        <v>416</v>
      </c>
      <c r="G5984" s="75" t="str">
        <f>IF(ISNUMBER(F5984),E5984*F5984,"")</f>
        <v/>
      </c>
      <c r="H5984" s="76"/>
      <c r="I5984" s="73"/>
      <c r="J5984" s="152">
        <v>0</v>
      </c>
    </row>
    <row r="5985" spans="1:10" ht="15.75" hidden="1" thickBot="1" x14ac:dyDescent="0.3">
      <c r="A5985" s="170" t="s">
        <v>4687</v>
      </c>
      <c r="B5985" s="173" t="str">
        <f>INDEX(Orçamentária!A:B,MATCH(Composições!A5985,Orçamentária!A:A,0),2)</f>
        <v>Luva para eletroduto de PVC de 2”</v>
      </c>
      <c r="C5985" s="40"/>
      <c r="D5985" s="25" t="s">
        <v>16</v>
      </c>
      <c r="E5985" s="26"/>
      <c r="F5985" s="48" t="s">
        <v>416</v>
      </c>
      <c r="G5985" s="27" t="str">
        <f>IF(ISNUMBER(F5985),E5985*F5985,"")</f>
        <v/>
      </c>
      <c r="H5985" s="28"/>
      <c r="I5985" s="29"/>
      <c r="J5985" s="152">
        <v>0</v>
      </c>
    </row>
    <row r="5986" spans="1:10" ht="15.75" hidden="1" thickBot="1" x14ac:dyDescent="0.3">
      <c r="A5986" s="171"/>
      <c r="B5986" s="174"/>
      <c r="C5986" s="31"/>
      <c r="D5986" s="31"/>
      <c r="E5986" s="32"/>
      <c r="F5986" s="53" t="s">
        <v>416</v>
      </c>
      <c r="G5986" s="53" t="str">
        <f>IF(ISNUMBER(F5986),E5986*F5986,"")</f>
        <v/>
      </c>
      <c r="H5986" s="72"/>
      <c r="I5986" s="73"/>
      <c r="J5986" s="152">
        <v>0</v>
      </c>
    </row>
    <row r="5987" spans="1:10" ht="15.75" hidden="1" thickBot="1" x14ac:dyDescent="0.3">
      <c r="A5987" s="171"/>
      <c r="B5987" s="174"/>
      <c r="C5987" s="35" t="s">
        <v>8256</v>
      </c>
      <c r="D5987" s="35" t="s">
        <v>213</v>
      </c>
      <c r="E5987" s="36">
        <v>1</v>
      </c>
      <c r="F5987" s="30">
        <v>7.0204999999999993</v>
      </c>
      <c r="G5987" s="53">
        <f>IF(ISNUMBER(F5987),E5987*F5987,"")</f>
        <v>7.0204999999999993</v>
      </c>
      <c r="H5987" s="38">
        <f>SUM(G5987:G5987)</f>
        <v>7.0204999999999993</v>
      </c>
      <c r="I5987" s="39"/>
      <c r="J5987" s="152">
        <v>0</v>
      </c>
    </row>
    <row r="5988" spans="1:10" ht="15.75" hidden="1" thickBot="1" x14ac:dyDescent="0.3">
      <c r="A5988" s="172"/>
      <c r="B5988" s="175"/>
      <c r="C5988" s="54"/>
      <c r="D5988" s="155"/>
      <c r="E5988" s="65"/>
      <c r="F5988" s="75" t="s">
        <v>416</v>
      </c>
      <c r="G5988" s="75" t="str">
        <f>IF(ISNUMBER(F5988),E5988*F5988,"")</f>
        <v/>
      </c>
      <c r="H5988" s="76"/>
      <c r="I5988" s="73"/>
      <c r="J5988" s="152">
        <v>0</v>
      </c>
    </row>
    <row r="5989" spans="1:10" ht="15.75" hidden="1" thickBot="1" x14ac:dyDescent="0.3">
      <c r="A5989" s="170" t="s">
        <v>4688</v>
      </c>
      <c r="B5989" s="173" t="str">
        <f>INDEX(Orçamentária!A:B,MATCH(Composições!A5989,Orçamentária!A:A,0),2)</f>
        <v>Curva para eletroduto de PVC de 2”</v>
      </c>
      <c r="C5989" s="40"/>
      <c r="D5989" s="25" t="s">
        <v>16</v>
      </c>
      <c r="E5989" s="26"/>
      <c r="F5989" s="48" t="s">
        <v>416</v>
      </c>
      <c r="G5989" s="27" t="str">
        <f>IF(ISNUMBER(F5989),E5989*F5989,"")</f>
        <v/>
      </c>
      <c r="H5989" s="28"/>
      <c r="I5989" s="29"/>
      <c r="J5989" s="152">
        <v>0</v>
      </c>
    </row>
    <row r="5990" spans="1:10" ht="15.75" hidden="1" thickBot="1" x14ac:dyDescent="0.3">
      <c r="A5990" s="171"/>
      <c r="B5990" s="174"/>
      <c r="C5990" s="31"/>
      <c r="D5990" s="31"/>
      <c r="E5990" s="32"/>
      <c r="F5990" s="53" t="s">
        <v>416</v>
      </c>
      <c r="G5990" s="53" t="str">
        <f>IF(ISNUMBER(F5990),E5990*F5990,"")</f>
        <v/>
      </c>
      <c r="H5990" s="72"/>
      <c r="I5990" s="73"/>
      <c r="J5990" s="152">
        <v>0</v>
      </c>
    </row>
    <row r="5991" spans="1:10" ht="26.25" hidden="1" thickBot="1" x14ac:dyDescent="0.3">
      <c r="A5991" s="171"/>
      <c r="B5991" s="174"/>
      <c r="C5991" s="35" t="s">
        <v>8123</v>
      </c>
      <c r="D5991" s="35" t="s">
        <v>213</v>
      </c>
      <c r="E5991" s="36">
        <v>1</v>
      </c>
      <c r="F5991" s="30">
        <v>12.625499999999999</v>
      </c>
      <c r="G5991" s="53">
        <f>IF(ISNUMBER(F5991),E5991*F5991,"")</f>
        <v>12.625499999999999</v>
      </c>
      <c r="H5991" s="38">
        <f>SUM(G5991:G5991)</f>
        <v>12.625499999999999</v>
      </c>
      <c r="I5991" s="39"/>
      <c r="J5991" s="152">
        <v>0</v>
      </c>
    </row>
    <row r="5992" spans="1:10" ht="15.75" hidden="1" thickBot="1" x14ac:dyDescent="0.3">
      <c r="A5992" s="172"/>
      <c r="B5992" s="175"/>
      <c r="C5992" s="54"/>
      <c r="D5992" s="155"/>
      <c r="E5992" s="65"/>
      <c r="F5992" s="75" t="s">
        <v>416</v>
      </c>
      <c r="G5992" s="75" t="str">
        <f>IF(ISNUMBER(F5992),E5992*F5992,"")</f>
        <v/>
      </c>
      <c r="H5992" s="76"/>
      <c r="I5992" s="73"/>
      <c r="J5992" s="152">
        <v>0</v>
      </c>
    </row>
    <row r="5993" spans="1:10" ht="15.75" hidden="1" thickBot="1" x14ac:dyDescent="0.3">
      <c r="A5993" s="170" t="s">
        <v>4689</v>
      </c>
      <c r="B5993" s="173" t="str">
        <f>INDEX(Orçamentária!A:B,MATCH(Composições!A5993,Orçamentária!A:A,0),2)</f>
        <v>Eletroduto de PVC de 3”</v>
      </c>
      <c r="C5993" s="40"/>
      <c r="D5993" s="25" t="s">
        <v>69</v>
      </c>
      <c r="E5993" s="26"/>
      <c r="F5993" s="48" t="s">
        <v>416</v>
      </c>
      <c r="G5993" s="27" t="str">
        <f>IF(ISNUMBER(F5993),E5993*F5993,"")</f>
        <v/>
      </c>
      <c r="H5993" s="28"/>
      <c r="I5993" s="29"/>
      <c r="J5993" s="152">
        <v>0</v>
      </c>
    </row>
    <row r="5994" spans="1:10" ht="15.75" hidden="1" thickBot="1" x14ac:dyDescent="0.3">
      <c r="A5994" s="171"/>
      <c r="B5994" s="174"/>
      <c r="C5994" s="31"/>
      <c r="D5994" s="31"/>
      <c r="E5994" s="32"/>
      <c r="F5994" s="53" t="s">
        <v>416</v>
      </c>
      <c r="G5994" s="53" t="str">
        <f>IF(ISNUMBER(F5994),E5994*F5994,"")</f>
        <v/>
      </c>
      <c r="H5994" s="72"/>
      <c r="I5994" s="73"/>
      <c r="J5994" s="152">
        <v>0</v>
      </c>
    </row>
    <row r="5995" spans="1:10" ht="15.75" hidden="1" thickBot="1" x14ac:dyDescent="0.3">
      <c r="A5995" s="171"/>
      <c r="B5995" s="174"/>
      <c r="C5995" s="35" t="s">
        <v>8143</v>
      </c>
      <c r="D5995" s="35" t="s">
        <v>385</v>
      </c>
      <c r="E5995" s="36">
        <v>1</v>
      </c>
      <c r="F5995" s="30">
        <v>38.332499999999996</v>
      </c>
      <c r="G5995" s="53">
        <f>IF(ISNUMBER(F5995),E5995*F5995,"")</f>
        <v>38.332499999999996</v>
      </c>
      <c r="H5995" s="38">
        <f>SUM(G5995:G5995)</f>
        <v>38.332499999999996</v>
      </c>
      <c r="I5995" s="39"/>
      <c r="J5995" s="152">
        <v>0</v>
      </c>
    </row>
    <row r="5996" spans="1:10" ht="15.75" hidden="1" thickBot="1" x14ac:dyDescent="0.3">
      <c r="A5996" s="172"/>
      <c r="B5996" s="175"/>
      <c r="C5996" s="54"/>
      <c r="D5996" s="155"/>
      <c r="E5996" s="65"/>
      <c r="F5996" s="75" t="s">
        <v>416</v>
      </c>
      <c r="G5996" s="75" t="str">
        <f>IF(ISNUMBER(F5996),E5996*F5996,"")</f>
        <v/>
      </c>
      <c r="H5996" s="76"/>
      <c r="I5996" s="73"/>
      <c r="J5996" s="152">
        <v>0</v>
      </c>
    </row>
    <row r="5997" spans="1:10" ht="15.75" hidden="1" thickBot="1" x14ac:dyDescent="0.3">
      <c r="A5997" s="170" t="s">
        <v>4690</v>
      </c>
      <c r="B5997" s="173" t="str">
        <f>INDEX(Orçamentária!A:B,MATCH(Composições!A5997,Orçamentária!A:A,0),2)</f>
        <v>Luva para eletroduto de PVC de 3”</v>
      </c>
      <c r="C5997" s="40"/>
      <c r="D5997" s="25" t="s">
        <v>16</v>
      </c>
      <c r="E5997" s="26"/>
      <c r="F5997" s="48" t="s">
        <v>416</v>
      </c>
      <c r="G5997" s="27" t="str">
        <f>IF(ISNUMBER(F5997),E5997*F5997,"")</f>
        <v/>
      </c>
      <c r="H5997" s="28"/>
      <c r="I5997" s="29"/>
      <c r="J5997" s="152">
        <v>0</v>
      </c>
    </row>
    <row r="5998" spans="1:10" ht="15.75" hidden="1" thickBot="1" x14ac:dyDescent="0.3">
      <c r="A5998" s="171"/>
      <c r="B5998" s="174"/>
      <c r="C5998" s="31"/>
      <c r="D5998" s="31"/>
      <c r="E5998" s="32"/>
      <c r="F5998" s="53" t="s">
        <v>416</v>
      </c>
      <c r="G5998" s="53" t="str">
        <f>IF(ISNUMBER(F5998),E5998*F5998,"")</f>
        <v/>
      </c>
      <c r="H5998" s="72"/>
      <c r="I5998" s="73"/>
      <c r="J5998" s="152">
        <v>0</v>
      </c>
    </row>
    <row r="5999" spans="1:10" ht="15.75" hidden="1" thickBot="1" x14ac:dyDescent="0.3">
      <c r="A5999" s="171"/>
      <c r="B5999" s="174"/>
      <c r="C5999" s="35" t="s">
        <v>8258</v>
      </c>
      <c r="D5999" s="35" t="s">
        <v>213</v>
      </c>
      <c r="E5999" s="36">
        <v>1</v>
      </c>
      <c r="F5999" s="30">
        <v>20.956999999999997</v>
      </c>
      <c r="G5999" s="53">
        <f>IF(ISNUMBER(F5999),E5999*F5999,"")</f>
        <v>20.956999999999997</v>
      </c>
      <c r="H5999" s="38">
        <f>SUM(G5999:G5999)</f>
        <v>20.956999999999997</v>
      </c>
      <c r="I5999" s="39"/>
      <c r="J5999" s="152">
        <v>0</v>
      </c>
    </row>
    <row r="6000" spans="1:10" ht="15.75" hidden="1" thickBot="1" x14ac:dyDescent="0.3">
      <c r="A6000" s="172"/>
      <c r="B6000" s="175"/>
      <c r="C6000" s="54"/>
      <c r="D6000" s="155"/>
      <c r="E6000" s="65"/>
      <c r="F6000" s="75" t="s">
        <v>416</v>
      </c>
      <c r="G6000" s="75" t="str">
        <f>IF(ISNUMBER(F6000),E6000*F6000,"")</f>
        <v/>
      </c>
      <c r="H6000" s="76"/>
      <c r="I6000" s="73"/>
      <c r="J6000" s="152">
        <v>0</v>
      </c>
    </row>
    <row r="6001" spans="1:10" ht="15.75" hidden="1" thickBot="1" x14ac:dyDescent="0.3">
      <c r="A6001" s="170" t="s">
        <v>4691</v>
      </c>
      <c r="B6001" s="173" t="str">
        <f>INDEX(Orçamentária!A:B,MATCH(Composições!A6001,Orçamentária!A:A,0),2)</f>
        <v>Curva para eletroduto de PVC de 3”</v>
      </c>
      <c r="C6001" s="40"/>
      <c r="D6001" s="25" t="s">
        <v>16</v>
      </c>
      <c r="E6001" s="26"/>
      <c r="F6001" s="48" t="s">
        <v>416</v>
      </c>
      <c r="G6001" s="27" t="str">
        <f>IF(ISNUMBER(F6001),E6001*F6001,"")</f>
        <v/>
      </c>
      <c r="H6001" s="28"/>
      <c r="I6001" s="29"/>
      <c r="J6001" s="152">
        <v>0</v>
      </c>
    </row>
    <row r="6002" spans="1:10" ht="15.75" hidden="1" thickBot="1" x14ac:dyDescent="0.3">
      <c r="A6002" s="171"/>
      <c r="B6002" s="174"/>
      <c r="C6002" s="31"/>
      <c r="D6002" s="31"/>
      <c r="E6002" s="32"/>
      <c r="F6002" s="53" t="s">
        <v>416</v>
      </c>
      <c r="G6002" s="53" t="str">
        <f>IF(ISNUMBER(F6002),E6002*F6002,"")</f>
        <v/>
      </c>
      <c r="H6002" s="72"/>
      <c r="I6002" s="73"/>
      <c r="J6002" s="152">
        <v>0</v>
      </c>
    </row>
    <row r="6003" spans="1:10" ht="26.25" hidden="1" thickBot="1" x14ac:dyDescent="0.3">
      <c r="A6003" s="171"/>
      <c r="B6003" s="174"/>
      <c r="C6003" s="35" t="s">
        <v>8124</v>
      </c>
      <c r="D6003" s="35" t="s">
        <v>213</v>
      </c>
      <c r="E6003" s="36">
        <v>1</v>
      </c>
      <c r="F6003" s="30">
        <v>32.252499999999998</v>
      </c>
      <c r="G6003" s="53">
        <f>IF(ISNUMBER(F6003),E6003*F6003,"")</f>
        <v>32.252499999999998</v>
      </c>
      <c r="H6003" s="38">
        <f>SUM(G6003:G6003)</f>
        <v>32.252499999999998</v>
      </c>
      <c r="I6003" s="39"/>
      <c r="J6003" s="152">
        <v>0</v>
      </c>
    </row>
    <row r="6004" spans="1:10" ht="15.75" hidden="1" thickBot="1" x14ac:dyDescent="0.3">
      <c r="A6004" s="172"/>
      <c r="B6004" s="175"/>
      <c r="C6004" s="54"/>
      <c r="D6004" s="155"/>
      <c r="E6004" s="65"/>
      <c r="F6004" s="75" t="s">
        <v>416</v>
      </c>
      <c r="G6004" s="75" t="str">
        <f>IF(ISNUMBER(F6004),E6004*F6004,"")</f>
        <v/>
      </c>
      <c r="H6004" s="76"/>
      <c r="I6004" s="73"/>
      <c r="J6004" s="152">
        <v>0</v>
      </c>
    </row>
    <row r="6005" spans="1:10" ht="15.75" hidden="1" thickBot="1" x14ac:dyDescent="0.3">
      <c r="A6005" s="170" t="s">
        <v>4704</v>
      </c>
      <c r="B6005" s="173" t="str">
        <f>INDEX(Orçamentária!A:B,MATCH(Composições!A6005,Orçamentária!A:A,0),2)</f>
        <v>Base fusível NH 00 / NH 000</v>
      </c>
      <c r="C6005" s="40"/>
      <c r="D6005" s="25" t="s">
        <v>16</v>
      </c>
      <c r="E6005" s="26"/>
      <c r="F6005" s="48" t="s">
        <v>416</v>
      </c>
      <c r="G6005" s="27" t="str">
        <f>IF(ISNUMBER(F6005),E6005*F6005,"")</f>
        <v/>
      </c>
      <c r="H6005" s="28"/>
      <c r="I6005" s="29"/>
      <c r="J6005" s="152">
        <v>0</v>
      </c>
    </row>
    <row r="6006" spans="1:10" ht="15.75" hidden="1" thickBot="1" x14ac:dyDescent="0.3">
      <c r="A6006" s="171"/>
      <c r="B6006" s="174"/>
      <c r="C6006" s="31"/>
      <c r="D6006" s="31"/>
      <c r="E6006" s="32"/>
      <c r="F6006" s="53" t="s">
        <v>416</v>
      </c>
      <c r="G6006" s="53" t="str">
        <f>IF(ISNUMBER(F6006),E6006*F6006,"")</f>
        <v/>
      </c>
      <c r="H6006" s="72"/>
      <c r="I6006" s="73"/>
      <c r="J6006" s="152">
        <v>0</v>
      </c>
    </row>
    <row r="6007" spans="1:10" ht="26.25" hidden="1" thickBot="1" x14ac:dyDescent="0.3">
      <c r="A6007" s="171"/>
      <c r="B6007" s="174"/>
      <c r="C6007" s="35" t="s">
        <v>5532</v>
      </c>
      <c r="D6007" s="35" t="s">
        <v>16</v>
      </c>
      <c r="E6007" s="36">
        <v>1</v>
      </c>
      <c r="F6007" s="30">
        <v>0</v>
      </c>
      <c r="G6007" s="53">
        <f>IF(ISNUMBER(F6007),E6007*F6007,"")</f>
        <v>0</v>
      </c>
      <c r="H6007" s="38">
        <f>SUM(G6007:G6007)</f>
        <v>0</v>
      </c>
      <c r="I6007" s="39"/>
      <c r="J6007" s="152">
        <v>0</v>
      </c>
    </row>
    <row r="6008" spans="1:10" ht="15.75" hidden="1" thickBot="1" x14ac:dyDescent="0.3">
      <c r="A6008" s="172"/>
      <c r="B6008" s="175"/>
      <c r="C6008" s="54"/>
      <c r="D6008" s="155"/>
      <c r="E6008" s="65"/>
      <c r="F6008" s="75" t="s">
        <v>416</v>
      </c>
      <c r="G6008" s="75" t="str">
        <f>IF(ISNUMBER(F6008),E6008*F6008,"")</f>
        <v/>
      </c>
      <c r="H6008" s="76"/>
      <c r="I6008" s="73"/>
      <c r="J6008" s="152">
        <v>0</v>
      </c>
    </row>
    <row r="6009" spans="1:10" ht="15.75" hidden="1" customHeight="1" thickBot="1" x14ac:dyDescent="0.3">
      <c r="A6009" s="170" t="s">
        <v>4705</v>
      </c>
      <c r="B6009" s="173" t="str">
        <f>INDEX(Orçamentária!A:B,MATCH(Composições!A6009,Orçamentária!A:A,0),2)</f>
        <v>Base fusível NH 1</v>
      </c>
      <c r="C6009" s="40"/>
      <c r="D6009" s="25" t="s">
        <v>16</v>
      </c>
      <c r="E6009" s="26"/>
      <c r="F6009" s="48" t="s">
        <v>416</v>
      </c>
      <c r="G6009" s="27" t="str">
        <f>IF(ISNUMBER(F6009),E6009*F6009,"")</f>
        <v/>
      </c>
      <c r="H6009" s="28"/>
      <c r="I6009" s="29"/>
      <c r="J6009" s="152">
        <v>0</v>
      </c>
    </row>
    <row r="6010" spans="1:10" ht="15.75" hidden="1" thickBot="1" x14ac:dyDescent="0.3">
      <c r="A6010" s="171"/>
      <c r="B6010" s="174"/>
      <c r="C6010" s="31"/>
      <c r="D6010" s="31"/>
      <c r="E6010" s="32"/>
      <c r="F6010" s="53" t="s">
        <v>416</v>
      </c>
      <c r="G6010" s="53" t="str">
        <f>IF(ISNUMBER(F6010),E6010*F6010,"")</f>
        <v/>
      </c>
      <c r="H6010" s="72"/>
      <c r="I6010" s="73"/>
      <c r="J6010" s="152">
        <v>0</v>
      </c>
    </row>
    <row r="6011" spans="1:10" ht="26.25" hidden="1" thickBot="1" x14ac:dyDescent="0.3">
      <c r="A6011" s="171"/>
      <c r="B6011" s="174"/>
      <c r="C6011" s="35" t="s">
        <v>5533</v>
      </c>
      <c r="D6011" s="35" t="s">
        <v>16</v>
      </c>
      <c r="E6011" s="36">
        <v>1</v>
      </c>
      <c r="F6011" s="30">
        <v>0</v>
      </c>
      <c r="G6011" s="53">
        <f>IF(ISNUMBER(F6011),E6011*F6011,"")</f>
        <v>0</v>
      </c>
      <c r="H6011" s="38">
        <f>SUM(G6011:G6011)</f>
        <v>0</v>
      </c>
      <c r="I6011" s="39"/>
      <c r="J6011" s="152">
        <v>0</v>
      </c>
    </row>
    <row r="6012" spans="1:10" ht="15.75" hidden="1" thickBot="1" x14ac:dyDescent="0.3">
      <c r="A6012" s="172"/>
      <c r="B6012" s="175"/>
      <c r="C6012" s="54"/>
      <c r="D6012" s="155"/>
      <c r="E6012" s="65"/>
      <c r="F6012" s="75" t="s">
        <v>416</v>
      </c>
      <c r="G6012" s="75" t="str">
        <f>IF(ISNUMBER(F6012),E6012*F6012,"")</f>
        <v/>
      </c>
      <c r="H6012" s="76"/>
      <c r="I6012" s="73"/>
      <c r="J6012" s="152">
        <v>0</v>
      </c>
    </row>
    <row r="6013" spans="1:10" ht="15.75" hidden="1" customHeight="1" thickBot="1" x14ac:dyDescent="0.3">
      <c r="A6013" s="170" t="s">
        <v>4706</v>
      </c>
      <c r="B6013" s="173" t="str">
        <f>INDEX(Orçamentária!A:B,MATCH(Composições!A6013,Orçamentária!A:A,0),2)</f>
        <v>Base fusível NH 2</v>
      </c>
      <c r="C6013" s="40"/>
      <c r="D6013" s="25" t="s">
        <v>16</v>
      </c>
      <c r="E6013" s="26"/>
      <c r="F6013" s="48" t="s">
        <v>416</v>
      </c>
      <c r="G6013" s="27" t="str">
        <f>IF(ISNUMBER(F6013),E6013*F6013,"")</f>
        <v/>
      </c>
      <c r="H6013" s="28"/>
      <c r="I6013" s="29"/>
      <c r="J6013" s="152">
        <v>0</v>
      </c>
    </row>
    <row r="6014" spans="1:10" ht="15.75" hidden="1" thickBot="1" x14ac:dyDescent="0.3">
      <c r="A6014" s="171"/>
      <c r="B6014" s="174"/>
      <c r="C6014" s="31"/>
      <c r="D6014" s="31"/>
      <c r="E6014" s="32"/>
      <c r="F6014" s="53" t="s">
        <v>416</v>
      </c>
      <c r="G6014" s="53" t="str">
        <f>IF(ISNUMBER(F6014),E6014*F6014,"")</f>
        <v/>
      </c>
      <c r="H6014" s="72"/>
      <c r="I6014" s="73"/>
      <c r="J6014" s="152">
        <v>0</v>
      </c>
    </row>
    <row r="6015" spans="1:10" ht="26.25" hidden="1" thickBot="1" x14ac:dyDescent="0.3">
      <c r="A6015" s="171"/>
      <c r="B6015" s="174"/>
      <c r="C6015" s="35" t="s">
        <v>5534</v>
      </c>
      <c r="D6015" s="35" t="s">
        <v>16</v>
      </c>
      <c r="E6015" s="36">
        <v>1</v>
      </c>
      <c r="F6015" s="30">
        <v>0</v>
      </c>
      <c r="G6015" s="53">
        <f>IF(ISNUMBER(F6015),E6015*F6015,"")</f>
        <v>0</v>
      </c>
      <c r="H6015" s="38">
        <f>SUM(G6015:G6015)</f>
        <v>0</v>
      </c>
      <c r="I6015" s="39"/>
      <c r="J6015" s="152">
        <v>0</v>
      </c>
    </row>
    <row r="6016" spans="1:10" ht="15.75" hidden="1" thickBot="1" x14ac:dyDescent="0.3">
      <c r="A6016" s="172"/>
      <c r="B6016" s="175"/>
      <c r="C6016" s="54"/>
      <c r="D6016" s="155"/>
      <c r="E6016" s="65"/>
      <c r="F6016" s="75" t="s">
        <v>416</v>
      </c>
      <c r="G6016" s="75" t="str">
        <f>IF(ISNUMBER(F6016),E6016*F6016,"")</f>
        <v/>
      </c>
      <c r="H6016" s="76"/>
      <c r="I6016" s="73"/>
      <c r="J6016" s="152">
        <v>0</v>
      </c>
    </row>
    <row r="6017" spans="1:10" ht="15.75" hidden="1" thickBot="1" x14ac:dyDescent="0.3">
      <c r="A6017" s="170" t="s">
        <v>4707</v>
      </c>
      <c r="B6017" s="173" t="str">
        <f>INDEX(Orçamentária!A:B,MATCH(Composições!A6017,Orçamentária!A:A,0),2)</f>
        <v>Base fusível NH 3</v>
      </c>
      <c r="C6017" s="40"/>
      <c r="D6017" s="25" t="s">
        <v>16</v>
      </c>
      <c r="E6017" s="26"/>
      <c r="F6017" s="48" t="s">
        <v>416</v>
      </c>
      <c r="G6017" s="27" t="str">
        <f>IF(ISNUMBER(F6017),E6017*F6017,"")</f>
        <v/>
      </c>
      <c r="H6017" s="28"/>
      <c r="I6017" s="29"/>
      <c r="J6017" s="152">
        <v>0</v>
      </c>
    </row>
    <row r="6018" spans="1:10" ht="15.75" hidden="1" thickBot="1" x14ac:dyDescent="0.3">
      <c r="A6018" s="171"/>
      <c r="B6018" s="174"/>
      <c r="C6018" s="31"/>
      <c r="D6018" s="31"/>
      <c r="E6018" s="32"/>
      <c r="F6018" s="53" t="s">
        <v>416</v>
      </c>
      <c r="G6018" s="53" t="str">
        <f>IF(ISNUMBER(F6018),E6018*F6018,"")</f>
        <v/>
      </c>
      <c r="H6018" s="72"/>
      <c r="I6018" s="73"/>
      <c r="J6018" s="152">
        <v>0</v>
      </c>
    </row>
    <row r="6019" spans="1:10" ht="26.25" hidden="1" thickBot="1" x14ac:dyDescent="0.3">
      <c r="A6019" s="171"/>
      <c r="B6019" s="174"/>
      <c r="C6019" s="35" t="s">
        <v>5535</v>
      </c>
      <c r="D6019" s="35" t="s">
        <v>16</v>
      </c>
      <c r="E6019" s="36">
        <v>1</v>
      </c>
      <c r="F6019" s="30">
        <v>0</v>
      </c>
      <c r="G6019" s="53">
        <f>IF(ISNUMBER(F6019),E6019*F6019,"")</f>
        <v>0</v>
      </c>
      <c r="H6019" s="38">
        <f>SUM(G6019:G6019)</f>
        <v>0</v>
      </c>
      <c r="I6019" s="39"/>
      <c r="J6019" s="152">
        <v>0</v>
      </c>
    </row>
    <row r="6020" spans="1:10" ht="15.75" hidden="1" thickBot="1" x14ac:dyDescent="0.3">
      <c r="A6020" s="172"/>
      <c r="B6020" s="175"/>
      <c r="C6020" s="54"/>
      <c r="D6020" s="155"/>
      <c r="E6020" s="65"/>
      <c r="F6020" s="75" t="s">
        <v>416</v>
      </c>
      <c r="G6020" s="75" t="str">
        <f>IF(ISNUMBER(F6020),E6020*F6020,"")</f>
        <v/>
      </c>
      <c r="H6020" s="76"/>
      <c r="I6020" s="73"/>
      <c r="J6020" s="152">
        <v>0</v>
      </c>
    </row>
    <row r="6021" spans="1:10" ht="15.75" hidden="1" thickBot="1" x14ac:dyDescent="0.3">
      <c r="A6021" s="170" t="s">
        <v>4708</v>
      </c>
      <c r="B6021" s="173" t="str">
        <f>INDEX(Orçamentária!A:B,MATCH(Composições!A6021,Orçamentária!A:A,0),2)</f>
        <v>Fusível NH 000</v>
      </c>
      <c r="C6021" s="40"/>
      <c r="D6021" s="25" t="s">
        <v>16</v>
      </c>
      <c r="E6021" s="26"/>
      <c r="F6021" s="48" t="s">
        <v>416</v>
      </c>
      <c r="G6021" s="27" t="str">
        <f>IF(ISNUMBER(F6021),E6021*F6021,"")</f>
        <v/>
      </c>
      <c r="H6021" s="28"/>
      <c r="I6021" s="29"/>
      <c r="J6021" s="152">
        <v>0</v>
      </c>
    </row>
    <row r="6022" spans="1:10" ht="15.75" hidden="1" thickBot="1" x14ac:dyDescent="0.3">
      <c r="A6022" s="171"/>
      <c r="B6022" s="174"/>
      <c r="C6022" s="31"/>
      <c r="D6022" s="31"/>
      <c r="E6022" s="32"/>
      <c r="F6022" s="53" t="s">
        <v>416</v>
      </c>
      <c r="G6022" s="53" t="str">
        <f>IF(ISNUMBER(F6022),E6022*F6022,"")</f>
        <v/>
      </c>
      <c r="H6022" s="72"/>
      <c r="I6022" s="73"/>
      <c r="J6022" s="152">
        <v>0</v>
      </c>
    </row>
    <row r="6023" spans="1:10" ht="15.75" hidden="1" thickBot="1" x14ac:dyDescent="0.3">
      <c r="A6023" s="171"/>
      <c r="B6023" s="174"/>
      <c r="C6023" s="35" t="s">
        <v>5536</v>
      </c>
      <c r="D6023" s="35" t="s">
        <v>16</v>
      </c>
      <c r="E6023" s="36">
        <v>1</v>
      </c>
      <c r="F6023" s="30">
        <v>0</v>
      </c>
      <c r="G6023" s="53">
        <f>IF(ISNUMBER(F6023),E6023*F6023,"")</f>
        <v>0</v>
      </c>
      <c r="H6023" s="38">
        <f>SUM(G6023:G6023)</f>
        <v>0</v>
      </c>
      <c r="I6023" s="39"/>
      <c r="J6023" s="152">
        <v>0</v>
      </c>
    </row>
    <row r="6024" spans="1:10" ht="15.75" hidden="1" thickBot="1" x14ac:dyDescent="0.3">
      <c r="A6024" s="172"/>
      <c r="B6024" s="175"/>
      <c r="C6024" s="54"/>
      <c r="D6024" s="155"/>
      <c r="E6024" s="65"/>
      <c r="F6024" s="75" t="s">
        <v>416</v>
      </c>
      <c r="G6024" s="75" t="str">
        <f>IF(ISNUMBER(F6024),E6024*F6024,"")</f>
        <v/>
      </c>
      <c r="H6024" s="76"/>
      <c r="I6024" s="73"/>
      <c r="J6024" s="152">
        <v>0</v>
      </c>
    </row>
    <row r="6025" spans="1:10" ht="15.75" hidden="1" thickBot="1" x14ac:dyDescent="0.3">
      <c r="A6025" s="170" t="s">
        <v>4710</v>
      </c>
      <c r="B6025" s="173" t="str">
        <f>INDEX(Orçamentária!A:B,MATCH(Composições!A6025,Orçamentária!A:A,0),2)</f>
        <v>Fusível NH 1</v>
      </c>
      <c r="C6025" s="40"/>
      <c r="D6025" s="25" t="s">
        <v>16</v>
      </c>
      <c r="E6025" s="26"/>
      <c r="F6025" s="48" t="s">
        <v>416</v>
      </c>
      <c r="G6025" s="27" t="str">
        <f>IF(ISNUMBER(F6025),E6025*F6025,"")</f>
        <v/>
      </c>
      <c r="H6025" s="28"/>
      <c r="I6025" s="29"/>
      <c r="J6025" s="152">
        <v>0</v>
      </c>
    </row>
    <row r="6026" spans="1:10" ht="15.75" hidden="1" thickBot="1" x14ac:dyDescent="0.3">
      <c r="A6026" s="171"/>
      <c r="B6026" s="174"/>
      <c r="C6026" s="31"/>
      <c r="D6026" s="31"/>
      <c r="E6026" s="32"/>
      <c r="F6026" s="53" t="s">
        <v>416</v>
      </c>
      <c r="G6026" s="53" t="str">
        <f>IF(ISNUMBER(F6026),E6026*F6026,"")</f>
        <v/>
      </c>
      <c r="H6026" s="72"/>
      <c r="I6026" s="73"/>
      <c r="J6026" s="152">
        <v>0</v>
      </c>
    </row>
    <row r="6027" spans="1:10" ht="15.75" hidden="1" thickBot="1" x14ac:dyDescent="0.3">
      <c r="A6027" s="171"/>
      <c r="B6027" s="174"/>
      <c r="C6027" s="35" t="s">
        <v>5537</v>
      </c>
      <c r="D6027" s="35" t="s">
        <v>16</v>
      </c>
      <c r="E6027" s="36">
        <v>1</v>
      </c>
      <c r="F6027" s="30">
        <v>0</v>
      </c>
      <c r="G6027" s="53">
        <f>IF(ISNUMBER(F6027),E6027*F6027,"")</f>
        <v>0</v>
      </c>
      <c r="H6027" s="38">
        <f>SUM(G6027:G6027)</f>
        <v>0</v>
      </c>
      <c r="I6027" s="39"/>
      <c r="J6027" s="152">
        <v>0</v>
      </c>
    </row>
    <row r="6028" spans="1:10" ht="15.75" hidden="1" thickBot="1" x14ac:dyDescent="0.3">
      <c r="A6028" s="172"/>
      <c r="B6028" s="175"/>
      <c r="C6028" s="54"/>
      <c r="D6028" s="155"/>
      <c r="E6028" s="65"/>
      <c r="F6028" s="75" t="s">
        <v>416</v>
      </c>
      <c r="G6028" s="75" t="str">
        <f>IF(ISNUMBER(F6028),E6028*F6028,"")</f>
        <v/>
      </c>
      <c r="H6028" s="76"/>
      <c r="I6028" s="73"/>
      <c r="J6028" s="152">
        <v>0</v>
      </c>
    </row>
    <row r="6029" spans="1:10" ht="15.75" hidden="1" thickBot="1" x14ac:dyDescent="0.3">
      <c r="A6029" s="170" t="s">
        <v>4712</v>
      </c>
      <c r="B6029" s="173" t="str">
        <f>INDEX(Orçamentária!A:B,MATCH(Composições!A6029,Orçamentária!A:A,0),2)</f>
        <v>Fusível NH 2</v>
      </c>
      <c r="C6029" s="40"/>
      <c r="D6029" s="25" t="s">
        <v>16</v>
      </c>
      <c r="E6029" s="26"/>
      <c r="F6029" s="48" t="s">
        <v>416</v>
      </c>
      <c r="G6029" s="27" t="str">
        <f>IF(ISNUMBER(F6029),E6029*F6029,"")</f>
        <v/>
      </c>
      <c r="H6029" s="28"/>
      <c r="I6029" s="29"/>
      <c r="J6029" s="152">
        <v>0</v>
      </c>
    </row>
    <row r="6030" spans="1:10" ht="15.75" hidden="1" thickBot="1" x14ac:dyDescent="0.3">
      <c r="A6030" s="171"/>
      <c r="B6030" s="174"/>
      <c r="C6030" s="31"/>
      <c r="D6030" s="31"/>
      <c r="E6030" s="32"/>
      <c r="F6030" s="53" t="s">
        <v>416</v>
      </c>
      <c r="G6030" s="53" t="str">
        <f>IF(ISNUMBER(F6030),E6030*F6030,"")</f>
        <v/>
      </c>
      <c r="H6030" s="72"/>
      <c r="I6030" s="73"/>
      <c r="J6030" s="152">
        <v>0</v>
      </c>
    </row>
    <row r="6031" spans="1:10" ht="15.75" hidden="1" thickBot="1" x14ac:dyDescent="0.3">
      <c r="A6031" s="171"/>
      <c r="B6031" s="174"/>
      <c r="C6031" s="35" t="s">
        <v>5538</v>
      </c>
      <c r="D6031" s="35" t="s">
        <v>16</v>
      </c>
      <c r="E6031" s="36">
        <v>1</v>
      </c>
      <c r="F6031" s="30">
        <v>0</v>
      </c>
      <c r="G6031" s="53">
        <f>IF(ISNUMBER(F6031),E6031*F6031,"")</f>
        <v>0</v>
      </c>
      <c r="H6031" s="38">
        <f>SUM(G6031:G6031)</f>
        <v>0</v>
      </c>
      <c r="I6031" s="39"/>
      <c r="J6031" s="152">
        <v>0</v>
      </c>
    </row>
    <row r="6032" spans="1:10" ht="15.75" hidden="1" thickBot="1" x14ac:dyDescent="0.3">
      <c r="A6032" s="172"/>
      <c r="B6032" s="175"/>
      <c r="C6032" s="54"/>
      <c r="D6032" s="155"/>
      <c r="E6032" s="65"/>
      <c r="F6032" s="75" t="s">
        <v>416</v>
      </c>
      <c r="G6032" s="75" t="str">
        <f>IF(ISNUMBER(F6032),E6032*F6032,"")</f>
        <v/>
      </c>
      <c r="H6032" s="76"/>
      <c r="I6032" s="73"/>
      <c r="J6032" s="152">
        <v>0</v>
      </c>
    </row>
    <row r="6033" spans="1:10" ht="15.75" hidden="1" thickBot="1" x14ac:dyDescent="0.3">
      <c r="A6033" s="170" t="s">
        <v>4714</v>
      </c>
      <c r="B6033" s="173" t="str">
        <f>INDEX(Orçamentária!A:B,MATCH(Composições!A6033,Orçamentária!A:A,0),2)</f>
        <v>Fusível NH 3</v>
      </c>
      <c r="C6033" s="40"/>
      <c r="D6033" s="25" t="s">
        <v>16</v>
      </c>
      <c r="E6033" s="26"/>
      <c r="F6033" s="48" t="s">
        <v>416</v>
      </c>
      <c r="G6033" s="27" t="str">
        <f>IF(ISNUMBER(F6033),E6033*F6033,"")</f>
        <v/>
      </c>
      <c r="H6033" s="28"/>
      <c r="I6033" s="29"/>
      <c r="J6033" s="152">
        <v>0</v>
      </c>
    </row>
    <row r="6034" spans="1:10" ht="15.75" hidden="1" thickBot="1" x14ac:dyDescent="0.3">
      <c r="A6034" s="171"/>
      <c r="B6034" s="174"/>
      <c r="C6034" s="31"/>
      <c r="D6034" s="31"/>
      <c r="E6034" s="32"/>
      <c r="F6034" s="53" t="s">
        <v>416</v>
      </c>
      <c r="G6034" s="53" t="str">
        <f>IF(ISNUMBER(F6034),E6034*F6034,"")</f>
        <v/>
      </c>
      <c r="H6034" s="72"/>
      <c r="I6034" s="73"/>
      <c r="J6034" s="152">
        <v>0</v>
      </c>
    </row>
    <row r="6035" spans="1:10" ht="15.75" hidden="1" thickBot="1" x14ac:dyDescent="0.3">
      <c r="A6035" s="171"/>
      <c r="B6035" s="174"/>
      <c r="C6035" s="35" t="s">
        <v>5539</v>
      </c>
      <c r="D6035" s="35" t="s">
        <v>16</v>
      </c>
      <c r="E6035" s="36">
        <v>1</v>
      </c>
      <c r="F6035" s="30">
        <v>0</v>
      </c>
      <c r="G6035" s="53">
        <f>IF(ISNUMBER(F6035),E6035*F6035,"")</f>
        <v>0</v>
      </c>
      <c r="H6035" s="38">
        <f>SUM(G6035:G6035)</f>
        <v>0</v>
      </c>
      <c r="I6035" s="39"/>
      <c r="J6035" s="152">
        <v>0</v>
      </c>
    </row>
    <row r="6036" spans="1:10" ht="15.75" hidden="1" thickBot="1" x14ac:dyDescent="0.3">
      <c r="A6036" s="172"/>
      <c r="B6036" s="175"/>
      <c r="C6036" s="54"/>
      <c r="D6036" s="155"/>
      <c r="E6036" s="65"/>
      <c r="F6036" s="75" t="s">
        <v>416</v>
      </c>
      <c r="G6036" s="75" t="str">
        <f>IF(ISNUMBER(F6036),E6036*F6036,"")</f>
        <v/>
      </c>
      <c r="H6036" s="76"/>
      <c r="I6036" s="73"/>
      <c r="J6036" s="152">
        <v>0</v>
      </c>
    </row>
    <row r="6037" spans="1:10" ht="15.75" hidden="1" thickBot="1" x14ac:dyDescent="0.3">
      <c r="A6037" s="170" t="s">
        <v>4717</v>
      </c>
      <c r="B6037" s="173" t="str">
        <f>INDEX(Orçamentária!A:B,MATCH(Composições!A6037,Orçamentária!A:A,0),2)</f>
        <v>Fusível Diazed</v>
      </c>
      <c r="C6037" s="40"/>
      <c r="D6037" s="25" t="s">
        <v>16</v>
      </c>
      <c r="E6037" s="26"/>
      <c r="F6037" s="48" t="s">
        <v>416</v>
      </c>
      <c r="G6037" s="27" t="str">
        <f>IF(ISNUMBER(F6037),E6037*F6037,"")</f>
        <v/>
      </c>
      <c r="H6037" s="28"/>
      <c r="I6037" s="29"/>
      <c r="J6037" s="152">
        <v>0</v>
      </c>
    </row>
    <row r="6038" spans="1:10" ht="15.75" hidden="1" thickBot="1" x14ac:dyDescent="0.3">
      <c r="A6038" s="171"/>
      <c r="B6038" s="174"/>
      <c r="C6038" s="31"/>
      <c r="D6038" s="31"/>
      <c r="E6038" s="32"/>
      <c r="F6038" s="53" t="s">
        <v>416</v>
      </c>
      <c r="G6038" s="53" t="str">
        <f>IF(ISNUMBER(F6038),E6038*F6038,"")</f>
        <v/>
      </c>
      <c r="H6038" s="72"/>
      <c r="I6038" s="73"/>
      <c r="J6038" s="152">
        <v>0</v>
      </c>
    </row>
    <row r="6039" spans="1:10" ht="39" hidden="1" thickBot="1" x14ac:dyDescent="0.3">
      <c r="A6039" s="171"/>
      <c r="B6039" s="174"/>
      <c r="C6039" s="35" t="s">
        <v>8173</v>
      </c>
      <c r="D6039" s="35" t="s">
        <v>213</v>
      </c>
      <c r="E6039" s="36">
        <v>1</v>
      </c>
      <c r="F6039" s="30">
        <v>6.4694999999999991</v>
      </c>
      <c r="G6039" s="53">
        <f>IF(ISNUMBER(F6039),E6039*F6039,"")</f>
        <v>6.4694999999999991</v>
      </c>
      <c r="H6039" s="38">
        <f>SUM(G6039:G6039)</f>
        <v>6.4694999999999991</v>
      </c>
      <c r="I6039" s="39"/>
      <c r="J6039" s="152">
        <v>0</v>
      </c>
    </row>
    <row r="6040" spans="1:10" ht="15.75" hidden="1" thickBot="1" x14ac:dyDescent="0.3">
      <c r="A6040" s="172"/>
      <c r="B6040" s="175"/>
      <c r="C6040" s="54"/>
      <c r="D6040" s="155"/>
      <c r="E6040" s="65"/>
      <c r="F6040" s="75" t="s">
        <v>416</v>
      </c>
      <c r="G6040" s="75" t="str">
        <f>IF(ISNUMBER(F6040),E6040*F6040,"")</f>
        <v/>
      </c>
      <c r="H6040" s="76"/>
      <c r="I6040" s="73"/>
      <c r="J6040" s="152">
        <v>0</v>
      </c>
    </row>
    <row r="6041" spans="1:10" ht="15.75" hidden="1" thickBot="1" x14ac:dyDescent="0.3">
      <c r="A6041" s="170" t="s">
        <v>4733</v>
      </c>
      <c r="B6041" s="173" t="str">
        <f>INDEX(Orçamentária!A:B,MATCH(Composições!A6041,Orçamentária!A:A,0),2)</f>
        <v>Poste reto 3 m</v>
      </c>
      <c r="C6041" s="40"/>
      <c r="D6041" s="25" t="s">
        <v>16</v>
      </c>
      <c r="E6041" s="26"/>
      <c r="F6041" s="48" t="s">
        <v>416</v>
      </c>
      <c r="G6041" s="27" t="str">
        <f>IF(ISNUMBER(F6041),E6041*F6041,"")</f>
        <v/>
      </c>
      <c r="H6041" s="28"/>
      <c r="I6041" s="29"/>
      <c r="J6041" s="152">
        <v>0</v>
      </c>
    </row>
    <row r="6042" spans="1:10" ht="15.75" hidden="1" thickBot="1" x14ac:dyDescent="0.3">
      <c r="A6042" s="171"/>
      <c r="B6042" s="174"/>
      <c r="C6042" s="31"/>
      <c r="D6042" s="31"/>
      <c r="E6042" s="32"/>
      <c r="F6042" s="53" t="s">
        <v>416</v>
      </c>
      <c r="G6042" s="53" t="str">
        <f>IF(ISNUMBER(F6042),E6042*F6042,"")</f>
        <v/>
      </c>
      <c r="H6042" s="72"/>
      <c r="I6042" s="73"/>
      <c r="J6042" s="152">
        <v>0</v>
      </c>
    </row>
    <row r="6043" spans="1:10" ht="26.25" hidden="1" thickBot="1" x14ac:dyDescent="0.3">
      <c r="A6043" s="171"/>
      <c r="B6043" s="174"/>
      <c r="C6043" s="35" t="s">
        <v>8536</v>
      </c>
      <c r="D6043" s="35" t="s">
        <v>213</v>
      </c>
      <c r="E6043" s="36">
        <v>1</v>
      </c>
      <c r="F6043" s="30">
        <v>483.02749999999997</v>
      </c>
      <c r="G6043" s="53">
        <f>IF(ISNUMBER(F6043),E6043*F6043,"")</f>
        <v>483.02749999999997</v>
      </c>
      <c r="H6043" s="38">
        <f>SUM(G6043:G6043)</f>
        <v>483.02749999999997</v>
      </c>
      <c r="I6043" s="39"/>
      <c r="J6043" s="152">
        <v>0</v>
      </c>
    </row>
    <row r="6044" spans="1:10" ht="15.75" hidden="1" thickBot="1" x14ac:dyDescent="0.3">
      <c r="A6044" s="172"/>
      <c r="B6044" s="175"/>
      <c r="C6044" s="54"/>
      <c r="D6044" s="155"/>
      <c r="E6044" s="65"/>
      <c r="F6044" s="75" t="s">
        <v>416</v>
      </c>
      <c r="G6044" s="75" t="str">
        <f>IF(ISNUMBER(F6044),E6044*F6044,"")</f>
        <v/>
      </c>
      <c r="H6044" s="76"/>
      <c r="I6044" s="73"/>
      <c r="J6044" s="152">
        <v>0</v>
      </c>
    </row>
    <row r="6045" spans="1:10" ht="15.75" hidden="1" thickBot="1" x14ac:dyDescent="0.3">
      <c r="A6045" s="170" t="s">
        <v>4735</v>
      </c>
      <c r="B6045" s="173" t="str">
        <f>INDEX(Orçamentária!A:B,MATCH(Composições!A6045,Orçamentária!A:A,0),2)</f>
        <v>Poste curvo simples 8 m</v>
      </c>
      <c r="C6045" s="40"/>
      <c r="D6045" s="25" t="s">
        <v>16</v>
      </c>
      <c r="E6045" s="26"/>
      <c r="F6045" s="48" t="s">
        <v>416</v>
      </c>
      <c r="G6045" s="27" t="str">
        <f>IF(ISNUMBER(F6045),E6045*F6045,"")</f>
        <v/>
      </c>
      <c r="H6045" s="28"/>
      <c r="I6045" s="29"/>
      <c r="J6045" s="152">
        <v>0</v>
      </c>
    </row>
    <row r="6046" spans="1:10" ht="15.75" hidden="1" thickBot="1" x14ac:dyDescent="0.3">
      <c r="A6046" s="171"/>
      <c r="B6046" s="174"/>
      <c r="C6046" s="31"/>
      <c r="D6046" s="31"/>
      <c r="E6046" s="32"/>
      <c r="F6046" s="53" t="s">
        <v>416</v>
      </c>
      <c r="G6046" s="53" t="str">
        <f>IF(ISNUMBER(F6046),E6046*F6046,"")</f>
        <v/>
      </c>
      <c r="H6046" s="72"/>
      <c r="I6046" s="73"/>
      <c r="J6046" s="152">
        <v>0</v>
      </c>
    </row>
    <row r="6047" spans="1:10" ht="26.25" hidden="1" thickBot="1" x14ac:dyDescent="0.3">
      <c r="A6047" s="171"/>
      <c r="B6047" s="174"/>
      <c r="C6047" s="35" t="s">
        <v>8537</v>
      </c>
      <c r="D6047" s="35" t="s">
        <v>213</v>
      </c>
      <c r="E6047" s="36">
        <v>1</v>
      </c>
      <c r="F6047" s="30">
        <v>1874.8154999999999</v>
      </c>
      <c r="G6047" s="53">
        <f>IF(ISNUMBER(F6047),E6047*F6047,"")</f>
        <v>1874.8154999999999</v>
      </c>
      <c r="H6047" s="38">
        <f>SUM(G6047:G6047)</f>
        <v>1874.8154999999999</v>
      </c>
      <c r="I6047" s="39"/>
      <c r="J6047" s="152">
        <v>0</v>
      </c>
    </row>
    <row r="6048" spans="1:10" ht="15.75" hidden="1" thickBot="1" x14ac:dyDescent="0.3">
      <c r="A6048" s="172"/>
      <c r="B6048" s="175"/>
      <c r="C6048" s="54"/>
      <c r="D6048" s="155"/>
      <c r="E6048" s="65"/>
      <c r="F6048" s="75" t="s">
        <v>416</v>
      </c>
      <c r="G6048" s="75" t="str">
        <f>IF(ISNUMBER(F6048),E6048*F6048,"")</f>
        <v/>
      </c>
      <c r="H6048" s="76"/>
      <c r="I6048" s="73"/>
      <c r="J6048" s="152">
        <v>0</v>
      </c>
    </row>
    <row r="6049" spans="1:10" ht="15.75" hidden="1" thickBot="1" x14ac:dyDescent="0.3">
      <c r="A6049" s="170" t="s">
        <v>4737</v>
      </c>
      <c r="B6049" s="173" t="str">
        <f>INDEX(Orçamentária!A:B,MATCH(Composições!A6049,Orçamentária!A:A,0),2)</f>
        <v>Poste curvo duplo 8 m</v>
      </c>
      <c r="C6049" s="40"/>
      <c r="D6049" s="25" t="s">
        <v>16</v>
      </c>
      <c r="E6049" s="26"/>
      <c r="F6049" s="48" t="s">
        <v>416</v>
      </c>
      <c r="G6049" s="27" t="str">
        <f>IF(ISNUMBER(F6049),E6049*F6049,"")</f>
        <v/>
      </c>
      <c r="H6049" s="28"/>
      <c r="I6049" s="29"/>
      <c r="J6049" s="152">
        <v>0</v>
      </c>
    </row>
    <row r="6050" spans="1:10" ht="15.75" hidden="1" thickBot="1" x14ac:dyDescent="0.3">
      <c r="A6050" s="171"/>
      <c r="B6050" s="174"/>
      <c r="C6050" s="31"/>
      <c r="D6050" s="31"/>
      <c r="E6050" s="32"/>
      <c r="F6050" s="53" t="s">
        <v>416</v>
      </c>
      <c r="G6050" s="53" t="str">
        <f>IF(ISNUMBER(F6050),E6050*F6050,"")</f>
        <v/>
      </c>
      <c r="H6050" s="72"/>
      <c r="I6050" s="73"/>
      <c r="J6050" s="152">
        <v>0</v>
      </c>
    </row>
    <row r="6051" spans="1:10" ht="26.25" hidden="1" thickBot="1" x14ac:dyDescent="0.3">
      <c r="A6051" s="171"/>
      <c r="B6051" s="174"/>
      <c r="C6051" s="35" t="s">
        <v>8538</v>
      </c>
      <c r="D6051" s="35" t="s">
        <v>213</v>
      </c>
      <c r="E6051" s="36">
        <v>1</v>
      </c>
      <c r="F6051" s="30">
        <v>2207.61</v>
      </c>
      <c r="G6051" s="53">
        <f>IF(ISNUMBER(F6051),E6051*F6051,"")</f>
        <v>2207.61</v>
      </c>
      <c r="H6051" s="38">
        <f>SUM(G6051:G6051)</f>
        <v>2207.61</v>
      </c>
      <c r="I6051" s="39"/>
      <c r="J6051" s="152">
        <v>0</v>
      </c>
    </row>
    <row r="6052" spans="1:10" ht="15.75" hidden="1" thickBot="1" x14ac:dyDescent="0.3">
      <c r="A6052" s="172"/>
      <c r="B6052" s="175"/>
      <c r="C6052" s="54"/>
      <c r="D6052" s="155"/>
      <c r="E6052" s="65"/>
      <c r="F6052" s="75" t="s">
        <v>416</v>
      </c>
      <c r="G6052" s="75" t="str">
        <f>IF(ISNUMBER(F6052),E6052*F6052,"")</f>
        <v/>
      </c>
      <c r="H6052" s="76"/>
      <c r="I6052" s="73"/>
      <c r="J6052" s="152">
        <v>0</v>
      </c>
    </row>
    <row r="6053" spans="1:10" ht="15.75" hidden="1" thickBot="1" x14ac:dyDescent="0.3">
      <c r="A6053" s="170" t="s">
        <v>4738</v>
      </c>
      <c r="B6053" s="173" t="str">
        <f>INDEX(Orçamentária!A:B,MATCH(Composições!A6053,Orçamentária!A:A,0),2)</f>
        <v>Braço para iluminação</v>
      </c>
      <c r="C6053" s="40"/>
      <c r="D6053" s="25" t="s">
        <v>16</v>
      </c>
      <c r="E6053" s="26"/>
      <c r="F6053" s="48" t="s">
        <v>416</v>
      </c>
      <c r="G6053" s="27" t="str">
        <f>IF(ISNUMBER(F6053),E6053*F6053,"")</f>
        <v/>
      </c>
      <c r="H6053" s="28"/>
      <c r="I6053" s="29"/>
      <c r="J6053" s="152">
        <v>0</v>
      </c>
    </row>
    <row r="6054" spans="1:10" ht="15.75" hidden="1" thickBot="1" x14ac:dyDescent="0.3">
      <c r="A6054" s="171"/>
      <c r="B6054" s="174"/>
      <c r="C6054" s="31"/>
      <c r="D6054" s="31"/>
      <c r="E6054" s="32"/>
      <c r="F6054" s="53" t="s">
        <v>416</v>
      </c>
      <c r="G6054" s="53" t="str">
        <f>IF(ISNUMBER(F6054),E6054*F6054,"")</f>
        <v/>
      </c>
      <c r="H6054" s="72"/>
      <c r="I6054" s="73"/>
      <c r="J6054" s="152">
        <v>0</v>
      </c>
    </row>
    <row r="6055" spans="1:10" ht="15.75" hidden="1" thickBot="1" x14ac:dyDescent="0.3">
      <c r="A6055" s="171"/>
      <c r="B6055" s="174"/>
      <c r="C6055" s="35" t="s">
        <v>8009</v>
      </c>
      <c r="D6055" s="35" t="s">
        <v>213</v>
      </c>
      <c r="E6055" s="36">
        <v>1</v>
      </c>
      <c r="F6055" s="30">
        <v>38.475000000000001</v>
      </c>
      <c r="G6055" s="53">
        <f>IF(ISNUMBER(F6055),E6055*F6055,"")</f>
        <v>38.475000000000001</v>
      </c>
      <c r="H6055" s="38">
        <f>SUM(G6055:G6055)</f>
        <v>38.475000000000001</v>
      </c>
      <c r="I6055" s="39"/>
      <c r="J6055" s="152">
        <v>0</v>
      </c>
    </row>
    <row r="6056" spans="1:10" ht="15.75" hidden="1" thickBot="1" x14ac:dyDescent="0.3">
      <c r="A6056" s="172"/>
      <c r="B6056" s="175"/>
      <c r="C6056" s="54"/>
      <c r="D6056" s="155"/>
      <c r="E6056" s="65"/>
      <c r="F6056" s="75" t="s">
        <v>416</v>
      </c>
      <c r="G6056" s="75" t="str">
        <f>IF(ISNUMBER(F6056),E6056*F6056,"")</f>
        <v/>
      </c>
      <c r="H6056" s="76"/>
      <c r="I6056" s="73"/>
      <c r="J6056" s="152">
        <v>0</v>
      </c>
    </row>
    <row r="6057" spans="1:10" ht="15.75" hidden="1" thickBot="1" x14ac:dyDescent="0.3">
      <c r="A6057" s="170" t="s">
        <v>4865</v>
      </c>
      <c r="B6057" s="173" t="str">
        <f>INDEX(Orçamentária!A:B,MATCH(Composições!A6057,Orçamentária!A:A,0),2)</f>
        <v>Chumbador 1/4”</v>
      </c>
      <c r="C6057" s="40"/>
      <c r="D6057" s="25" t="s">
        <v>16</v>
      </c>
      <c r="E6057" s="26"/>
      <c r="F6057" s="48" t="s">
        <v>416</v>
      </c>
      <c r="G6057" s="27" t="str">
        <f>IF(ISNUMBER(F6057),E6057*F6057,"")</f>
        <v/>
      </c>
      <c r="H6057" s="28"/>
      <c r="I6057" s="29"/>
      <c r="J6057" s="152">
        <v>0</v>
      </c>
    </row>
    <row r="6058" spans="1:10" ht="15.75" hidden="1" thickBot="1" x14ac:dyDescent="0.3">
      <c r="A6058" s="171"/>
      <c r="B6058" s="174"/>
      <c r="C6058" s="31"/>
      <c r="D6058" s="31"/>
      <c r="E6058" s="32"/>
      <c r="F6058" s="53" t="s">
        <v>416</v>
      </c>
      <c r="G6058" s="53" t="str">
        <f>IF(ISNUMBER(F6058),E6058*F6058,"")</f>
        <v/>
      </c>
      <c r="H6058" s="72"/>
      <c r="I6058" s="73"/>
      <c r="J6058" s="152">
        <v>0</v>
      </c>
    </row>
    <row r="6059" spans="1:10" ht="15.75" hidden="1" thickBot="1" x14ac:dyDescent="0.3">
      <c r="A6059" s="171"/>
      <c r="B6059" s="174"/>
      <c r="C6059" s="35" t="s">
        <v>8064</v>
      </c>
      <c r="D6059" s="35" t="s">
        <v>213</v>
      </c>
      <c r="E6059" s="36">
        <v>1</v>
      </c>
      <c r="F6059" s="30">
        <v>1.216</v>
      </c>
      <c r="G6059" s="53">
        <f>IF(ISNUMBER(F6059),E6059*F6059,"")</f>
        <v>1.216</v>
      </c>
      <c r="H6059" s="38">
        <f>SUM(G6059:G6059)</f>
        <v>1.216</v>
      </c>
      <c r="I6059" s="39"/>
      <c r="J6059" s="152">
        <v>0</v>
      </c>
    </row>
    <row r="6060" spans="1:10" ht="15.75" hidden="1" thickBot="1" x14ac:dyDescent="0.3">
      <c r="A6060" s="172"/>
      <c r="B6060" s="175"/>
      <c r="C6060" s="54"/>
      <c r="D6060" s="155"/>
      <c r="E6060" s="65"/>
      <c r="F6060" s="75" t="s">
        <v>416</v>
      </c>
      <c r="G6060" s="75" t="str">
        <f>IF(ISNUMBER(F6060),E6060*F6060,"")</f>
        <v/>
      </c>
      <c r="H6060" s="76"/>
      <c r="I6060" s="73"/>
      <c r="J6060" s="152">
        <v>0</v>
      </c>
    </row>
    <row r="6061" spans="1:10" ht="15.75" hidden="1" thickBot="1" x14ac:dyDescent="0.3">
      <c r="A6061" s="170" t="s">
        <v>4872</v>
      </c>
      <c r="B6061" s="173" t="str">
        <f>INDEX(Orçamentária!A:B,MATCH(Composições!A6061,Orçamentária!A:A,0),2)</f>
        <v xml:space="preserve">Caixa 4 x 4" de embutir para alvenaria </v>
      </c>
      <c r="C6061" s="40"/>
      <c r="D6061" s="25" t="s">
        <v>16</v>
      </c>
      <c r="E6061" s="26"/>
      <c r="F6061" s="48" t="s">
        <v>416</v>
      </c>
      <c r="G6061" s="27" t="str">
        <f>IF(ISNUMBER(F6061),E6061*F6061,"")</f>
        <v/>
      </c>
      <c r="H6061" s="28"/>
      <c r="I6061" s="29"/>
      <c r="J6061" s="152">
        <v>0</v>
      </c>
    </row>
    <row r="6062" spans="1:10" ht="15.75" hidden="1" thickBot="1" x14ac:dyDescent="0.3">
      <c r="A6062" s="171"/>
      <c r="B6062" s="174"/>
      <c r="C6062" s="31"/>
      <c r="D6062" s="31"/>
      <c r="E6062" s="32"/>
      <c r="F6062" s="53" t="s">
        <v>416</v>
      </c>
      <c r="G6062" s="53" t="str">
        <f>IF(ISNUMBER(F6062),E6062*F6062,"")</f>
        <v/>
      </c>
      <c r="H6062" s="72"/>
      <c r="I6062" s="73"/>
      <c r="J6062" s="152">
        <v>0</v>
      </c>
    </row>
    <row r="6063" spans="1:10" ht="26.25" hidden="1" thickBot="1" x14ac:dyDescent="0.3">
      <c r="A6063" s="171"/>
      <c r="B6063" s="174"/>
      <c r="C6063" s="35" t="s">
        <v>8036</v>
      </c>
      <c r="D6063" s="35" t="s">
        <v>213</v>
      </c>
      <c r="E6063" s="36">
        <v>1</v>
      </c>
      <c r="F6063" s="30">
        <v>6.4409999999999998</v>
      </c>
      <c r="G6063" s="53">
        <f>IF(ISNUMBER(F6063),E6063*F6063,"")</f>
        <v>6.4409999999999998</v>
      </c>
      <c r="H6063" s="38">
        <f>SUM(G6063:G6063)</f>
        <v>6.4409999999999998</v>
      </c>
      <c r="I6063" s="39"/>
      <c r="J6063" s="152">
        <v>0</v>
      </c>
    </row>
    <row r="6064" spans="1:10" ht="15.75" hidden="1" thickBot="1" x14ac:dyDescent="0.3">
      <c r="A6064" s="172"/>
      <c r="B6064" s="175"/>
      <c r="C6064" s="54"/>
      <c r="D6064" s="155"/>
      <c r="E6064" s="65"/>
      <c r="F6064" s="75" t="s">
        <v>416</v>
      </c>
      <c r="G6064" s="75" t="str">
        <f>IF(ISNUMBER(F6064),E6064*F6064,"")</f>
        <v/>
      </c>
      <c r="H6064" s="76"/>
      <c r="I6064" s="73"/>
      <c r="J6064" s="152">
        <v>0</v>
      </c>
    </row>
    <row r="6065" spans="1:10" ht="15.75" hidden="1" thickBot="1" x14ac:dyDescent="0.3">
      <c r="A6065" s="170" t="s">
        <v>4871</v>
      </c>
      <c r="B6065" s="173" t="str">
        <f>INDEX(Orçamentária!A:B,MATCH(Composições!A6065,Orçamentária!A:A,0),2)</f>
        <v xml:space="preserve">Caixa 4 x 2" de embutir para alvenaria </v>
      </c>
      <c r="C6065" s="40"/>
      <c r="D6065" s="25" t="s">
        <v>16</v>
      </c>
      <c r="E6065" s="26"/>
      <c r="F6065" s="48" t="s">
        <v>416</v>
      </c>
      <c r="G6065" s="27" t="str">
        <f>IF(ISNUMBER(F6065),E6065*F6065,"")</f>
        <v/>
      </c>
      <c r="H6065" s="28"/>
      <c r="I6065" s="29"/>
      <c r="J6065" s="152">
        <v>0</v>
      </c>
    </row>
    <row r="6066" spans="1:10" ht="15.75" hidden="1" thickBot="1" x14ac:dyDescent="0.3">
      <c r="A6066" s="171"/>
      <c r="B6066" s="174"/>
      <c r="C6066" s="31"/>
      <c r="D6066" s="31"/>
      <c r="E6066" s="32"/>
      <c r="F6066" s="53" t="s">
        <v>416</v>
      </c>
      <c r="G6066" s="53" t="str">
        <f>IF(ISNUMBER(F6066),E6066*F6066,"")</f>
        <v/>
      </c>
      <c r="H6066" s="72"/>
      <c r="I6066" s="73"/>
      <c r="J6066" s="152">
        <v>0</v>
      </c>
    </row>
    <row r="6067" spans="1:10" ht="26.25" hidden="1" thickBot="1" x14ac:dyDescent="0.3">
      <c r="A6067" s="171"/>
      <c r="B6067" s="174"/>
      <c r="C6067" s="35" t="s">
        <v>8035</v>
      </c>
      <c r="D6067" s="35" t="s">
        <v>213</v>
      </c>
      <c r="E6067" s="36">
        <v>1</v>
      </c>
      <c r="F6067" s="30">
        <v>3.2395</v>
      </c>
      <c r="G6067" s="53">
        <f>IF(ISNUMBER(F6067),E6067*F6067,"")</f>
        <v>3.2395</v>
      </c>
      <c r="H6067" s="38">
        <f>SUM(G6067:G6067)</f>
        <v>3.2395</v>
      </c>
      <c r="I6067" s="39"/>
      <c r="J6067" s="152">
        <v>0</v>
      </c>
    </row>
    <row r="6068" spans="1:10" ht="15.75" hidden="1" thickBot="1" x14ac:dyDescent="0.3">
      <c r="A6068" s="172"/>
      <c r="B6068" s="175"/>
      <c r="C6068" s="54"/>
      <c r="D6068" s="155"/>
      <c r="E6068" s="65"/>
      <c r="F6068" s="75" t="s">
        <v>416</v>
      </c>
      <c r="G6068" s="75" t="str">
        <f>IF(ISNUMBER(F6068),E6068*F6068,"")</f>
        <v/>
      </c>
      <c r="H6068" s="76"/>
      <c r="I6068" s="73"/>
      <c r="J6068" s="152">
        <v>0</v>
      </c>
    </row>
    <row r="6069" spans="1:10" ht="15.75" hidden="1" thickBot="1" x14ac:dyDescent="0.3">
      <c r="A6069" s="170" t="s">
        <v>4872</v>
      </c>
      <c r="B6069" s="173" t="str">
        <f>INDEX(Orçamentária!A:B,MATCH(Composições!A6069,Orçamentária!A:A,0),2)</f>
        <v xml:space="preserve">Caixa 4 x 4" de embutir para alvenaria </v>
      </c>
      <c r="C6069" s="40"/>
      <c r="D6069" s="25" t="s">
        <v>16</v>
      </c>
      <c r="E6069" s="26"/>
      <c r="F6069" s="48" t="s">
        <v>416</v>
      </c>
      <c r="G6069" s="27" t="str">
        <f>IF(ISNUMBER(F6069),E6069*F6069,"")</f>
        <v/>
      </c>
      <c r="H6069" s="28"/>
      <c r="I6069" s="29"/>
      <c r="J6069" s="152">
        <v>0</v>
      </c>
    </row>
    <row r="6070" spans="1:10" ht="15.75" hidden="1" thickBot="1" x14ac:dyDescent="0.3">
      <c r="A6070" s="171"/>
      <c r="B6070" s="174"/>
      <c r="C6070" s="31"/>
      <c r="D6070" s="31"/>
      <c r="E6070" s="32"/>
      <c r="F6070" s="53" t="s">
        <v>416</v>
      </c>
      <c r="G6070" s="53" t="str">
        <f>IF(ISNUMBER(F6070),E6070*F6070,"")</f>
        <v/>
      </c>
      <c r="H6070" s="72"/>
      <c r="I6070" s="73"/>
      <c r="J6070" s="152">
        <v>0</v>
      </c>
    </row>
    <row r="6071" spans="1:10" ht="26.25" hidden="1" thickBot="1" x14ac:dyDescent="0.3">
      <c r="A6071" s="171"/>
      <c r="B6071" s="174"/>
      <c r="C6071" s="35" t="s">
        <v>8036</v>
      </c>
      <c r="D6071" s="35" t="s">
        <v>213</v>
      </c>
      <c r="E6071" s="36">
        <v>1</v>
      </c>
      <c r="F6071" s="30">
        <v>6.4409999999999998</v>
      </c>
      <c r="G6071" s="53">
        <f>IF(ISNUMBER(F6071),E6071*F6071,"")</f>
        <v>6.4409999999999998</v>
      </c>
      <c r="H6071" s="38">
        <f>SUM(G6071:G6071)</f>
        <v>6.4409999999999998</v>
      </c>
      <c r="I6071" s="39"/>
      <c r="J6071" s="152">
        <v>0</v>
      </c>
    </row>
    <row r="6072" spans="1:10" ht="15.75" hidden="1" thickBot="1" x14ac:dyDescent="0.3">
      <c r="A6072" s="172"/>
      <c r="B6072" s="175"/>
      <c r="C6072" s="54"/>
      <c r="D6072" s="155"/>
      <c r="E6072" s="65"/>
      <c r="F6072" s="75" t="s">
        <v>416</v>
      </c>
      <c r="G6072" s="75" t="str">
        <f>IF(ISNUMBER(F6072),E6072*F6072,"")</f>
        <v/>
      </c>
      <c r="H6072" s="76"/>
      <c r="I6072" s="73"/>
      <c r="J6072" s="152">
        <v>0</v>
      </c>
    </row>
    <row r="6073" spans="1:10" ht="15.75" hidden="1" thickBot="1" x14ac:dyDescent="0.3">
      <c r="A6073" s="170" t="s">
        <v>4880</v>
      </c>
      <c r="B6073" s="173" t="str">
        <f>INDEX(Orçamentária!A:B,MATCH(Composições!A6073,Orçamentária!A:A,0),2)</f>
        <v>Caixa de passagem em aço 400 x 400 x 150mm</v>
      </c>
      <c r="C6073" s="40"/>
      <c r="D6073" s="25" t="s">
        <v>16</v>
      </c>
      <c r="E6073" s="26"/>
      <c r="F6073" s="48" t="s">
        <v>416</v>
      </c>
      <c r="G6073" s="27" t="str">
        <f>IF(ISNUMBER(F6073),E6073*F6073,"")</f>
        <v/>
      </c>
      <c r="H6073" s="28"/>
      <c r="I6073" s="29"/>
      <c r="J6073" s="152">
        <v>0</v>
      </c>
    </row>
    <row r="6074" spans="1:10" ht="15.75" hidden="1" thickBot="1" x14ac:dyDescent="0.3">
      <c r="A6074" s="171"/>
      <c r="B6074" s="174"/>
      <c r="C6074" s="31"/>
      <c r="D6074" s="31"/>
      <c r="E6074" s="32"/>
      <c r="F6074" s="53" t="s">
        <v>416</v>
      </c>
      <c r="G6074" s="53" t="str">
        <f>IF(ISNUMBER(F6074),E6074*F6074,"")</f>
        <v/>
      </c>
      <c r="H6074" s="72"/>
      <c r="I6074" s="73"/>
      <c r="J6074" s="152">
        <v>0</v>
      </c>
    </row>
    <row r="6075" spans="1:10" ht="26.25" hidden="1" thickBot="1" x14ac:dyDescent="0.3">
      <c r="A6075" s="171"/>
      <c r="B6075" s="174"/>
      <c r="C6075" s="35" t="s">
        <v>5540</v>
      </c>
      <c r="D6075" s="35" t="s">
        <v>16</v>
      </c>
      <c r="E6075" s="36">
        <v>1</v>
      </c>
      <c r="F6075" s="30">
        <v>0</v>
      </c>
      <c r="G6075" s="53">
        <f>IF(ISNUMBER(F6075),E6075*F6075,"")</f>
        <v>0</v>
      </c>
      <c r="H6075" s="38">
        <f>SUM(G6075:G6075)</f>
        <v>0</v>
      </c>
      <c r="I6075" s="39"/>
      <c r="J6075" s="152">
        <v>0</v>
      </c>
    </row>
    <row r="6076" spans="1:10" ht="15.75" hidden="1" thickBot="1" x14ac:dyDescent="0.3">
      <c r="A6076" s="172"/>
      <c r="B6076" s="175"/>
      <c r="C6076" s="54"/>
      <c r="D6076" s="155"/>
      <c r="E6076" s="65"/>
      <c r="F6076" s="75" t="s">
        <v>416</v>
      </c>
      <c r="G6076" s="75" t="str">
        <f>IF(ISNUMBER(F6076),E6076*F6076,"")</f>
        <v/>
      </c>
      <c r="H6076" s="76"/>
      <c r="I6076" s="73"/>
      <c r="J6076" s="152">
        <v>0</v>
      </c>
    </row>
    <row r="6077" spans="1:10" ht="15.75" hidden="1" thickBot="1" x14ac:dyDescent="0.3">
      <c r="A6077" s="170" t="s">
        <v>4883</v>
      </c>
      <c r="B6077" s="173" t="str">
        <f>INDEX(Orçamentária!A:B,MATCH(Composições!A6077,Orçamentária!A:A,0),2)</f>
        <v>Abraçadeira tipo D para eletroduto</v>
      </c>
      <c r="C6077" s="40"/>
      <c r="D6077" s="25" t="s">
        <v>16</v>
      </c>
      <c r="E6077" s="26"/>
      <c r="F6077" s="48" t="s">
        <v>416</v>
      </c>
      <c r="G6077" s="27" t="str">
        <f>IF(ISNUMBER(F6077),E6077*F6077,"")</f>
        <v/>
      </c>
      <c r="H6077" s="28"/>
      <c r="I6077" s="29"/>
      <c r="J6077" s="152">
        <v>0</v>
      </c>
    </row>
    <row r="6078" spans="1:10" ht="15.75" hidden="1" thickBot="1" x14ac:dyDescent="0.3">
      <c r="A6078" s="171"/>
      <c r="B6078" s="174"/>
      <c r="C6078" s="31"/>
      <c r="D6078" s="31"/>
      <c r="E6078" s="32"/>
      <c r="F6078" s="53" t="s">
        <v>416</v>
      </c>
      <c r="G6078" s="53" t="str">
        <f>IF(ISNUMBER(F6078),E6078*F6078,"")</f>
        <v/>
      </c>
      <c r="H6078" s="72"/>
      <c r="I6078" s="73"/>
      <c r="J6078" s="152">
        <v>0</v>
      </c>
    </row>
    <row r="6079" spans="1:10" ht="26.25" hidden="1" thickBot="1" x14ac:dyDescent="0.3">
      <c r="A6079" s="171"/>
      <c r="B6079" s="174"/>
      <c r="C6079" s="35" t="s">
        <v>7955</v>
      </c>
      <c r="D6079" s="35" t="s">
        <v>213</v>
      </c>
      <c r="E6079" s="36">
        <v>1</v>
      </c>
      <c r="F6079" s="30">
        <v>4.7404999999999999</v>
      </c>
      <c r="G6079" s="53">
        <f>IF(ISNUMBER(F6079),E6079*F6079,"")</f>
        <v>4.7404999999999999</v>
      </c>
      <c r="H6079" s="38">
        <f>SUM(G6079:G6079)</f>
        <v>4.7404999999999999</v>
      </c>
      <c r="I6079" s="39"/>
      <c r="J6079" s="152">
        <v>0</v>
      </c>
    </row>
    <row r="6080" spans="1:10" ht="15.75" hidden="1" thickBot="1" x14ac:dyDescent="0.3">
      <c r="A6080" s="172"/>
      <c r="B6080" s="175"/>
      <c r="C6080" s="54"/>
      <c r="D6080" s="155"/>
      <c r="E6080" s="65"/>
      <c r="F6080" s="75" t="s">
        <v>416</v>
      </c>
      <c r="G6080" s="75" t="str">
        <f>IF(ISNUMBER(F6080),E6080*F6080,"")</f>
        <v/>
      </c>
      <c r="H6080" s="76"/>
      <c r="I6080" s="73"/>
      <c r="J6080" s="152">
        <v>0</v>
      </c>
    </row>
    <row r="6081" spans="1:10" ht="15.75" hidden="1" thickBot="1" x14ac:dyDescent="0.3">
      <c r="A6081" s="170" t="s">
        <v>4884</v>
      </c>
      <c r="B6081" s="173" t="str">
        <f>INDEX(Orçamentária!A:B,MATCH(Composições!A6081,Orçamentária!A:A,0),2)</f>
        <v>Abraçadeira tipo copo para eletroduto</v>
      </c>
      <c r="C6081" s="40"/>
      <c r="D6081" s="25" t="s">
        <v>16</v>
      </c>
      <c r="E6081" s="26"/>
      <c r="F6081" s="48" t="s">
        <v>416</v>
      </c>
      <c r="G6081" s="27" t="str">
        <f>IF(ISNUMBER(F6081),E6081*F6081,"")</f>
        <v/>
      </c>
      <c r="H6081" s="28"/>
      <c r="I6081" s="29"/>
      <c r="J6081" s="152">
        <v>0</v>
      </c>
    </row>
    <row r="6082" spans="1:10" ht="15.75" hidden="1" thickBot="1" x14ac:dyDescent="0.3">
      <c r="A6082" s="171"/>
      <c r="B6082" s="174"/>
      <c r="C6082" s="31"/>
      <c r="D6082" s="31"/>
      <c r="E6082" s="32"/>
      <c r="F6082" s="53" t="s">
        <v>416</v>
      </c>
      <c r="G6082" s="53" t="str">
        <f>IF(ISNUMBER(F6082),E6082*F6082,"")</f>
        <v/>
      </c>
      <c r="H6082" s="72"/>
      <c r="I6082" s="73"/>
      <c r="J6082" s="152">
        <v>0</v>
      </c>
    </row>
    <row r="6083" spans="1:10" ht="15.75" hidden="1" thickBot="1" x14ac:dyDescent="0.3">
      <c r="A6083" s="171"/>
      <c r="B6083" s="174"/>
      <c r="C6083" s="35" t="s">
        <v>5541</v>
      </c>
      <c r="D6083" s="35" t="s">
        <v>16</v>
      </c>
      <c r="E6083" s="36">
        <v>1</v>
      </c>
      <c r="F6083" s="30">
        <v>0</v>
      </c>
      <c r="G6083" s="53">
        <f>IF(ISNUMBER(F6083),E6083*F6083,"")</f>
        <v>0</v>
      </c>
      <c r="H6083" s="38">
        <f>SUM(G6083:G6083)</f>
        <v>0</v>
      </c>
      <c r="I6083" s="39"/>
      <c r="J6083" s="152">
        <v>0</v>
      </c>
    </row>
    <row r="6084" spans="1:10" ht="15.75" hidden="1" thickBot="1" x14ac:dyDescent="0.3">
      <c r="A6084" s="172"/>
      <c r="B6084" s="175"/>
      <c r="C6084" s="54"/>
      <c r="D6084" s="155"/>
      <c r="E6084" s="65"/>
      <c r="F6084" s="75" t="s">
        <v>416</v>
      </c>
      <c r="G6084" s="75" t="str">
        <f>IF(ISNUMBER(F6084),E6084*F6084,"")</f>
        <v/>
      </c>
      <c r="H6084" s="76"/>
      <c r="I6084" s="73"/>
      <c r="J6084" s="152">
        <v>0</v>
      </c>
    </row>
    <row r="6085" spans="1:10" ht="15.75" hidden="1" thickBot="1" x14ac:dyDescent="0.3">
      <c r="A6085" s="170" t="s">
        <v>4888</v>
      </c>
      <c r="B6085" s="173" t="str">
        <f>INDEX(Orçamentária!A:B,MATCH(Composições!A6085,Orçamentária!A:A,0),2)</f>
        <v>Tampa cega metálica para caixas de piso 4 x 4"</v>
      </c>
      <c r="C6085" s="40"/>
      <c r="D6085" s="25" t="s">
        <v>16</v>
      </c>
      <c r="E6085" s="26"/>
      <c r="F6085" s="48" t="s">
        <v>416</v>
      </c>
      <c r="G6085" s="27" t="str">
        <f>IF(ISNUMBER(F6085),E6085*F6085,"")</f>
        <v/>
      </c>
      <c r="H6085" s="28"/>
      <c r="I6085" s="29"/>
      <c r="J6085" s="152">
        <v>0</v>
      </c>
    </row>
    <row r="6086" spans="1:10" ht="15.75" hidden="1" thickBot="1" x14ac:dyDescent="0.3">
      <c r="A6086" s="171"/>
      <c r="B6086" s="174"/>
      <c r="C6086" s="31"/>
      <c r="D6086" s="31"/>
      <c r="E6086" s="32"/>
      <c r="F6086" s="53" t="s">
        <v>416</v>
      </c>
      <c r="G6086" s="53" t="str">
        <f>IF(ISNUMBER(F6086),E6086*F6086,"")</f>
        <v/>
      </c>
      <c r="H6086" s="72"/>
      <c r="I6086" s="73"/>
      <c r="J6086" s="152">
        <v>0</v>
      </c>
    </row>
    <row r="6087" spans="1:10" ht="26.25" hidden="1" thickBot="1" x14ac:dyDescent="0.3">
      <c r="A6087" s="171"/>
      <c r="B6087" s="174"/>
      <c r="C6087" s="35" t="s">
        <v>8325</v>
      </c>
      <c r="D6087" s="35" t="s">
        <v>213</v>
      </c>
      <c r="E6087" s="36">
        <v>1</v>
      </c>
      <c r="F6087" s="30">
        <v>23.75</v>
      </c>
      <c r="G6087" s="53">
        <f>IF(ISNUMBER(F6087),E6087*F6087,"")</f>
        <v>23.75</v>
      </c>
      <c r="H6087" s="38">
        <f>SUM(G6087:G6087)</f>
        <v>23.75</v>
      </c>
      <c r="I6087" s="39"/>
      <c r="J6087" s="152">
        <v>0</v>
      </c>
    </row>
    <row r="6088" spans="1:10" ht="15.75" hidden="1" thickBot="1" x14ac:dyDescent="0.3">
      <c r="A6088" s="172"/>
      <c r="B6088" s="175"/>
      <c r="C6088" s="54"/>
      <c r="D6088" s="155"/>
      <c r="E6088" s="65"/>
      <c r="F6088" s="75" t="s">
        <v>416</v>
      </c>
      <c r="G6088" s="75" t="str">
        <f>IF(ISNUMBER(F6088),E6088*F6088,"")</f>
        <v/>
      </c>
      <c r="H6088" s="76"/>
      <c r="I6088" s="73"/>
      <c r="J6088" s="152">
        <v>0</v>
      </c>
    </row>
    <row r="6089" spans="1:10" ht="15.75" hidden="1" thickBot="1" x14ac:dyDescent="0.3">
      <c r="A6089" s="170" t="s">
        <v>5001</v>
      </c>
      <c r="B6089" s="173" t="str">
        <f>INDEX(Orçamentária!A:B,MATCH(Composições!A6089,Orçamentária!A:A,0),2)</f>
        <v>Quadro termoplástico para 12 disjuntores</v>
      </c>
      <c r="C6089" s="40"/>
      <c r="D6089" s="25" t="s">
        <v>16</v>
      </c>
      <c r="E6089" s="26"/>
      <c r="F6089" s="48" t="s">
        <v>416</v>
      </c>
      <c r="G6089" s="27" t="str">
        <f>IF(ISNUMBER(F6089),E6089*F6089,"")</f>
        <v/>
      </c>
      <c r="H6089" s="28"/>
      <c r="I6089" s="29"/>
      <c r="J6089" s="152">
        <v>0</v>
      </c>
    </row>
    <row r="6090" spans="1:10" ht="15.75" hidden="1" thickBot="1" x14ac:dyDescent="0.3">
      <c r="A6090" s="171"/>
      <c r="B6090" s="174"/>
      <c r="C6090" s="31"/>
      <c r="D6090" s="31"/>
      <c r="E6090" s="32"/>
      <c r="F6090" s="53" t="s">
        <v>416</v>
      </c>
      <c r="G6090" s="53" t="str">
        <f>IF(ISNUMBER(F6090),E6090*F6090,"")</f>
        <v/>
      </c>
      <c r="H6090" s="72"/>
      <c r="I6090" s="73"/>
      <c r="J6090" s="152">
        <v>0</v>
      </c>
    </row>
    <row r="6091" spans="1:10" ht="39" hidden="1" thickBot="1" x14ac:dyDescent="0.3">
      <c r="A6091" s="171"/>
      <c r="B6091" s="174"/>
      <c r="C6091" s="35" t="s">
        <v>8345</v>
      </c>
      <c r="D6091" s="35" t="s">
        <v>213</v>
      </c>
      <c r="E6091" s="36">
        <v>1</v>
      </c>
      <c r="F6091" s="30">
        <v>193.54349999999999</v>
      </c>
      <c r="G6091" s="53">
        <f>IF(ISNUMBER(F6091),E6091*F6091,"")</f>
        <v>193.54349999999999</v>
      </c>
      <c r="H6091" s="38">
        <f>SUM(G6091:G6091)</f>
        <v>193.54349999999999</v>
      </c>
      <c r="I6091" s="39"/>
      <c r="J6091" s="152">
        <v>0</v>
      </c>
    </row>
    <row r="6092" spans="1:10" ht="15.75" hidden="1" thickBot="1" x14ac:dyDescent="0.3">
      <c r="A6092" s="172"/>
      <c r="B6092" s="175"/>
      <c r="C6092" s="54"/>
      <c r="D6092" s="155"/>
      <c r="E6092" s="65"/>
      <c r="F6092" s="75" t="s">
        <v>416</v>
      </c>
      <c r="G6092" s="75" t="str">
        <f>IF(ISNUMBER(F6092),E6092*F6092,"")</f>
        <v/>
      </c>
      <c r="H6092" s="76"/>
      <c r="I6092" s="73"/>
      <c r="J6092" s="152">
        <v>0</v>
      </c>
    </row>
    <row r="6093" spans="1:10" ht="15.75" hidden="1" thickBot="1" x14ac:dyDescent="0.3">
      <c r="A6093" s="170" t="s">
        <v>5002</v>
      </c>
      <c r="B6093" s="173" t="str">
        <f>INDEX(Orçamentária!A:B,MATCH(Composições!A6093,Orçamentária!A:A,0),2)</f>
        <v>Quadro termoplástico para 24 disjuntores</v>
      </c>
      <c r="C6093" s="40"/>
      <c r="D6093" s="25" t="s">
        <v>16</v>
      </c>
      <c r="E6093" s="26"/>
      <c r="F6093" s="48" t="s">
        <v>416</v>
      </c>
      <c r="G6093" s="27" t="str">
        <f>IF(ISNUMBER(F6093),E6093*F6093,"")</f>
        <v/>
      </c>
      <c r="H6093" s="28"/>
      <c r="I6093" s="29"/>
      <c r="J6093" s="152">
        <v>0</v>
      </c>
    </row>
    <row r="6094" spans="1:10" ht="15.75" hidden="1" thickBot="1" x14ac:dyDescent="0.3">
      <c r="A6094" s="171"/>
      <c r="B6094" s="174"/>
      <c r="C6094" s="31"/>
      <c r="D6094" s="31"/>
      <c r="E6094" s="32"/>
      <c r="F6094" s="53" t="s">
        <v>416</v>
      </c>
      <c r="G6094" s="53" t="str">
        <f>IF(ISNUMBER(F6094),E6094*F6094,"")</f>
        <v/>
      </c>
      <c r="H6094" s="72"/>
      <c r="I6094" s="73"/>
      <c r="J6094" s="152">
        <v>0</v>
      </c>
    </row>
    <row r="6095" spans="1:10" ht="39" hidden="1" thickBot="1" x14ac:dyDescent="0.3">
      <c r="A6095" s="171"/>
      <c r="B6095" s="174"/>
      <c r="C6095" s="35" t="s">
        <v>8346</v>
      </c>
      <c r="D6095" s="35" t="s">
        <v>213</v>
      </c>
      <c r="E6095" s="36">
        <v>1</v>
      </c>
      <c r="F6095" s="30">
        <v>358.58699999999999</v>
      </c>
      <c r="G6095" s="53">
        <f>IF(ISNUMBER(F6095),E6095*F6095,"")</f>
        <v>358.58699999999999</v>
      </c>
      <c r="H6095" s="38">
        <f>SUM(G6095:G6095)</f>
        <v>358.58699999999999</v>
      </c>
      <c r="I6095" s="39"/>
      <c r="J6095" s="152">
        <v>0</v>
      </c>
    </row>
    <row r="6096" spans="1:10" ht="15.75" hidden="1" thickBot="1" x14ac:dyDescent="0.3">
      <c r="A6096" s="172"/>
      <c r="B6096" s="175"/>
      <c r="C6096" s="54"/>
      <c r="D6096" s="155"/>
      <c r="E6096" s="65"/>
      <c r="F6096" s="75" t="s">
        <v>416</v>
      </c>
      <c r="G6096" s="75" t="str">
        <f>IF(ISNUMBER(F6096),E6096*F6096,"")</f>
        <v/>
      </c>
      <c r="H6096" s="76"/>
      <c r="I6096" s="73"/>
      <c r="J6096" s="152">
        <v>0</v>
      </c>
    </row>
    <row r="6097" spans="1:10" ht="15.75" hidden="1" thickBot="1" x14ac:dyDescent="0.3">
      <c r="A6097" s="170" t="s">
        <v>5003</v>
      </c>
      <c r="B6097" s="173" t="str">
        <f>INDEX(Orçamentária!A:B,MATCH(Composições!A6097,Orçamentária!A:A,0),2)</f>
        <v>Quadro termoplástico para 36 disjuntores</v>
      </c>
      <c r="C6097" s="40"/>
      <c r="D6097" s="25" t="s">
        <v>16</v>
      </c>
      <c r="E6097" s="26"/>
      <c r="F6097" s="48" t="s">
        <v>416</v>
      </c>
      <c r="G6097" s="27" t="str">
        <f>IF(ISNUMBER(F6097),E6097*F6097,"")</f>
        <v/>
      </c>
      <c r="H6097" s="28"/>
      <c r="I6097" s="29"/>
      <c r="J6097" s="152">
        <v>0</v>
      </c>
    </row>
    <row r="6098" spans="1:10" ht="15.75" hidden="1" thickBot="1" x14ac:dyDescent="0.3">
      <c r="A6098" s="171"/>
      <c r="B6098" s="174"/>
      <c r="C6098" s="31"/>
      <c r="D6098" s="31"/>
      <c r="E6098" s="32"/>
      <c r="F6098" s="53" t="s">
        <v>416</v>
      </c>
      <c r="G6098" s="53" t="str">
        <f>IF(ISNUMBER(F6098),E6098*F6098,"")</f>
        <v/>
      </c>
      <c r="H6098" s="72"/>
      <c r="I6098" s="73"/>
      <c r="J6098" s="152">
        <v>0</v>
      </c>
    </row>
    <row r="6099" spans="1:10" ht="39" hidden="1" thickBot="1" x14ac:dyDescent="0.3">
      <c r="A6099" s="171"/>
      <c r="B6099" s="174"/>
      <c r="C6099" s="35" t="s">
        <v>8347</v>
      </c>
      <c r="D6099" s="35" t="s">
        <v>213</v>
      </c>
      <c r="E6099" s="36">
        <v>1</v>
      </c>
      <c r="F6099" s="30">
        <v>777.14749999999992</v>
      </c>
      <c r="G6099" s="53">
        <f>IF(ISNUMBER(F6099),E6099*F6099,"")</f>
        <v>777.14749999999992</v>
      </c>
      <c r="H6099" s="38">
        <f>SUM(G6099:G6099)</f>
        <v>777.14749999999992</v>
      </c>
      <c r="I6099" s="39"/>
      <c r="J6099" s="152">
        <v>0</v>
      </c>
    </row>
    <row r="6100" spans="1:10" ht="15.75" hidden="1" thickBot="1" x14ac:dyDescent="0.3">
      <c r="A6100" s="172"/>
      <c r="B6100" s="175"/>
      <c r="C6100" s="54"/>
      <c r="D6100" s="155"/>
      <c r="E6100" s="65"/>
      <c r="F6100" s="75" t="s">
        <v>416</v>
      </c>
      <c r="G6100" s="75" t="str">
        <f>IF(ISNUMBER(F6100),E6100*F6100,"")</f>
        <v/>
      </c>
      <c r="H6100" s="76"/>
      <c r="I6100" s="73"/>
      <c r="J6100" s="152">
        <v>0</v>
      </c>
    </row>
    <row r="6101" spans="1:10" ht="15.75" hidden="1" thickBot="1" x14ac:dyDescent="0.3">
      <c r="A6101" s="170" t="s">
        <v>5039</v>
      </c>
      <c r="B6101" s="173" t="str">
        <f>INDEX(Orçamentária!A:B,MATCH(Composições!A6101,Orçamentária!A:A,0),2)</f>
        <v>Sensor de presença externo</v>
      </c>
      <c r="C6101" s="40"/>
      <c r="D6101" s="25" t="s">
        <v>16</v>
      </c>
      <c r="E6101" s="26"/>
      <c r="F6101" s="48" t="s">
        <v>416</v>
      </c>
      <c r="G6101" s="27" t="str">
        <f>IF(ISNUMBER(F6101),E6101*F6101,"")</f>
        <v/>
      </c>
      <c r="H6101" s="28"/>
      <c r="I6101" s="29"/>
      <c r="J6101" s="152">
        <v>0</v>
      </c>
    </row>
    <row r="6102" spans="1:10" ht="15.75" hidden="1" thickBot="1" x14ac:dyDescent="0.3">
      <c r="A6102" s="171"/>
      <c r="B6102" s="174"/>
      <c r="C6102" s="31"/>
      <c r="D6102" s="31"/>
      <c r="E6102" s="32"/>
      <c r="F6102" s="53" t="s">
        <v>416</v>
      </c>
      <c r="G6102" s="53" t="str">
        <f>IF(ISNUMBER(F6102),E6102*F6102,"")</f>
        <v/>
      </c>
      <c r="H6102" s="72"/>
      <c r="I6102" s="73"/>
      <c r="J6102" s="152">
        <v>0</v>
      </c>
    </row>
    <row r="6103" spans="1:10" ht="39" hidden="1" thickBot="1" x14ac:dyDescent="0.3">
      <c r="A6103" s="171"/>
      <c r="B6103" s="174"/>
      <c r="C6103" s="35" t="s">
        <v>8370</v>
      </c>
      <c r="D6103" s="35" t="s">
        <v>213</v>
      </c>
      <c r="E6103" s="36">
        <v>1</v>
      </c>
      <c r="F6103" s="30">
        <v>68.523499999999999</v>
      </c>
      <c r="G6103" s="53">
        <f>IF(ISNUMBER(F6103),E6103*F6103,"")</f>
        <v>68.523499999999999</v>
      </c>
      <c r="H6103" s="38">
        <f>SUM(G6103:G6103)</f>
        <v>68.523499999999999</v>
      </c>
      <c r="I6103" s="39"/>
      <c r="J6103" s="152">
        <v>0</v>
      </c>
    </row>
    <row r="6104" spans="1:10" ht="15.75" hidden="1" thickBot="1" x14ac:dyDescent="0.3">
      <c r="A6104" s="172"/>
      <c r="B6104" s="175"/>
      <c r="C6104" s="54"/>
      <c r="D6104" s="155"/>
      <c r="E6104" s="65"/>
      <c r="F6104" s="75" t="s">
        <v>416</v>
      </c>
      <c r="G6104" s="75" t="str">
        <f>IF(ISNUMBER(F6104),E6104*F6104,"")</f>
        <v/>
      </c>
      <c r="H6104" s="76"/>
      <c r="I6104" s="73"/>
      <c r="J6104" s="152">
        <v>0</v>
      </c>
    </row>
    <row r="6105" spans="1:10" ht="15.75" hidden="1" thickBot="1" x14ac:dyDescent="0.3">
      <c r="A6105" s="170" t="s">
        <v>5074</v>
      </c>
      <c r="B6105" s="173" t="str">
        <f>INDEX(Orçamentária!A:B,MATCH(Composições!A6105,Orçamentária!A:A,0),2)</f>
        <v>Caixa de inspeção de aterramento 300 mm</v>
      </c>
      <c r="C6105" s="40"/>
      <c r="D6105" s="25" t="s">
        <v>16</v>
      </c>
      <c r="E6105" s="26"/>
      <c r="F6105" s="48" t="s">
        <v>416</v>
      </c>
      <c r="G6105" s="27" t="str">
        <f>IF(ISNUMBER(F6105),E6105*F6105,"")</f>
        <v/>
      </c>
      <c r="H6105" s="28"/>
      <c r="I6105" s="29"/>
      <c r="J6105" s="152">
        <v>0</v>
      </c>
    </row>
    <row r="6106" spans="1:10" ht="15.75" hidden="1" thickBot="1" x14ac:dyDescent="0.3">
      <c r="A6106" s="171"/>
      <c r="B6106" s="174"/>
      <c r="C6106" s="31"/>
      <c r="D6106" s="31"/>
      <c r="E6106" s="32"/>
      <c r="F6106" s="53" t="s">
        <v>416</v>
      </c>
      <c r="G6106" s="53" t="str">
        <f>IF(ISNUMBER(F6106),E6106*F6106,"")</f>
        <v/>
      </c>
      <c r="H6106" s="72"/>
      <c r="I6106" s="73"/>
      <c r="J6106" s="152">
        <v>0</v>
      </c>
    </row>
    <row r="6107" spans="1:10" ht="26.25" hidden="1" thickBot="1" x14ac:dyDescent="0.3">
      <c r="A6107" s="171"/>
      <c r="B6107" s="174"/>
      <c r="C6107" s="35" t="s">
        <v>8539</v>
      </c>
      <c r="D6107" s="35" t="s">
        <v>213</v>
      </c>
      <c r="E6107" s="36">
        <v>1</v>
      </c>
      <c r="F6107" s="30">
        <v>54.406500000000001</v>
      </c>
      <c r="G6107" s="53">
        <f>IF(ISNUMBER(F6107),E6107*F6107,"")</f>
        <v>54.406500000000001</v>
      </c>
      <c r="H6107" s="38">
        <f>SUM(G6107:G6107)</f>
        <v>54.406500000000001</v>
      </c>
      <c r="I6107" s="39"/>
      <c r="J6107" s="152">
        <v>0</v>
      </c>
    </row>
    <row r="6108" spans="1:10" ht="15.75" hidden="1" thickBot="1" x14ac:dyDescent="0.3">
      <c r="A6108" s="172"/>
      <c r="B6108" s="175"/>
      <c r="C6108" s="54"/>
      <c r="D6108" s="155"/>
      <c r="E6108" s="65"/>
      <c r="F6108" s="75" t="s">
        <v>416</v>
      </c>
      <c r="G6108" s="75" t="str">
        <f>IF(ISNUMBER(F6108),E6108*F6108,"")</f>
        <v/>
      </c>
      <c r="H6108" s="76"/>
      <c r="I6108" s="73"/>
      <c r="J6108" s="152">
        <v>0</v>
      </c>
    </row>
    <row r="6109" spans="1:10" ht="15.75" hidden="1" thickBot="1" x14ac:dyDescent="0.3">
      <c r="A6109" s="170" t="s">
        <v>5079</v>
      </c>
      <c r="B6109" s="173" t="str">
        <f>INDEX(Orçamentária!A:B,MATCH(Composições!A6109,Orçamentária!A:A,0),2)</f>
        <v>Captor tipo Franklin</v>
      </c>
      <c r="C6109" s="40"/>
      <c r="D6109" s="25" t="s">
        <v>16</v>
      </c>
      <c r="E6109" s="26"/>
      <c r="F6109" s="48" t="s">
        <v>416</v>
      </c>
      <c r="G6109" s="27" t="str">
        <f>IF(ISNUMBER(F6109),E6109*F6109,"")</f>
        <v/>
      </c>
      <c r="H6109" s="28"/>
      <c r="I6109" s="29"/>
      <c r="J6109" s="152">
        <v>0</v>
      </c>
    </row>
    <row r="6110" spans="1:10" ht="15.75" hidden="1" thickBot="1" x14ac:dyDescent="0.3">
      <c r="A6110" s="171"/>
      <c r="B6110" s="174"/>
      <c r="C6110" s="31"/>
      <c r="D6110" s="31"/>
      <c r="E6110" s="32"/>
      <c r="F6110" s="53" t="s">
        <v>416</v>
      </c>
      <c r="G6110" s="53" t="str">
        <f>IF(ISNUMBER(F6110),E6110*F6110,"")</f>
        <v/>
      </c>
      <c r="H6110" s="72"/>
      <c r="I6110" s="73"/>
      <c r="J6110" s="152">
        <v>0</v>
      </c>
    </row>
    <row r="6111" spans="1:10" ht="39" hidden="1" thickBot="1" x14ac:dyDescent="0.3">
      <c r="A6111" s="171"/>
      <c r="B6111" s="174"/>
      <c r="C6111" s="35" t="s">
        <v>8304</v>
      </c>
      <c r="D6111" s="35" t="s">
        <v>213</v>
      </c>
      <c r="E6111" s="36">
        <v>1</v>
      </c>
      <c r="F6111" s="30">
        <v>118.05649999999999</v>
      </c>
      <c r="G6111" s="53">
        <f>IF(ISNUMBER(F6111),E6111*F6111,"")</f>
        <v>118.05649999999999</v>
      </c>
      <c r="H6111" s="38">
        <f>SUM(G6111:G6111)</f>
        <v>118.05649999999999</v>
      </c>
      <c r="I6111" s="39"/>
      <c r="J6111" s="152">
        <v>0</v>
      </c>
    </row>
    <row r="6112" spans="1:10" ht="15.75" hidden="1" thickBot="1" x14ac:dyDescent="0.3">
      <c r="A6112" s="172"/>
      <c r="B6112" s="175"/>
      <c r="C6112" s="54"/>
      <c r="D6112" s="155"/>
      <c r="E6112" s="65"/>
      <c r="F6112" s="75" t="s">
        <v>416</v>
      </c>
      <c r="G6112" s="75" t="str">
        <f>IF(ISNUMBER(F6112),E6112*F6112,"")</f>
        <v/>
      </c>
      <c r="H6112" s="76"/>
      <c r="I6112" s="73"/>
      <c r="J6112" s="152">
        <v>0</v>
      </c>
    </row>
    <row r="6113" spans="1:10" ht="15.75" hidden="1" thickBot="1" x14ac:dyDescent="0.3">
      <c r="A6113" s="170" t="s">
        <v>5083</v>
      </c>
      <c r="B6113" s="173" t="str">
        <f>INDEX(Orçamentária!A:B,MATCH(Composições!A6113,Orçamentária!A:A,0),2)</f>
        <v>Mastro 3 m</v>
      </c>
      <c r="C6113" s="40"/>
      <c r="D6113" s="25" t="s">
        <v>16</v>
      </c>
      <c r="E6113" s="26"/>
      <c r="F6113" s="48" t="s">
        <v>416</v>
      </c>
      <c r="G6113" s="27" t="str">
        <f>IF(ISNUMBER(F6113),E6113*F6113,"")</f>
        <v/>
      </c>
      <c r="H6113" s="28"/>
      <c r="I6113" s="29"/>
      <c r="J6113" s="152">
        <v>0</v>
      </c>
    </row>
    <row r="6114" spans="1:10" ht="15.75" hidden="1" thickBot="1" x14ac:dyDescent="0.3">
      <c r="A6114" s="171"/>
      <c r="B6114" s="174"/>
      <c r="C6114" s="31"/>
      <c r="D6114" s="31"/>
      <c r="E6114" s="32"/>
      <c r="F6114" s="53" t="s">
        <v>416</v>
      </c>
      <c r="G6114" s="53" t="str">
        <f>IF(ISNUMBER(F6114),E6114*F6114,"")</f>
        <v/>
      </c>
      <c r="H6114" s="72"/>
      <c r="I6114" s="73"/>
      <c r="J6114" s="152">
        <v>0</v>
      </c>
    </row>
    <row r="6115" spans="1:10" ht="15.75" hidden="1" thickBot="1" x14ac:dyDescent="0.3">
      <c r="A6115" s="171"/>
      <c r="B6115" s="174"/>
      <c r="C6115" s="35" t="s">
        <v>8292</v>
      </c>
      <c r="D6115" s="35" t="s">
        <v>385</v>
      </c>
      <c r="E6115" s="36">
        <v>3</v>
      </c>
      <c r="F6115" s="30">
        <v>56.287499999999994</v>
      </c>
      <c r="G6115" s="53">
        <f>IF(ISNUMBER(F6115),E6115*F6115,"")</f>
        <v>168.86249999999998</v>
      </c>
      <c r="H6115" s="38">
        <f>SUM(G6115:G6115)</f>
        <v>168.86249999999998</v>
      </c>
      <c r="I6115" s="39"/>
      <c r="J6115" s="152">
        <v>0</v>
      </c>
    </row>
    <row r="6116" spans="1:10" ht="15.75" hidden="1" thickBot="1" x14ac:dyDescent="0.3">
      <c r="A6116" s="172"/>
      <c r="B6116" s="175"/>
      <c r="C6116" s="54"/>
      <c r="D6116" s="155"/>
      <c r="E6116" s="65"/>
      <c r="F6116" s="75" t="s">
        <v>416</v>
      </c>
      <c r="G6116" s="75" t="str">
        <f>IF(ISNUMBER(F6116),E6116*F6116,"")</f>
        <v/>
      </c>
      <c r="H6116" s="76"/>
      <c r="I6116" s="73"/>
      <c r="J6116" s="152">
        <v>0</v>
      </c>
    </row>
    <row r="6117" spans="1:10" ht="15.75" hidden="1" thickBot="1" x14ac:dyDescent="0.3">
      <c r="A6117" s="170" t="s">
        <v>5099</v>
      </c>
      <c r="B6117" s="173" t="str">
        <f>INDEX(Orçamentária!A:B,MATCH(Composições!A6117,Orçamentária!A:A,0),2)</f>
        <v>Adesivo estrutural</v>
      </c>
      <c r="C6117" s="40"/>
      <c r="D6117" s="25" t="s">
        <v>4171</v>
      </c>
      <c r="E6117" s="26"/>
      <c r="F6117" s="48" t="s">
        <v>416</v>
      </c>
      <c r="G6117" s="27" t="str">
        <f>IF(ISNUMBER(F6117),E6117*F6117,"")</f>
        <v/>
      </c>
      <c r="H6117" s="28"/>
      <c r="I6117" s="29"/>
      <c r="J6117" s="152">
        <v>0</v>
      </c>
    </row>
    <row r="6118" spans="1:10" ht="15.75" hidden="1" thickBot="1" x14ac:dyDescent="0.3">
      <c r="A6118" s="171"/>
      <c r="B6118" s="174"/>
      <c r="C6118" s="31"/>
      <c r="D6118" s="31"/>
      <c r="E6118" s="32"/>
      <c r="F6118" s="53" t="s">
        <v>416</v>
      </c>
      <c r="G6118" s="53" t="str">
        <f>IF(ISNUMBER(F6118),E6118*F6118,"")</f>
        <v/>
      </c>
      <c r="H6118" s="72"/>
      <c r="I6118" s="73"/>
      <c r="J6118" s="152">
        <v>0</v>
      </c>
    </row>
    <row r="6119" spans="1:10" ht="26.25" hidden="1" thickBot="1" x14ac:dyDescent="0.3">
      <c r="A6119" s="171"/>
      <c r="B6119" s="174"/>
      <c r="C6119" s="35" t="s">
        <v>650</v>
      </c>
      <c r="D6119" s="35" t="s">
        <v>773</v>
      </c>
      <c r="E6119" s="36">
        <v>1</v>
      </c>
      <c r="F6119" s="30">
        <v>52.259499999999996</v>
      </c>
      <c r="G6119" s="53">
        <f>IF(ISNUMBER(F6119),E6119*F6119,"")</f>
        <v>52.259499999999996</v>
      </c>
      <c r="H6119" s="38">
        <f>SUM(G6119:G6119)</f>
        <v>52.259499999999996</v>
      </c>
      <c r="I6119" s="39"/>
      <c r="J6119" s="152">
        <v>0</v>
      </c>
    </row>
    <row r="6120" spans="1:10" ht="15.75" hidden="1" thickBot="1" x14ac:dyDescent="0.3">
      <c r="A6120" s="172"/>
      <c r="B6120" s="175"/>
      <c r="C6120" s="54"/>
      <c r="D6120" s="155"/>
      <c r="E6120" s="65"/>
      <c r="F6120" s="75" t="s">
        <v>416</v>
      </c>
      <c r="G6120" s="75" t="str">
        <f>IF(ISNUMBER(F6120),E6120*F6120,"")</f>
        <v/>
      </c>
      <c r="H6120" s="76"/>
      <c r="I6120" s="73"/>
      <c r="J6120" s="152">
        <v>0</v>
      </c>
    </row>
    <row r="6121" spans="1:10" ht="15.75" hidden="1" thickBot="1" x14ac:dyDescent="0.3">
      <c r="A6121" s="170" t="s">
        <v>5117</v>
      </c>
      <c r="B6121" s="173" t="str">
        <f>INDEX(Orçamentária!A:B,MATCH(Composições!A6121,Orçamentária!A:A,0),2)</f>
        <v>Tampão DN 600 Articulado D-400</v>
      </c>
      <c r="C6121" s="40"/>
      <c r="D6121" s="25" t="s">
        <v>16</v>
      </c>
      <c r="E6121" s="26"/>
      <c r="F6121" s="48" t="s">
        <v>416</v>
      </c>
      <c r="G6121" s="27" t="str">
        <f>IF(ISNUMBER(F6121),E6121*F6121,"")</f>
        <v/>
      </c>
      <c r="H6121" s="28"/>
      <c r="I6121" s="29"/>
      <c r="J6121" s="152">
        <v>0</v>
      </c>
    </row>
    <row r="6122" spans="1:10" ht="15.75" hidden="1" thickBot="1" x14ac:dyDescent="0.3">
      <c r="A6122" s="171"/>
      <c r="B6122" s="174"/>
      <c r="C6122" s="31"/>
      <c r="D6122" s="31"/>
      <c r="E6122" s="32"/>
      <c r="F6122" s="53" t="s">
        <v>416</v>
      </c>
      <c r="G6122" s="53" t="str">
        <f>IF(ISNUMBER(F6122),E6122*F6122,"")</f>
        <v/>
      </c>
      <c r="H6122" s="72"/>
      <c r="I6122" s="73"/>
      <c r="J6122" s="152">
        <v>0</v>
      </c>
    </row>
    <row r="6123" spans="1:10" ht="39" hidden="1" thickBot="1" x14ac:dyDescent="0.3">
      <c r="A6123" s="171"/>
      <c r="B6123" s="174"/>
      <c r="C6123" s="35" t="s">
        <v>8390</v>
      </c>
      <c r="D6123" s="35" t="s">
        <v>213</v>
      </c>
      <c r="E6123" s="36">
        <v>1</v>
      </c>
      <c r="F6123" s="30">
        <v>736.80100000000004</v>
      </c>
      <c r="G6123" s="53">
        <f>IF(ISNUMBER(F6123),E6123*F6123,"")</f>
        <v>736.80100000000004</v>
      </c>
      <c r="H6123" s="38">
        <f>SUM(G6123:G6123)</f>
        <v>736.80100000000004</v>
      </c>
      <c r="I6123" s="39"/>
      <c r="J6123" s="152">
        <v>0</v>
      </c>
    </row>
    <row r="6124" spans="1:10" ht="15.75" hidden="1" thickBot="1" x14ac:dyDescent="0.3">
      <c r="A6124" s="172"/>
      <c r="B6124" s="175"/>
      <c r="C6124" s="54"/>
      <c r="D6124" s="155"/>
      <c r="E6124" s="65"/>
      <c r="F6124" s="75" t="s">
        <v>416</v>
      </c>
      <c r="G6124" s="75" t="str">
        <f>IF(ISNUMBER(F6124),E6124*F6124,"")</f>
        <v/>
      </c>
      <c r="H6124" s="76"/>
      <c r="I6124" s="73"/>
      <c r="J6124" s="152">
        <v>0</v>
      </c>
    </row>
    <row r="6125" spans="1:10" ht="15.75" hidden="1" thickBot="1" x14ac:dyDescent="0.3">
      <c r="A6125" s="170" t="s">
        <v>5118</v>
      </c>
      <c r="B6125" s="173" t="str">
        <f>INDEX(Orçamentária!A:B,MATCH(Composições!A6125,Orçamentária!A:A,0),2)</f>
        <v>Tampão T-33 Articulado B-125</v>
      </c>
      <c r="C6125" s="40"/>
      <c r="D6125" s="25" t="s">
        <v>16</v>
      </c>
      <c r="E6125" s="26"/>
      <c r="F6125" s="48" t="s">
        <v>416</v>
      </c>
      <c r="G6125" s="27" t="str">
        <f>IF(ISNUMBER(F6125),E6125*F6125,"")</f>
        <v/>
      </c>
      <c r="H6125" s="28"/>
      <c r="I6125" s="29"/>
      <c r="J6125" s="152">
        <v>0</v>
      </c>
    </row>
    <row r="6126" spans="1:10" ht="15.75" hidden="1" thickBot="1" x14ac:dyDescent="0.3">
      <c r="A6126" s="171"/>
      <c r="B6126" s="174"/>
      <c r="C6126" s="31"/>
      <c r="D6126" s="31"/>
      <c r="E6126" s="32"/>
      <c r="F6126" s="53" t="s">
        <v>416</v>
      </c>
      <c r="G6126" s="53" t="str">
        <f>IF(ISNUMBER(F6126),E6126*F6126,"")</f>
        <v/>
      </c>
      <c r="H6126" s="72"/>
      <c r="I6126" s="73"/>
      <c r="J6126" s="152">
        <v>0</v>
      </c>
    </row>
    <row r="6127" spans="1:10" ht="39" hidden="1" thickBot="1" x14ac:dyDescent="0.3">
      <c r="A6127" s="171"/>
      <c r="B6127" s="174"/>
      <c r="C6127" s="35" t="s">
        <v>8389</v>
      </c>
      <c r="D6127" s="35" t="s">
        <v>213</v>
      </c>
      <c r="E6127" s="36">
        <v>1</v>
      </c>
      <c r="F6127" s="30">
        <v>601.29300000000001</v>
      </c>
      <c r="G6127" s="53">
        <f>IF(ISNUMBER(F6127),E6127*F6127,"")</f>
        <v>601.29300000000001</v>
      </c>
      <c r="H6127" s="38">
        <f>SUM(G6127:G6127)</f>
        <v>601.29300000000001</v>
      </c>
      <c r="I6127" s="39"/>
      <c r="J6127" s="152">
        <v>0</v>
      </c>
    </row>
    <row r="6128" spans="1:10" ht="15.75" hidden="1" thickBot="1" x14ac:dyDescent="0.3">
      <c r="A6128" s="172"/>
      <c r="B6128" s="175"/>
      <c r="C6128" s="54"/>
      <c r="D6128" s="155"/>
      <c r="E6128" s="65"/>
      <c r="F6128" s="75" t="s">
        <v>416</v>
      </c>
      <c r="G6128" s="75" t="str">
        <f>IF(ISNUMBER(F6128),E6128*F6128,"")</f>
        <v/>
      </c>
      <c r="H6128" s="76"/>
      <c r="I6128" s="73"/>
      <c r="J6128" s="152">
        <v>0</v>
      </c>
    </row>
    <row r="6129" spans="1:10" ht="15.75" hidden="1" thickBot="1" x14ac:dyDescent="0.3">
      <c r="A6129" s="170" t="s">
        <v>5119</v>
      </c>
      <c r="B6129" s="173" t="str">
        <f>INDEX(Orçamentária!A:B,MATCH(Composições!A6129,Orçamentária!A:A,0),2)</f>
        <v>Tampão T-33 Simples Pesado</v>
      </c>
      <c r="C6129" s="40"/>
      <c r="D6129" s="25" t="s">
        <v>16</v>
      </c>
      <c r="E6129" s="26"/>
      <c r="F6129" s="48" t="s">
        <v>416</v>
      </c>
      <c r="G6129" s="27" t="str">
        <f>IF(ISNUMBER(F6129),E6129*F6129,"")</f>
        <v/>
      </c>
      <c r="H6129" s="28"/>
      <c r="I6129" s="29"/>
      <c r="J6129" s="152">
        <v>0</v>
      </c>
    </row>
    <row r="6130" spans="1:10" ht="15.75" hidden="1" thickBot="1" x14ac:dyDescent="0.3">
      <c r="A6130" s="171"/>
      <c r="B6130" s="174"/>
      <c r="C6130" s="31"/>
      <c r="D6130" s="31"/>
      <c r="E6130" s="32"/>
      <c r="F6130" s="53" t="s">
        <v>416</v>
      </c>
      <c r="G6130" s="53" t="str">
        <f>IF(ISNUMBER(F6130),E6130*F6130,"")</f>
        <v/>
      </c>
      <c r="H6130" s="72"/>
      <c r="I6130" s="73"/>
      <c r="J6130" s="152">
        <v>0</v>
      </c>
    </row>
    <row r="6131" spans="1:10" ht="26.25" hidden="1" thickBot="1" x14ac:dyDescent="0.3">
      <c r="A6131" s="171"/>
      <c r="B6131" s="174"/>
      <c r="C6131" s="35" t="s">
        <v>8391</v>
      </c>
      <c r="D6131" s="35" t="s">
        <v>213</v>
      </c>
      <c r="E6131" s="36">
        <v>1</v>
      </c>
      <c r="F6131" s="30">
        <v>307.42</v>
      </c>
      <c r="G6131" s="53">
        <f>IF(ISNUMBER(F6131),E6131*F6131,"")</f>
        <v>307.42</v>
      </c>
      <c r="H6131" s="38">
        <f>SUM(G6131:G6131)</f>
        <v>307.42</v>
      </c>
      <c r="I6131" s="39"/>
      <c r="J6131" s="152">
        <v>0</v>
      </c>
    </row>
    <row r="6132" spans="1:10" ht="15.75" hidden="1" thickBot="1" x14ac:dyDescent="0.3">
      <c r="A6132" s="172"/>
      <c r="B6132" s="175"/>
      <c r="C6132" s="54"/>
      <c r="D6132" s="155"/>
      <c r="E6132" s="65"/>
      <c r="F6132" s="75" t="s">
        <v>416</v>
      </c>
      <c r="G6132" s="75" t="str">
        <f>IF(ISNUMBER(F6132),E6132*F6132,"")</f>
        <v/>
      </c>
      <c r="H6132" s="76"/>
      <c r="I6132" s="73"/>
      <c r="J6132" s="152">
        <v>0</v>
      </c>
    </row>
    <row r="6133" spans="1:10" ht="15.75" hidden="1" thickBot="1" x14ac:dyDescent="0.3">
      <c r="A6133" s="170" t="s">
        <v>5152</v>
      </c>
      <c r="B6133" s="173" t="str">
        <f>INDEX(Orçamentária!A:B,MATCH(Composições!A6133,Orçamentária!A:A,0),2)</f>
        <v>Placa de sinalização em PVC 2 mm</v>
      </c>
      <c r="C6133" s="40"/>
      <c r="D6133" s="25" t="s">
        <v>70</v>
      </c>
      <c r="E6133" s="26"/>
      <c r="F6133" s="48" t="s">
        <v>416</v>
      </c>
      <c r="G6133" s="27" t="str">
        <f>IF(ISNUMBER(F6133),E6133*F6133,"")</f>
        <v/>
      </c>
      <c r="H6133" s="28"/>
      <c r="I6133" s="29"/>
      <c r="J6133" s="152">
        <v>0</v>
      </c>
    </row>
    <row r="6134" spans="1:10" ht="15.75" hidden="1" thickBot="1" x14ac:dyDescent="0.3">
      <c r="A6134" s="171"/>
      <c r="B6134" s="174"/>
      <c r="C6134" s="31"/>
      <c r="D6134" s="31"/>
      <c r="E6134" s="32"/>
      <c r="F6134" s="53" t="s">
        <v>416</v>
      </c>
      <c r="G6134" s="53" t="str">
        <f>IF(ISNUMBER(F6134),E6134*F6134,"")</f>
        <v/>
      </c>
      <c r="H6134" s="72"/>
      <c r="I6134" s="73"/>
      <c r="J6134" s="152">
        <v>0</v>
      </c>
    </row>
    <row r="6135" spans="1:10" ht="51.75" hidden="1" thickBot="1" x14ac:dyDescent="0.3">
      <c r="A6135" s="171"/>
      <c r="B6135" s="174"/>
      <c r="C6135" s="35" t="s">
        <v>8324</v>
      </c>
      <c r="D6135" s="35" t="s">
        <v>213</v>
      </c>
      <c r="E6135" s="36">
        <f>1/0.13/0.26</f>
        <v>29.585798816568044</v>
      </c>
      <c r="F6135" s="30">
        <v>19</v>
      </c>
      <c r="G6135" s="53">
        <f>IF(ISNUMBER(F6135),E6135*F6135,"")</f>
        <v>562.13017751479288</v>
      </c>
      <c r="H6135" s="38">
        <f>SUM(G6135:G6135)</f>
        <v>562.13017751479288</v>
      </c>
      <c r="I6135" s="39"/>
      <c r="J6135" s="152">
        <v>0</v>
      </c>
    </row>
    <row r="6136" spans="1:10" ht="15.75" hidden="1" thickBot="1" x14ac:dyDescent="0.3">
      <c r="A6136" s="172"/>
      <c r="B6136" s="175"/>
      <c r="C6136" s="54"/>
      <c r="D6136" s="155"/>
      <c r="E6136" s="65"/>
      <c r="F6136" s="75" t="s">
        <v>416</v>
      </c>
      <c r="G6136" s="75" t="str">
        <f>IF(ISNUMBER(F6136),E6136*F6136,"")</f>
        <v/>
      </c>
      <c r="H6136" s="76"/>
      <c r="I6136" s="73"/>
      <c r="J6136" s="152">
        <v>0</v>
      </c>
    </row>
    <row r="6137" spans="1:10" ht="15.75" hidden="1" thickBot="1" x14ac:dyDescent="0.3">
      <c r="A6137" s="170" t="s">
        <v>5168</v>
      </c>
      <c r="B6137" s="173" t="str">
        <f>INDEX(Orçamentária!A:B,MATCH(Composições!A6137,Orçamentária!A:A,0),2)</f>
        <v>Solda exotérmica</v>
      </c>
      <c r="C6137" s="40"/>
      <c r="D6137" s="25" t="s">
        <v>16</v>
      </c>
      <c r="E6137" s="26"/>
      <c r="F6137" s="48" t="s">
        <v>416</v>
      </c>
      <c r="G6137" s="27" t="str">
        <f>IF(ISNUMBER(F6137),E6137*F6137,"")</f>
        <v/>
      </c>
      <c r="H6137" s="28"/>
      <c r="I6137" s="29"/>
      <c r="J6137" s="152">
        <v>0</v>
      </c>
    </row>
    <row r="6138" spans="1:10" ht="15.75" hidden="1" thickBot="1" x14ac:dyDescent="0.3">
      <c r="A6138" s="171"/>
      <c r="B6138" s="174"/>
      <c r="C6138" s="31"/>
      <c r="D6138" s="31"/>
      <c r="E6138" s="32"/>
      <c r="F6138" s="53" t="s">
        <v>416</v>
      </c>
      <c r="G6138" s="53" t="str">
        <f>IF(ISNUMBER(F6138),E6138*F6138,"")</f>
        <v/>
      </c>
      <c r="H6138" s="72"/>
      <c r="I6138" s="73"/>
      <c r="J6138" s="152">
        <v>0</v>
      </c>
    </row>
    <row r="6139" spans="1:10" ht="15.75" hidden="1" thickBot="1" x14ac:dyDescent="0.3">
      <c r="A6139" s="171"/>
      <c r="B6139" s="174"/>
      <c r="C6139" s="35" t="s">
        <v>1018</v>
      </c>
      <c r="D6139" s="35" t="s">
        <v>583</v>
      </c>
      <c r="E6139" s="36">
        <v>0.08</v>
      </c>
      <c r="F6139" s="30">
        <v>27.835000000000001</v>
      </c>
      <c r="G6139" s="53">
        <f>IF(ISNUMBER(F6139),E6139*F6139,"")</f>
        <v>2.2268000000000003</v>
      </c>
      <c r="H6139" s="38">
        <f>SUM(G6139:G6143)</f>
        <v>3.84484</v>
      </c>
      <c r="I6139" s="39"/>
      <c r="J6139" s="152">
        <v>0</v>
      </c>
    </row>
    <row r="6140" spans="1:10" ht="15.75" hidden="1" thickBot="1" x14ac:dyDescent="0.3">
      <c r="A6140" s="171"/>
      <c r="B6140" s="174"/>
      <c r="C6140" s="35" t="s">
        <v>584</v>
      </c>
      <c r="D6140" s="35" t="s">
        <v>583</v>
      </c>
      <c r="E6140" s="36">
        <v>0.08</v>
      </c>
      <c r="F6140" s="30">
        <v>20.225499999999997</v>
      </c>
      <c r="G6140" s="53">
        <f>IF(ISNUMBER(F6140),E6140*F6140,"")</f>
        <v>1.6180399999999997</v>
      </c>
      <c r="H6140" s="43"/>
      <c r="I6140" s="39"/>
      <c r="J6140" s="152">
        <v>0</v>
      </c>
    </row>
    <row r="6141" spans="1:10" ht="15.75" hidden="1" thickBot="1" x14ac:dyDescent="0.3">
      <c r="A6141" s="171"/>
      <c r="B6141" s="174"/>
      <c r="C6141" s="35" t="s">
        <v>5542</v>
      </c>
      <c r="D6141" s="35" t="s">
        <v>16</v>
      </c>
      <c r="E6141" s="36">
        <v>1</v>
      </c>
      <c r="F6141" s="30">
        <v>0</v>
      </c>
      <c r="G6141" s="53">
        <f>IF(ISNUMBER(F6141),E6141*F6141,"")</f>
        <v>0</v>
      </c>
      <c r="H6141" s="43"/>
      <c r="I6141" s="39"/>
      <c r="J6141" s="152">
        <v>0</v>
      </c>
    </row>
    <row r="6142" spans="1:10" ht="15.75" hidden="1" thickBot="1" x14ac:dyDescent="0.3">
      <c r="A6142" s="171"/>
      <c r="B6142" s="174"/>
      <c r="C6142" s="35" t="s">
        <v>5543</v>
      </c>
      <c r="D6142" s="35" t="s">
        <v>16</v>
      </c>
      <c r="E6142" s="36">
        <v>1</v>
      </c>
      <c r="F6142" s="30">
        <v>0</v>
      </c>
      <c r="G6142" s="53">
        <f>IF(ISNUMBER(F6142),E6142*F6142,"")</f>
        <v>0</v>
      </c>
      <c r="H6142" s="43"/>
      <c r="I6142" s="39"/>
      <c r="J6142" s="152">
        <v>0</v>
      </c>
    </row>
    <row r="6143" spans="1:10" ht="15.75" hidden="1" thickBot="1" x14ac:dyDescent="0.3">
      <c r="A6143" s="171"/>
      <c r="B6143" s="174"/>
      <c r="C6143" s="35" t="s">
        <v>5544</v>
      </c>
      <c r="D6143" s="35" t="s">
        <v>16</v>
      </c>
      <c r="E6143" s="36">
        <v>0.04</v>
      </c>
      <c r="F6143" s="30">
        <v>0</v>
      </c>
      <c r="G6143" s="53">
        <f>IF(ISNUMBER(F6143),E6143*F6143,"")</f>
        <v>0</v>
      </c>
      <c r="H6143" s="43"/>
      <c r="I6143" s="39"/>
      <c r="J6143" s="152">
        <v>0</v>
      </c>
    </row>
    <row r="6144" spans="1:10" ht="15.75" hidden="1" thickBot="1" x14ac:dyDescent="0.3">
      <c r="A6144" s="172"/>
      <c r="B6144" s="175"/>
      <c r="C6144" s="35"/>
      <c r="D6144" s="35"/>
      <c r="E6144" s="36"/>
      <c r="F6144" s="30" t="s">
        <v>416</v>
      </c>
      <c r="G6144" s="53"/>
      <c r="H6144" s="43"/>
      <c r="I6144" s="39"/>
      <c r="J6144" s="152">
        <v>0</v>
      </c>
    </row>
    <row r="6145" spans="1:10" ht="15.75" hidden="1" thickBot="1" x14ac:dyDescent="0.3">
      <c r="A6145" s="170" t="s">
        <v>5178</v>
      </c>
      <c r="B6145" s="173" t="str">
        <f>INDEX(Orçamentária!A:B,MATCH(Composições!A6145,Orçamentária!A:A,0),2)</f>
        <v>Cone de sinalização</v>
      </c>
      <c r="C6145" s="40"/>
      <c r="D6145" s="25" t="s">
        <v>16</v>
      </c>
      <c r="E6145" s="26"/>
      <c r="F6145" s="48" t="s">
        <v>416</v>
      </c>
      <c r="G6145" s="27" t="str">
        <f>IF(ISNUMBER(F6145),E6145*F6145,"")</f>
        <v/>
      </c>
      <c r="H6145" s="28"/>
      <c r="I6145" s="29"/>
      <c r="J6145" s="152">
        <v>0</v>
      </c>
    </row>
    <row r="6146" spans="1:10" ht="15.75" hidden="1" thickBot="1" x14ac:dyDescent="0.3">
      <c r="A6146" s="171"/>
      <c r="B6146" s="174"/>
      <c r="C6146" s="31"/>
      <c r="D6146" s="31"/>
      <c r="E6146" s="32"/>
      <c r="F6146" s="53" t="s">
        <v>416</v>
      </c>
      <c r="G6146" s="53" t="str">
        <f>IF(ISNUMBER(F6146),E6146*F6146,"")</f>
        <v/>
      </c>
      <c r="H6146" s="72"/>
      <c r="I6146" s="73"/>
      <c r="J6146" s="152">
        <v>0</v>
      </c>
    </row>
    <row r="6147" spans="1:10" ht="26.25" hidden="1" thickBot="1" x14ac:dyDescent="0.3">
      <c r="A6147" s="171"/>
      <c r="B6147" s="174"/>
      <c r="C6147" s="35" t="s">
        <v>8081</v>
      </c>
      <c r="D6147" s="35" t="s">
        <v>213</v>
      </c>
      <c r="E6147" s="36">
        <v>1</v>
      </c>
      <c r="F6147" s="30">
        <v>39.9</v>
      </c>
      <c r="G6147" s="53">
        <f>IF(ISNUMBER(F6147),E6147*F6147,"")</f>
        <v>39.9</v>
      </c>
      <c r="H6147" s="38">
        <f>SUM(G6147:G6147)</f>
        <v>39.9</v>
      </c>
      <c r="I6147" s="39"/>
      <c r="J6147" s="152">
        <v>0</v>
      </c>
    </row>
    <row r="6148" spans="1:10" ht="15.75" hidden="1" thickBot="1" x14ac:dyDescent="0.3">
      <c r="A6148" s="172"/>
      <c r="B6148" s="175"/>
      <c r="C6148" s="54"/>
      <c r="D6148" s="155"/>
      <c r="E6148" s="65"/>
      <c r="F6148" s="75" t="s">
        <v>416</v>
      </c>
      <c r="G6148" s="75" t="str">
        <f>IF(ISNUMBER(F6148),E6148*F6148,"")</f>
        <v/>
      </c>
      <c r="H6148" s="76"/>
      <c r="I6148" s="73"/>
      <c r="J6148" s="152">
        <v>0</v>
      </c>
    </row>
    <row r="6149" spans="1:10" ht="15.75" hidden="1" thickBot="1" x14ac:dyDescent="0.3">
      <c r="A6149" s="170" t="s">
        <v>5288</v>
      </c>
      <c r="B6149" s="173" t="str">
        <f>INDEX(Orçamentária!A:B,MATCH(Composições!A6149,Orçamentária!A:A,0),2)</f>
        <v>Alicate crimpador com catraca para terminal RJ45</v>
      </c>
      <c r="C6149" s="40"/>
      <c r="D6149" s="25" t="s">
        <v>16</v>
      </c>
      <c r="E6149" s="26"/>
      <c r="F6149" s="48" t="s">
        <v>416</v>
      </c>
      <c r="G6149" s="27" t="str">
        <f>IF(ISNUMBER(F6149),E6149*F6149,"")</f>
        <v/>
      </c>
      <c r="H6149" s="28"/>
      <c r="I6149" s="29"/>
      <c r="J6149" s="152">
        <v>0</v>
      </c>
    </row>
    <row r="6150" spans="1:10" ht="15.75" hidden="1" thickBot="1" x14ac:dyDescent="0.3">
      <c r="A6150" s="171"/>
      <c r="B6150" s="174"/>
      <c r="C6150" s="31"/>
      <c r="D6150" s="31"/>
      <c r="E6150" s="32"/>
      <c r="F6150" s="53" t="s">
        <v>416</v>
      </c>
      <c r="G6150" s="53" t="str">
        <f>IF(ISNUMBER(F6150),E6150*F6150,"")</f>
        <v/>
      </c>
      <c r="H6150" s="72"/>
      <c r="I6150" s="73"/>
      <c r="J6150" s="152">
        <v>0</v>
      </c>
    </row>
    <row r="6151" spans="1:10" ht="15.75" hidden="1" thickBot="1" x14ac:dyDescent="0.3">
      <c r="A6151" s="171"/>
      <c r="B6151" s="174"/>
      <c r="C6151" s="35" t="s">
        <v>7978</v>
      </c>
      <c r="D6151" s="35" t="s">
        <v>213</v>
      </c>
      <c r="E6151" s="36">
        <v>1</v>
      </c>
      <c r="F6151" s="30">
        <v>143.56399999999999</v>
      </c>
      <c r="G6151" s="53">
        <f>IF(ISNUMBER(F6151),E6151*F6151,"")</f>
        <v>143.56399999999999</v>
      </c>
      <c r="H6151" s="38">
        <f>SUM(G6151:G6151)</f>
        <v>143.56399999999999</v>
      </c>
      <c r="I6151" s="39"/>
      <c r="J6151" s="152">
        <v>0</v>
      </c>
    </row>
    <row r="6152" spans="1:10" ht="15.75" hidden="1" thickBot="1" x14ac:dyDescent="0.3">
      <c r="A6152" s="172"/>
      <c r="B6152" s="175"/>
      <c r="C6152" s="54"/>
      <c r="D6152" s="155"/>
      <c r="E6152" s="65"/>
      <c r="F6152" s="75" t="s">
        <v>416</v>
      </c>
      <c r="G6152" s="75" t="str">
        <f>IF(ISNUMBER(F6152),E6152*F6152,"")</f>
        <v/>
      </c>
      <c r="H6152" s="76"/>
      <c r="I6152" s="73"/>
      <c r="J6152" s="152">
        <v>0</v>
      </c>
    </row>
    <row r="6153" spans="1:10" ht="15.75" hidden="1" thickBot="1" x14ac:dyDescent="0.3">
      <c r="A6153" s="170" t="s">
        <v>5377</v>
      </c>
      <c r="B6153" s="173" t="str">
        <f>INDEX(Orçamentária!A:B,MATCH(Composições!A6153,Orçamentária!A:A,0),2)</f>
        <v>Protetor solar</v>
      </c>
      <c r="C6153" s="40"/>
      <c r="D6153" s="25" t="s">
        <v>75</v>
      </c>
      <c r="E6153" s="26"/>
      <c r="F6153" s="48" t="s">
        <v>416</v>
      </c>
      <c r="G6153" s="27" t="str">
        <f>IF(ISNUMBER(F6153),E6153*F6153,"")</f>
        <v/>
      </c>
      <c r="H6153" s="28"/>
      <c r="I6153" s="29"/>
      <c r="J6153" s="152">
        <v>0</v>
      </c>
    </row>
    <row r="6154" spans="1:10" ht="15.75" hidden="1" thickBot="1" x14ac:dyDescent="0.3">
      <c r="A6154" s="171"/>
      <c r="B6154" s="174"/>
      <c r="C6154" s="31"/>
      <c r="D6154" s="31"/>
      <c r="E6154" s="32"/>
      <c r="F6154" s="53" t="s">
        <v>416</v>
      </c>
      <c r="G6154" s="53" t="str">
        <f>IF(ISNUMBER(F6154),E6154*F6154,"")</f>
        <v/>
      </c>
      <c r="H6154" s="72"/>
      <c r="I6154" s="73"/>
      <c r="J6154" s="152">
        <v>0</v>
      </c>
    </row>
    <row r="6155" spans="1:10" ht="15.75" hidden="1" thickBot="1" x14ac:dyDescent="0.3">
      <c r="A6155" s="171"/>
      <c r="B6155" s="174"/>
      <c r="C6155" s="35" t="s">
        <v>8341</v>
      </c>
      <c r="D6155" s="35" t="s">
        <v>213</v>
      </c>
      <c r="E6155" s="36">
        <v>0.5</v>
      </c>
      <c r="F6155" s="30">
        <v>229.976</v>
      </c>
      <c r="G6155" s="53">
        <f>IF(ISNUMBER(F6155),E6155*F6155,"")</f>
        <v>114.988</v>
      </c>
      <c r="H6155" s="38">
        <f>SUM(G6155:G6155)</f>
        <v>114.988</v>
      </c>
      <c r="I6155" s="39"/>
      <c r="J6155" s="152">
        <v>0</v>
      </c>
    </row>
    <row r="6156" spans="1:10" ht="15.75" hidden="1" thickBot="1" x14ac:dyDescent="0.3">
      <c r="A6156" s="172"/>
      <c r="B6156" s="175"/>
      <c r="C6156" s="54"/>
      <c r="D6156" s="155"/>
      <c r="E6156" s="65"/>
      <c r="F6156" s="75" t="s">
        <v>416</v>
      </c>
      <c r="G6156" s="75" t="str">
        <f>IF(ISNUMBER(F6156),E6156*F6156,"")</f>
        <v/>
      </c>
      <c r="H6156" s="76"/>
      <c r="I6156" s="73"/>
      <c r="J6156" s="152">
        <v>0</v>
      </c>
    </row>
    <row r="6157" spans="1:10" ht="15.75" hidden="1" thickBot="1" x14ac:dyDescent="0.3">
      <c r="A6157" s="170" t="s">
        <v>5379</v>
      </c>
      <c r="B6157" s="173" t="str">
        <f>INDEX(Orçamentária!A:B,MATCH(Composições!A6157,Orçamentária!A:A,0),2)</f>
        <v>Carpete em placa para o Bloco 2 (Interlegis) - fornecimento e instalação</v>
      </c>
      <c r="C6157" s="40"/>
      <c r="D6157" s="25" t="s">
        <v>70</v>
      </c>
      <c r="E6157" s="26"/>
      <c r="F6157" s="41" t="s">
        <v>416</v>
      </c>
      <c r="G6157" s="27" t="str">
        <f>IF(ISNUMBER(F6157),E6157*F6157,"")</f>
        <v/>
      </c>
      <c r="H6157" s="28"/>
      <c r="I6157" s="29"/>
      <c r="J6157" s="152">
        <v>0</v>
      </c>
    </row>
    <row r="6158" spans="1:10" ht="15.75" hidden="1" thickBot="1" x14ac:dyDescent="0.3">
      <c r="A6158" s="176"/>
      <c r="B6158" s="174"/>
      <c r="C6158" s="31"/>
      <c r="D6158" s="31"/>
      <c r="E6158" s="32"/>
      <c r="F6158" s="42" t="s">
        <v>416</v>
      </c>
      <c r="G6158" s="30" t="str">
        <f>IF(ISNUMBER(F6158),E6158*F6158,"")</f>
        <v/>
      </c>
      <c r="H6158" s="34"/>
      <c r="I6158" s="30"/>
      <c r="J6158" s="152">
        <v>0</v>
      </c>
    </row>
    <row r="6159" spans="1:10" ht="15.75" hidden="1" thickBot="1" x14ac:dyDescent="0.3">
      <c r="A6159" s="176"/>
      <c r="B6159" s="174"/>
      <c r="C6159" s="35" t="s">
        <v>591</v>
      </c>
      <c r="D6159" s="35" t="s">
        <v>583</v>
      </c>
      <c r="E6159" s="36">
        <f>0.1*1.3</f>
        <v>0.13</v>
      </c>
      <c r="F6159" s="30">
        <v>27.160499999999999</v>
      </c>
      <c r="G6159" s="33">
        <f>IF(ISNUMBER(F6159),E6159*F6159,"")</f>
        <v>3.5308649999999999</v>
      </c>
      <c r="H6159" s="38">
        <f>SUM(G6159:G6166)</f>
        <v>16.577879999999997</v>
      </c>
      <c r="I6159" s="39"/>
      <c r="J6159" s="152">
        <v>0</v>
      </c>
    </row>
    <row r="6160" spans="1:10" ht="15.75" hidden="1" thickBot="1" x14ac:dyDescent="0.3">
      <c r="A6160" s="176"/>
      <c r="B6160" s="174"/>
      <c r="C6160" s="35" t="s">
        <v>584</v>
      </c>
      <c r="D6160" s="35" t="s">
        <v>583</v>
      </c>
      <c r="E6160" s="36">
        <f>0.1*1.3</f>
        <v>0.13</v>
      </c>
      <c r="F6160" s="30">
        <v>20.225499999999997</v>
      </c>
      <c r="G6160" s="33">
        <f>IF(ISNUMBER(F6160),E6160*F6160,"")</f>
        <v>2.6293149999999996</v>
      </c>
      <c r="H6160" s="34"/>
      <c r="I6160" s="30"/>
      <c r="J6160" s="152">
        <v>0</v>
      </c>
    </row>
    <row r="6161" spans="1:10" ht="15.75" hidden="1" thickBot="1" x14ac:dyDescent="0.3">
      <c r="A6161" s="176"/>
      <c r="B6161" s="174"/>
      <c r="C6161" s="35" t="s">
        <v>5582</v>
      </c>
      <c r="D6161" s="35" t="s">
        <v>773</v>
      </c>
      <c r="E6161" s="36">
        <v>0.1</v>
      </c>
      <c r="F6161" s="33" t="s">
        <v>416</v>
      </c>
      <c r="G6161" s="30" t="str">
        <f>IF(ISNUMBER(F6161),E6161*F6161,"")</f>
        <v/>
      </c>
      <c r="H6161" s="34"/>
      <c r="I6161" s="30"/>
      <c r="J6161" s="152">
        <v>0</v>
      </c>
    </row>
    <row r="6162" spans="1:10" ht="26.25" hidden="1" thickBot="1" x14ac:dyDescent="0.3">
      <c r="A6162" s="176"/>
      <c r="B6162" s="174"/>
      <c r="C6162" s="35" t="s">
        <v>5583</v>
      </c>
      <c r="D6162" s="35" t="s">
        <v>70</v>
      </c>
      <c r="E6162" s="36">
        <v>1.1000000000000001</v>
      </c>
      <c r="F6162" s="30" t="s">
        <v>416</v>
      </c>
      <c r="G6162" s="33" t="str">
        <f>IF(ISNUMBER(F6162),E6162*F6162,"")</f>
        <v/>
      </c>
      <c r="H6162" s="34"/>
      <c r="I6162" s="39"/>
      <c r="J6162" s="152">
        <v>0</v>
      </c>
    </row>
    <row r="6163" spans="1:10" ht="15.75" hidden="1" thickBot="1" x14ac:dyDescent="0.3">
      <c r="A6163" s="176"/>
      <c r="B6163" s="174"/>
      <c r="C6163" s="35" t="s">
        <v>591</v>
      </c>
      <c r="D6163" s="35" t="s">
        <v>583</v>
      </c>
      <c r="E6163" s="36">
        <v>0.2</v>
      </c>
      <c r="F6163" s="30">
        <v>27.160499999999999</v>
      </c>
      <c r="G6163" s="33">
        <f>IF(ISNUMBER(F6163),E6163*F6163,"")</f>
        <v>5.4321000000000002</v>
      </c>
      <c r="H6163" s="34"/>
      <c r="I6163" s="30"/>
      <c r="J6163" s="152">
        <v>0</v>
      </c>
    </row>
    <row r="6164" spans="1:10" ht="15.75" hidden="1" thickBot="1" x14ac:dyDescent="0.3">
      <c r="A6164" s="176"/>
      <c r="B6164" s="174"/>
      <c r="C6164" s="35" t="s">
        <v>584</v>
      </c>
      <c r="D6164" s="35" t="s">
        <v>583</v>
      </c>
      <c r="E6164" s="36">
        <v>0.2</v>
      </c>
      <c r="F6164" s="33">
        <v>20.225499999999997</v>
      </c>
      <c r="G6164" s="30">
        <f>IF(ISNUMBER(F6164),E6164*F6164,"")</f>
        <v>4.0450999999999997</v>
      </c>
      <c r="H6164" s="34"/>
      <c r="I6164" s="30"/>
      <c r="J6164" s="152">
        <v>0</v>
      </c>
    </row>
    <row r="6165" spans="1:10" ht="15.75" hidden="1" thickBot="1" x14ac:dyDescent="0.3">
      <c r="A6165" s="176"/>
      <c r="B6165" s="174"/>
      <c r="C6165" s="35" t="s">
        <v>8065</v>
      </c>
      <c r="D6165" s="35" t="s">
        <v>773</v>
      </c>
      <c r="E6165" s="36">
        <v>1.5</v>
      </c>
      <c r="F6165" s="30">
        <v>0.627</v>
      </c>
      <c r="G6165" s="33">
        <f>IF(ISNUMBER(F6165),E6165*F6165,"")</f>
        <v>0.9405</v>
      </c>
      <c r="H6165" s="34"/>
      <c r="I6165" s="39"/>
      <c r="J6165" s="152">
        <v>0</v>
      </c>
    </row>
    <row r="6166" spans="1:10" ht="15.75" hidden="1" thickBot="1" x14ac:dyDescent="0.3">
      <c r="A6166" s="176"/>
      <c r="B6166" s="174"/>
      <c r="C6166" s="35" t="s">
        <v>1264</v>
      </c>
      <c r="D6166" s="35" t="s">
        <v>773</v>
      </c>
      <c r="E6166" s="36">
        <f>ROUND(E6165*0.1,2)</f>
        <v>0.15</v>
      </c>
      <c r="F6166" s="30" t="s">
        <v>416</v>
      </c>
      <c r="G6166" s="33" t="str">
        <f>IF(ISNUMBER(F6166),E6166*F6166,"")</f>
        <v/>
      </c>
      <c r="H6166" s="34"/>
      <c r="I6166" s="30"/>
      <c r="J6166" s="152">
        <v>0</v>
      </c>
    </row>
    <row r="6167" spans="1:10" ht="15.75" hidden="1" thickBot="1" x14ac:dyDescent="0.3">
      <c r="A6167" s="177"/>
      <c r="B6167" s="175"/>
      <c r="C6167" s="35"/>
      <c r="D6167" s="35"/>
      <c r="E6167" s="36"/>
      <c r="F6167" s="30" t="s">
        <v>416</v>
      </c>
      <c r="G6167" s="30" t="str">
        <f>IF(ISNUMBER(F6167),E6167*F6167,"")</f>
        <v/>
      </c>
      <c r="H6167" s="34"/>
      <c r="I6167" s="30"/>
      <c r="J6167" s="152">
        <v>0</v>
      </c>
    </row>
    <row r="6168" spans="1:10" ht="15.75" hidden="1" thickBot="1" x14ac:dyDescent="0.3">
      <c r="A6168" s="170" t="s">
        <v>5380</v>
      </c>
      <c r="B6168" s="173" t="str">
        <f>INDEX(Orçamentária!A:B,MATCH(Composições!A6168,Orçamentária!A:A,0),2)</f>
        <v>Carpete em rolo para o Bloco 2 (Interlegis) - fornecimento e instalação</v>
      </c>
      <c r="C6168" s="40"/>
      <c r="D6168" s="25" t="s">
        <v>70</v>
      </c>
      <c r="E6168" s="26"/>
      <c r="F6168" s="41" t="s">
        <v>416</v>
      </c>
      <c r="G6168" s="27" t="str">
        <f>IF(ISNUMBER(F6168),E6168*F6168,"")</f>
        <v/>
      </c>
      <c r="H6168" s="28"/>
      <c r="I6168" s="29"/>
      <c r="J6168" s="152">
        <v>0</v>
      </c>
    </row>
    <row r="6169" spans="1:10" ht="15.75" hidden="1" thickBot="1" x14ac:dyDescent="0.3">
      <c r="A6169" s="176"/>
      <c r="B6169" s="174"/>
      <c r="C6169" s="31"/>
      <c r="D6169" s="31"/>
      <c r="E6169" s="32"/>
      <c r="F6169" s="42" t="s">
        <v>416</v>
      </c>
      <c r="G6169" s="30" t="str">
        <f>IF(ISNUMBER(F6169),E6169*F6169,"")</f>
        <v/>
      </c>
      <c r="H6169" s="34"/>
      <c r="I6169" s="30"/>
      <c r="J6169" s="152">
        <v>0</v>
      </c>
    </row>
    <row r="6170" spans="1:10" ht="15.75" hidden="1" thickBot="1" x14ac:dyDescent="0.3">
      <c r="A6170" s="176"/>
      <c r="B6170" s="174"/>
      <c r="C6170" s="35" t="s">
        <v>591</v>
      </c>
      <c r="D6170" s="35" t="s">
        <v>583</v>
      </c>
      <c r="E6170" s="36">
        <v>0.1</v>
      </c>
      <c r="F6170" s="30">
        <v>27.160499999999999</v>
      </c>
      <c r="G6170" s="33">
        <f>IF(ISNUMBER(F6170),E6170*F6170,"")</f>
        <v>2.7160500000000001</v>
      </c>
      <c r="H6170" s="38">
        <f>SUM(G6170:G6177)</f>
        <v>15.1563</v>
      </c>
      <c r="I6170" s="39"/>
      <c r="J6170" s="152">
        <v>0</v>
      </c>
    </row>
    <row r="6171" spans="1:10" ht="15.75" hidden="1" thickBot="1" x14ac:dyDescent="0.3">
      <c r="A6171" s="176"/>
      <c r="B6171" s="174"/>
      <c r="C6171" s="35" t="s">
        <v>584</v>
      </c>
      <c r="D6171" s="35" t="s">
        <v>583</v>
      </c>
      <c r="E6171" s="36">
        <v>0.1</v>
      </c>
      <c r="F6171" s="30">
        <v>20.225499999999997</v>
      </c>
      <c r="G6171" s="33">
        <f>IF(ISNUMBER(F6171),E6171*F6171,"")</f>
        <v>2.0225499999999998</v>
      </c>
      <c r="H6171" s="34"/>
      <c r="I6171" s="30"/>
      <c r="J6171" s="152">
        <v>0</v>
      </c>
    </row>
    <row r="6172" spans="1:10" ht="15.75" hidden="1" thickBot="1" x14ac:dyDescent="0.3">
      <c r="A6172" s="176"/>
      <c r="B6172" s="174"/>
      <c r="C6172" s="35" t="s">
        <v>5582</v>
      </c>
      <c r="D6172" s="35" t="s">
        <v>773</v>
      </c>
      <c r="E6172" s="36">
        <v>0.1</v>
      </c>
      <c r="F6172" s="33" t="s">
        <v>416</v>
      </c>
      <c r="G6172" s="30" t="str">
        <f>IF(ISNUMBER(F6172),E6172*F6172,"")</f>
        <v/>
      </c>
      <c r="H6172" s="34"/>
      <c r="I6172" s="30"/>
      <c r="J6172" s="152">
        <v>0</v>
      </c>
    </row>
    <row r="6173" spans="1:10" ht="26.25" hidden="1" thickBot="1" x14ac:dyDescent="0.3">
      <c r="A6173" s="176"/>
      <c r="B6173" s="174"/>
      <c r="C6173" s="35" t="s">
        <v>5584</v>
      </c>
      <c r="D6173" s="35" t="s">
        <v>70</v>
      </c>
      <c r="E6173" s="36">
        <v>1.1000000000000001</v>
      </c>
      <c r="F6173" s="30" t="s">
        <v>416</v>
      </c>
      <c r="G6173" s="33" t="str">
        <f>IF(ISNUMBER(F6173),E6173*F6173,"")</f>
        <v/>
      </c>
      <c r="H6173" s="34"/>
      <c r="I6173" s="39"/>
      <c r="J6173" s="152">
        <v>0</v>
      </c>
    </row>
    <row r="6174" spans="1:10" ht="15.75" hidden="1" thickBot="1" x14ac:dyDescent="0.3">
      <c r="A6174" s="176"/>
      <c r="B6174" s="174"/>
      <c r="C6174" s="35" t="s">
        <v>591</v>
      </c>
      <c r="D6174" s="35" t="s">
        <v>583</v>
      </c>
      <c r="E6174" s="36">
        <v>0.2</v>
      </c>
      <c r="F6174" s="30">
        <v>27.160499999999999</v>
      </c>
      <c r="G6174" s="33">
        <f>IF(ISNUMBER(F6174),E6174*F6174,"")</f>
        <v>5.4321000000000002</v>
      </c>
      <c r="H6174" s="34"/>
      <c r="I6174" s="30"/>
      <c r="J6174" s="152">
        <v>0</v>
      </c>
    </row>
    <row r="6175" spans="1:10" ht="15.75" hidden="1" thickBot="1" x14ac:dyDescent="0.3">
      <c r="A6175" s="176"/>
      <c r="B6175" s="174"/>
      <c r="C6175" s="35" t="s">
        <v>584</v>
      </c>
      <c r="D6175" s="35" t="s">
        <v>583</v>
      </c>
      <c r="E6175" s="36">
        <v>0.2</v>
      </c>
      <c r="F6175" s="33">
        <v>20.225499999999997</v>
      </c>
      <c r="G6175" s="30">
        <f>IF(ISNUMBER(F6175),E6175*F6175,"")</f>
        <v>4.0450999999999997</v>
      </c>
      <c r="H6175" s="34"/>
      <c r="I6175" s="30"/>
      <c r="J6175" s="152">
        <v>0</v>
      </c>
    </row>
    <row r="6176" spans="1:10" ht="15.75" hidden="1" thickBot="1" x14ac:dyDescent="0.3">
      <c r="A6176" s="176"/>
      <c r="B6176" s="174"/>
      <c r="C6176" s="35" t="s">
        <v>8065</v>
      </c>
      <c r="D6176" s="35" t="s">
        <v>773</v>
      </c>
      <c r="E6176" s="36">
        <v>1.5</v>
      </c>
      <c r="F6176" s="30">
        <v>0.627</v>
      </c>
      <c r="G6176" s="33">
        <f>IF(ISNUMBER(F6176),E6176*F6176,"")</f>
        <v>0.9405</v>
      </c>
      <c r="H6176" s="34"/>
      <c r="I6176" s="39"/>
      <c r="J6176" s="152">
        <v>0</v>
      </c>
    </row>
    <row r="6177" spans="1:10" ht="15.75" hidden="1" thickBot="1" x14ac:dyDescent="0.3">
      <c r="A6177" s="176"/>
      <c r="B6177" s="174"/>
      <c r="C6177" s="35" t="s">
        <v>1264</v>
      </c>
      <c r="D6177" s="35" t="s">
        <v>773</v>
      </c>
      <c r="E6177" s="36">
        <f>ROUND(E6176*0.1,2)</f>
        <v>0.15</v>
      </c>
      <c r="F6177" s="30" t="s">
        <v>416</v>
      </c>
      <c r="G6177" s="33" t="str">
        <f>IF(ISNUMBER(F6177),E6177*F6177,"")</f>
        <v/>
      </c>
      <c r="H6177" s="34"/>
      <c r="I6177" s="30"/>
      <c r="J6177" s="152">
        <v>0</v>
      </c>
    </row>
    <row r="6178" spans="1:10" ht="15.75" hidden="1" thickBot="1" x14ac:dyDescent="0.3">
      <c r="A6178" s="177"/>
      <c r="B6178" s="175"/>
      <c r="C6178" s="35"/>
      <c r="D6178" s="35"/>
      <c r="E6178" s="36"/>
      <c r="F6178" s="30" t="s">
        <v>416</v>
      </c>
      <c r="G6178" s="30" t="str">
        <f>IF(ISNUMBER(F6178),E6178*F6178,"")</f>
        <v/>
      </c>
      <c r="H6178" s="34"/>
      <c r="I6178" s="30"/>
      <c r="J6178" s="152">
        <v>0</v>
      </c>
    </row>
    <row r="6179" spans="1:10" ht="15.75" hidden="1" thickBot="1" x14ac:dyDescent="0.3">
      <c r="A6179" s="170" t="s">
        <v>5381</v>
      </c>
      <c r="B6179" s="173" t="str">
        <f>INDEX(Orçamentária!A:B,MATCH(Composições!A6179,Orçamentária!A:A,0),2)</f>
        <v>Corte em chapas metálicas</v>
      </c>
      <c r="C6179" s="40"/>
      <c r="D6179" s="25" t="s">
        <v>69</v>
      </c>
      <c r="E6179" s="26"/>
      <c r="F6179" s="48" t="s">
        <v>416</v>
      </c>
      <c r="G6179" s="27" t="str">
        <f>IF(ISNUMBER(F6179),E6179*F6179,"")</f>
        <v/>
      </c>
      <c r="H6179" s="28"/>
      <c r="I6179" s="29"/>
      <c r="J6179" s="152">
        <v>0</v>
      </c>
    </row>
    <row r="6180" spans="1:10" ht="15.75" hidden="1" thickBot="1" x14ac:dyDescent="0.3">
      <c r="A6180" s="171"/>
      <c r="B6180" s="174"/>
      <c r="C6180" s="31"/>
      <c r="D6180" s="31"/>
      <c r="E6180" s="32"/>
      <c r="F6180" s="53" t="s">
        <v>416</v>
      </c>
      <c r="G6180" s="53" t="str">
        <f>IF(ISNUMBER(F6180),E6180*F6180,"")</f>
        <v/>
      </c>
      <c r="H6180" s="72"/>
      <c r="I6180" s="73"/>
      <c r="J6180" s="152">
        <v>0</v>
      </c>
    </row>
    <row r="6181" spans="1:10" ht="26.25" hidden="1" thickBot="1" x14ac:dyDescent="0.3">
      <c r="A6181" s="171"/>
      <c r="B6181" s="174"/>
      <c r="C6181" s="35" t="s">
        <v>98</v>
      </c>
      <c r="D6181" s="35" t="s">
        <v>87</v>
      </c>
      <c r="E6181" s="36">
        <v>0.23</v>
      </c>
      <c r="F6181" s="30">
        <v>14.0695</v>
      </c>
      <c r="G6181" s="53">
        <f>IF(ISNUMBER(F6181),E6181*F6181,"")</f>
        <v>3.2359849999999999</v>
      </c>
      <c r="H6181" s="38">
        <f>SUM(G6181:G6184)</f>
        <v>12.43045455</v>
      </c>
      <c r="I6181" s="39"/>
      <c r="J6181" s="152">
        <v>0</v>
      </c>
    </row>
    <row r="6182" spans="1:10" ht="39" hidden="1" thickBot="1" x14ac:dyDescent="0.3">
      <c r="A6182" s="171"/>
      <c r="B6182" s="174"/>
      <c r="C6182" s="35" t="s">
        <v>7956</v>
      </c>
      <c r="D6182" s="35" t="s">
        <v>773</v>
      </c>
      <c r="E6182" s="36">
        <v>3.2000000000000001E-2</v>
      </c>
      <c r="F6182" s="30">
        <v>64.219999999999985</v>
      </c>
      <c r="G6182" s="53">
        <f>IF(ISNUMBER(F6182),E6182*F6182,"")</f>
        <v>2.0550399999999995</v>
      </c>
      <c r="H6182" s="43"/>
      <c r="I6182" s="39"/>
      <c r="J6182" s="152">
        <v>0</v>
      </c>
    </row>
    <row r="6183" spans="1:10" ht="15.75" hidden="1" thickBot="1" x14ac:dyDescent="0.3">
      <c r="A6183" s="171"/>
      <c r="B6183" s="174"/>
      <c r="C6183" s="35" t="s">
        <v>662</v>
      </c>
      <c r="D6183" s="35" t="s">
        <v>583</v>
      </c>
      <c r="E6183" s="36">
        <v>9.2700000000000005E-2</v>
      </c>
      <c r="F6183" s="30">
        <v>21.479499999999998</v>
      </c>
      <c r="G6183" s="53">
        <f>IF(ISNUMBER(F6183),E6183*F6183,"")</f>
        <v>1.9911496499999999</v>
      </c>
      <c r="H6183" s="43"/>
      <c r="I6183" s="39"/>
      <c r="J6183" s="152">
        <v>0</v>
      </c>
    </row>
    <row r="6184" spans="1:10" ht="15.75" hidden="1" thickBot="1" x14ac:dyDescent="0.3">
      <c r="A6184" s="171"/>
      <c r="B6184" s="174"/>
      <c r="C6184" s="35" t="s">
        <v>2908</v>
      </c>
      <c r="D6184" s="35" t="s">
        <v>583</v>
      </c>
      <c r="E6184" s="36">
        <v>0.18540000000000001</v>
      </c>
      <c r="F6184" s="30">
        <v>27.7685</v>
      </c>
      <c r="G6184" s="53">
        <f>IF(ISNUMBER(F6184),E6184*F6184,"")</f>
        <v>5.1482799000000004</v>
      </c>
      <c r="H6184" s="43"/>
      <c r="I6184" s="39"/>
      <c r="J6184" s="152">
        <v>0</v>
      </c>
    </row>
    <row r="6185" spans="1:10" ht="15.75" hidden="1" thickBot="1" x14ac:dyDescent="0.3">
      <c r="A6185" s="172"/>
      <c r="B6185" s="175"/>
      <c r="C6185" s="35"/>
      <c r="D6185" s="35"/>
      <c r="E6185" s="36"/>
      <c r="F6185" s="30" t="s">
        <v>416</v>
      </c>
      <c r="G6185" s="53"/>
      <c r="H6185" s="43"/>
      <c r="I6185" s="39"/>
      <c r="J6185" s="152">
        <v>0</v>
      </c>
    </row>
    <row r="6186" spans="1:10" ht="15.75" hidden="1" thickBot="1" x14ac:dyDescent="0.3">
      <c r="A6186" s="170" t="s">
        <v>5382</v>
      </c>
      <c r="B6186" s="173" t="str">
        <f>INDEX(Orçamentária!A:B,MATCH(Composições!A6186,Orçamentária!A:A,0),2)</f>
        <v>Remoção de revestimento em chapa de alumínio ACM para aproveitamento</v>
      </c>
      <c r="C6186" s="40"/>
      <c r="D6186" s="25" t="s">
        <v>70</v>
      </c>
      <c r="E6186" s="26"/>
      <c r="F6186" s="48" t="s">
        <v>416</v>
      </c>
      <c r="G6186" s="27" t="str">
        <f>IF(ISNUMBER(F6186),E6186*F6186,"")</f>
        <v/>
      </c>
      <c r="H6186" s="28"/>
      <c r="I6186" s="29"/>
      <c r="J6186" s="152">
        <v>0</v>
      </c>
    </row>
    <row r="6187" spans="1:10" ht="15.75" hidden="1" thickBot="1" x14ac:dyDescent="0.3">
      <c r="A6187" s="171"/>
      <c r="B6187" s="174"/>
      <c r="C6187" s="31"/>
      <c r="D6187" s="31"/>
      <c r="E6187" s="32"/>
      <c r="F6187" s="53" t="s">
        <v>416</v>
      </c>
      <c r="G6187" s="53" t="str">
        <f>IF(ISNUMBER(F6187),E6187*F6187,"")</f>
        <v/>
      </c>
      <c r="H6187" s="72"/>
      <c r="I6187" s="73"/>
      <c r="J6187" s="152">
        <v>0</v>
      </c>
    </row>
    <row r="6188" spans="1:10" ht="15.75" hidden="1" thickBot="1" x14ac:dyDescent="0.3">
      <c r="A6188" s="171"/>
      <c r="B6188" s="174"/>
      <c r="C6188" s="35" t="s">
        <v>591</v>
      </c>
      <c r="D6188" s="35" t="s">
        <v>583</v>
      </c>
      <c r="E6188" s="36">
        <v>0.5</v>
      </c>
      <c r="F6188" s="30">
        <v>27.160499999999999</v>
      </c>
      <c r="G6188" s="33">
        <f>IF(ISNUMBER(F6188),E6188*F6188,"")</f>
        <v>13.580249999999999</v>
      </c>
      <c r="H6188" s="38">
        <f>SUM(G6188:G6189)</f>
        <v>33.805749999999996</v>
      </c>
      <c r="I6188" s="39"/>
      <c r="J6188" s="152">
        <v>0</v>
      </c>
    </row>
    <row r="6189" spans="1:10" ht="15.75" hidden="1" thickBot="1" x14ac:dyDescent="0.3">
      <c r="A6189" s="171"/>
      <c r="B6189" s="174"/>
      <c r="C6189" s="35" t="s">
        <v>584</v>
      </c>
      <c r="D6189" s="35" t="s">
        <v>583</v>
      </c>
      <c r="E6189" s="36">
        <v>1</v>
      </c>
      <c r="F6189" s="33">
        <v>20.225499999999997</v>
      </c>
      <c r="G6189" s="30">
        <f>IF(ISNUMBER(F6189),E6189*F6189,"")</f>
        <v>20.225499999999997</v>
      </c>
      <c r="H6189" s="43"/>
      <c r="I6189" s="39"/>
      <c r="J6189" s="152">
        <v>0</v>
      </c>
    </row>
    <row r="6190" spans="1:10" ht="15.75" hidden="1" thickBot="1" x14ac:dyDescent="0.3">
      <c r="A6190" s="172"/>
      <c r="B6190" s="175"/>
      <c r="C6190" s="35"/>
      <c r="D6190" s="35"/>
      <c r="E6190" s="36"/>
      <c r="F6190" s="30" t="s">
        <v>416</v>
      </c>
      <c r="G6190" s="53"/>
      <c r="H6190" s="43"/>
      <c r="I6190" s="39"/>
      <c r="J6190" s="152">
        <v>0</v>
      </c>
    </row>
    <row r="6191" spans="1:10" ht="15.75" hidden="1" thickBot="1" x14ac:dyDescent="0.3">
      <c r="A6191" s="170" t="s">
        <v>5383</v>
      </c>
      <c r="B6191" s="173" t="str">
        <f>INDEX(Orçamentária!A:B,MATCH(Composições!A6191,Orçamentária!A:A,0),2)</f>
        <v>Instalação de revestimento em chapa de alumínio ACM reaproveitado</v>
      </c>
      <c r="C6191" s="40"/>
      <c r="D6191" s="25" t="s">
        <v>70</v>
      </c>
      <c r="E6191" s="26"/>
      <c r="F6191" s="48" t="s">
        <v>416</v>
      </c>
      <c r="G6191" s="27" t="str">
        <f>IF(ISNUMBER(F6191),E6191*F6191,"")</f>
        <v/>
      </c>
      <c r="H6191" s="28"/>
      <c r="I6191" s="29"/>
      <c r="J6191" s="152">
        <v>0</v>
      </c>
    </row>
    <row r="6192" spans="1:10" ht="15.75" hidden="1" thickBot="1" x14ac:dyDescent="0.3">
      <c r="A6192" s="171"/>
      <c r="B6192" s="174"/>
      <c r="C6192" s="31"/>
      <c r="D6192" s="31"/>
      <c r="E6192" s="32"/>
      <c r="F6192" s="53" t="s">
        <v>416</v>
      </c>
      <c r="G6192" s="53" t="str">
        <f>IF(ISNUMBER(F6192),E6192*F6192,"")</f>
        <v/>
      </c>
      <c r="H6192" s="72"/>
      <c r="I6192" s="73"/>
      <c r="J6192" s="152">
        <v>0</v>
      </c>
    </row>
    <row r="6193" spans="1:10" ht="15.75" hidden="1" thickBot="1" x14ac:dyDescent="0.3">
      <c r="A6193" s="171"/>
      <c r="B6193" s="174"/>
      <c r="C6193" s="35" t="s">
        <v>591</v>
      </c>
      <c r="D6193" s="35" t="s">
        <v>583</v>
      </c>
      <c r="E6193" s="36">
        <v>1.5</v>
      </c>
      <c r="F6193" s="30">
        <v>27.160499999999999</v>
      </c>
      <c r="G6193" s="33">
        <f>IF(ISNUMBER(F6193),E6193*F6193,"")</f>
        <v>40.740749999999998</v>
      </c>
      <c r="H6193" s="38">
        <f>SUM(G6193:G6194)</f>
        <v>60.966249999999995</v>
      </c>
      <c r="I6193" s="39"/>
      <c r="J6193" s="152">
        <v>0</v>
      </c>
    </row>
    <row r="6194" spans="1:10" ht="15.75" hidden="1" thickBot="1" x14ac:dyDescent="0.3">
      <c r="A6194" s="171"/>
      <c r="B6194" s="174"/>
      <c r="C6194" s="35" t="s">
        <v>584</v>
      </c>
      <c r="D6194" s="35" t="s">
        <v>583</v>
      </c>
      <c r="E6194" s="36">
        <v>1</v>
      </c>
      <c r="F6194" s="33">
        <v>20.225499999999997</v>
      </c>
      <c r="G6194" s="30">
        <f>IF(ISNUMBER(F6194),E6194*F6194,"")</f>
        <v>20.225499999999997</v>
      </c>
      <c r="H6194" s="43"/>
      <c r="I6194" s="39"/>
      <c r="J6194" s="152">
        <v>0</v>
      </c>
    </row>
    <row r="6195" spans="1:10" ht="15.75" hidden="1" thickBot="1" x14ac:dyDescent="0.3">
      <c r="A6195" s="172"/>
      <c r="B6195" s="175"/>
      <c r="C6195" s="35"/>
      <c r="D6195" s="35"/>
      <c r="E6195" s="36"/>
      <c r="F6195" s="30" t="s">
        <v>416</v>
      </c>
      <c r="G6195" s="53"/>
      <c r="H6195" s="43"/>
      <c r="I6195" s="39"/>
      <c r="J6195" s="152">
        <v>0</v>
      </c>
    </row>
    <row r="6196" spans="1:10" ht="15.75" hidden="1" thickBot="1" x14ac:dyDescent="0.3">
      <c r="A6196" s="170" t="s">
        <v>5384</v>
      </c>
      <c r="B6196" s="173" t="str">
        <f>INDEX(Orçamentária!A:B,MATCH(Composições!A6196,Orçamentária!A:A,0),2)</f>
        <v>Graute industrializado, fck ≥ 100 MPa</v>
      </c>
      <c r="C6196" s="40"/>
      <c r="D6196" s="25" t="s">
        <v>80</v>
      </c>
      <c r="E6196" s="26"/>
      <c r="F6196" s="48" t="s">
        <v>416</v>
      </c>
      <c r="G6196" s="27" t="str">
        <f>IF(ISNUMBER(F6196),E6196*F6196,"")</f>
        <v/>
      </c>
      <c r="H6196" s="28"/>
      <c r="I6196" s="29"/>
      <c r="J6196" s="152">
        <v>0</v>
      </c>
    </row>
    <row r="6197" spans="1:10" ht="15.75" hidden="1" thickBot="1" x14ac:dyDescent="0.3">
      <c r="A6197" s="171"/>
      <c r="B6197" s="174"/>
      <c r="C6197" s="31"/>
      <c r="D6197" s="31"/>
      <c r="E6197" s="32"/>
      <c r="F6197" s="53" t="s">
        <v>416</v>
      </c>
      <c r="G6197" s="53" t="str">
        <f>IF(ISNUMBER(F6197),E6197*F6197,"")</f>
        <v/>
      </c>
      <c r="H6197" s="72"/>
      <c r="I6197" s="73"/>
      <c r="J6197" s="152">
        <v>0</v>
      </c>
    </row>
    <row r="6198" spans="1:10" ht="15.75" hidden="1" thickBot="1" x14ac:dyDescent="0.3">
      <c r="A6198" s="171"/>
      <c r="B6198" s="174"/>
      <c r="C6198" s="35" t="s">
        <v>591</v>
      </c>
      <c r="D6198" s="35" t="s">
        <v>583</v>
      </c>
      <c r="E6198" s="36">
        <v>0.74148000000000003</v>
      </c>
      <c r="F6198" s="30">
        <v>27.160499999999999</v>
      </c>
      <c r="G6198" s="53">
        <f>IF(ISNUMBER(F6198),E6198*F6198,"")</f>
        <v>20.138967539999999</v>
      </c>
      <c r="H6198" s="38">
        <f>SUM(G6198:G6200)</f>
        <v>120.11765913999999</v>
      </c>
      <c r="I6198" s="39"/>
      <c r="J6198" s="152">
        <v>0</v>
      </c>
    </row>
    <row r="6199" spans="1:10" ht="15.75" hidden="1" thickBot="1" x14ac:dyDescent="0.3">
      <c r="A6199" s="171"/>
      <c r="B6199" s="174"/>
      <c r="C6199" s="35" t="s">
        <v>584</v>
      </c>
      <c r="D6199" s="35" t="s">
        <v>583</v>
      </c>
      <c r="E6199" s="36">
        <v>4.9432</v>
      </c>
      <c r="F6199" s="30">
        <v>20.225499999999997</v>
      </c>
      <c r="G6199" s="53">
        <f>IF(ISNUMBER(F6199),E6199*F6199,"")</f>
        <v>99.978691599999991</v>
      </c>
      <c r="H6199" s="43"/>
      <c r="I6199" s="39"/>
      <c r="J6199" s="152">
        <v>0</v>
      </c>
    </row>
    <row r="6200" spans="1:10" ht="15.75" hidden="1" thickBot="1" x14ac:dyDescent="0.3">
      <c r="A6200" s="171"/>
      <c r="B6200" s="174"/>
      <c r="C6200" s="35" t="s">
        <v>5585</v>
      </c>
      <c r="D6200" s="35" t="s">
        <v>28</v>
      </c>
      <c r="E6200" s="36">
        <f>1.203*2000</f>
        <v>2406</v>
      </c>
      <c r="F6200" s="30" t="s">
        <v>416</v>
      </c>
      <c r="G6200" s="53" t="str">
        <f>IF(ISNUMBER(F6200),E6200*F6200,"")</f>
        <v/>
      </c>
      <c r="H6200" s="43"/>
      <c r="I6200" s="39"/>
      <c r="J6200" s="152">
        <v>0</v>
      </c>
    </row>
    <row r="6201" spans="1:10" ht="15.75" hidden="1" thickBot="1" x14ac:dyDescent="0.3">
      <c r="A6201" s="171"/>
      <c r="B6201" s="174"/>
      <c r="C6201" s="35"/>
      <c r="D6201" s="35"/>
      <c r="E6201" s="36"/>
      <c r="F6201" s="30" t="s">
        <v>416</v>
      </c>
      <c r="G6201" s="53"/>
      <c r="H6201" s="43"/>
      <c r="I6201" s="39"/>
      <c r="J6201" s="152">
        <v>0</v>
      </c>
    </row>
    <row r="6202" spans="1:10" ht="15.75" hidden="1" thickBot="1" x14ac:dyDescent="0.3">
      <c r="A6202" s="171"/>
      <c r="B6202" s="174"/>
      <c r="C6202" s="2" t="s">
        <v>5586</v>
      </c>
      <c r="D6202" s="35"/>
      <c r="E6202" s="36"/>
      <c r="F6202" s="30" t="s">
        <v>416</v>
      </c>
      <c r="G6202" s="53"/>
      <c r="H6202" s="43"/>
      <c r="I6202" s="39"/>
      <c r="J6202" s="152">
        <v>0</v>
      </c>
    </row>
    <row r="6203" spans="1:10" ht="15.75" hidden="1" thickBot="1" x14ac:dyDescent="0.3">
      <c r="A6203" s="172"/>
      <c r="B6203" s="175"/>
      <c r="C6203" s="35"/>
      <c r="D6203" s="35"/>
      <c r="E6203" s="36"/>
      <c r="F6203" s="30" t="s">
        <v>416</v>
      </c>
      <c r="G6203" s="53"/>
      <c r="H6203" s="43"/>
      <c r="I6203" s="39"/>
      <c r="J6203" s="152">
        <v>0</v>
      </c>
    </row>
    <row r="6204" spans="1:10" ht="15.75" hidden="1" thickBot="1" x14ac:dyDescent="0.3">
      <c r="A6204" s="170" t="s">
        <v>5385</v>
      </c>
      <c r="B6204" s="173" t="str">
        <f>INDEX(Orçamentária!A:B,MATCH(Composições!A6204,Orçamentária!A:A,0),2)</f>
        <v>Armação de aço CA-25 bitola de 16 mm</v>
      </c>
      <c r="C6204" s="40"/>
      <c r="D6204" s="25" t="s">
        <v>28</v>
      </c>
      <c r="E6204" s="26"/>
      <c r="F6204" s="48" t="s">
        <v>416</v>
      </c>
      <c r="G6204" s="27" t="str">
        <f>IF(ISNUMBER(F6204),E6204*F6204,"")</f>
        <v/>
      </c>
      <c r="H6204" s="28"/>
      <c r="I6204" s="29"/>
      <c r="J6204" s="152">
        <v>0</v>
      </c>
    </row>
    <row r="6205" spans="1:10" ht="15.75" hidden="1" thickBot="1" x14ac:dyDescent="0.3">
      <c r="A6205" s="171"/>
      <c r="B6205" s="174"/>
      <c r="C6205" s="31"/>
      <c r="D6205" s="31"/>
      <c r="E6205" s="32"/>
      <c r="F6205" s="53" t="s">
        <v>416</v>
      </c>
      <c r="G6205" s="53" t="str">
        <f>IF(ISNUMBER(F6205),E6205*F6205,"")</f>
        <v/>
      </c>
      <c r="H6205" s="72"/>
      <c r="I6205" s="73"/>
      <c r="J6205" s="152">
        <v>0</v>
      </c>
    </row>
    <row r="6206" spans="1:10" ht="39" hidden="1" thickBot="1" x14ac:dyDescent="0.3">
      <c r="A6206" s="171"/>
      <c r="B6206" s="174"/>
      <c r="C6206" s="35" t="s">
        <v>774</v>
      </c>
      <c r="D6206" s="35" t="s">
        <v>213</v>
      </c>
      <c r="E6206" s="36">
        <v>0.21199999999999999</v>
      </c>
      <c r="F6206" s="30">
        <v>0.20899999999999999</v>
      </c>
      <c r="G6206" s="53">
        <f>IF(ISNUMBER(F6206),E6206*F6206,"")</f>
        <v>4.4308E-2</v>
      </c>
      <c r="H6206" s="38">
        <f>SUM(G6206:G6210)</f>
        <v>12.712453499999999</v>
      </c>
      <c r="I6206" s="39"/>
      <c r="J6206" s="152">
        <v>0</v>
      </c>
    </row>
    <row r="6207" spans="1:10" ht="26.25" hidden="1" thickBot="1" x14ac:dyDescent="0.3">
      <c r="A6207" s="171"/>
      <c r="B6207" s="174"/>
      <c r="C6207" s="35" t="s">
        <v>3060</v>
      </c>
      <c r="D6207" s="35" t="s">
        <v>773</v>
      </c>
      <c r="E6207" s="36">
        <v>2.5000000000000001E-2</v>
      </c>
      <c r="F6207" s="30">
        <v>21.042499999999997</v>
      </c>
      <c r="G6207" s="53">
        <f>IF(ISNUMBER(F6207),E6207*F6207,"")</f>
        <v>0.52606249999999999</v>
      </c>
      <c r="H6207" s="43"/>
      <c r="I6207" s="39"/>
      <c r="J6207" s="152">
        <v>0</v>
      </c>
    </row>
    <row r="6208" spans="1:10" ht="15.75" hidden="1" thickBot="1" x14ac:dyDescent="0.3">
      <c r="A6208" s="171"/>
      <c r="B6208" s="174"/>
      <c r="C6208" s="35" t="s">
        <v>775</v>
      </c>
      <c r="D6208" s="35" t="s">
        <v>583</v>
      </c>
      <c r="E6208" s="36">
        <v>4.3E-3</v>
      </c>
      <c r="F6208" s="30">
        <v>20.196999999999999</v>
      </c>
      <c r="G6208" s="53">
        <f>IF(ISNUMBER(F6208),E6208*F6208,"")</f>
        <v>8.6847099999999997E-2</v>
      </c>
      <c r="H6208" s="43"/>
      <c r="I6208" s="39"/>
      <c r="J6208" s="152">
        <v>0</v>
      </c>
    </row>
    <row r="6209" spans="1:10" ht="15.75" hidden="1" thickBot="1" x14ac:dyDescent="0.3">
      <c r="A6209" s="171"/>
      <c r="B6209" s="174"/>
      <c r="C6209" s="35" t="s">
        <v>776</v>
      </c>
      <c r="D6209" s="35" t="s">
        <v>583</v>
      </c>
      <c r="E6209" s="36">
        <v>2.6100000000000002E-2</v>
      </c>
      <c r="F6209" s="30">
        <v>26.970499999999998</v>
      </c>
      <c r="G6209" s="53">
        <f>IF(ISNUMBER(F6209),E6209*F6209,"")</f>
        <v>0.70393004999999997</v>
      </c>
      <c r="H6209" s="43"/>
      <c r="I6209" s="39"/>
      <c r="J6209" s="152">
        <v>0</v>
      </c>
    </row>
    <row r="6210" spans="1:10" ht="15.75" hidden="1" thickBot="1" x14ac:dyDescent="0.3">
      <c r="A6210" s="171"/>
      <c r="B6210" s="174"/>
      <c r="C6210" s="35" t="s">
        <v>2883</v>
      </c>
      <c r="D6210" s="35" t="s">
        <v>773</v>
      </c>
      <c r="E6210" s="36">
        <v>1</v>
      </c>
      <c r="F6210" s="30">
        <v>11.351305849999999</v>
      </c>
      <c r="G6210" s="53">
        <f>IF(ISNUMBER(F6210),E6210*F6210,"")</f>
        <v>11.351305849999999</v>
      </c>
      <c r="H6210" s="43"/>
      <c r="I6210" s="39"/>
      <c r="J6210" s="152">
        <v>0</v>
      </c>
    </row>
    <row r="6211" spans="1:10" ht="15.75" hidden="1" thickBot="1" x14ac:dyDescent="0.3">
      <c r="A6211" s="172"/>
      <c r="B6211" s="175"/>
      <c r="C6211" s="35"/>
      <c r="D6211" s="35"/>
      <c r="E6211" s="36"/>
      <c r="F6211" s="30" t="s">
        <v>416</v>
      </c>
      <c r="G6211" s="53"/>
      <c r="H6211" s="43"/>
      <c r="I6211" s="39"/>
      <c r="J6211" s="152">
        <v>0</v>
      </c>
    </row>
    <row r="6212" spans="1:10" ht="15.75" hidden="1" thickBot="1" x14ac:dyDescent="0.3">
      <c r="A6212" s="170" t="s">
        <v>5386</v>
      </c>
      <c r="B6212" s="173" t="str">
        <f>INDEX(Orçamentária!A:B,MATCH(Composições!A6212,Orçamentária!A:A,0),2)</f>
        <v>Concreto virado em betoneira, fck = 20 MPa</v>
      </c>
      <c r="C6212" s="40"/>
      <c r="D6212" s="25" t="s">
        <v>80</v>
      </c>
      <c r="E6212" s="26"/>
      <c r="F6212" s="48" t="s">
        <v>416</v>
      </c>
      <c r="G6212" s="27" t="str">
        <f>IF(ISNUMBER(F6212),E6212*F6212,"")</f>
        <v/>
      </c>
      <c r="H6212" s="28"/>
      <c r="I6212" s="29"/>
      <c r="J6212" s="152">
        <v>0</v>
      </c>
    </row>
    <row r="6213" spans="1:10" ht="15.75" hidden="1" thickBot="1" x14ac:dyDescent="0.3">
      <c r="A6213" s="171"/>
      <c r="B6213" s="174"/>
      <c r="C6213" s="31"/>
      <c r="D6213" s="31"/>
      <c r="E6213" s="32"/>
      <c r="F6213" s="53" t="s">
        <v>416</v>
      </c>
      <c r="G6213" s="53" t="str">
        <f>IF(ISNUMBER(F6213),E6213*F6213,"")</f>
        <v/>
      </c>
      <c r="H6213" s="72"/>
      <c r="I6213" s="73"/>
      <c r="J6213" s="152">
        <v>0</v>
      </c>
    </row>
    <row r="6214" spans="1:10" ht="26.25" hidden="1" thickBot="1" x14ac:dyDescent="0.3">
      <c r="A6214" s="171"/>
      <c r="B6214" s="174"/>
      <c r="C6214" s="35" t="s">
        <v>2884</v>
      </c>
      <c r="D6214" s="35" t="s">
        <v>87</v>
      </c>
      <c r="E6214" s="36">
        <v>1.103</v>
      </c>
      <c r="F6214" s="30">
        <v>616.29413234365495</v>
      </c>
      <c r="G6214" s="53">
        <f>IF(ISNUMBER(F6214),E6214*F6214,"")</f>
        <v>679.77242797505141</v>
      </c>
      <c r="H6214" s="38">
        <f>SUM(G6214:G6219)</f>
        <v>979.87296297505145</v>
      </c>
      <c r="I6214" s="39"/>
      <c r="J6214" s="152">
        <v>0</v>
      </c>
    </row>
    <row r="6215" spans="1:10" ht="15.75" hidden="1" thickBot="1" x14ac:dyDescent="0.3">
      <c r="A6215" s="171"/>
      <c r="B6215" s="174"/>
      <c r="C6215" s="35" t="s">
        <v>862</v>
      </c>
      <c r="D6215" s="35" t="s">
        <v>583</v>
      </c>
      <c r="E6215" s="36">
        <v>1.19</v>
      </c>
      <c r="F6215" s="30">
        <v>26.799499999999998</v>
      </c>
      <c r="G6215" s="53">
        <f>IF(ISNUMBER(F6215),E6215*F6215,"")</f>
        <v>31.891404999999995</v>
      </c>
      <c r="H6215" s="43"/>
      <c r="I6215" s="39"/>
      <c r="J6215" s="152">
        <v>0</v>
      </c>
    </row>
    <row r="6216" spans="1:10" ht="15.75" hidden="1" thickBot="1" x14ac:dyDescent="0.3">
      <c r="A6216" s="171"/>
      <c r="B6216" s="174"/>
      <c r="C6216" s="35" t="s">
        <v>591</v>
      </c>
      <c r="D6216" s="35" t="s">
        <v>583</v>
      </c>
      <c r="E6216" s="36">
        <v>3.5710000000000002</v>
      </c>
      <c r="F6216" s="30">
        <v>27.160499999999999</v>
      </c>
      <c r="G6216" s="53">
        <f>IF(ISNUMBER(F6216),E6216*F6216,"")</f>
        <v>96.990145499999997</v>
      </c>
      <c r="H6216" s="43"/>
      <c r="I6216" s="39"/>
      <c r="J6216" s="152">
        <v>0</v>
      </c>
    </row>
    <row r="6217" spans="1:10" ht="15.75" hidden="1" thickBot="1" x14ac:dyDescent="0.3">
      <c r="A6217" s="171"/>
      <c r="B6217" s="174"/>
      <c r="C6217" s="35" t="s">
        <v>584</v>
      </c>
      <c r="D6217" s="35" t="s">
        <v>583</v>
      </c>
      <c r="E6217" s="36">
        <v>8.407</v>
      </c>
      <c r="F6217" s="30">
        <v>20.225499999999997</v>
      </c>
      <c r="G6217" s="53">
        <f>IF(ISNUMBER(F6217),E6217*F6217,"")</f>
        <v>170.03577849999996</v>
      </c>
      <c r="H6217" s="43"/>
      <c r="I6217" s="39"/>
      <c r="J6217" s="152">
        <v>0</v>
      </c>
    </row>
    <row r="6218" spans="1:10" ht="26.25" hidden="1" thickBot="1" x14ac:dyDescent="0.3">
      <c r="A6218" s="171"/>
      <c r="B6218" s="174"/>
      <c r="C6218" s="35" t="s">
        <v>1011</v>
      </c>
      <c r="D6218" s="35" t="s">
        <v>813</v>
      </c>
      <c r="E6218" s="36">
        <v>0.94199999999999995</v>
      </c>
      <c r="F6218" s="30">
        <v>1.1304999999999998</v>
      </c>
      <c r="G6218" s="53">
        <f>IF(ISNUMBER(F6218),E6218*F6218,"")</f>
        <v>1.0649309999999998</v>
      </c>
      <c r="H6218" s="43"/>
      <c r="I6218" s="39"/>
      <c r="J6218" s="152">
        <v>0</v>
      </c>
    </row>
    <row r="6219" spans="1:10" ht="26.25" hidden="1" thickBot="1" x14ac:dyDescent="0.3">
      <c r="A6219" s="171"/>
      <c r="B6219" s="174"/>
      <c r="C6219" s="35" t="s">
        <v>1012</v>
      </c>
      <c r="D6219" s="35" t="s">
        <v>815</v>
      </c>
      <c r="E6219" s="36">
        <v>0.249</v>
      </c>
      <c r="F6219" s="30">
        <v>0.47499999999999998</v>
      </c>
      <c r="G6219" s="53">
        <f>IF(ISNUMBER(F6219),E6219*F6219,"")</f>
        <v>0.11827499999999999</v>
      </c>
      <c r="H6219" s="43"/>
      <c r="I6219" s="39"/>
      <c r="J6219" s="152">
        <v>0</v>
      </c>
    </row>
    <row r="6220" spans="1:10" ht="15.75" hidden="1" thickBot="1" x14ac:dyDescent="0.3">
      <c r="A6220" s="172"/>
      <c r="B6220" s="175"/>
      <c r="C6220" s="35"/>
      <c r="D6220" s="35"/>
      <c r="E6220" s="36"/>
      <c r="F6220" s="30" t="s">
        <v>416</v>
      </c>
      <c r="G6220" s="53"/>
      <c r="H6220" s="43"/>
      <c r="I6220" s="39"/>
      <c r="J6220" s="152">
        <v>0</v>
      </c>
    </row>
    <row r="6221" spans="1:10" ht="15.75" hidden="1" thickBot="1" x14ac:dyDescent="0.3">
      <c r="A6221" s="170" t="s">
        <v>5387</v>
      </c>
      <c r="B6221" s="173" t="str">
        <f>INDEX(Orçamentária!A:B,MATCH(Composições!A6221,Orçamentária!A:A,0),2)</f>
        <v>Furo em concreto de até 40 mm de diâmetro</v>
      </c>
      <c r="C6221" s="40"/>
      <c r="D6221" s="25" t="s">
        <v>16</v>
      </c>
      <c r="E6221" s="26"/>
      <c r="F6221" s="48" t="s">
        <v>416</v>
      </c>
      <c r="G6221" s="27" t="str">
        <f>IF(ISNUMBER(F6221),E6221*F6221,"")</f>
        <v/>
      </c>
      <c r="H6221" s="28"/>
      <c r="I6221" s="29"/>
      <c r="J6221" s="152">
        <v>0</v>
      </c>
    </row>
    <row r="6222" spans="1:10" ht="15.75" hidden="1" thickBot="1" x14ac:dyDescent="0.3">
      <c r="A6222" s="171"/>
      <c r="B6222" s="174"/>
      <c r="C6222" s="31"/>
      <c r="D6222" s="31"/>
      <c r="E6222" s="32"/>
      <c r="F6222" s="53" t="s">
        <v>416</v>
      </c>
      <c r="G6222" s="53" t="str">
        <f>IF(ISNUMBER(F6222),E6222*F6222,"")</f>
        <v/>
      </c>
      <c r="H6222" s="72"/>
      <c r="I6222" s="73"/>
      <c r="J6222" s="152">
        <v>0</v>
      </c>
    </row>
    <row r="6223" spans="1:10" ht="26.25" hidden="1" thickBot="1" x14ac:dyDescent="0.3">
      <c r="A6223" s="171"/>
      <c r="B6223" s="174"/>
      <c r="C6223" s="35" t="s">
        <v>969</v>
      </c>
      <c r="D6223" s="35" t="s">
        <v>813</v>
      </c>
      <c r="E6223" s="36">
        <v>0.36699999999999999</v>
      </c>
      <c r="F6223" s="30">
        <v>24.6525</v>
      </c>
      <c r="G6223" s="53">
        <f>IF(ISNUMBER(F6223),E6223*F6223,"")</f>
        <v>9.0474674999999998</v>
      </c>
      <c r="H6223" s="38">
        <f>SUM(G6223:G6226)</f>
        <v>62.852104499999996</v>
      </c>
      <c r="I6223" s="39"/>
      <c r="J6223" s="152">
        <v>0</v>
      </c>
    </row>
    <row r="6224" spans="1:10" ht="26.25" hidden="1" thickBot="1" x14ac:dyDescent="0.3">
      <c r="A6224" s="171"/>
      <c r="B6224" s="174"/>
      <c r="C6224" s="35" t="s">
        <v>970</v>
      </c>
      <c r="D6224" s="35" t="s">
        <v>815</v>
      </c>
      <c r="E6224" s="36">
        <v>0.80500000000000005</v>
      </c>
      <c r="F6224" s="30">
        <v>23.008999999999997</v>
      </c>
      <c r="G6224" s="53">
        <f>IF(ISNUMBER(F6224),E6224*F6224,"")</f>
        <v>18.522244999999998</v>
      </c>
      <c r="H6224" s="43"/>
      <c r="I6224" s="39"/>
      <c r="J6224" s="152">
        <v>0</v>
      </c>
    </row>
    <row r="6225" spans="1:10" ht="26.25" hidden="1" thickBot="1" x14ac:dyDescent="0.3">
      <c r="A6225" s="171"/>
      <c r="B6225" s="174"/>
      <c r="C6225" s="35" t="s">
        <v>824</v>
      </c>
      <c r="D6225" s="35" t="s">
        <v>583</v>
      </c>
      <c r="E6225" s="36">
        <v>0.183</v>
      </c>
      <c r="F6225" s="30">
        <v>21.166</v>
      </c>
      <c r="G6225" s="53">
        <f>IF(ISNUMBER(F6225),E6225*F6225,"")</f>
        <v>3.8733779999999998</v>
      </c>
      <c r="H6225" s="43"/>
      <c r="I6225" s="39"/>
      <c r="J6225" s="152">
        <v>0</v>
      </c>
    </row>
    <row r="6226" spans="1:10" ht="26.25" hidden="1" thickBot="1" x14ac:dyDescent="0.3">
      <c r="A6226" s="171"/>
      <c r="B6226" s="174"/>
      <c r="C6226" s="35" t="s">
        <v>825</v>
      </c>
      <c r="D6226" s="35" t="s">
        <v>583</v>
      </c>
      <c r="E6226" s="36">
        <v>1.1719999999999999</v>
      </c>
      <c r="F6226" s="30">
        <v>26.799499999999998</v>
      </c>
      <c r="G6226" s="53">
        <f>IF(ISNUMBER(F6226),E6226*F6226,"")</f>
        <v>31.409013999999996</v>
      </c>
      <c r="H6226" s="43"/>
      <c r="I6226" s="39"/>
      <c r="J6226" s="152">
        <v>0</v>
      </c>
    </row>
    <row r="6227" spans="1:10" ht="15.75" hidden="1" thickBot="1" x14ac:dyDescent="0.3">
      <c r="A6227" s="172"/>
      <c r="B6227" s="175"/>
      <c r="C6227" s="35"/>
      <c r="D6227" s="35"/>
      <c r="E6227" s="36"/>
      <c r="F6227" s="30" t="s">
        <v>416</v>
      </c>
      <c r="G6227" s="53"/>
      <c r="H6227" s="43"/>
      <c r="I6227" s="39"/>
      <c r="J6227" s="152">
        <v>0</v>
      </c>
    </row>
    <row r="6228" spans="1:10" ht="15.75" hidden="1" thickBot="1" x14ac:dyDescent="0.3">
      <c r="A6228" s="170" t="s">
        <v>5388</v>
      </c>
      <c r="B6228" s="178" t="str">
        <f>INDEX(Orçamentária!A:B,MATCH(Composições!A6228,Orçamentária!A:A,0),2)</f>
        <v>Adesivo Estrutural Epóxi Bicomponente – fornecimento e aplicação</v>
      </c>
      <c r="C6228" s="40"/>
      <c r="D6228" s="25" t="s">
        <v>70</v>
      </c>
      <c r="E6228" s="26"/>
      <c r="F6228" s="48" t="s">
        <v>416</v>
      </c>
      <c r="G6228" s="27" t="str">
        <f>IF(ISNUMBER(F6228),E6228*F6228,"")</f>
        <v/>
      </c>
      <c r="H6228" s="28"/>
      <c r="I6228" s="29"/>
      <c r="J6228" s="152">
        <v>0</v>
      </c>
    </row>
    <row r="6229" spans="1:10" ht="15.75" hidden="1" thickBot="1" x14ac:dyDescent="0.3">
      <c r="A6229" s="171"/>
      <c r="B6229" s="179"/>
      <c r="C6229" s="31"/>
      <c r="D6229" s="31"/>
      <c r="E6229" s="32"/>
      <c r="F6229" s="53" t="s">
        <v>416</v>
      </c>
      <c r="G6229" s="53" t="str">
        <f>IF(ISNUMBER(F6229),E6229*F6229,"")</f>
        <v/>
      </c>
      <c r="H6229" s="72"/>
      <c r="I6229" s="73"/>
      <c r="J6229" s="152">
        <v>0</v>
      </c>
    </row>
    <row r="6230" spans="1:10" ht="15.75" hidden="1" thickBot="1" x14ac:dyDescent="0.3">
      <c r="A6230" s="171"/>
      <c r="B6230" s="179"/>
      <c r="C6230" s="35" t="s">
        <v>591</v>
      </c>
      <c r="D6230" s="35" t="s">
        <v>583</v>
      </c>
      <c r="E6230" s="36">
        <v>0.2</v>
      </c>
      <c r="F6230" s="30">
        <v>27.160499999999999</v>
      </c>
      <c r="G6230" s="53">
        <f>IF(ISNUMBER(F6230),E6230*F6230,"")</f>
        <v>5.4321000000000002</v>
      </c>
      <c r="H6230" s="38">
        <f>SUM(G6230:G6232)</f>
        <v>70.590699999999998</v>
      </c>
      <c r="I6230" s="39"/>
      <c r="J6230" s="152">
        <v>0</v>
      </c>
    </row>
    <row r="6231" spans="1:10" ht="15.75" hidden="1" thickBot="1" x14ac:dyDescent="0.3">
      <c r="A6231" s="171"/>
      <c r="B6231" s="179"/>
      <c r="C6231" s="35" t="s">
        <v>584</v>
      </c>
      <c r="D6231" s="35" t="s">
        <v>583</v>
      </c>
      <c r="E6231" s="36">
        <v>0.2</v>
      </c>
      <c r="F6231" s="30">
        <v>20.225499999999997</v>
      </c>
      <c r="G6231" s="53">
        <f>IF(ISNUMBER(F6231),E6231*F6231,"")</f>
        <v>4.0450999999999997</v>
      </c>
      <c r="H6231" s="43"/>
      <c r="I6231" s="39"/>
      <c r="J6231" s="152">
        <v>0</v>
      </c>
    </row>
    <row r="6232" spans="1:10" ht="26.25" hidden="1" thickBot="1" x14ac:dyDescent="0.3">
      <c r="A6232" s="171"/>
      <c r="B6232" s="179"/>
      <c r="C6232" s="35" t="s">
        <v>2921</v>
      </c>
      <c r="D6232" s="35" t="s">
        <v>773</v>
      </c>
      <c r="E6232" s="36">
        <v>1</v>
      </c>
      <c r="F6232" s="30">
        <v>61.113499999999995</v>
      </c>
      <c r="G6232" s="53">
        <f>IF(ISNUMBER(F6232),E6232*F6232,"")</f>
        <v>61.113499999999995</v>
      </c>
      <c r="H6232" s="43"/>
      <c r="I6232" s="39"/>
      <c r="J6232" s="152">
        <v>0</v>
      </c>
    </row>
    <row r="6233" spans="1:10" ht="15.75" hidden="1" thickBot="1" x14ac:dyDescent="0.3">
      <c r="A6233" s="172"/>
      <c r="B6233" s="180"/>
      <c r="C6233" s="35"/>
      <c r="D6233" s="35"/>
      <c r="E6233" s="36"/>
      <c r="F6233" s="30" t="s">
        <v>416</v>
      </c>
      <c r="G6233" s="53"/>
      <c r="H6233" s="43"/>
      <c r="I6233" s="39"/>
      <c r="J6233" s="152">
        <v>0</v>
      </c>
    </row>
    <row r="6234" spans="1:10" ht="15.75" hidden="1" thickBot="1" x14ac:dyDescent="0.3">
      <c r="A6234" s="170" t="s">
        <v>5389</v>
      </c>
      <c r="B6234" s="173" t="str">
        <f>INDEX(Orçamentária!A:B,MATCH(Composições!A6234,Orçamentária!A:A,0),2)</f>
        <v>Estaca escavada manualmente de diâmetro 30 cm</v>
      </c>
      <c r="C6234" s="40"/>
      <c r="D6234" s="25" t="s">
        <v>69</v>
      </c>
      <c r="E6234" s="26"/>
      <c r="F6234" s="48" t="s">
        <v>416</v>
      </c>
      <c r="G6234" s="27" t="str">
        <f>IF(ISNUMBER(F6234),E6234*F6234,"")</f>
        <v/>
      </c>
      <c r="H6234" s="28"/>
      <c r="I6234" s="29"/>
      <c r="J6234" s="152">
        <v>0</v>
      </c>
    </row>
    <row r="6235" spans="1:10" ht="15.75" hidden="1" thickBot="1" x14ac:dyDescent="0.3">
      <c r="A6235" s="171"/>
      <c r="B6235" s="174"/>
      <c r="C6235" s="31"/>
      <c r="D6235" s="31"/>
      <c r="E6235" s="32"/>
      <c r="F6235" s="53" t="s">
        <v>416</v>
      </c>
      <c r="G6235" s="53" t="str">
        <f>IF(ISNUMBER(F6235),E6235*F6235,"")</f>
        <v/>
      </c>
      <c r="H6235" s="72"/>
      <c r="I6235" s="73"/>
      <c r="J6235" s="152">
        <v>0</v>
      </c>
    </row>
    <row r="6236" spans="1:10" ht="15.75" hidden="1" thickBot="1" x14ac:dyDescent="0.3">
      <c r="A6236" s="171"/>
      <c r="B6236" s="174"/>
      <c r="C6236" s="35" t="s">
        <v>591</v>
      </c>
      <c r="D6236" s="35" t="s">
        <v>583</v>
      </c>
      <c r="E6236" s="36">
        <v>1.103</v>
      </c>
      <c r="F6236" s="30">
        <v>27.160499999999999</v>
      </c>
      <c r="G6236" s="53">
        <f>IF(ISNUMBER(F6236),E6236*F6236,"")</f>
        <v>29.958031499999997</v>
      </c>
      <c r="H6236" s="38">
        <f>SUM(G6236:G6239)</f>
        <v>129.42123474955432</v>
      </c>
      <c r="I6236" s="39"/>
      <c r="J6236" s="152">
        <v>0</v>
      </c>
    </row>
    <row r="6237" spans="1:10" ht="15.75" hidden="1" thickBot="1" x14ac:dyDescent="0.3">
      <c r="A6237" s="171"/>
      <c r="B6237" s="174"/>
      <c r="C6237" s="35" t="s">
        <v>584</v>
      </c>
      <c r="D6237" s="35" t="s">
        <v>583</v>
      </c>
      <c r="E6237" s="36">
        <v>1.33</v>
      </c>
      <c r="F6237" s="30">
        <v>20.225499999999997</v>
      </c>
      <c r="G6237" s="53">
        <f>IF(ISNUMBER(F6237),E6237*F6237,"")</f>
        <v>26.899914999999996</v>
      </c>
      <c r="H6237" s="43"/>
      <c r="I6237" s="39"/>
      <c r="J6237" s="152">
        <v>0</v>
      </c>
    </row>
    <row r="6238" spans="1:10" ht="15.75" hidden="1" thickBot="1" x14ac:dyDescent="0.3">
      <c r="A6238" s="171"/>
      <c r="B6238" s="174"/>
      <c r="C6238" s="35" t="s">
        <v>6818</v>
      </c>
      <c r="D6238" s="35" t="s">
        <v>773</v>
      </c>
      <c r="E6238" s="36">
        <v>2.1230000000000002</v>
      </c>
      <c r="F6238" s="30">
        <v>9.2143160000000019</v>
      </c>
      <c r="G6238" s="53">
        <f>IF(ISNUMBER(F6238),E6238*F6238,"")</f>
        <v>19.561992868000008</v>
      </c>
      <c r="H6238" s="43"/>
      <c r="I6238" s="39"/>
      <c r="J6238" s="152">
        <v>0</v>
      </c>
    </row>
    <row r="6239" spans="1:10" ht="39" hidden="1" thickBot="1" x14ac:dyDescent="0.3">
      <c r="A6239" s="171"/>
      <c r="B6239" s="174"/>
      <c r="C6239" s="35" t="s">
        <v>5737</v>
      </c>
      <c r="D6239" s="35" t="s">
        <v>87</v>
      </c>
      <c r="E6239" s="36">
        <v>8.5999999999999993E-2</v>
      </c>
      <c r="F6239" s="30">
        <v>616.29413234365495</v>
      </c>
      <c r="G6239" s="53">
        <f>IF(ISNUMBER(F6239),E6239*F6239,"")</f>
        <v>53.001295381554321</v>
      </c>
      <c r="H6239" s="43"/>
      <c r="I6239" s="39"/>
      <c r="J6239" s="152">
        <v>0</v>
      </c>
    </row>
    <row r="6240" spans="1:10" ht="15.75" hidden="1" thickBot="1" x14ac:dyDescent="0.3">
      <c r="A6240" s="172"/>
      <c r="B6240" s="175"/>
      <c r="C6240" s="35"/>
      <c r="D6240" s="35"/>
      <c r="E6240" s="36"/>
      <c r="F6240" s="30" t="s">
        <v>416</v>
      </c>
      <c r="G6240" s="53"/>
      <c r="H6240" s="43"/>
      <c r="I6240" s="39"/>
      <c r="J6240" s="152">
        <v>0</v>
      </c>
    </row>
    <row r="6241" spans="1:10" ht="15.75" hidden="1" thickBot="1" x14ac:dyDescent="0.3">
      <c r="A6241" s="170" t="s">
        <v>5390</v>
      </c>
      <c r="B6241" s="173" t="str">
        <f>INDEX(Orçamentária!A:B,MATCH(Composições!A6241,Orçamentária!A:A,0),2)</f>
        <v>Arrasamento mecânico de estacas de concreto armado com diâmetros de até 40 cm</v>
      </c>
      <c r="C6241" s="40"/>
      <c r="D6241" s="25" t="s">
        <v>16</v>
      </c>
      <c r="E6241" s="26"/>
      <c r="F6241" s="48" t="s">
        <v>416</v>
      </c>
      <c r="G6241" s="27" t="str">
        <f>IF(ISNUMBER(F6241),E6241*F6241,"")</f>
        <v/>
      </c>
      <c r="H6241" s="28"/>
      <c r="I6241" s="29"/>
      <c r="J6241" s="152">
        <v>0</v>
      </c>
    </row>
    <row r="6242" spans="1:10" ht="15.75" hidden="1" thickBot="1" x14ac:dyDescent="0.3">
      <c r="A6242" s="171"/>
      <c r="B6242" s="174"/>
      <c r="C6242" s="31"/>
      <c r="D6242" s="31"/>
      <c r="E6242" s="32"/>
      <c r="F6242" s="53" t="s">
        <v>416</v>
      </c>
      <c r="G6242" s="53" t="str">
        <f>IF(ISNUMBER(F6242),E6242*F6242,"")</f>
        <v/>
      </c>
      <c r="H6242" s="72"/>
      <c r="I6242" s="73"/>
      <c r="J6242" s="152">
        <v>0</v>
      </c>
    </row>
    <row r="6243" spans="1:10" ht="15.75" hidden="1" thickBot="1" x14ac:dyDescent="0.3">
      <c r="A6243" s="171"/>
      <c r="B6243" s="174"/>
      <c r="C6243" s="35" t="s">
        <v>584</v>
      </c>
      <c r="D6243" s="35" t="s">
        <v>583</v>
      </c>
      <c r="E6243" s="36">
        <v>0.36299999999999999</v>
      </c>
      <c r="F6243" s="30">
        <v>20.225499999999997</v>
      </c>
      <c r="G6243" s="53">
        <f>IF(ISNUMBER(F6243),E6243*F6243,"")</f>
        <v>7.3418564999999987</v>
      </c>
      <c r="H6243" s="38">
        <f>SUM(G6243:G6245)</f>
        <v>15.682783349999999</v>
      </c>
      <c r="I6243" s="39"/>
      <c r="J6243" s="152">
        <v>0</v>
      </c>
    </row>
    <row r="6244" spans="1:10" ht="26.25" hidden="1" thickBot="1" x14ac:dyDescent="0.3">
      <c r="A6244" s="171"/>
      <c r="B6244" s="174"/>
      <c r="C6244" s="35" t="s">
        <v>3264</v>
      </c>
      <c r="D6244" s="35" t="s">
        <v>815</v>
      </c>
      <c r="E6244" s="36">
        <v>0.20030000000000001</v>
      </c>
      <c r="F6244" s="30">
        <v>22.172999999999998</v>
      </c>
      <c r="G6244" s="53">
        <f>IF(ISNUMBER(F6244),E6244*F6244,"")</f>
        <v>4.4412519000000001</v>
      </c>
      <c r="H6244" s="43"/>
      <c r="I6244" s="39"/>
      <c r="J6244" s="152">
        <v>0</v>
      </c>
    </row>
    <row r="6245" spans="1:10" ht="26.25" hidden="1" thickBot="1" x14ac:dyDescent="0.3">
      <c r="A6245" s="171"/>
      <c r="B6245" s="174"/>
      <c r="C6245" s="35" t="s">
        <v>3263</v>
      </c>
      <c r="D6245" s="35" t="s">
        <v>813</v>
      </c>
      <c r="E6245" s="36">
        <v>0.16270000000000001</v>
      </c>
      <c r="F6245" s="30">
        <v>23.968499999999999</v>
      </c>
      <c r="G6245" s="53">
        <f>IF(ISNUMBER(F6245),E6245*F6245,"")</f>
        <v>3.8996749500000001</v>
      </c>
      <c r="H6245" s="43"/>
      <c r="I6245" s="39"/>
      <c r="J6245" s="152">
        <v>0</v>
      </c>
    </row>
    <row r="6246" spans="1:10" ht="15.75" hidden="1" thickBot="1" x14ac:dyDescent="0.3">
      <c r="A6246" s="172"/>
      <c r="B6246" s="175"/>
      <c r="C6246" s="35"/>
      <c r="D6246" s="35"/>
      <c r="E6246" s="36"/>
      <c r="F6246" s="30" t="s">
        <v>416</v>
      </c>
      <c r="G6246" s="53"/>
      <c r="H6246" s="43"/>
      <c r="I6246" s="39"/>
      <c r="J6246" s="152">
        <v>0</v>
      </c>
    </row>
    <row r="6247" spans="1:10" ht="15.75" hidden="1" thickBot="1" x14ac:dyDescent="0.3">
      <c r="A6247" s="170" t="s">
        <v>5391</v>
      </c>
      <c r="B6247" s="173" t="str">
        <f>INDEX(Orçamentária!A:B,MATCH(Composições!A6247,Orçamentária!A:A,0),2)</f>
        <v>Quadro 400x300x200 mm – fornecimento e instalação</v>
      </c>
      <c r="C6247" s="40"/>
      <c r="D6247" s="25" t="s">
        <v>16</v>
      </c>
      <c r="E6247" s="26"/>
      <c r="F6247" s="48" t="s">
        <v>416</v>
      </c>
      <c r="G6247" s="27" t="str">
        <f>IF(ISNUMBER(F6247),E6247*F6247,"")</f>
        <v/>
      </c>
      <c r="H6247" s="28"/>
      <c r="I6247" s="29"/>
      <c r="J6247" s="152">
        <v>0</v>
      </c>
    </row>
    <row r="6248" spans="1:10" ht="15.75" hidden="1" thickBot="1" x14ac:dyDescent="0.3">
      <c r="A6248" s="171"/>
      <c r="B6248" s="174"/>
      <c r="C6248" s="31"/>
      <c r="D6248" s="31"/>
      <c r="E6248" s="32"/>
      <c r="F6248" s="53" t="s">
        <v>416</v>
      </c>
      <c r="G6248" s="53" t="str">
        <f>IF(ISNUMBER(F6248),E6248*F6248,"")</f>
        <v/>
      </c>
      <c r="H6248" s="72"/>
      <c r="I6248" s="73"/>
      <c r="J6248" s="152">
        <v>0</v>
      </c>
    </row>
    <row r="6249" spans="1:10" ht="39" hidden="1" thickBot="1" x14ac:dyDescent="0.3">
      <c r="A6249" s="171"/>
      <c r="B6249" s="174"/>
      <c r="C6249" s="35" t="s">
        <v>2939</v>
      </c>
      <c r="D6249" s="35" t="s">
        <v>213</v>
      </c>
      <c r="E6249" s="36">
        <v>1</v>
      </c>
      <c r="F6249" s="30" t="s">
        <v>416</v>
      </c>
      <c r="G6249" s="53" t="str">
        <f>IF(ISNUMBER(F6249),E6249*F6249,"")</f>
        <v/>
      </c>
      <c r="H6249" s="38">
        <f>SUM(G6249:G6251)</f>
        <v>75.279962699999999</v>
      </c>
      <c r="I6249" s="39"/>
      <c r="J6249" s="152">
        <v>0</v>
      </c>
    </row>
    <row r="6250" spans="1:10" ht="15.75" hidden="1" thickBot="1" x14ac:dyDescent="0.3">
      <c r="A6250" s="171"/>
      <c r="B6250" s="174"/>
      <c r="C6250" s="35" t="s">
        <v>1017</v>
      </c>
      <c r="D6250" s="35" t="s">
        <v>583</v>
      </c>
      <c r="E6250" s="36">
        <v>1.5233000000000001</v>
      </c>
      <c r="F6250" s="30">
        <v>21.584</v>
      </c>
      <c r="G6250" s="53">
        <f>IF(ISNUMBER(F6250),E6250*F6250,"")</f>
        <v>32.8789072</v>
      </c>
      <c r="H6250" s="43"/>
      <c r="I6250" s="39"/>
      <c r="J6250" s="152">
        <v>0</v>
      </c>
    </row>
    <row r="6251" spans="1:10" ht="15.75" hidden="1" thickBot="1" x14ac:dyDescent="0.3">
      <c r="A6251" s="171"/>
      <c r="B6251" s="174"/>
      <c r="C6251" s="35" t="s">
        <v>1018</v>
      </c>
      <c r="D6251" s="35" t="s">
        <v>583</v>
      </c>
      <c r="E6251" s="36">
        <v>1.5233000000000001</v>
      </c>
      <c r="F6251" s="30">
        <v>27.835000000000001</v>
      </c>
      <c r="G6251" s="53">
        <f>IF(ISNUMBER(F6251),E6251*F6251,"")</f>
        <v>42.401055500000005</v>
      </c>
      <c r="H6251" s="43"/>
      <c r="I6251" s="39"/>
      <c r="J6251" s="152">
        <v>0</v>
      </c>
    </row>
    <row r="6252" spans="1:10" ht="15.75" hidden="1" thickBot="1" x14ac:dyDescent="0.3">
      <c r="A6252" s="172"/>
      <c r="B6252" s="175"/>
      <c r="C6252" s="35"/>
      <c r="D6252" s="35"/>
      <c r="E6252" s="36"/>
      <c r="F6252" s="30" t="s">
        <v>416</v>
      </c>
      <c r="G6252" s="53"/>
      <c r="H6252" s="43"/>
      <c r="I6252" s="39"/>
      <c r="J6252" s="152">
        <v>0</v>
      </c>
    </row>
    <row r="6253" spans="1:10" ht="15.75" hidden="1" thickBot="1" x14ac:dyDescent="0.3">
      <c r="A6253" s="170" t="s">
        <v>5392</v>
      </c>
      <c r="B6253" s="173" t="str">
        <f>INDEX(Orçamentária!A:B,MATCH(Composições!A6253,Orçamentária!A:A,0),2)</f>
        <v>Concreto Usinado, fck = 25 MPa</v>
      </c>
      <c r="C6253" s="40"/>
      <c r="D6253" s="25" t="s">
        <v>80</v>
      </c>
      <c r="E6253" s="26"/>
      <c r="F6253" s="48" t="s">
        <v>416</v>
      </c>
      <c r="G6253" s="27" t="str">
        <f>IF(ISNUMBER(F6253),E6253*F6253,"")</f>
        <v/>
      </c>
      <c r="H6253" s="28"/>
      <c r="I6253" s="29"/>
      <c r="J6253" s="152">
        <v>0</v>
      </c>
    </row>
    <row r="6254" spans="1:10" ht="15.75" hidden="1" thickBot="1" x14ac:dyDescent="0.3">
      <c r="A6254" s="171"/>
      <c r="B6254" s="174"/>
      <c r="C6254" s="31"/>
      <c r="D6254" s="31"/>
      <c r="E6254" s="32"/>
      <c r="F6254" s="53" t="s">
        <v>416</v>
      </c>
      <c r="G6254" s="53" t="str">
        <f>IF(ISNUMBER(F6254),E6254*F6254,"")</f>
        <v/>
      </c>
      <c r="H6254" s="72"/>
      <c r="I6254" s="73"/>
      <c r="J6254" s="152">
        <v>0</v>
      </c>
    </row>
    <row r="6255" spans="1:10" ht="39" hidden="1" thickBot="1" x14ac:dyDescent="0.3">
      <c r="A6255" s="171"/>
      <c r="B6255" s="174"/>
      <c r="C6255" s="35" t="s">
        <v>8068</v>
      </c>
      <c r="D6255" s="35" t="s">
        <v>87</v>
      </c>
      <c r="E6255" s="36">
        <v>1.103</v>
      </c>
      <c r="F6255" s="30">
        <v>464.54050000000001</v>
      </c>
      <c r="G6255" s="53">
        <f>IF(ISNUMBER(F6255),E6255*F6255,"")</f>
        <v>512.3881715</v>
      </c>
      <c r="H6255" s="38">
        <f>SUM(G6255:G6260)</f>
        <v>553.09411350000005</v>
      </c>
      <c r="I6255" s="39"/>
      <c r="J6255" s="152">
        <v>0</v>
      </c>
    </row>
    <row r="6256" spans="1:10" ht="15.75" hidden="1" thickBot="1" x14ac:dyDescent="0.3">
      <c r="A6256" s="171"/>
      <c r="B6256" s="174"/>
      <c r="C6256" s="35" t="s">
        <v>862</v>
      </c>
      <c r="D6256" s="35" t="s">
        <v>583</v>
      </c>
      <c r="E6256" s="36">
        <v>0.125</v>
      </c>
      <c r="F6256" s="30">
        <v>26.799499999999998</v>
      </c>
      <c r="G6256" s="53">
        <f>IF(ISNUMBER(F6256),E6256*F6256,"")</f>
        <v>3.3499374999999998</v>
      </c>
      <c r="H6256" s="43"/>
      <c r="I6256" s="39"/>
      <c r="J6256" s="152">
        <v>0</v>
      </c>
    </row>
    <row r="6257" spans="1:10" ht="15.75" hidden="1" thickBot="1" x14ac:dyDescent="0.3">
      <c r="A6257" s="171"/>
      <c r="B6257" s="174"/>
      <c r="C6257" s="35" t="s">
        <v>591</v>
      </c>
      <c r="D6257" s="35" t="s">
        <v>583</v>
      </c>
      <c r="E6257" s="36">
        <v>0.753</v>
      </c>
      <c r="F6257" s="30">
        <v>27.160499999999999</v>
      </c>
      <c r="G6257" s="53">
        <f>IF(ISNUMBER(F6257),E6257*F6257,"")</f>
        <v>20.451856499999998</v>
      </c>
      <c r="H6257" s="43"/>
      <c r="I6257" s="39"/>
      <c r="J6257" s="152">
        <v>0</v>
      </c>
    </row>
    <row r="6258" spans="1:10" ht="15.75" hidden="1" thickBot="1" x14ac:dyDescent="0.3">
      <c r="A6258" s="171"/>
      <c r="B6258" s="174"/>
      <c r="C6258" s="35" t="s">
        <v>584</v>
      </c>
      <c r="D6258" s="35" t="s">
        <v>583</v>
      </c>
      <c r="E6258" s="36">
        <v>0.82599999999999996</v>
      </c>
      <c r="F6258" s="30">
        <v>20.225499999999997</v>
      </c>
      <c r="G6258" s="53">
        <f>IF(ISNUMBER(F6258),E6258*F6258,"")</f>
        <v>16.706262999999996</v>
      </c>
      <c r="H6258" s="43"/>
      <c r="I6258" s="39"/>
      <c r="J6258" s="152">
        <v>0</v>
      </c>
    </row>
    <row r="6259" spans="1:10" ht="26.25" hidden="1" thickBot="1" x14ac:dyDescent="0.3">
      <c r="A6259" s="171"/>
      <c r="B6259" s="174"/>
      <c r="C6259" s="35" t="s">
        <v>1011</v>
      </c>
      <c r="D6259" s="35" t="s">
        <v>813</v>
      </c>
      <c r="E6259" s="36">
        <v>0.12</v>
      </c>
      <c r="F6259" s="30">
        <v>1.1304999999999998</v>
      </c>
      <c r="G6259" s="53">
        <f>IF(ISNUMBER(F6259),E6259*F6259,"")</f>
        <v>0.13565999999999998</v>
      </c>
      <c r="H6259" s="43"/>
      <c r="I6259" s="39"/>
      <c r="J6259" s="152">
        <v>0</v>
      </c>
    </row>
    <row r="6260" spans="1:10" ht="26.25" hidden="1" thickBot="1" x14ac:dyDescent="0.3">
      <c r="A6260" s="171"/>
      <c r="B6260" s="174"/>
      <c r="C6260" s="35" t="s">
        <v>1012</v>
      </c>
      <c r="D6260" s="35" t="s">
        <v>815</v>
      </c>
      <c r="E6260" s="36">
        <v>0.13100000000000001</v>
      </c>
      <c r="F6260" s="30">
        <v>0.47499999999999998</v>
      </c>
      <c r="G6260" s="53">
        <f>IF(ISNUMBER(F6260),E6260*F6260,"")</f>
        <v>6.2225000000000003E-2</v>
      </c>
      <c r="H6260" s="43"/>
      <c r="I6260" s="39"/>
      <c r="J6260" s="152">
        <v>0</v>
      </c>
    </row>
    <row r="6261" spans="1:10" ht="15.75" hidden="1" thickBot="1" x14ac:dyDescent="0.3">
      <c r="A6261" s="172"/>
      <c r="B6261" s="175"/>
      <c r="C6261" s="35"/>
      <c r="D6261" s="35"/>
      <c r="E6261" s="36"/>
      <c r="F6261" s="30" t="s">
        <v>416</v>
      </c>
      <c r="G6261" s="53"/>
      <c r="H6261" s="43"/>
      <c r="I6261" s="39"/>
      <c r="J6261" s="152">
        <v>0</v>
      </c>
    </row>
    <row r="6262" spans="1:10" ht="15.75" hidden="1" thickBot="1" x14ac:dyDescent="0.3">
      <c r="A6262" s="170" t="s">
        <v>5393</v>
      </c>
      <c r="B6262" s="173" t="str">
        <f>INDEX(Orçamentária!A:B,MATCH(Composições!A6262,Orçamentária!A:A,0),2)</f>
        <v>Estaca escavada mecanicamente - 40 cm de diâmetro</v>
      </c>
      <c r="C6262" s="40"/>
      <c r="D6262" s="25" t="s">
        <v>69</v>
      </c>
      <c r="E6262" s="26"/>
      <c r="F6262" s="48" t="s">
        <v>416</v>
      </c>
      <c r="G6262" s="27" t="str">
        <f>IF(ISNUMBER(F6262),E6262*F6262,"")</f>
        <v/>
      </c>
      <c r="H6262" s="28"/>
      <c r="I6262" s="29"/>
      <c r="J6262" s="152">
        <v>0</v>
      </c>
    </row>
    <row r="6263" spans="1:10" ht="15.75" hidden="1" thickBot="1" x14ac:dyDescent="0.3">
      <c r="A6263" s="171"/>
      <c r="B6263" s="174"/>
      <c r="C6263" s="31"/>
      <c r="D6263" s="31"/>
      <c r="E6263" s="32"/>
      <c r="F6263" s="53" t="s">
        <v>416</v>
      </c>
      <c r="G6263" s="53" t="str">
        <f>IF(ISNUMBER(F6263),E6263*F6263,"")</f>
        <v/>
      </c>
      <c r="H6263" s="72"/>
      <c r="I6263" s="73"/>
      <c r="J6263" s="152">
        <v>0</v>
      </c>
    </row>
    <row r="6264" spans="1:10" ht="39" hidden="1" thickBot="1" x14ac:dyDescent="0.3">
      <c r="A6264" s="171"/>
      <c r="B6264" s="174"/>
      <c r="C6264" s="35" t="s">
        <v>8069</v>
      </c>
      <c r="D6264" s="35" t="s">
        <v>87</v>
      </c>
      <c r="E6264" s="36">
        <v>0.1426</v>
      </c>
      <c r="F6264" s="30">
        <v>445.303</v>
      </c>
      <c r="G6264" s="53">
        <f>IF(ISNUMBER(F6264),E6264*F6264,"")</f>
        <v>63.500207799999998</v>
      </c>
      <c r="H6264" s="38">
        <f>SUM(G6264:G6271)</f>
        <v>107.283590355545</v>
      </c>
      <c r="I6264" s="39"/>
      <c r="J6264" s="152">
        <v>0</v>
      </c>
    </row>
    <row r="6265" spans="1:10" ht="15.75" hidden="1" thickBot="1" x14ac:dyDescent="0.3">
      <c r="A6265" s="171"/>
      <c r="B6265" s="174"/>
      <c r="C6265" s="35" t="s">
        <v>584</v>
      </c>
      <c r="D6265" s="35" t="s">
        <v>583</v>
      </c>
      <c r="E6265" s="36">
        <v>0.27950000000000003</v>
      </c>
      <c r="F6265" s="30">
        <v>20.225499999999997</v>
      </c>
      <c r="G6265" s="53">
        <f>IF(ISNUMBER(F6265),E6265*F6265,"")</f>
        <v>5.6530272499999992</v>
      </c>
      <c r="H6265" s="43"/>
      <c r="I6265" s="39"/>
      <c r="J6265" s="152">
        <v>0</v>
      </c>
    </row>
    <row r="6266" spans="1:10" ht="51.75" hidden="1" thickBot="1" x14ac:dyDescent="0.3">
      <c r="A6266" s="171"/>
      <c r="B6266" s="174"/>
      <c r="C6266" s="35" t="s">
        <v>2867</v>
      </c>
      <c r="D6266" s="35" t="s">
        <v>813</v>
      </c>
      <c r="E6266" s="36">
        <v>3.4200000000000001E-2</v>
      </c>
      <c r="F6266" s="30">
        <v>379.85750000000002</v>
      </c>
      <c r="G6266" s="53">
        <f>IF(ISNUMBER(F6266),E6266*F6266,"")</f>
        <v>12.991126500000002</v>
      </c>
      <c r="H6266" s="43"/>
      <c r="I6266" s="39"/>
      <c r="J6266" s="152">
        <v>0</v>
      </c>
    </row>
    <row r="6267" spans="1:10" ht="51.75" hidden="1" thickBot="1" x14ac:dyDescent="0.3">
      <c r="A6267" s="171"/>
      <c r="B6267" s="174"/>
      <c r="C6267" s="35" t="s">
        <v>2874</v>
      </c>
      <c r="D6267" s="35" t="s">
        <v>815</v>
      </c>
      <c r="E6267" s="36">
        <v>6.1199999999999997E-2</v>
      </c>
      <c r="F6267" s="30">
        <v>150.85049999999998</v>
      </c>
      <c r="G6267" s="53">
        <f>IF(ISNUMBER(F6267),E6267*F6267,"")</f>
        <v>9.2320505999999991</v>
      </c>
      <c r="H6267" s="43"/>
      <c r="I6267" s="39"/>
      <c r="J6267" s="152">
        <v>0</v>
      </c>
    </row>
    <row r="6268" spans="1:10" ht="26.25" hidden="1" thickBot="1" x14ac:dyDescent="0.3">
      <c r="A6268" s="171"/>
      <c r="B6268" s="174"/>
      <c r="C6268" s="35" t="s">
        <v>654</v>
      </c>
      <c r="D6268" s="35" t="s">
        <v>583</v>
      </c>
      <c r="E6268" s="36">
        <v>6.4000000000000003E-3</v>
      </c>
      <c r="F6268" s="30">
        <v>118.2085</v>
      </c>
      <c r="G6268" s="53">
        <f>IF(ISNUMBER(F6268),E6268*F6268,"")</f>
        <v>0.75653440000000005</v>
      </c>
      <c r="H6268" s="43"/>
      <c r="I6268" s="39"/>
      <c r="J6268" s="152">
        <v>0</v>
      </c>
    </row>
    <row r="6269" spans="1:10" ht="26.25" hidden="1" thickBot="1" x14ac:dyDescent="0.3">
      <c r="A6269" s="171"/>
      <c r="B6269" s="174"/>
      <c r="C6269" s="35" t="s">
        <v>5776</v>
      </c>
      <c r="D6269" s="35" t="s">
        <v>773</v>
      </c>
      <c r="E6269" s="36">
        <v>1.3913</v>
      </c>
      <c r="F6269" s="30">
        <v>9.8852772500000015</v>
      </c>
      <c r="G6269" s="53">
        <f>IF(ISNUMBER(F6269),E6269*F6269,"")</f>
        <v>13.753386237925001</v>
      </c>
      <c r="H6269" s="43"/>
      <c r="I6269" s="39"/>
      <c r="J6269" s="152">
        <v>0</v>
      </c>
    </row>
    <row r="6270" spans="1:10" ht="39" hidden="1" thickBot="1" x14ac:dyDescent="0.3">
      <c r="A6270" s="171"/>
      <c r="B6270" s="174"/>
      <c r="C6270" s="35" t="s">
        <v>3067</v>
      </c>
      <c r="D6270" s="35" t="s">
        <v>1269</v>
      </c>
      <c r="E6270" s="36">
        <v>5.2400000000000002E-2</v>
      </c>
      <c r="F6270" s="30">
        <v>2.9030698500000001</v>
      </c>
      <c r="G6270" s="53">
        <f>IF(ISNUMBER(F6270),E6270*F6270,"")</f>
        <v>0.15212086014000001</v>
      </c>
      <c r="H6270" s="43"/>
      <c r="I6270" s="39"/>
      <c r="J6270" s="152">
        <v>0</v>
      </c>
    </row>
    <row r="6271" spans="1:10" ht="51.75" hidden="1" thickBot="1" x14ac:dyDescent="0.3">
      <c r="A6271" s="171"/>
      <c r="B6271" s="174"/>
      <c r="C6271" s="35" t="s">
        <v>3071</v>
      </c>
      <c r="D6271" s="35" t="s">
        <v>87</v>
      </c>
      <c r="E6271" s="36">
        <v>0.15709999999999999</v>
      </c>
      <c r="F6271" s="30">
        <v>7.9257587999999988</v>
      </c>
      <c r="G6271" s="53">
        <f>IF(ISNUMBER(F6271),E6271*F6271,"")</f>
        <v>1.2451367074799997</v>
      </c>
      <c r="H6271" s="43"/>
      <c r="I6271" s="39"/>
      <c r="J6271" s="152">
        <v>0</v>
      </c>
    </row>
    <row r="6272" spans="1:10" ht="15.75" hidden="1" thickBot="1" x14ac:dyDescent="0.3">
      <c r="A6272" s="172"/>
      <c r="B6272" s="175"/>
      <c r="C6272" s="35"/>
      <c r="D6272" s="35"/>
      <c r="E6272" s="36"/>
      <c r="F6272" s="30" t="s">
        <v>416</v>
      </c>
      <c r="G6272" s="53"/>
      <c r="H6272" s="43"/>
      <c r="I6272" s="39"/>
      <c r="J6272" s="152">
        <v>0</v>
      </c>
    </row>
    <row r="6273" spans="1:10" ht="15.75" hidden="1" thickBot="1" x14ac:dyDescent="0.3">
      <c r="A6273" s="170" t="s">
        <v>5395</v>
      </c>
      <c r="B6273" s="173" t="str">
        <f>INDEX(Orçamentária!A:B,MATCH(Composições!A6273,Orçamentária!A:A,0),2)</f>
        <v>Armação de aço CA-60 bitolas de 5,0 mm a 8,00 mm</v>
      </c>
      <c r="C6273" s="40"/>
      <c r="D6273" s="25" t="s">
        <v>28</v>
      </c>
      <c r="E6273" s="26"/>
      <c r="F6273" s="48" t="s">
        <v>416</v>
      </c>
      <c r="G6273" s="27" t="str">
        <f>IF(ISNUMBER(F6273),E6273*F6273,"")</f>
        <v/>
      </c>
      <c r="H6273" s="28"/>
      <c r="I6273" s="29"/>
      <c r="J6273" s="152">
        <v>0</v>
      </c>
    </row>
    <row r="6274" spans="1:10" ht="15.75" hidden="1" thickBot="1" x14ac:dyDescent="0.3">
      <c r="A6274" s="171"/>
      <c r="B6274" s="174"/>
      <c r="C6274" s="31"/>
      <c r="D6274" s="31"/>
      <c r="E6274" s="32"/>
      <c r="F6274" s="53" t="s">
        <v>416</v>
      </c>
      <c r="G6274" s="53" t="str">
        <f>IF(ISNUMBER(F6274),E6274*F6274,"")</f>
        <v/>
      </c>
      <c r="H6274" s="72"/>
      <c r="I6274" s="73"/>
      <c r="J6274" s="152">
        <v>0</v>
      </c>
    </row>
    <row r="6275" spans="1:10" ht="39" hidden="1" thickBot="1" x14ac:dyDescent="0.3">
      <c r="A6275" s="171"/>
      <c r="B6275" s="174"/>
      <c r="C6275" s="35" t="s">
        <v>774</v>
      </c>
      <c r="D6275" s="35" t="s">
        <v>213</v>
      </c>
      <c r="E6275" s="36">
        <v>1.19</v>
      </c>
      <c r="F6275" s="30">
        <v>0.20899999999999999</v>
      </c>
      <c r="G6275" s="53">
        <f>IF(ISNUMBER(F6275),E6275*F6275,"")</f>
        <v>0.24870999999999999</v>
      </c>
      <c r="H6275" s="38">
        <f>SUM(G6275:G6279)</f>
        <v>15.315159000000001</v>
      </c>
      <c r="I6275" s="39"/>
      <c r="J6275" s="152">
        <v>0</v>
      </c>
    </row>
    <row r="6276" spans="1:10" ht="26.25" hidden="1" thickBot="1" x14ac:dyDescent="0.3">
      <c r="A6276" s="171"/>
      <c r="B6276" s="174"/>
      <c r="C6276" s="35" t="s">
        <v>3060</v>
      </c>
      <c r="D6276" s="35" t="s">
        <v>773</v>
      </c>
      <c r="E6276" s="36">
        <v>2.5000000000000001E-2</v>
      </c>
      <c r="F6276" s="30">
        <v>21.042499999999997</v>
      </c>
      <c r="G6276" s="53">
        <f>IF(ISNUMBER(F6276),E6276*F6276,"")</f>
        <v>0.52606249999999999</v>
      </c>
      <c r="H6276" s="43"/>
      <c r="I6276" s="39"/>
      <c r="J6276" s="152">
        <v>0</v>
      </c>
    </row>
    <row r="6277" spans="1:10" ht="15.75" hidden="1" thickBot="1" x14ac:dyDescent="0.3">
      <c r="A6277" s="171"/>
      <c r="B6277" s="174"/>
      <c r="C6277" s="35" t="s">
        <v>775</v>
      </c>
      <c r="D6277" s="35" t="s">
        <v>583</v>
      </c>
      <c r="E6277" s="36">
        <v>1.7500000000000002E-2</v>
      </c>
      <c r="F6277" s="30">
        <v>20.196999999999999</v>
      </c>
      <c r="G6277" s="53">
        <f>IF(ISNUMBER(F6277),E6277*F6277,"")</f>
        <v>0.35344750000000003</v>
      </c>
      <c r="H6277" s="43"/>
      <c r="I6277" s="39"/>
      <c r="J6277" s="152">
        <v>0</v>
      </c>
    </row>
    <row r="6278" spans="1:10" ht="15.75" hidden="1" thickBot="1" x14ac:dyDescent="0.3">
      <c r="A6278" s="171"/>
      <c r="B6278" s="174"/>
      <c r="C6278" s="35" t="s">
        <v>776</v>
      </c>
      <c r="D6278" s="35" t="s">
        <v>583</v>
      </c>
      <c r="E6278" s="36">
        <v>0.1069</v>
      </c>
      <c r="F6278" s="30">
        <v>26.970499999999998</v>
      </c>
      <c r="G6278" s="53">
        <f>IF(ISNUMBER(F6278),E6278*F6278,"")</f>
        <v>2.8831464499999995</v>
      </c>
      <c r="H6278" s="43"/>
      <c r="I6278" s="39"/>
      <c r="J6278" s="152">
        <v>0</v>
      </c>
    </row>
    <row r="6279" spans="1:10" ht="15.75" hidden="1" thickBot="1" x14ac:dyDescent="0.3">
      <c r="A6279" s="171"/>
      <c r="B6279" s="174"/>
      <c r="C6279" s="35" t="s">
        <v>6816</v>
      </c>
      <c r="D6279" s="35" t="s">
        <v>773</v>
      </c>
      <c r="E6279" s="36">
        <v>1</v>
      </c>
      <c r="F6279" s="30">
        <v>11.303792550000001</v>
      </c>
      <c r="G6279" s="53">
        <f>IF(ISNUMBER(F6279),E6279*F6279,"")</f>
        <v>11.303792550000001</v>
      </c>
      <c r="H6279" s="43"/>
      <c r="I6279" s="39"/>
      <c r="J6279" s="152">
        <v>0</v>
      </c>
    </row>
    <row r="6280" spans="1:10" ht="15.75" hidden="1" thickBot="1" x14ac:dyDescent="0.3">
      <c r="A6280" s="172"/>
      <c r="B6280" s="175"/>
      <c r="C6280" s="35"/>
      <c r="D6280" s="35"/>
      <c r="E6280" s="36"/>
      <c r="F6280" s="30" t="s">
        <v>416</v>
      </c>
      <c r="G6280" s="53"/>
      <c r="H6280" s="43"/>
      <c r="I6280" s="39"/>
      <c r="J6280" s="152">
        <v>0</v>
      </c>
    </row>
    <row r="6281" spans="1:10" ht="15.75" hidden="1" thickBot="1" x14ac:dyDescent="0.3">
      <c r="A6281" s="170" t="s">
        <v>5396</v>
      </c>
      <c r="B6281" s="173" t="str">
        <f>INDEX(Orçamentária!A:B,MATCH(Composições!A6281,Orçamentária!A:A,0),2)</f>
        <v>Pavimentação em concreto simples</v>
      </c>
      <c r="C6281" s="40"/>
      <c r="D6281" s="25" t="s">
        <v>70</v>
      </c>
      <c r="E6281" s="26"/>
      <c r="F6281" s="48" t="s">
        <v>416</v>
      </c>
      <c r="G6281" s="27" t="str">
        <f>IF(ISNUMBER(F6281),E6281*F6281,"")</f>
        <v/>
      </c>
      <c r="H6281" s="28"/>
      <c r="I6281" s="29"/>
      <c r="J6281" s="152">
        <v>0</v>
      </c>
    </row>
    <row r="6282" spans="1:10" ht="15.75" hidden="1" thickBot="1" x14ac:dyDescent="0.3">
      <c r="A6282" s="171"/>
      <c r="B6282" s="174"/>
      <c r="C6282" s="31"/>
      <c r="D6282" s="31"/>
      <c r="E6282" s="32"/>
      <c r="F6282" s="53" t="s">
        <v>416</v>
      </c>
      <c r="G6282" s="53" t="str">
        <f>IF(ISNUMBER(F6282),E6282*F6282,"")</f>
        <v/>
      </c>
      <c r="H6282" s="72"/>
      <c r="I6282" s="73"/>
      <c r="J6282" s="152">
        <v>0</v>
      </c>
    </row>
    <row r="6283" spans="1:10" ht="39" hidden="1" thickBot="1" x14ac:dyDescent="0.3">
      <c r="A6283" s="171"/>
      <c r="B6283" s="174"/>
      <c r="C6283" s="35" t="s">
        <v>2930</v>
      </c>
      <c r="D6283" s="35" t="s">
        <v>87</v>
      </c>
      <c r="E6283" s="36">
        <v>8.14E-2</v>
      </c>
      <c r="F6283" s="30">
        <v>417.04999999999995</v>
      </c>
      <c r="G6283" s="53">
        <f>IF(ISNUMBER(F6283),E6283*F6283,"")</f>
        <v>33.947869999999995</v>
      </c>
      <c r="H6283" s="38">
        <f>SUM(G6283:G6287)</f>
        <v>78.567170750000002</v>
      </c>
      <c r="I6283" s="39"/>
      <c r="J6283" s="152">
        <v>0</v>
      </c>
    </row>
    <row r="6284" spans="1:10" ht="26.25" hidden="1" thickBot="1" x14ac:dyDescent="0.3">
      <c r="A6284" s="171"/>
      <c r="B6284" s="174"/>
      <c r="C6284" s="35" t="s">
        <v>2931</v>
      </c>
      <c r="D6284" s="35" t="s">
        <v>773</v>
      </c>
      <c r="E6284" s="36">
        <v>4</v>
      </c>
      <c r="F6284" s="30">
        <v>10.145999999999999</v>
      </c>
      <c r="G6284" s="53">
        <f>IF(ISNUMBER(F6284),E6284*F6284,"")</f>
        <v>40.583999999999996</v>
      </c>
      <c r="H6284" s="43"/>
      <c r="I6284" s="39"/>
      <c r="J6284" s="152">
        <v>0</v>
      </c>
    </row>
    <row r="6285" spans="1:10" ht="15.75" hidden="1" thickBot="1" x14ac:dyDescent="0.3">
      <c r="A6285" s="171"/>
      <c r="B6285" s="174"/>
      <c r="C6285" s="35" t="s">
        <v>591</v>
      </c>
      <c r="D6285" s="35" t="s">
        <v>583</v>
      </c>
      <c r="E6285" s="36">
        <v>0.1119</v>
      </c>
      <c r="F6285" s="30">
        <v>27.160499999999999</v>
      </c>
      <c r="G6285" s="53">
        <f>IF(ISNUMBER(F6285),E6285*F6285,"")</f>
        <v>3.0392599499999999</v>
      </c>
      <c r="H6285" s="43"/>
      <c r="I6285" s="39"/>
      <c r="J6285" s="152">
        <v>0</v>
      </c>
    </row>
    <row r="6286" spans="1:10" ht="15.75" hidden="1" thickBot="1" x14ac:dyDescent="0.3">
      <c r="A6286" s="171"/>
      <c r="B6286" s="174"/>
      <c r="C6286" s="35" t="s">
        <v>584</v>
      </c>
      <c r="D6286" s="35" t="s">
        <v>583</v>
      </c>
      <c r="E6286" s="36">
        <v>4.6600000000000003E-2</v>
      </c>
      <c r="F6286" s="30">
        <v>20.225499999999997</v>
      </c>
      <c r="G6286" s="53">
        <f>IF(ISNUMBER(F6286),E6286*F6286,"")</f>
        <v>0.94250829999999985</v>
      </c>
      <c r="H6286" s="43"/>
      <c r="I6286" s="39"/>
      <c r="J6286" s="152">
        <v>0</v>
      </c>
    </row>
    <row r="6287" spans="1:10" ht="26.25" hidden="1" thickBot="1" x14ac:dyDescent="0.3">
      <c r="A6287" s="171"/>
      <c r="B6287" s="174"/>
      <c r="C6287" s="35" t="s">
        <v>6971</v>
      </c>
      <c r="D6287" s="35" t="s">
        <v>813</v>
      </c>
      <c r="E6287" s="36">
        <v>7.0000000000000001E-3</v>
      </c>
      <c r="F6287" s="30">
        <v>7.6475</v>
      </c>
      <c r="G6287" s="53">
        <f>IF(ISNUMBER(F6287),E6287*F6287,"")</f>
        <v>5.3532500000000004E-2</v>
      </c>
      <c r="H6287" s="43"/>
      <c r="I6287" s="39"/>
      <c r="J6287" s="152">
        <v>0</v>
      </c>
    </row>
    <row r="6288" spans="1:10" ht="15.75" hidden="1" thickBot="1" x14ac:dyDescent="0.3">
      <c r="A6288" s="172"/>
      <c r="B6288" s="175"/>
      <c r="C6288" s="35"/>
      <c r="D6288" s="35"/>
      <c r="E6288" s="36"/>
      <c r="F6288" s="30" t="s">
        <v>416</v>
      </c>
      <c r="G6288" s="53"/>
      <c r="H6288" s="43"/>
      <c r="I6288" s="39"/>
      <c r="J6288" s="152">
        <v>0</v>
      </c>
    </row>
    <row r="6289" spans="1:10" ht="15.75" hidden="1" thickBot="1" x14ac:dyDescent="0.3">
      <c r="A6289" s="170" t="s">
        <v>5397</v>
      </c>
      <c r="B6289" s="173" t="str">
        <f>INDEX(Orçamentária!A:B,MATCH(Composições!A6289,Orçamentária!A:A,0),2)</f>
        <v>Tubo PVC esgoto ou águas pluviais predial DN 150 mm</v>
      </c>
      <c r="C6289" s="40"/>
      <c r="D6289" s="25" t="s">
        <v>69</v>
      </c>
      <c r="E6289" s="26"/>
      <c r="F6289" s="48" t="s">
        <v>416</v>
      </c>
      <c r="G6289" s="27" t="str">
        <f>IF(ISNUMBER(F6289),E6289*F6289,"")</f>
        <v/>
      </c>
      <c r="H6289" s="28"/>
      <c r="I6289" s="29"/>
      <c r="J6289" s="152">
        <v>0</v>
      </c>
    </row>
    <row r="6290" spans="1:10" ht="15.75" hidden="1" thickBot="1" x14ac:dyDescent="0.3">
      <c r="A6290" s="171"/>
      <c r="B6290" s="174"/>
      <c r="C6290" s="31"/>
      <c r="D6290" s="31"/>
      <c r="E6290" s="32"/>
      <c r="F6290" s="53" t="s">
        <v>416</v>
      </c>
      <c r="G6290" s="53" t="str">
        <f>IF(ISNUMBER(F6290),E6290*F6290,"")</f>
        <v/>
      </c>
      <c r="H6290" s="72"/>
      <c r="I6290" s="73"/>
      <c r="J6290" s="152">
        <v>0</v>
      </c>
    </row>
    <row r="6291" spans="1:10" ht="15.75" hidden="1" thickBot="1" x14ac:dyDescent="0.3">
      <c r="A6291" s="171"/>
      <c r="B6291" s="174"/>
      <c r="C6291" s="35" t="s">
        <v>7975</v>
      </c>
      <c r="D6291" s="35" t="s">
        <v>213</v>
      </c>
      <c r="E6291" s="36">
        <v>6.1999999999999998E-3</v>
      </c>
      <c r="F6291" s="30">
        <v>66.36699999999999</v>
      </c>
      <c r="G6291" s="53">
        <f>IF(ISNUMBER(F6291),E6291*F6291,"")</f>
        <v>0.41147539999999994</v>
      </c>
      <c r="H6291" s="38">
        <f>SUM(G6291:G6296)</f>
        <v>70.494533400000009</v>
      </c>
      <c r="I6291" s="39"/>
      <c r="J6291" s="152">
        <v>0</v>
      </c>
    </row>
    <row r="6292" spans="1:10" ht="26.25" hidden="1" thickBot="1" x14ac:dyDescent="0.3">
      <c r="A6292" s="171"/>
      <c r="B6292" s="174"/>
      <c r="C6292" s="35" t="s">
        <v>1193</v>
      </c>
      <c r="D6292" s="35" t="s">
        <v>385</v>
      </c>
      <c r="E6292" s="36">
        <v>1.04</v>
      </c>
      <c r="F6292" s="30">
        <v>58.273000000000003</v>
      </c>
      <c r="G6292" s="53">
        <f>IF(ISNUMBER(F6292),E6292*F6292,"")</f>
        <v>60.603920000000002</v>
      </c>
      <c r="H6292" s="43"/>
      <c r="I6292" s="39"/>
      <c r="J6292" s="152">
        <v>0</v>
      </c>
    </row>
    <row r="6293" spans="1:10" ht="26.25" hidden="1" thickBot="1" x14ac:dyDescent="0.3">
      <c r="A6293" s="171"/>
      <c r="B6293" s="174"/>
      <c r="C6293" s="35" t="s">
        <v>8375</v>
      </c>
      <c r="D6293" s="35" t="s">
        <v>213</v>
      </c>
      <c r="E6293" s="36">
        <v>1.0200000000000001E-2</v>
      </c>
      <c r="F6293" s="30">
        <v>75.192499999999995</v>
      </c>
      <c r="G6293" s="53">
        <f>IF(ISNUMBER(F6293),E6293*F6293,"")</f>
        <v>0.76696350000000002</v>
      </c>
      <c r="H6293" s="43"/>
      <c r="I6293" s="39"/>
      <c r="J6293" s="152">
        <v>0</v>
      </c>
    </row>
    <row r="6294" spans="1:10" ht="15.75" hidden="1" thickBot="1" x14ac:dyDescent="0.3">
      <c r="A6294" s="171"/>
      <c r="B6294" s="174"/>
      <c r="C6294" s="35" t="s">
        <v>8220</v>
      </c>
      <c r="D6294" s="35" t="s">
        <v>213</v>
      </c>
      <c r="E6294" s="36">
        <v>3.6999999999999998E-2</v>
      </c>
      <c r="F6294" s="30">
        <v>2.1185</v>
      </c>
      <c r="G6294" s="53">
        <f>IF(ISNUMBER(F6294),E6294*F6294,"")</f>
        <v>7.8384499999999996E-2</v>
      </c>
      <c r="H6294" s="43"/>
      <c r="I6294" s="39"/>
      <c r="J6294" s="152">
        <v>0</v>
      </c>
    </row>
    <row r="6295" spans="1:10" ht="26.25" hidden="1" thickBot="1" x14ac:dyDescent="0.3">
      <c r="A6295" s="171"/>
      <c r="B6295" s="174"/>
      <c r="C6295" s="35" t="s">
        <v>824</v>
      </c>
      <c r="D6295" s="35" t="s">
        <v>583</v>
      </c>
      <c r="E6295" s="36">
        <v>0.18</v>
      </c>
      <c r="F6295" s="30">
        <v>21.166</v>
      </c>
      <c r="G6295" s="53">
        <f>IF(ISNUMBER(F6295),E6295*F6295,"")</f>
        <v>3.8098799999999997</v>
      </c>
      <c r="H6295" s="43"/>
      <c r="I6295" s="39"/>
      <c r="J6295" s="152">
        <v>0</v>
      </c>
    </row>
    <row r="6296" spans="1:10" ht="26.25" hidden="1" thickBot="1" x14ac:dyDescent="0.3">
      <c r="A6296" s="171"/>
      <c r="B6296" s="174"/>
      <c r="C6296" s="35" t="s">
        <v>825</v>
      </c>
      <c r="D6296" s="35" t="s">
        <v>583</v>
      </c>
      <c r="E6296" s="36">
        <v>0.18</v>
      </c>
      <c r="F6296" s="30">
        <v>26.799499999999998</v>
      </c>
      <c r="G6296" s="53">
        <f>IF(ISNUMBER(F6296),E6296*F6296,"")</f>
        <v>4.8239099999999997</v>
      </c>
      <c r="H6296" s="43"/>
      <c r="I6296" s="39"/>
      <c r="J6296" s="152">
        <v>0</v>
      </c>
    </row>
    <row r="6297" spans="1:10" ht="15.75" hidden="1" thickBot="1" x14ac:dyDescent="0.3">
      <c r="A6297" s="172"/>
      <c r="B6297" s="175"/>
      <c r="C6297" s="35"/>
      <c r="D6297" s="35"/>
      <c r="E6297" s="36"/>
      <c r="F6297" s="30" t="s">
        <v>416</v>
      </c>
      <c r="G6297" s="53"/>
      <c r="H6297" s="43"/>
      <c r="I6297" s="39"/>
      <c r="J6297" s="152">
        <v>0</v>
      </c>
    </row>
    <row r="6298" spans="1:10" ht="15.75" hidden="1" thickBot="1" x14ac:dyDescent="0.3">
      <c r="A6298" s="170" t="s">
        <v>5398</v>
      </c>
      <c r="B6298" s="173" t="str">
        <f>INDEX(Orçamentária!A:B,MATCH(Composições!A6298,Orçamentária!A:A,0),2)</f>
        <v>Alvenaria Estrutural</v>
      </c>
      <c r="C6298" s="40"/>
      <c r="D6298" s="25" t="s">
        <v>70</v>
      </c>
      <c r="E6298" s="26"/>
      <c r="F6298" s="48" t="s">
        <v>416</v>
      </c>
      <c r="G6298" s="27" t="str">
        <f>IF(ISNUMBER(F6298),E6298*F6298,"")</f>
        <v/>
      </c>
      <c r="H6298" s="28"/>
      <c r="I6298" s="29"/>
      <c r="J6298" s="152">
        <v>0</v>
      </c>
    </row>
    <row r="6299" spans="1:10" ht="15.75" hidden="1" thickBot="1" x14ac:dyDescent="0.3">
      <c r="A6299" s="171"/>
      <c r="B6299" s="174"/>
      <c r="C6299" s="31"/>
      <c r="D6299" s="31"/>
      <c r="E6299" s="32"/>
      <c r="F6299" s="53" t="s">
        <v>416</v>
      </c>
      <c r="G6299" s="53" t="str">
        <f>IF(ISNUMBER(F6299),E6299*F6299,"")</f>
        <v/>
      </c>
      <c r="H6299" s="72"/>
      <c r="I6299" s="73"/>
      <c r="J6299" s="152">
        <v>0</v>
      </c>
    </row>
    <row r="6300" spans="1:10" ht="26.25" hidden="1" thickBot="1" x14ac:dyDescent="0.3">
      <c r="A6300" s="171"/>
      <c r="B6300" s="174"/>
      <c r="C6300" s="35" t="s">
        <v>8002</v>
      </c>
      <c r="D6300" s="35" t="s">
        <v>213</v>
      </c>
      <c r="E6300" s="36">
        <v>10.220000000000001</v>
      </c>
      <c r="F6300" s="30">
        <v>4.1894999999999998</v>
      </c>
      <c r="G6300" s="53">
        <f>IF(ISNUMBER(F6300),E6300*F6300,"")</f>
        <v>42.816690000000001</v>
      </c>
      <c r="H6300" s="38">
        <f>SUM(G6300:G6307)</f>
        <v>87.939415318806809</v>
      </c>
      <c r="I6300" s="39"/>
      <c r="J6300" s="152">
        <v>0</v>
      </c>
    </row>
    <row r="6301" spans="1:10" ht="26.25" hidden="1" thickBot="1" x14ac:dyDescent="0.3">
      <c r="A6301" s="171"/>
      <c r="B6301" s="174"/>
      <c r="C6301" s="35" t="s">
        <v>8540</v>
      </c>
      <c r="D6301" s="35" t="s">
        <v>385</v>
      </c>
      <c r="E6301" s="36">
        <v>0.87</v>
      </c>
      <c r="F6301" s="30">
        <v>3.7905000000000002</v>
      </c>
      <c r="G6301" s="53">
        <f>IF(ISNUMBER(F6301),E6301*F6301,"")</f>
        <v>3.2977350000000003</v>
      </c>
      <c r="H6301" s="43"/>
      <c r="I6301" s="39"/>
      <c r="J6301" s="152">
        <v>0</v>
      </c>
    </row>
    <row r="6302" spans="1:10" ht="26.25" hidden="1" thickBot="1" x14ac:dyDescent="0.3">
      <c r="A6302" s="171"/>
      <c r="B6302" s="174"/>
      <c r="C6302" s="35" t="s">
        <v>8293</v>
      </c>
      <c r="D6302" s="35" t="s">
        <v>213</v>
      </c>
      <c r="E6302" s="36">
        <v>1.46</v>
      </c>
      <c r="F6302" s="30">
        <v>2.3939999999999997</v>
      </c>
      <c r="G6302" s="53">
        <f>IF(ISNUMBER(F6302),E6302*F6302,"")</f>
        <v>3.4952399999999995</v>
      </c>
      <c r="H6302" s="43"/>
      <c r="I6302" s="39"/>
      <c r="J6302" s="152">
        <v>0</v>
      </c>
    </row>
    <row r="6303" spans="1:10" ht="26.25" hidden="1" thickBot="1" x14ac:dyDescent="0.3">
      <c r="A6303" s="171"/>
      <c r="B6303" s="174"/>
      <c r="C6303" s="35" t="s">
        <v>8001</v>
      </c>
      <c r="D6303" s="35" t="s">
        <v>213</v>
      </c>
      <c r="E6303" s="36">
        <v>1.46</v>
      </c>
      <c r="F6303" s="30">
        <v>3.8285</v>
      </c>
      <c r="G6303" s="53">
        <f>IF(ISNUMBER(F6303),E6303*F6303,"")</f>
        <v>5.5896099999999995</v>
      </c>
      <c r="H6303" s="43"/>
      <c r="I6303" s="39"/>
      <c r="J6303" s="152">
        <v>0</v>
      </c>
    </row>
    <row r="6304" spans="1:10" ht="26.25" hidden="1" thickBot="1" x14ac:dyDescent="0.3">
      <c r="A6304" s="171"/>
      <c r="B6304" s="174"/>
      <c r="C6304" s="35" t="s">
        <v>8043</v>
      </c>
      <c r="D6304" s="35" t="s">
        <v>213</v>
      </c>
      <c r="E6304" s="36">
        <v>0.97</v>
      </c>
      <c r="F6304" s="30">
        <v>4.7214999999999998</v>
      </c>
      <c r="G6304" s="53">
        <f>IF(ISNUMBER(F6304),E6304*F6304,"")</f>
        <v>4.5798549999999993</v>
      </c>
      <c r="H6304" s="43"/>
      <c r="I6304" s="39"/>
      <c r="J6304" s="152">
        <v>0</v>
      </c>
    </row>
    <row r="6305" spans="1:10" ht="15.75" hidden="1" thickBot="1" x14ac:dyDescent="0.3">
      <c r="A6305" s="171"/>
      <c r="B6305" s="174"/>
      <c r="C6305" s="35" t="s">
        <v>591</v>
      </c>
      <c r="D6305" s="35" t="s">
        <v>583</v>
      </c>
      <c r="E6305" s="36">
        <v>0.49</v>
      </c>
      <c r="F6305" s="30">
        <v>27.160499999999999</v>
      </c>
      <c r="G6305" s="53">
        <f>IF(ISNUMBER(F6305),E6305*F6305,"")</f>
        <v>13.308644999999999</v>
      </c>
      <c r="H6305" s="43"/>
      <c r="I6305" s="39"/>
      <c r="J6305" s="152">
        <v>0</v>
      </c>
    </row>
    <row r="6306" spans="1:10" ht="15.75" hidden="1" thickBot="1" x14ac:dyDescent="0.3">
      <c r="A6306" s="171"/>
      <c r="B6306" s="174"/>
      <c r="C6306" s="35" t="s">
        <v>584</v>
      </c>
      <c r="D6306" s="35" t="s">
        <v>583</v>
      </c>
      <c r="E6306" s="36">
        <v>0.37</v>
      </c>
      <c r="F6306" s="30">
        <v>20.225499999999997</v>
      </c>
      <c r="G6306" s="53">
        <f>IF(ISNUMBER(F6306),E6306*F6306,"")</f>
        <v>7.4834349999999983</v>
      </c>
      <c r="H6306" s="43"/>
      <c r="I6306" s="39"/>
      <c r="J6306" s="152">
        <v>0</v>
      </c>
    </row>
    <row r="6307" spans="1:10" ht="51.75" hidden="1" thickBot="1" x14ac:dyDescent="0.3">
      <c r="A6307" s="171"/>
      <c r="B6307" s="174"/>
      <c r="C6307" s="35" t="s">
        <v>2899</v>
      </c>
      <c r="D6307" s="35" t="s">
        <v>87</v>
      </c>
      <c r="E6307" s="36">
        <v>1.04E-2</v>
      </c>
      <c r="F6307" s="30">
        <v>708.4812806545001</v>
      </c>
      <c r="G6307" s="53">
        <f>IF(ISNUMBER(F6307),E6307*F6307,"")</f>
        <v>7.3682053188068011</v>
      </c>
      <c r="H6307" s="43"/>
      <c r="I6307" s="39"/>
      <c r="J6307" s="152">
        <v>0</v>
      </c>
    </row>
    <row r="6308" spans="1:10" ht="15.75" hidden="1" thickBot="1" x14ac:dyDescent="0.3">
      <c r="A6308" s="172"/>
      <c r="B6308" s="175"/>
      <c r="C6308" s="35"/>
      <c r="D6308" s="35"/>
      <c r="E6308" s="36"/>
      <c r="F6308" s="30" t="s">
        <v>416</v>
      </c>
      <c r="G6308" s="53"/>
      <c r="H6308" s="43"/>
      <c r="I6308" s="39"/>
      <c r="J6308" s="152">
        <v>0</v>
      </c>
    </row>
    <row r="6309" spans="1:10" ht="15.75" hidden="1" thickBot="1" x14ac:dyDescent="0.3">
      <c r="A6309" s="170" t="s">
        <v>5399</v>
      </c>
      <c r="B6309" s="173" t="str">
        <f>INDEX(Orçamentária!A:B,MATCH(Composições!A6309,Orçamentária!A:A,0),2)</f>
        <v>Boca de lobo simples em blocos de concreto, h=1,0 m</v>
      </c>
      <c r="C6309" s="40"/>
      <c r="D6309" s="25" t="s">
        <v>16</v>
      </c>
      <c r="E6309" s="26"/>
      <c r="F6309" s="48" t="s">
        <v>416</v>
      </c>
      <c r="G6309" s="27" t="str">
        <f>IF(ISNUMBER(F6309),E6309*F6309,"")</f>
        <v/>
      </c>
      <c r="H6309" s="28"/>
      <c r="I6309" s="29"/>
      <c r="J6309" s="152">
        <v>0</v>
      </c>
    </row>
    <row r="6310" spans="1:10" ht="15.75" hidden="1" thickBot="1" x14ac:dyDescent="0.3">
      <c r="A6310" s="171"/>
      <c r="B6310" s="174"/>
      <c r="C6310" s="31"/>
      <c r="D6310" s="31"/>
      <c r="E6310" s="32"/>
      <c r="F6310" s="53" t="s">
        <v>416</v>
      </c>
      <c r="G6310" s="53" t="str">
        <f>IF(ISNUMBER(F6310),E6310*F6310,"")</f>
        <v/>
      </c>
      <c r="H6310" s="72"/>
      <c r="I6310" s="73"/>
      <c r="J6310" s="152">
        <v>0</v>
      </c>
    </row>
    <row r="6311" spans="1:10" ht="15.75" hidden="1" thickBot="1" x14ac:dyDescent="0.3">
      <c r="A6311" s="171"/>
      <c r="B6311" s="174"/>
      <c r="C6311" s="35" t="s">
        <v>8044</v>
      </c>
      <c r="D6311" s="35" t="s">
        <v>213</v>
      </c>
      <c r="E6311" s="36">
        <v>21</v>
      </c>
      <c r="F6311" s="30">
        <v>3.2489999999999997</v>
      </c>
      <c r="G6311" s="53">
        <f>IF(ISNUMBER(F6311),E6311*F6311,"")</f>
        <v>68.228999999999999</v>
      </c>
      <c r="H6311" s="38">
        <f>SUM(G6311:G6331)</f>
        <v>1519.0846760019829</v>
      </c>
      <c r="I6311" s="39"/>
      <c r="J6311" s="152">
        <v>0</v>
      </c>
    </row>
    <row r="6312" spans="1:10" ht="26.25" hidden="1" thickBot="1" x14ac:dyDescent="0.3">
      <c r="A6312" s="171"/>
      <c r="B6312" s="174"/>
      <c r="C6312" s="35" t="s">
        <v>1009</v>
      </c>
      <c r="D6312" s="35" t="s">
        <v>75</v>
      </c>
      <c r="E6312" s="36">
        <v>8.2000000000000007E-3</v>
      </c>
      <c r="F6312" s="30">
        <v>7.9229999999999992</v>
      </c>
      <c r="G6312" s="53">
        <f>IF(ISNUMBER(F6312),E6312*F6312,"")</f>
        <v>6.4968600000000001E-2</v>
      </c>
      <c r="H6312" s="43"/>
      <c r="I6312" s="39"/>
      <c r="J6312" s="152">
        <v>0</v>
      </c>
    </row>
    <row r="6313" spans="1:10" ht="26.25" hidden="1" thickBot="1" x14ac:dyDescent="0.3">
      <c r="A6313" s="171"/>
      <c r="B6313" s="174"/>
      <c r="C6313" s="35" t="s">
        <v>3233</v>
      </c>
      <c r="D6313" s="35" t="s">
        <v>385</v>
      </c>
      <c r="E6313" s="36">
        <v>0.17760000000000001</v>
      </c>
      <c r="F6313" s="30">
        <v>8.1889999999999983</v>
      </c>
      <c r="G6313" s="53">
        <f>IF(ISNUMBER(F6313),E6313*F6313,"")</f>
        <v>1.4543663999999998</v>
      </c>
      <c r="H6313" s="43"/>
      <c r="I6313" s="39"/>
      <c r="J6313" s="152">
        <v>0</v>
      </c>
    </row>
    <row r="6314" spans="1:10" ht="26.25" hidden="1" thickBot="1" x14ac:dyDescent="0.3">
      <c r="A6314" s="171"/>
      <c r="B6314" s="174"/>
      <c r="C6314" s="35" t="s">
        <v>3235</v>
      </c>
      <c r="D6314" s="35" t="s">
        <v>385</v>
      </c>
      <c r="E6314" s="36">
        <v>0.2112</v>
      </c>
      <c r="F6314" s="30">
        <v>2.8594999999999997</v>
      </c>
      <c r="G6314" s="53">
        <f>IF(ISNUMBER(F6314),E6314*F6314,"")</f>
        <v>0.60392639999999997</v>
      </c>
      <c r="H6314" s="43"/>
      <c r="I6314" s="39"/>
      <c r="J6314" s="152">
        <v>0</v>
      </c>
    </row>
    <row r="6315" spans="1:10" ht="15.75" hidden="1" thickBot="1" x14ac:dyDescent="0.3">
      <c r="A6315" s="171"/>
      <c r="B6315" s="174"/>
      <c r="C6315" s="35" t="s">
        <v>8338</v>
      </c>
      <c r="D6315" s="35" t="s">
        <v>773</v>
      </c>
      <c r="E6315" s="36">
        <v>0.187</v>
      </c>
      <c r="F6315" s="30">
        <v>22.011500000000002</v>
      </c>
      <c r="G6315" s="53">
        <f>IF(ISNUMBER(F6315),E6315*F6315,"")</f>
        <v>4.1161505000000007</v>
      </c>
      <c r="H6315" s="43"/>
      <c r="I6315" s="39"/>
      <c r="J6315" s="152">
        <v>0</v>
      </c>
    </row>
    <row r="6316" spans="1:10" ht="64.5" hidden="1" thickBot="1" x14ac:dyDescent="0.3">
      <c r="A6316" s="171"/>
      <c r="B6316" s="174"/>
      <c r="C6316" s="35" t="s">
        <v>2863</v>
      </c>
      <c r="D6316" s="35" t="s">
        <v>813</v>
      </c>
      <c r="E6316" s="36">
        <v>3.1300000000000001E-2</v>
      </c>
      <c r="F6316" s="30">
        <v>134.55799999999999</v>
      </c>
      <c r="G6316" s="53">
        <f>IF(ISNUMBER(F6316),E6316*F6316,"")</f>
        <v>4.2116654000000002</v>
      </c>
      <c r="H6316" s="43"/>
      <c r="I6316" s="39"/>
      <c r="J6316" s="152">
        <v>0</v>
      </c>
    </row>
    <row r="6317" spans="1:10" ht="64.5" hidden="1" thickBot="1" x14ac:dyDescent="0.3">
      <c r="A6317" s="171"/>
      <c r="B6317" s="174"/>
      <c r="C6317" s="35" t="s">
        <v>2870</v>
      </c>
      <c r="D6317" s="35" t="s">
        <v>815</v>
      </c>
      <c r="E6317" s="36">
        <v>6.3700000000000007E-2</v>
      </c>
      <c r="F6317" s="30">
        <v>54.34</v>
      </c>
      <c r="G6317" s="53">
        <f>IF(ISNUMBER(F6317),E6317*F6317,"")</f>
        <v>3.4614580000000004</v>
      </c>
      <c r="H6317" s="43"/>
      <c r="I6317" s="39"/>
      <c r="J6317" s="152">
        <v>0</v>
      </c>
    </row>
    <row r="6318" spans="1:10" ht="26.25" hidden="1" thickBot="1" x14ac:dyDescent="0.3">
      <c r="A6318" s="171"/>
      <c r="B6318" s="174"/>
      <c r="C6318" s="35" t="s">
        <v>8518</v>
      </c>
      <c r="D6318" s="35" t="s">
        <v>385</v>
      </c>
      <c r="E6318" s="36">
        <v>0.66239999999999999</v>
      </c>
      <c r="F6318" s="30">
        <v>23.398499999999999</v>
      </c>
      <c r="G6318" s="53">
        <f>IF(ISNUMBER(F6318),E6318*F6318,"")</f>
        <v>15.499166399999998</v>
      </c>
      <c r="H6318" s="43"/>
      <c r="I6318" s="39"/>
      <c r="J6318" s="152">
        <v>0</v>
      </c>
    </row>
    <row r="6319" spans="1:10" ht="26.25" hidden="1" thickBot="1" x14ac:dyDescent="0.3">
      <c r="A6319" s="171"/>
      <c r="B6319" s="174"/>
      <c r="C6319" s="35" t="s">
        <v>8003</v>
      </c>
      <c r="D6319" s="35" t="s">
        <v>213</v>
      </c>
      <c r="E6319" s="36">
        <v>47.175699999999999</v>
      </c>
      <c r="F6319" s="30">
        <v>5.2344999999999997</v>
      </c>
      <c r="G6319" s="53">
        <f>IF(ISNUMBER(F6319),E6319*F6319,"")</f>
        <v>246.94120164999998</v>
      </c>
      <c r="H6319" s="43"/>
      <c r="I6319" s="39"/>
      <c r="J6319" s="152">
        <v>0</v>
      </c>
    </row>
    <row r="6320" spans="1:10" ht="26.25" hidden="1" thickBot="1" x14ac:dyDescent="0.3">
      <c r="A6320" s="171"/>
      <c r="B6320" s="174"/>
      <c r="C6320" s="35" t="s">
        <v>8541</v>
      </c>
      <c r="D6320" s="35" t="s">
        <v>213</v>
      </c>
      <c r="E6320" s="36">
        <v>1</v>
      </c>
      <c r="F6320" s="30">
        <v>41.543499999999995</v>
      </c>
      <c r="G6320" s="53">
        <f>IF(ISNUMBER(F6320),E6320*F6320,"")</f>
        <v>41.543499999999995</v>
      </c>
      <c r="H6320" s="43"/>
      <c r="I6320" s="39"/>
      <c r="J6320" s="152">
        <v>0</v>
      </c>
    </row>
    <row r="6321" spans="1:10" ht="39" hidden="1" thickBot="1" x14ac:dyDescent="0.3">
      <c r="A6321" s="171"/>
      <c r="B6321" s="174"/>
      <c r="C6321" s="35" t="s">
        <v>871</v>
      </c>
      <c r="D6321" s="35" t="s">
        <v>87</v>
      </c>
      <c r="E6321" s="36">
        <v>4.3E-3</v>
      </c>
      <c r="F6321" s="30">
        <v>584.3403605609999</v>
      </c>
      <c r="G6321" s="53">
        <f>IF(ISNUMBER(F6321),E6321*F6321,"")</f>
        <v>2.5126635504122996</v>
      </c>
      <c r="H6321" s="43"/>
      <c r="I6321" s="39"/>
      <c r="J6321" s="152">
        <v>0</v>
      </c>
    </row>
    <row r="6322" spans="1:10" ht="15.75" hidden="1" thickBot="1" x14ac:dyDescent="0.3">
      <c r="A6322" s="171"/>
      <c r="B6322" s="174"/>
      <c r="C6322" s="35" t="s">
        <v>591</v>
      </c>
      <c r="D6322" s="35" t="s">
        <v>583</v>
      </c>
      <c r="E6322" s="36">
        <v>9.5631000000000004</v>
      </c>
      <c r="F6322" s="30">
        <v>27.160499999999999</v>
      </c>
      <c r="G6322" s="53">
        <f>IF(ISNUMBER(F6322),E6322*F6322,"")</f>
        <v>259.73857755</v>
      </c>
      <c r="H6322" s="43"/>
      <c r="I6322" s="39"/>
      <c r="J6322" s="152">
        <v>0</v>
      </c>
    </row>
    <row r="6323" spans="1:10" ht="15.75" hidden="1" thickBot="1" x14ac:dyDescent="0.3">
      <c r="A6323" s="171"/>
      <c r="B6323" s="174"/>
      <c r="C6323" s="35" t="s">
        <v>584</v>
      </c>
      <c r="D6323" s="35" t="s">
        <v>583</v>
      </c>
      <c r="E6323" s="36">
        <v>7.5138999999999996</v>
      </c>
      <c r="F6323" s="30">
        <v>20.225499999999997</v>
      </c>
      <c r="G6323" s="53">
        <f>IF(ISNUMBER(F6323),E6323*F6323,"")</f>
        <v>151.97238444999996</v>
      </c>
      <c r="H6323" s="43"/>
      <c r="I6323" s="39"/>
      <c r="J6323" s="152">
        <v>0</v>
      </c>
    </row>
    <row r="6324" spans="1:10" ht="26.25" hidden="1" thickBot="1" x14ac:dyDescent="0.3">
      <c r="A6324" s="171"/>
      <c r="B6324" s="174"/>
      <c r="C6324" s="35" t="s">
        <v>2898</v>
      </c>
      <c r="D6324" s="35" t="s">
        <v>87</v>
      </c>
      <c r="E6324" s="36">
        <v>0.47460000000000002</v>
      </c>
      <c r="F6324" s="30">
        <v>657.09798058849992</v>
      </c>
      <c r="G6324" s="53">
        <f>IF(ISNUMBER(F6324),E6324*F6324,"")</f>
        <v>311.85870158730205</v>
      </c>
      <c r="H6324" s="43"/>
      <c r="I6324" s="39"/>
      <c r="J6324" s="152">
        <v>0</v>
      </c>
    </row>
    <row r="6325" spans="1:10" ht="26.25" hidden="1" thickBot="1" x14ac:dyDescent="0.3">
      <c r="A6325" s="171"/>
      <c r="B6325" s="174"/>
      <c r="C6325" s="35" t="s">
        <v>5777</v>
      </c>
      <c r="D6325" s="35" t="s">
        <v>87</v>
      </c>
      <c r="E6325" s="36">
        <v>2.9899999999999999E-2</v>
      </c>
      <c r="F6325" s="30">
        <v>1169.2422948459046</v>
      </c>
      <c r="G6325" s="53">
        <f>IF(ISNUMBER(F6325),E6325*F6325,"")</f>
        <v>34.960344615892545</v>
      </c>
      <c r="H6325" s="43"/>
      <c r="I6325" s="39"/>
      <c r="J6325" s="152">
        <v>0</v>
      </c>
    </row>
    <row r="6326" spans="1:10" ht="26.25" hidden="1" thickBot="1" x14ac:dyDescent="0.3">
      <c r="A6326" s="171"/>
      <c r="B6326" s="174"/>
      <c r="C6326" s="35" t="s">
        <v>5778</v>
      </c>
      <c r="D6326" s="35" t="s">
        <v>87</v>
      </c>
      <c r="E6326" s="36">
        <v>6.1499999999999999E-2</v>
      </c>
      <c r="F6326" s="30">
        <v>1133.3744919459043</v>
      </c>
      <c r="G6326" s="53">
        <f>IF(ISNUMBER(F6326),E6326*F6326,"")</f>
        <v>69.702531254673119</v>
      </c>
      <c r="H6326" s="43"/>
      <c r="I6326" s="39"/>
      <c r="J6326" s="152">
        <v>0</v>
      </c>
    </row>
    <row r="6327" spans="1:10" ht="26.25" hidden="1" thickBot="1" x14ac:dyDescent="0.3">
      <c r="A6327" s="171"/>
      <c r="B6327" s="174"/>
      <c r="C6327" s="35" t="s">
        <v>2878</v>
      </c>
      <c r="D6327" s="35" t="s">
        <v>773</v>
      </c>
      <c r="E6327" s="36">
        <v>0.98719999999999997</v>
      </c>
      <c r="F6327" s="30">
        <v>12.032452999999999</v>
      </c>
      <c r="G6327" s="53">
        <f>IF(ISNUMBER(F6327),E6327*F6327,"")</f>
        <v>11.878437601599998</v>
      </c>
      <c r="H6327" s="43"/>
      <c r="I6327" s="39"/>
      <c r="J6327" s="152">
        <v>0</v>
      </c>
    </row>
    <row r="6328" spans="1:10" ht="26.25" hidden="1" thickBot="1" x14ac:dyDescent="0.3">
      <c r="A6328" s="171"/>
      <c r="B6328" s="174"/>
      <c r="C6328" s="35" t="s">
        <v>2879</v>
      </c>
      <c r="D6328" s="35" t="s">
        <v>773</v>
      </c>
      <c r="E6328" s="36">
        <v>2.468</v>
      </c>
      <c r="F6328" s="30">
        <v>11.473643999999998</v>
      </c>
      <c r="G6328" s="53">
        <f>IF(ISNUMBER(F6328),E6328*F6328,"")</f>
        <v>28.316953391999995</v>
      </c>
      <c r="H6328" s="43"/>
      <c r="I6328" s="39"/>
      <c r="J6328" s="152">
        <v>0</v>
      </c>
    </row>
    <row r="6329" spans="1:10" ht="26.25" hidden="1" thickBot="1" x14ac:dyDescent="0.3">
      <c r="A6329" s="171"/>
      <c r="B6329" s="174"/>
      <c r="C6329" s="35" t="s">
        <v>936</v>
      </c>
      <c r="D6329" s="35" t="s">
        <v>87</v>
      </c>
      <c r="E6329" s="36">
        <v>0.1628</v>
      </c>
      <c r="F6329" s="30">
        <v>616.29413234365495</v>
      </c>
      <c r="G6329" s="53">
        <f>IF(ISNUMBER(F6329),E6329*F6329,"")</f>
        <v>100.33268474554703</v>
      </c>
      <c r="H6329" s="43"/>
      <c r="I6329" s="39"/>
      <c r="J6329" s="152">
        <v>0</v>
      </c>
    </row>
    <row r="6330" spans="1:10" ht="26.25" hidden="1" thickBot="1" x14ac:dyDescent="0.3">
      <c r="A6330" s="171"/>
      <c r="B6330" s="174"/>
      <c r="C6330" s="35" t="s">
        <v>2888</v>
      </c>
      <c r="D6330" s="35" t="s">
        <v>87</v>
      </c>
      <c r="E6330" s="36">
        <v>6.1600000000000002E-2</v>
      </c>
      <c r="F6330" s="30">
        <v>2567.9175087184358</v>
      </c>
      <c r="G6330" s="53">
        <f>IF(ISNUMBER(F6330),E6330*F6330,"")</f>
        <v>158.18371853705565</v>
      </c>
      <c r="H6330" s="43"/>
      <c r="I6330" s="39"/>
      <c r="J6330" s="152">
        <v>0</v>
      </c>
    </row>
    <row r="6331" spans="1:10" ht="26.25" hidden="1" thickBot="1" x14ac:dyDescent="0.3">
      <c r="A6331" s="171"/>
      <c r="B6331" s="174"/>
      <c r="C6331" s="35" t="s">
        <v>3222</v>
      </c>
      <c r="D6331" s="35" t="s">
        <v>861</v>
      </c>
      <c r="E6331" s="36">
        <v>1.17</v>
      </c>
      <c r="F6331" s="30">
        <v>2.9933977500000002</v>
      </c>
      <c r="G6331" s="53">
        <f>IF(ISNUMBER(F6331),E6331*F6331,"")</f>
        <v>3.5022753674999998</v>
      </c>
      <c r="H6331" s="43"/>
      <c r="I6331" s="39"/>
      <c r="J6331" s="152">
        <v>0</v>
      </c>
    </row>
    <row r="6332" spans="1:10" ht="15.75" hidden="1" thickBot="1" x14ac:dyDescent="0.3">
      <c r="A6332" s="172"/>
      <c r="B6332" s="175"/>
      <c r="C6332" s="35"/>
      <c r="D6332" s="35"/>
      <c r="E6332" s="36"/>
      <c r="F6332" s="30" t="s">
        <v>416</v>
      </c>
      <c r="G6332" s="53"/>
      <c r="H6332" s="43"/>
      <c r="I6332" s="39"/>
      <c r="J6332" s="152">
        <v>0</v>
      </c>
    </row>
    <row r="6333" spans="1:10" ht="15.75" hidden="1" thickBot="1" x14ac:dyDescent="0.3">
      <c r="A6333" s="170" t="s">
        <v>5400</v>
      </c>
      <c r="B6333" s="173" t="str">
        <f>INDEX(Orçamentária!A:B,MATCH(Composições!A6333,Orçamentária!A:A,0),2)</f>
        <v>Canaleta de concreto armado 30 cm x 30 cm com tampa</v>
      </c>
      <c r="C6333" s="40"/>
      <c r="D6333" s="25" t="s">
        <v>69</v>
      </c>
      <c r="E6333" s="26"/>
      <c r="F6333" s="48" t="s">
        <v>416</v>
      </c>
      <c r="G6333" s="27" t="str">
        <f>IF(ISNUMBER(F6333),E6333*F6333,"")</f>
        <v/>
      </c>
      <c r="H6333" s="28"/>
      <c r="I6333" s="29"/>
      <c r="J6333" s="152">
        <v>0</v>
      </c>
    </row>
    <row r="6334" spans="1:10" ht="15.75" hidden="1" thickBot="1" x14ac:dyDescent="0.3">
      <c r="A6334" s="171"/>
      <c r="B6334" s="174"/>
      <c r="C6334" s="31"/>
      <c r="D6334" s="31"/>
      <c r="E6334" s="32"/>
      <c r="F6334" s="53" t="s">
        <v>416</v>
      </c>
      <c r="G6334" s="53" t="str">
        <f>IF(ISNUMBER(F6334),E6334*F6334,"")</f>
        <v/>
      </c>
      <c r="H6334" s="72"/>
      <c r="I6334" s="73"/>
      <c r="J6334" s="152">
        <v>0</v>
      </c>
    </row>
    <row r="6335" spans="1:10" ht="15.75" hidden="1" thickBot="1" x14ac:dyDescent="0.3">
      <c r="A6335" s="171"/>
      <c r="B6335" s="174"/>
      <c r="C6335" s="35" t="s">
        <v>5574</v>
      </c>
      <c r="D6335" s="35" t="s">
        <v>70</v>
      </c>
      <c r="E6335" s="36">
        <v>3.12</v>
      </c>
      <c r="F6335" s="30">
        <v>0</v>
      </c>
      <c r="G6335" s="53">
        <f>IF(ISNUMBER(F6335),E6335*F6335,"")</f>
        <v>0</v>
      </c>
      <c r="H6335" s="38">
        <f>SUM(G6335:G6341)</f>
        <v>16.902874999999998</v>
      </c>
      <c r="I6335" s="39"/>
      <c r="J6335" s="152">
        <v>0</v>
      </c>
    </row>
    <row r="6336" spans="1:10" ht="15.75" hidden="1" thickBot="1" x14ac:dyDescent="0.3">
      <c r="A6336" s="171"/>
      <c r="B6336" s="174"/>
      <c r="C6336" s="35" t="s">
        <v>5575</v>
      </c>
      <c r="D6336" s="35" t="s">
        <v>87</v>
      </c>
      <c r="E6336" s="36">
        <v>0.17299999999999999</v>
      </c>
      <c r="F6336" s="30">
        <v>0</v>
      </c>
      <c r="G6336" s="53">
        <f>IF(ISNUMBER(F6336),E6336*F6336,"")</f>
        <v>0</v>
      </c>
      <c r="H6336" s="43"/>
      <c r="I6336" s="39"/>
      <c r="J6336" s="152">
        <v>0</v>
      </c>
    </row>
    <row r="6337" spans="1:10" ht="15.75" hidden="1" thickBot="1" x14ac:dyDescent="0.3">
      <c r="A6337" s="171"/>
      <c r="B6337" s="174"/>
      <c r="C6337" s="35" t="s">
        <v>5576</v>
      </c>
      <c r="D6337" s="35" t="s">
        <v>70</v>
      </c>
      <c r="E6337" s="36">
        <v>2.56</v>
      </c>
      <c r="F6337" s="30">
        <v>0</v>
      </c>
      <c r="G6337" s="53">
        <f>IF(ISNUMBER(F6337),E6337*F6337,"")</f>
        <v>0</v>
      </c>
      <c r="H6337" s="43"/>
      <c r="I6337" s="39"/>
      <c r="J6337" s="152">
        <v>0</v>
      </c>
    </row>
    <row r="6338" spans="1:10" ht="15.75" hidden="1" thickBot="1" x14ac:dyDescent="0.3">
      <c r="A6338" s="171"/>
      <c r="B6338" s="174"/>
      <c r="C6338" s="35" t="s">
        <v>5577</v>
      </c>
      <c r="D6338" s="35" t="s">
        <v>87</v>
      </c>
      <c r="E6338" s="36">
        <v>3.3000000000000002E-2</v>
      </c>
      <c r="F6338" s="30">
        <v>0</v>
      </c>
      <c r="G6338" s="53">
        <f>IF(ISNUMBER(F6338),E6338*F6338,"")</f>
        <v>0</v>
      </c>
      <c r="H6338" s="43"/>
      <c r="I6338" s="39"/>
      <c r="J6338" s="152">
        <v>0</v>
      </c>
    </row>
    <row r="6339" spans="1:10" ht="15.75" hidden="1" thickBot="1" x14ac:dyDescent="0.3">
      <c r="A6339" s="171"/>
      <c r="B6339" s="174"/>
      <c r="C6339" s="35" t="s">
        <v>591</v>
      </c>
      <c r="D6339" s="35" t="s">
        <v>583</v>
      </c>
      <c r="E6339" s="36">
        <v>0.25</v>
      </c>
      <c r="F6339" s="30">
        <v>27.160499999999999</v>
      </c>
      <c r="G6339" s="53">
        <f>IF(ISNUMBER(F6339),E6339*F6339,"")</f>
        <v>6.7901249999999997</v>
      </c>
      <c r="H6339" s="43"/>
      <c r="I6339" s="39"/>
      <c r="J6339" s="152">
        <v>0</v>
      </c>
    </row>
    <row r="6340" spans="1:10" ht="15.75" hidden="1" thickBot="1" x14ac:dyDescent="0.3">
      <c r="A6340" s="171"/>
      <c r="B6340" s="174"/>
      <c r="C6340" s="35" t="s">
        <v>584</v>
      </c>
      <c r="D6340" s="35" t="s">
        <v>583</v>
      </c>
      <c r="E6340" s="36">
        <v>0.5</v>
      </c>
      <c r="F6340" s="30">
        <v>20.225499999999997</v>
      </c>
      <c r="G6340" s="53">
        <f>IF(ISNUMBER(F6340),E6340*F6340,"")</f>
        <v>10.112749999999998</v>
      </c>
      <c r="H6340" s="43"/>
      <c r="I6340" s="39"/>
      <c r="J6340" s="152">
        <v>0</v>
      </c>
    </row>
    <row r="6341" spans="1:10" ht="15.75" hidden="1" thickBot="1" x14ac:dyDescent="0.3">
      <c r="A6341" s="171"/>
      <c r="B6341" s="174"/>
      <c r="C6341" s="35" t="s">
        <v>5578</v>
      </c>
      <c r="D6341" s="35" t="s">
        <v>16</v>
      </c>
      <c r="E6341" s="36">
        <v>1.7</v>
      </c>
      <c r="F6341" s="30">
        <v>0</v>
      </c>
      <c r="G6341" s="53">
        <f>IF(ISNUMBER(F6341),E6341*F6341,"")</f>
        <v>0</v>
      </c>
      <c r="H6341" s="43"/>
      <c r="I6341" s="39"/>
      <c r="J6341" s="152">
        <v>0</v>
      </c>
    </row>
    <row r="6342" spans="1:10" ht="15.75" hidden="1" thickBot="1" x14ac:dyDescent="0.3">
      <c r="A6342" s="172"/>
      <c r="B6342" s="175"/>
      <c r="C6342" s="35"/>
      <c r="D6342" s="35"/>
      <c r="E6342" s="36"/>
      <c r="F6342" s="30" t="s">
        <v>416</v>
      </c>
      <c r="G6342" s="53"/>
      <c r="H6342" s="43"/>
      <c r="I6342" s="39"/>
      <c r="J6342" s="152">
        <v>0</v>
      </c>
    </row>
    <row r="6343" spans="1:10" ht="15.75" hidden="1" thickBot="1" x14ac:dyDescent="0.3">
      <c r="A6343" s="170" t="s">
        <v>5401</v>
      </c>
      <c r="B6343" s="173" t="str">
        <f>INDEX(Orçamentária!A:B,MATCH(Composições!A6343,Orçamentária!A:A,0),2)</f>
        <v>Remoção de árvore, inclusive raiz</v>
      </c>
      <c r="C6343" s="40"/>
      <c r="D6343" s="25" t="s">
        <v>16</v>
      </c>
      <c r="E6343" s="26"/>
      <c r="F6343" s="48" t="s">
        <v>416</v>
      </c>
      <c r="G6343" s="27" t="str">
        <f>IF(ISNUMBER(F6343),E6343*F6343,"")</f>
        <v/>
      </c>
      <c r="H6343" s="28"/>
      <c r="I6343" s="29"/>
      <c r="J6343" s="152">
        <v>0</v>
      </c>
    </row>
    <row r="6344" spans="1:10" ht="15.75" hidden="1" thickBot="1" x14ac:dyDescent="0.3">
      <c r="A6344" s="171"/>
      <c r="B6344" s="174"/>
      <c r="C6344" s="31"/>
      <c r="D6344" s="31"/>
      <c r="E6344" s="32"/>
      <c r="F6344" s="53" t="s">
        <v>416</v>
      </c>
      <c r="G6344" s="53" t="str">
        <f>IF(ISNUMBER(F6344),E6344*F6344,"")</f>
        <v/>
      </c>
      <c r="H6344" s="72"/>
      <c r="I6344" s="73"/>
      <c r="J6344" s="152">
        <v>0</v>
      </c>
    </row>
    <row r="6345" spans="1:10" ht="15.75" hidden="1" thickBot="1" x14ac:dyDescent="0.3">
      <c r="A6345" s="171"/>
      <c r="B6345" s="174"/>
      <c r="C6345" s="35" t="s">
        <v>584</v>
      </c>
      <c r="D6345" s="35" t="s">
        <v>583</v>
      </c>
      <c r="E6345" s="36">
        <v>1.5444</v>
      </c>
      <c r="F6345" s="30">
        <v>20.225499999999997</v>
      </c>
      <c r="G6345" s="53">
        <f>IF(ISNUMBER(F6345),E6345*F6345,"")</f>
        <v>31.236262199999995</v>
      </c>
      <c r="H6345" s="38">
        <f>SUM(G6345:G6350)</f>
        <v>140.00420940000001</v>
      </c>
      <c r="I6345" s="39"/>
      <c r="J6345" s="152">
        <v>0</v>
      </c>
    </row>
    <row r="6346" spans="1:10" ht="15.75" hidden="1" thickBot="1" x14ac:dyDescent="0.3">
      <c r="A6346" s="171"/>
      <c r="B6346" s="174"/>
      <c r="C6346" s="35" t="s">
        <v>947</v>
      </c>
      <c r="D6346" s="35" t="s">
        <v>583</v>
      </c>
      <c r="E6346" s="36">
        <v>1.5444</v>
      </c>
      <c r="F6346" s="30">
        <v>21.384499999999999</v>
      </c>
      <c r="G6346" s="53">
        <f>IF(ISNUMBER(F6346),E6346*F6346,"")</f>
        <v>33.026221800000002</v>
      </c>
      <c r="H6346" s="43"/>
      <c r="I6346" s="39"/>
      <c r="J6346" s="152">
        <v>0</v>
      </c>
    </row>
    <row r="6347" spans="1:10" ht="64.5" hidden="1" thickBot="1" x14ac:dyDescent="0.3">
      <c r="A6347" s="171"/>
      <c r="B6347" s="174"/>
      <c r="C6347" s="35" t="s">
        <v>2863</v>
      </c>
      <c r="D6347" s="35" t="s">
        <v>813</v>
      </c>
      <c r="E6347" s="36">
        <v>0.1333</v>
      </c>
      <c r="F6347" s="30">
        <v>134.55799999999999</v>
      </c>
      <c r="G6347" s="53">
        <f>IF(ISNUMBER(F6347),E6347*F6347,"")</f>
        <v>17.936581399999998</v>
      </c>
      <c r="H6347" s="43"/>
      <c r="I6347" s="39"/>
      <c r="J6347" s="152">
        <v>0</v>
      </c>
    </row>
    <row r="6348" spans="1:10" ht="64.5" hidden="1" thickBot="1" x14ac:dyDescent="0.3">
      <c r="A6348" s="171"/>
      <c r="B6348" s="174"/>
      <c r="C6348" s="35" t="s">
        <v>2870</v>
      </c>
      <c r="D6348" s="35" t="s">
        <v>815</v>
      </c>
      <c r="E6348" s="36">
        <v>0.54459999999999997</v>
      </c>
      <c r="F6348" s="30">
        <v>54.34</v>
      </c>
      <c r="G6348" s="53">
        <f>IF(ISNUMBER(F6348),E6348*F6348,"")</f>
        <v>29.593564000000001</v>
      </c>
      <c r="H6348" s="43"/>
      <c r="I6348" s="39"/>
      <c r="J6348" s="152">
        <v>0</v>
      </c>
    </row>
    <row r="6349" spans="1:10" ht="15.75" hidden="1" thickBot="1" x14ac:dyDescent="0.3">
      <c r="A6349" s="171"/>
      <c r="B6349" s="174"/>
      <c r="C6349" s="35" t="s">
        <v>584</v>
      </c>
      <c r="D6349" s="35" t="s">
        <v>583</v>
      </c>
      <c r="E6349" s="36">
        <v>0.67800000000000005</v>
      </c>
      <c r="F6349" s="30">
        <v>20.225499999999997</v>
      </c>
      <c r="G6349" s="53">
        <f>IF(ISNUMBER(F6349),E6349*F6349,"")</f>
        <v>13.712888999999999</v>
      </c>
      <c r="H6349" s="43"/>
      <c r="I6349" s="39"/>
      <c r="J6349" s="152">
        <v>0</v>
      </c>
    </row>
    <row r="6350" spans="1:10" ht="15.75" hidden="1" thickBot="1" x14ac:dyDescent="0.3">
      <c r="A6350" s="171"/>
      <c r="B6350" s="174"/>
      <c r="C6350" s="35" t="s">
        <v>947</v>
      </c>
      <c r="D6350" s="35" t="s">
        <v>583</v>
      </c>
      <c r="E6350" s="36">
        <v>0.67800000000000005</v>
      </c>
      <c r="F6350" s="30">
        <v>21.384499999999999</v>
      </c>
      <c r="G6350" s="53">
        <f>IF(ISNUMBER(F6350),E6350*F6350,"")</f>
        <v>14.498691000000001</v>
      </c>
      <c r="H6350" s="43"/>
      <c r="I6350" s="39"/>
      <c r="J6350" s="152">
        <v>0</v>
      </c>
    </row>
    <row r="6351" spans="1:10" ht="15.75" hidden="1" thickBot="1" x14ac:dyDescent="0.3">
      <c r="A6351" s="172"/>
      <c r="B6351" s="175"/>
      <c r="C6351" s="35"/>
      <c r="D6351" s="35"/>
      <c r="E6351" s="36"/>
      <c r="F6351" s="30" t="s">
        <v>416</v>
      </c>
      <c r="G6351" s="53"/>
      <c r="H6351" s="43"/>
      <c r="I6351" s="39"/>
      <c r="J6351" s="152">
        <v>0</v>
      </c>
    </row>
    <row r="6352" spans="1:10" ht="15.75" hidden="1" thickBot="1" x14ac:dyDescent="0.3">
      <c r="A6352" s="170" t="s">
        <v>5402</v>
      </c>
      <c r="B6352" s="173" t="str">
        <f>INDEX(Orçamentária!A:B,MATCH(Composições!A6352,Orçamentária!A:A,0),2)</f>
        <v>Demolição de telhas</v>
      </c>
      <c r="C6352" s="40"/>
      <c r="D6352" s="25" t="s">
        <v>70</v>
      </c>
      <c r="E6352" s="26"/>
      <c r="F6352" s="48" t="s">
        <v>416</v>
      </c>
      <c r="G6352" s="27" t="str">
        <f>IF(ISNUMBER(F6352),E6352*F6352,"")</f>
        <v/>
      </c>
      <c r="H6352" s="28"/>
      <c r="I6352" s="29"/>
      <c r="J6352" s="152">
        <v>0</v>
      </c>
    </row>
    <row r="6353" spans="1:10" ht="15.75" hidden="1" thickBot="1" x14ac:dyDescent="0.3">
      <c r="A6353" s="171"/>
      <c r="B6353" s="174"/>
      <c r="C6353" s="31"/>
      <c r="D6353" s="31"/>
      <c r="E6353" s="32"/>
      <c r="F6353" s="53" t="s">
        <v>416</v>
      </c>
      <c r="G6353" s="53" t="str">
        <f>IF(ISNUMBER(F6353),E6353*F6353,"")</f>
        <v/>
      </c>
      <c r="H6353" s="72"/>
      <c r="I6353" s="73"/>
      <c r="J6353" s="152">
        <v>0</v>
      </c>
    </row>
    <row r="6354" spans="1:10" ht="15.75" hidden="1" thickBot="1" x14ac:dyDescent="0.3">
      <c r="A6354" s="171"/>
      <c r="B6354" s="174"/>
      <c r="C6354" s="35" t="s">
        <v>584</v>
      </c>
      <c r="D6354" s="35" t="s">
        <v>583</v>
      </c>
      <c r="E6354" s="36">
        <v>9.7100000000000006E-2</v>
      </c>
      <c r="F6354" s="30">
        <v>20.225499999999997</v>
      </c>
      <c r="G6354" s="53">
        <f>IF(ISNUMBER(F6354),E6354*F6354,"")</f>
        <v>1.9638960499999998</v>
      </c>
      <c r="H6354" s="38">
        <f>SUM(G6354:G6355)</f>
        <v>3.2755895499999994</v>
      </c>
      <c r="I6354" s="39"/>
      <c r="J6354" s="152">
        <v>0</v>
      </c>
    </row>
    <row r="6355" spans="1:10" ht="15.75" hidden="1" thickBot="1" x14ac:dyDescent="0.3">
      <c r="A6355" s="171"/>
      <c r="B6355" s="174"/>
      <c r="C6355" s="35" t="s">
        <v>1156</v>
      </c>
      <c r="D6355" s="35" t="s">
        <v>583</v>
      </c>
      <c r="E6355" s="36">
        <v>4.9399999999999999E-2</v>
      </c>
      <c r="F6355" s="30">
        <v>26.552499999999998</v>
      </c>
      <c r="G6355" s="53">
        <f>IF(ISNUMBER(F6355),E6355*F6355,"")</f>
        <v>1.3116934999999998</v>
      </c>
      <c r="H6355" s="43"/>
      <c r="I6355" s="39"/>
      <c r="J6355" s="152">
        <v>0</v>
      </c>
    </row>
    <row r="6356" spans="1:10" ht="15.75" hidden="1" thickBot="1" x14ac:dyDescent="0.3">
      <c r="A6356" s="172"/>
      <c r="B6356" s="175"/>
      <c r="C6356" s="35"/>
      <c r="D6356" s="35"/>
      <c r="E6356" s="36"/>
      <c r="F6356" s="30" t="s">
        <v>416</v>
      </c>
      <c r="G6356" s="53"/>
      <c r="H6356" s="43"/>
      <c r="I6356" s="39"/>
      <c r="J6356" s="152">
        <v>0</v>
      </c>
    </row>
    <row r="6357" spans="1:10" ht="15.75" hidden="1" thickBot="1" x14ac:dyDescent="0.3">
      <c r="A6357" s="170" t="s">
        <v>5403</v>
      </c>
      <c r="B6357" s="173" t="str">
        <f>INDEX(Orçamentária!A:B,MATCH(Composições!A6357,Orçamentária!A:A,0),2)</f>
        <v>Locação de obra</v>
      </c>
      <c r="C6357" s="40"/>
      <c r="D6357" s="25" t="s">
        <v>69</v>
      </c>
      <c r="E6357" s="26"/>
      <c r="F6357" s="48" t="s">
        <v>416</v>
      </c>
      <c r="G6357" s="27" t="str">
        <f>IF(ISNUMBER(F6357),E6357*F6357,"")</f>
        <v/>
      </c>
      <c r="H6357" s="28"/>
      <c r="I6357" s="29"/>
      <c r="J6357" s="152">
        <v>0</v>
      </c>
    </row>
    <row r="6358" spans="1:10" ht="15.75" hidden="1" thickBot="1" x14ac:dyDescent="0.3">
      <c r="A6358" s="171"/>
      <c r="B6358" s="174"/>
      <c r="C6358" s="31"/>
      <c r="D6358" s="31"/>
      <c r="E6358" s="32"/>
      <c r="F6358" s="53" t="s">
        <v>416</v>
      </c>
      <c r="G6358" s="53" t="str">
        <f>IF(ISNUMBER(F6358),E6358*F6358,"")</f>
        <v/>
      </c>
      <c r="H6358" s="72"/>
      <c r="I6358" s="73"/>
      <c r="J6358" s="152">
        <v>0</v>
      </c>
    </row>
    <row r="6359" spans="1:10" ht="26.25" hidden="1" thickBot="1" x14ac:dyDescent="0.3">
      <c r="A6359" s="171"/>
      <c r="B6359" s="174"/>
      <c r="C6359" s="35" t="s">
        <v>8542</v>
      </c>
      <c r="D6359" s="35" t="s">
        <v>385</v>
      </c>
      <c r="E6359" s="36">
        <v>0.74450000000000005</v>
      </c>
      <c r="F6359" s="30">
        <v>9.0060000000000002</v>
      </c>
      <c r="G6359" s="53">
        <f>IF(ISNUMBER(F6359),E6359*F6359,"")</f>
        <v>6.7049670000000008</v>
      </c>
      <c r="H6359" s="38">
        <f>SUM(G6359:G6369)</f>
        <v>62.029490244548761</v>
      </c>
      <c r="I6359" s="39"/>
      <c r="J6359" s="152">
        <v>0</v>
      </c>
    </row>
    <row r="6360" spans="1:10" ht="26.25" hidden="1" thickBot="1" x14ac:dyDescent="0.3">
      <c r="A6360" s="171"/>
      <c r="B6360" s="174"/>
      <c r="C6360" s="35" t="s">
        <v>8030</v>
      </c>
      <c r="D6360" s="35" t="s">
        <v>385</v>
      </c>
      <c r="E6360" s="36">
        <v>0.41249999999999998</v>
      </c>
      <c r="F6360" s="30">
        <v>32.375999999999998</v>
      </c>
      <c r="G6360" s="53">
        <f>IF(ISNUMBER(F6360),E6360*F6360,"")</f>
        <v>13.355099999999998</v>
      </c>
      <c r="H6360" s="43"/>
      <c r="I6360" s="39"/>
      <c r="J6360" s="152">
        <v>0</v>
      </c>
    </row>
    <row r="6361" spans="1:10" ht="15.75" hidden="1" thickBot="1" x14ac:dyDescent="0.3">
      <c r="A6361" s="171"/>
      <c r="B6361" s="174"/>
      <c r="C6361" s="35" t="s">
        <v>1219</v>
      </c>
      <c r="D6361" s="35" t="s">
        <v>773</v>
      </c>
      <c r="E6361" s="36">
        <v>0.111</v>
      </c>
      <c r="F6361" s="30">
        <v>21.602999999999998</v>
      </c>
      <c r="G6361" s="53">
        <f>IF(ISNUMBER(F6361),E6361*F6361,"")</f>
        <v>2.3979329999999996</v>
      </c>
      <c r="H6361" s="43"/>
      <c r="I6361" s="39"/>
      <c r="J6361" s="152">
        <v>0</v>
      </c>
    </row>
    <row r="6362" spans="1:10" ht="15.75" hidden="1" thickBot="1" x14ac:dyDescent="0.3">
      <c r="A6362" s="171"/>
      <c r="B6362" s="174"/>
      <c r="C6362" s="35" t="s">
        <v>8442</v>
      </c>
      <c r="D6362" s="35" t="s">
        <v>75</v>
      </c>
      <c r="E6362" s="36">
        <v>2.5600000000000001E-2</v>
      </c>
      <c r="F6362" s="30">
        <v>27.388499999999997</v>
      </c>
      <c r="G6362" s="53">
        <f>IF(ISNUMBER(F6362),E6362*F6362,"")</f>
        <v>0.70114559999999992</v>
      </c>
      <c r="H6362" s="43"/>
      <c r="I6362" s="39"/>
      <c r="J6362" s="152">
        <v>0</v>
      </c>
    </row>
    <row r="6363" spans="1:10" ht="26.25" hidden="1" thickBot="1" x14ac:dyDescent="0.3">
      <c r="A6363" s="171"/>
      <c r="B6363" s="174"/>
      <c r="C6363" s="35" t="s">
        <v>8379</v>
      </c>
      <c r="D6363" s="35" t="s">
        <v>385</v>
      </c>
      <c r="E6363" s="36">
        <v>0.55000000000000004</v>
      </c>
      <c r="F6363" s="30">
        <v>9.2530000000000001</v>
      </c>
      <c r="G6363" s="53">
        <f>IF(ISNUMBER(F6363),E6363*F6363,"")</f>
        <v>5.0891500000000001</v>
      </c>
      <c r="H6363" s="43"/>
      <c r="I6363" s="39"/>
      <c r="J6363" s="152">
        <v>0</v>
      </c>
    </row>
    <row r="6364" spans="1:10" ht="15.75" hidden="1" thickBot="1" x14ac:dyDescent="0.3">
      <c r="A6364" s="171"/>
      <c r="B6364" s="174"/>
      <c r="C6364" s="35" t="s">
        <v>660</v>
      </c>
      <c r="D6364" s="35" t="s">
        <v>583</v>
      </c>
      <c r="E6364" s="36">
        <v>0.35630000000000001</v>
      </c>
      <c r="F6364" s="30">
        <v>21.337</v>
      </c>
      <c r="G6364" s="53">
        <f>IF(ISNUMBER(F6364),E6364*F6364,"")</f>
        <v>7.6023731000000003</v>
      </c>
      <c r="H6364" s="43"/>
      <c r="I6364" s="39"/>
      <c r="J6364" s="152">
        <v>0</v>
      </c>
    </row>
    <row r="6365" spans="1:10" ht="15.75" hidden="1" thickBot="1" x14ac:dyDescent="0.3">
      <c r="A6365" s="171"/>
      <c r="B6365" s="174"/>
      <c r="C6365" s="35" t="s">
        <v>862</v>
      </c>
      <c r="D6365" s="35" t="s">
        <v>583</v>
      </c>
      <c r="E6365" s="36">
        <v>0.71250000000000002</v>
      </c>
      <c r="F6365" s="30">
        <v>26.799499999999998</v>
      </c>
      <c r="G6365" s="53">
        <f>IF(ISNUMBER(F6365),E6365*F6365,"")</f>
        <v>19.094643749999999</v>
      </c>
      <c r="H6365" s="43"/>
      <c r="I6365" s="39"/>
      <c r="J6365" s="152">
        <v>0</v>
      </c>
    </row>
    <row r="6366" spans="1:10" ht="26.25" hidden="1" thickBot="1" x14ac:dyDescent="0.3">
      <c r="A6366" s="171"/>
      <c r="B6366" s="174"/>
      <c r="C6366" s="35" t="s">
        <v>1013</v>
      </c>
      <c r="D6366" s="35" t="s">
        <v>813</v>
      </c>
      <c r="E6366" s="36">
        <v>3.8999999999999998E-3</v>
      </c>
      <c r="F6366" s="30">
        <v>22.210999999999999</v>
      </c>
      <c r="G6366" s="53">
        <f>IF(ISNUMBER(F6366),E6366*F6366,"")</f>
        <v>8.6622899999999989E-2</v>
      </c>
      <c r="H6366" s="43"/>
      <c r="I6366" s="39"/>
      <c r="J6366" s="152">
        <v>0</v>
      </c>
    </row>
    <row r="6367" spans="1:10" ht="26.25" hidden="1" thickBot="1" x14ac:dyDescent="0.3">
      <c r="A6367" s="171"/>
      <c r="B6367" s="174"/>
      <c r="C6367" s="35" t="s">
        <v>1014</v>
      </c>
      <c r="D6367" s="35" t="s">
        <v>815</v>
      </c>
      <c r="E6367" s="36">
        <v>1.6799999999999999E-2</v>
      </c>
      <c r="F6367" s="30">
        <v>21.2895</v>
      </c>
      <c r="G6367" s="53">
        <f>IF(ISNUMBER(F6367),E6367*F6367,"")</f>
        <v>0.35766359999999997</v>
      </c>
      <c r="H6367" s="43"/>
      <c r="I6367" s="39"/>
      <c r="J6367" s="152">
        <v>0</v>
      </c>
    </row>
    <row r="6368" spans="1:10" ht="39" hidden="1" thickBot="1" x14ac:dyDescent="0.3">
      <c r="A6368" s="171"/>
      <c r="B6368" s="174"/>
      <c r="C6368" s="35" t="s">
        <v>5740</v>
      </c>
      <c r="D6368" s="35" t="s">
        <v>87</v>
      </c>
      <c r="E6368" s="36">
        <v>4.5999999999999999E-3</v>
      </c>
      <c r="F6368" s="30">
        <v>631.10580859755498</v>
      </c>
      <c r="G6368" s="53">
        <f>IF(ISNUMBER(F6368),E6368*F6368,"")</f>
        <v>2.9030867195487531</v>
      </c>
      <c r="H6368" s="43"/>
      <c r="I6368" s="39"/>
      <c r="J6368" s="152">
        <v>0</v>
      </c>
    </row>
    <row r="6369" spans="1:10" ht="15.75" hidden="1" thickBot="1" x14ac:dyDescent="0.3">
      <c r="A6369" s="171"/>
      <c r="B6369" s="174"/>
      <c r="C6369" s="35" t="s">
        <v>2900</v>
      </c>
      <c r="D6369" s="35" t="s">
        <v>213</v>
      </c>
      <c r="E6369" s="36">
        <v>1.5</v>
      </c>
      <c r="F6369" s="30">
        <v>2.4912030499999998</v>
      </c>
      <c r="G6369" s="53">
        <f>IF(ISNUMBER(F6369),E6369*F6369,"")</f>
        <v>3.7368045749999999</v>
      </c>
      <c r="H6369" s="43"/>
      <c r="I6369" s="39"/>
      <c r="J6369" s="152">
        <v>0</v>
      </c>
    </row>
    <row r="6370" spans="1:10" ht="15.75" hidden="1" thickBot="1" x14ac:dyDescent="0.3">
      <c r="A6370" s="172"/>
      <c r="B6370" s="175"/>
      <c r="C6370" s="35"/>
      <c r="D6370" s="35"/>
      <c r="E6370" s="36"/>
      <c r="F6370" s="30" t="s">
        <v>416</v>
      </c>
      <c r="G6370" s="53"/>
      <c r="H6370" s="43"/>
      <c r="I6370" s="39"/>
      <c r="J6370" s="152">
        <v>0</v>
      </c>
    </row>
    <row r="6371" spans="1:10" ht="15.75" hidden="1" thickBot="1" x14ac:dyDescent="0.3">
      <c r="A6371" s="170" t="s">
        <v>5404</v>
      </c>
      <c r="B6371" s="173" t="str">
        <f>INDEX(Orçamentária!A:B,MATCH(Composições!A6371,Orçamentária!A:A,0),2)</f>
        <v>Paraciclo metálico para bicicletas</v>
      </c>
      <c r="C6371" s="40"/>
      <c r="D6371" s="25" t="s">
        <v>16</v>
      </c>
      <c r="E6371" s="26"/>
      <c r="F6371" s="48" t="s">
        <v>416</v>
      </c>
      <c r="G6371" s="27" t="str">
        <f>IF(ISNUMBER(F6371),E6371*F6371,"")</f>
        <v/>
      </c>
      <c r="H6371" s="28"/>
      <c r="I6371" s="29"/>
      <c r="J6371" s="152">
        <v>0</v>
      </c>
    </row>
    <row r="6372" spans="1:10" ht="15.75" hidden="1" thickBot="1" x14ac:dyDescent="0.3">
      <c r="A6372" s="171"/>
      <c r="B6372" s="174"/>
      <c r="C6372" s="31"/>
      <c r="D6372" s="31"/>
      <c r="E6372" s="32"/>
      <c r="F6372" s="53" t="s">
        <v>416</v>
      </c>
      <c r="G6372" s="53" t="str">
        <f>IF(ISNUMBER(F6372),E6372*F6372,"")</f>
        <v/>
      </c>
      <c r="H6372" s="72"/>
      <c r="I6372" s="73"/>
      <c r="J6372" s="152">
        <v>0</v>
      </c>
    </row>
    <row r="6373" spans="1:10" ht="26.25" hidden="1" thickBot="1" x14ac:dyDescent="0.3">
      <c r="A6373" s="171"/>
      <c r="B6373" s="174"/>
      <c r="C6373" s="35" t="s">
        <v>5579</v>
      </c>
      <c r="D6373" s="35" t="s">
        <v>213</v>
      </c>
      <c r="E6373" s="36">
        <v>4</v>
      </c>
      <c r="F6373" s="30">
        <v>0</v>
      </c>
      <c r="G6373" s="53">
        <f>IF(ISNUMBER(F6373),E6373*F6373,"")</f>
        <v>0</v>
      </c>
      <c r="H6373" s="38">
        <f>SUM(G6373:G6382)</f>
        <v>270.53158652599996</v>
      </c>
      <c r="I6373" s="39"/>
      <c r="J6373" s="152">
        <v>0</v>
      </c>
    </row>
    <row r="6374" spans="1:10" ht="15.75" hidden="1" thickBot="1" x14ac:dyDescent="0.3">
      <c r="A6374" s="171"/>
      <c r="B6374" s="174"/>
      <c r="C6374" s="35" t="s">
        <v>591</v>
      </c>
      <c r="D6374" s="35" t="s">
        <v>583</v>
      </c>
      <c r="E6374" s="36">
        <v>0.4</v>
      </c>
      <c r="F6374" s="30">
        <v>27.160499999999999</v>
      </c>
      <c r="G6374" s="53">
        <f>IF(ISNUMBER(F6374),E6374*F6374,"")</f>
        <v>10.8642</v>
      </c>
      <c r="H6374" s="43"/>
      <c r="I6374" s="39"/>
      <c r="J6374" s="152">
        <v>0</v>
      </c>
    </row>
    <row r="6375" spans="1:10" ht="15.75" hidden="1" thickBot="1" x14ac:dyDescent="0.3">
      <c r="A6375" s="171"/>
      <c r="B6375" s="174"/>
      <c r="C6375" s="35" t="s">
        <v>1041</v>
      </c>
      <c r="D6375" s="35" t="s">
        <v>583</v>
      </c>
      <c r="E6375" s="36">
        <v>1.5</v>
      </c>
      <c r="F6375" s="30">
        <v>26.970499999999998</v>
      </c>
      <c r="G6375" s="53">
        <f>IF(ISNUMBER(F6375),E6375*F6375,"")</f>
        <v>40.455749999999995</v>
      </c>
      <c r="H6375" s="43"/>
      <c r="I6375" s="39"/>
      <c r="J6375" s="152">
        <v>0</v>
      </c>
    </row>
    <row r="6376" spans="1:10" ht="15.75" hidden="1" thickBot="1" x14ac:dyDescent="0.3">
      <c r="A6376" s="171"/>
      <c r="B6376" s="174"/>
      <c r="C6376" s="35" t="s">
        <v>584</v>
      </c>
      <c r="D6376" s="35" t="s">
        <v>583</v>
      </c>
      <c r="E6376" s="36">
        <v>0.4</v>
      </c>
      <c r="F6376" s="30">
        <v>20.225499999999997</v>
      </c>
      <c r="G6376" s="53">
        <f>IF(ISNUMBER(F6376),E6376*F6376,"")</f>
        <v>8.0901999999999994</v>
      </c>
      <c r="H6376" s="43"/>
      <c r="I6376" s="39"/>
      <c r="J6376" s="152">
        <v>0</v>
      </c>
    </row>
    <row r="6377" spans="1:10" ht="15.75" hidden="1" thickBot="1" x14ac:dyDescent="0.3">
      <c r="A6377" s="171"/>
      <c r="B6377" s="174"/>
      <c r="C6377" s="35" t="s">
        <v>1036</v>
      </c>
      <c r="D6377" s="35" t="s">
        <v>773</v>
      </c>
      <c r="E6377" s="36">
        <f>0.023*74.69</f>
        <v>1.71787</v>
      </c>
      <c r="F6377" s="30">
        <v>11.153</v>
      </c>
      <c r="G6377" s="53">
        <f>IF(ISNUMBER(F6377),E6377*F6377,"")</f>
        <v>19.159404110000001</v>
      </c>
      <c r="H6377" s="43"/>
      <c r="I6377" s="39"/>
      <c r="J6377" s="152">
        <v>0</v>
      </c>
    </row>
    <row r="6378" spans="1:10" ht="26.25" hidden="1" thickBot="1" x14ac:dyDescent="0.3">
      <c r="A6378" s="171"/>
      <c r="B6378" s="174"/>
      <c r="C6378" s="35" t="s">
        <v>8454</v>
      </c>
      <c r="D6378" s="35" t="s">
        <v>385</v>
      </c>
      <c r="E6378" s="36">
        <v>3.05</v>
      </c>
      <c r="F6378" s="30">
        <v>55.973999999999997</v>
      </c>
      <c r="G6378" s="53">
        <f>IF(ISNUMBER(F6378),E6378*F6378,"")</f>
        <v>170.72069999999999</v>
      </c>
      <c r="H6378" s="43"/>
      <c r="I6378" s="39"/>
      <c r="J6378" s="152">
        <v>0</v>
      </c>
    </row>
    <row r="6379" spans="1:10" ht="26.25" hidden="1" thickBot="1" x14ac:dyDescent="0.3">
      <c r="A6379" s="171"/>
      <c r="B6379" s="174"/>
      <c r="C6379" s="35" t="s">
        <v>903</v>
      </c>
      <c r="D6379" s="35" t="s">
        <v>213</v>
      </c>
      <c r="E6379" s="36">
        <v>4</v>
      </c>
      <c r="F6379" s="30">
        <v>2.4224999999999999</v>
      </c>
      <c r="G6379" s="53">
        <f>IF(ISNUMBER(F6379),E6379*F6379,"")</f>
        <v>9.69</v>
      </c>
      <c r="H6379" s="43"/>
      <c r="I6379" s="39"/>
      <c r="J6379" s="152">
        <v>0</v>
      </c>
    </row>
    <row r="6380" spans="1:10" ht="15.75" hidden="1" thickBot="1" x14ac:dyDescent="0.3">
      <c r="A6380" s="171"/>
      <c r="B6380" s="174"/>
      <c r="C6380" s="35" t="s">
        <v>1211</v>
      </c>
      <c r="D6380" s="35" t="s">
        <v>773</v>
      </c>
      <c r="E6380" s="36">
        <v>0.02</v>
      </c>
      <c r="F6380" s="30">
        <v>184.92699999999999</v>
      </c>
      <c r="G6380" s="53">
        <f>IF(ISNUMBER(F6380),E6380*F6380,"")</f>
        <v>3.6985399999999999</v>
      </c>
      <c r="H6380" s="43"/>
      <c r="I6380" s="39"/>
      <c r="J6380" s="152">
        <v>0</v>
      </c>
    </row>
    <row r="6381" spans="1:10" ht="15.75" hidden="1" thickBot="1" x14ac:dyDescent="0.3">
      <c r="A6381" s="171"/>
      <c r="B6381" s="174"/>
      <c r="C6381" s="35" t="s">
        <v>956</v>
      </c>
      <c r="D6381" s="35" t="s">
        <v>583</v>
      </c>
      <c r="E6381" s="36">
        <f>0.5708*0.48</f>
        <v>0.27398399999999995</v>
      </c>
      <c r="F6381" s="30">
        <v>28.6615</v>
      </c>
      <c r="G6381" s="53">
        <f>IF(ISNUMBER(F6381),E6381*F6381,"")</f>
        <v>7.8527924159999989</v>
      </c>
      <c r="H6381" s="43"/>
      <c r="I6381" s="39"/>
      <c r="J6381" s="152">
        <v>0</v>
      </c>
    </row>
    <row r="6382" spans="1:10" ht="15.75" hidden="1" thickBot="1" x14ac:dyDescent="0.3">
      <c r="A6382" s="171"/>
      <c r="B6382" s="174"/>
      <c r="C6382" s="35" t="s">
        <v>145</v>
      </c>
      <c r="D6382" s="49" t="s">
        <v>75</v>
      </c>
      <c r="E6382" s="36">
        <f>ROUND(0.48*3*3.6/75,4)</f>
        <v>6.9099999999999995E-2</v>
      </c>
      <c r="F6382" s="30" t="s">
        <v>416</v>
      </c>
      <c r="G6382" s="53" t="str">
        <f>IF(ISNUMBER(F6382),E6382*F6382,"")</f>
        <v/>
      </c>
      <c r="H6382" s="43"/>
      <c r="I6382" s="39"/>
      <c r="J6382" s="152">
        <v>0</v>
      </c>
    </row>
    <row r="6383" spans="1:10" ht="15.75" hidden="1" thickBot="1" x14ac:dyDescent="0.3">
      <c r="A6383" s="171"/>
      <c r="B6383" s="174"/>
      <c r="C6383" s="35"/>
      <c r="D6383" s="35"/>
      <c r="E6383" s="36"/>
      <c r="F6383" s="30" t="s">
        <v>416</v>
      </c>
      <c r="G6383" s="53"/>
      <c r="H6383" s="43"/>
      <c r="I6383" s="39"/>
      <c r="J6383" s="152">
        <v>0</v>
      </c>
    </row>
    <row r="6384" spans="1:10" ht="39" hidden="1" thickBot="1" x14ac:dyDescent="0.3">
      <c r="A6384" s="171"/>
      <c r="B6384" s="174"/>
      <c r="C6384" s="51" t="s">
        <v>2953</v>
      </c>
      <c r="D6384" s="35"/>
      <c r="E6384" s="36"/>
      <c r="F6384" s="30" t="s">
        <v>416</v>
      </c>
      <c r="G6384" s="53"/>
      <c r="H6384" s="43"/>
      <c r="I6384" s="39"/>
      <c r="J6384" s="152">
        <v>0</v>
      </c>
    </row>
    <row r="6385" spans="1:10" ht="15.75" hidden="1" thickBot="1" x14ac:dyDescent="0.3">
      <c r="A6385" s="172"/>
      <c r="B6385" s="175"/>
      <c r="C6385" s="35"/>
      <c r="D6385" s="35"/>
      <c r="E6385" s="36"/>
      <c r="F6385" s="30" t="s">
        <v>416</v>
      </c>
      <c r="G6385" s="53"/>
      <c r="H6385" s="43"/>
      <c r="I6385" s="39"/>
      <c r="J6385" s="152">
        <v>0</v>
      </c>
    </row>
    <row r="6386" spans="1:10" ht="15.75" hidden="1" thickBot="1" x14ac:dyDescent="0.3">
      <c r="A6386" s="170" t="s">
        <v>5406</v>
      </c>
      <c r="B6386" s="173" t="str">
        <f>INDEX(Orçamentária!A:B,MATCH(Composições!A6386,Orçamentária!A:A,0),2)</f>
        <v>Poste reto 5 metros – fornecimento e instalação</v>
      </c>
      <c r="C6386" s="40"/>
      <c r="D6386" s="25" t="s">
        <v>16</v>
      </c>
      <c r="E6386" s="26"/>
      <c r="F6386" s="41" t="s">
        <v>416</v>
      </c>
      <c r="G6386" s="27" t="str">
        <f>IF(ISNUMBER(F6386),E6386*F6386,"")</f>
        <v/>
      </c>
      <c r="H6386" s="28"/>
      <c r="I6386" s="29"/>
      <c r="J6386" s="152">
        <v>0</v>
      </c>
    </row>
    <row r="6387" spans="1:10" ht="15.75" hidden="1" thickBot="1" x14ac:dyDescent="0.3">
      <c r="A6387" s="176"/>
      <c r="B6387" s="174"/>
      <c r="C6387" s="31"/>
      <c r="D6387" s="31"/>
      <c r="E6387" s="32"/>
      <c r="F6387" s="42" t="s">
        <v>416</v>
      </c>
      <c r="G6387" s="30" t="str">
        <f>IF(ISNUMBER(F6387),E6387*F6387,"")</f>
        <v/>
      </c>
      <c r="H6387" s="34"/>
      <c r="I6387" s="30"/>
      <c r="J6387" s="152">
        <v>0</v>
      </c>
    </row>
    <row r="6388" spans="1:10" ht="26.25" hidden="1" thickBot="1" x14ac:dyDescent="0.3">
      <c r="A6388" s="176"/>
      <c r="B6388" s="174"/>
      <c r="C6388" s="35" t="s">
        <v>5580</v>
      </c>
      <c r="D6388" s="35" t="s">
        <v>213</v>
      </c>
      <c r="E6388" s="36">
        <v>1</v>
      </c>
      <c r="F6388" s="33" t="s">
        <v>416</v>
      </c>
      <c r="G6388" s="30" t="str">
        <f>IF(ISNUMBER(F6388),E6388*F6388,"")</f>
        <v/>
      </c>
      <c r="H6388" s="38">
        <f>SUM(G6388:G6391)</f>
        <v>90.954102000000006</v>
      </c>
      <c r="I6388" s="39"/>
      <c r="J6388" s="152">
        <v>0</v>
      </c>
    </row>
    <row r="6389" spans="1:10" ht="51.75" hidden="1" thickBot="1" x14ac:dyDescent="0.3">
      <c r="A6389" s="176"/>
      <c r="B6389" s="174"/>
      <c r="C6389" s="35" t="s">
        <v>2864</v>
      </c>
      <c r="D6389" s="35" t="s">
        <v>813</v>
      </c>
      <c r="E6389" s="36">
        <v>0.111</v>
      </c>
      <c r="F6389" s="33">
        <v>252.10149999999999</v>
      </c>
      <c r="G6389" s="30">
        <f>IF(ISNUMBER(F6389),E6389*F6389,"")</f>
        <v>27.983266499999999</v>
      </c>
      <c r="H6389" s="44"/>
      <c r="I6389" s="45"/>
      <c r="J6389" s="152">
        <v>0</v>
      </c>
    </row>
    <row r="6390" spans="1:10" ht="15.75" hidden="1" thickBot="1" x14ac:dyDescent="0.3">
      <c r="A6390" s="176"/>
      <c r="B6390" s="174"/>
      <c r="C6390" s="35" t="s">
        <v>1017</v>
      </c>
      <c r="D6390" s="35" t="s">
        <v>583</v>
      </c>
      <c r="E6390" s="36">
        <f>1.124/2</f>
        <v>0.56200000000000006</v>
      </c>
      <c r="F6390" s="33">
        <v>21.584</v>
      </c>
      <c r="G6390" s="30">
        <f>IF(ISNUMBER(F6390),E6390*F6390,"")</f>
        <v>12.130208000000001</v>
      </c>
      <c r="H6390" s="44"/>
      <c r="I6390" s="45"/>
      <c r="J6390" s="152">
        <v>0</v>
      </c>
    </row>
    <row r="6391" spans="1:10" ht="15.75" hidden="1" thickBot="1" x14ac:dyDescent="0.3">
      <c r="A6391" s="176"/>
      <c r="B6391" s="174"/>
      <c r="C6391" s="35" t="s">
        <v>1018</v>
      </c>
      <c r="D6391" s="35" t="s">
        <v>583</v>
      </c>
      <c r="E6391" s="36">
        <f>3.653/2</f>
        <v>1.8265</v>
      </c>
      <c r="F6391" s="30">
        <v>27.835000000000001</v>
      </c>
      <c r="G6391" s="30">
        <f>IF(ISNUMBER(F6391),E6391*F6391,"")</f>
        <v>50.840627500000004</v>
      </c>
      <c r="H6391" s="34"/>
      <c r="I6391" s="30"/>
      <c r="J6391" s="152">
        <v>0</v>
      </c>
    </row>
    <row r="6392" spans="1:10" ht="15.75" hidden="1" thickBot="1" x14ac:dyDescent="0.3">
      <c r="A6392" s="177"/>
      <c r="B6392" s="175"/>
      <c r="C6392" s="35"/>
      <c r="D6392" s="35"/>
      <c r="E6392" s="36"/>
      <c r="F6392" s="30" t="s">
        <v>416</v>
      </c>
      <c r="G6392" s="30" t="str">
        <f>IF(ISNUMBER(F6392),E6392*F6392,"")</f>
        <v/>
      </c>
      <c r="H6392" s="34"/>
      <c r="I6392" s="30"/>
      <c r="J6392" s="152">
        <v>0</v>
      </c>
    </row>
    <row r="6393" spans="1:10" ht="15.75" hidden="1" thickBot="1" x14ac:dyDescent="0.3">
      <c r="A6393" s="170" t="s">
        <v>5407</v>
      </c>
      <c r="B6393" s="173" t="str">
        <f>INDEX(Orçamentária!A:B,MATCH(Composições!A6393,Orçamentária!A:A,0),2)</f>
        <v>Suporte para luminária de poste simples – fornecimento e instalação</v>
      </c>
      <c r="C6393" s="40"/>
      <c r="D6393" s="25" t="s">
        <v>16</v>
      </c>
      <c r="E6393" s="26"/>
      <c r="F6393" s="41" t="s">
        <v>416</v>
      </c>
      <c r="G6393" s="27" t="str">
        <f>IF(ISNUMBER(F6393),E6393*F6393,"")</f>
        <v/>
      </c>
      <c r="H6393" s="28"/>
      <c r="I6393" s="29"/>
      <c r="J6393" s="152">
        <v>0</v>
      </c>
    </row>
    <row r="6394" spans="1:10" ht="15.75" hidden="1" thickBot="1" x14ac:dyDescent="0.3">
      <c r="A6394" s="176"/>
      <c r="B6394" s="174"/>
      <c r="C6394" s="31"/>
      <c r="D6394" s="31"/>
      <c r="E6394" s="32"/>
      <c r="F6394" s="42" t="s">
        <v>416</v>
      </c>
      <c r="G6394" s="30" t="str">
        <f>IF(ISNUMBER(F6394),E6394*F6394,"")</f>
        <v/>
      </c>
      <c r="H6394" s="34"/>
      <c r="I6394" s="30"/>
      <c r="J6394" s="152">
        <v>0</v>
      </c>
    </row>
    <row r="6395" spans="1:10" ht="26.25" hidden="1" thickBot="1" x14ac:dyDescent="0.3">
      <c r="A6395" s="176"/>
      <c r="B6395" s="174"/>
      <c r="C6395" s="35" t="s">
        <v>6945</v>
      </c>
      <c r="D6395" s="35" t="s">
        <v>213</v>
      </c>
      <c r="E6395" s="36">
        <v>1</v>
      </c>
      <c r="F6395" s="33">
        <v>0</v>
      </c>
      <c r="G6395" s="30">
        <f>IF(ISNUMBER(F6395),E6395*F6395,"")</f>
        <v>0</v>
      </c>
      <c r="H6395" s="38">
        <f>SUM(G6395:G6397)</f>
        <v>12.354749999999999</v>
      </c>
      <c r="I6395" s="39"/>
      <c r="J6395" s="152">
        <v>0</v>
      </c>
    </row>
    <row r="6396" spans="1:10" ht="15.75" hidden="1" thickBot="1" x14ac:dyDescent="0.3">
      <c r="A6396" s="176"/>
      <c r="B6396" s="174"/>
      <c r="C6396" s="35" t="s">
        <v>1017</v>
      </c>
      <c r="D6396" s="35" t="s">
        <v>583</v>
      </c>
      <c r="E6396" s="36">
        <v>0.25</v>
      </c>
      <c r="F6396" s="33">
        <v>21.584</v>
      </c>
      <c r="G6396" s="30">
        <f>IF(ISNUMBER(F6396),E6396*F6396,"")</f>
        <v>5.3959999999999999</v>
      </c>
      <c r="H6396" s="44"/>
      <c r="I6396" s="45"/>
      <c r="J6396" s="152">
        <v>0</v>
      </c>
    </row>
    <row r="6397" spans="1:10" ht="15.75" hidden="1" thickBot="1" x14ac:dyDescent="0.3">
      <c r="A6397" s="176"/>
      <c r="B6397" s="174"/>
      <c r="C6397" s="35" t="s">
        <v>1018</v>
      </c>
      <c r="D6397" s="35" t="s">
        <v>583</v>
      </c>
      <c r="E6397" s="36">
        <v>0.25</v>
      </c>
      <c r="F6397" s="30">
        <v>27.835000000000001</v>
      </c>
      <c r="G6397" s="30">
        <f>IF(ISNUMBER(F6397),E6397*F6397,"")</f>
        <v>6.9587500000000002</v>
      </c>
      <c r="H6397" s="34"/>
      <c r="I6397" s="30"/>
      <c r="J6397" s="152">
        <v>0</v>
      </c>
    </row>
    <row r="6398" spans="1:10" ht="15.75" hidden="1" thickBot="1" x14ac:dyDescent="0.3">
      <c r="A6398" s="177"/>
      <c r="B6398" s="175"/>
      <c r="C6398" s="54"/>
      <c r="D6398" s="54"/>
      <c r="E6398" s="65"/>
      <c r="F6398" s="66" t="s">
        <v>416</v>
      </c>
      <c r="G6398" s="66" t="str">
        <f>IF(ISNUMBER(F6398),E6398*F6398,"")</f>
        <v/>
      </c>
      <c r="H6398" s="68"/>
      <c r="I6398" s="30"/>
      <c r="J6398" s="152">
        <v>0</v>
      </c>
    </row>
    <row r="6399" spans="1:10" ht="15.75" hidden="1" thickBot="1" x14ac:dyDescent="0.3">
      <c r="A6399" s="170" t="s">
        <v>5747</v>
      </c>
      <c r="B6399" s="173" t="str">
        <f>INDEX(Orçamentária!A:B,MATCH(Composições!A6399,Orçamentária!A:A,0),2)</f>
        <v>Tubo de aço-carbono galvanizado 2 1/2”</v>
      </c>
      <c r="C6399" s="40"/>
      <c r="D6399" s="25" t="s">
        <v>69</v>
      </c>
      <c r="E6399" s="26"/>
      <c r="F6399" s="41" t="s">
        <v>416</v>
      </c>
      <c r="G6399" s="27" t="str">
        <f>IF(ISNUMBER(F6399),E6399*F6399,"")</f>
        <v/>
      </c>
      <c r="H6399" s="28"/>
      <c r="I6399" s="29"/>
      <c r="J6399" s="152">
        <v>0</v>
      </c>
    </row>
    <row r="6400" spans="1:10" ht="15.75" hidden="1" thickBot="1" x14ac:dyDescent="0.3">
      <c r="A6400" s="176"/>
      <c r="B6400" s="174"/>
      <c r="C6400" s="31"/>
      <c r="D6400" s="31"/>
      <c r="E6400" s="32"/>
      <c r="F6400" s="42" t="s">
        <v>416</v>
      </c>
      <c r="G6400" s="30" t="str">
        <f>IF(ISNUMBER(F6400),E6400*F6400,"")</f>
        <v/>
      </c>
      <c r="H6400" s="34"/>
      <c r="I6400" s="30"/>
      <c r="J6400" s="152">
        <v>0</v>
      </c>
    </row>
    <row r="6401" spans="1:10" ht="26.25" hidden="1" thickBot="1" x14ac:dyDescent="0.3">
      <c r="A6401" s="176"/>
      <c r="B6401" s="174"/>
      <c r="C6401" s="35" t="s">
        <v>825</v>
      </c>
      <c r="D6401" s="35" t="s">
        <v>583</v>
      </c>
      <c r="E6401" s="36">
        <v>0.13</v>
      </c>
      <c r="F6401" s="33">
        <v>26.799499999999998</v>
      </c>
      <c r="G6401" s="30">
        <f>IF(ISNUMBER(F6401),E6401*F6401,"")</f>
        <v>3.4839349999999998</v>
      </c>
      <c r="H6401" s="38">
        <f>SUM(G6401:G6404)</f>
        <v>104.06921299999998</v>
      </c>
      <c r="I6401" s="39"/>
      <c r="J6401" s="152">
        <v>0</v>
      </c>
    </row>
    <row r="6402" spans="1:10" ht="26.25" hidden="1" thickBot="1" x14ac:dyDescent="0.3">
      <c r="A6402" s="176"/>
      <c r="B6402" s="174"/>
      <c r="C6402" s="35" t="s">
        <v>824</v>
      </c>
      <c r="D6402" s="35" t="s">
        <v>583</v>
      </c>
      <c r="E6402" s="36">
        <v>0.13</v>
      </c>
      <c r="F6402" s="33">
        <v>21.166</v>
      </c>
      <c r="G6402" s="30">
        <f>IF(ISNUMBER(F6402),E6402*F6402,"")</f>
        <v>2.7515800000000001</v>
      </c>
      <c r="H6402" s="44"/>
      <c r="I6402" s="45"/>
      <c r="J6402" s="152">
        <v>0</v>
      </c>
    </row>
    <row r="6403" spans="1:10" ht="15.75" hidden="1" thickBot="1" x14ac:dyDescent="0.3">
      <c r="A6403" s="176"/>
      <c r="B6403" s="174"/>
      <c r="C6403" s="35" t="s">
        <v>2908</v>
      </c>
      <c r="D6403" s="35" t="s">
        <v>583</v>
      </c>
      <c r="E6403" s="36">
        <v>0.13</v>
      </c>
      <c r="F6403" s="33">
        <v>27.7685</v>
      </c>
      <c r="G6403" s="30">
        <f>IF(ISNUMBER(F6403),E6403*F6403,"")</f>
        <v>3.6099049999999999</v>
      </c>
      <c r="H6403" s="44"/>
      <c r="I6403" s="45"/>
      <c r="J6403" s="152">
        <v>0</v>
      </c>
    </row>
    <row r="6404" spans="1:10" ht="26.25" hidden="1" thickBot="1" x14ac:dyDescent="0.3">
      <c r="A6404" s="176"/>
      <c r="B6404" s="174"/>
      <c r="C6404" s="35" t="s">
        <v>8453</v>
      </c>
      <c r="D6404" s="35" t="s">
        <v>385</v>
      </c>
      <c r="E6404" s="36">
        <v>1.0389999999999999</v>
      </c>
      <c r="F6404" s="30">
        <v>90.686999999999983</v>
      </c>
      <c r="G6404" s="30">
        <f>IF(ISNUMBER(F6404),E6404*F6404,"")</f>
        <v>94.223792999999972</v>
      </c>
      <c r="H6404" s="34"/>
      <c r="I6404" s="30"/>
      <c r="J6404" s="152">
        <v>0</v>
      </c>
    </row>
    <row r="6405" spans="1:10" ht="15.75" hidden="1" thickBot="1" x14ac:dyDescent="0.3">
      <c r="A6405" s="177"/>
      <c r="B6405" s="175"/>
      <c r="C6405" s="35"/>
      <c r="D6405" s="35"/>
      <c r="E6405" s="36"/>
      <c r="F6405" s="30" t="s">
        <v>416</v>
      </c>
      <c r="G6405" s="30" t="str">
        <f>IF(ISNUMBER(F6405),E6405*F6405,"")</f>
        <v/>
      </c>
      <c r="H6405" s="34"/>
      <c r="I6405" s="30"/>
      <c r="J6405" s="152">
        <v>0</v>
      </c>
    </row>
    <row r="6406" spans="1:10" ht="15.75" hidden="1" thickBot="1" x14ac:dyDescent="0.3">
      <c r="A6406" s="170" t="s">
        <v>5748</v>
      </c>
      <c r="B6406" s="173" t="str">
        <f>INDEX(Orçamentária!A:B,MATCH(Composições!A6406,Orçamentária!A:A,0),2)</f>
        <v>Remoção de Caixa de Hidrante e acessórios para aproveitamento</v>
      </c>
      <c r="C6406" s="40"/>
      <c r="D6406" s="25" t="s">
        <v>16</v>
      </c>
      <c r="E6406" s="26"/>
      <c r="F6406" s="41" t="s">
        <v>416</v>
      </c>
      <c r="G6406" s="27" t="str">
        <f>IF(ISNUMBER(F6406),E6406*F6406,"")</f>
        <v/>
      </c>
      <c r="H6406" s="28"/>
      <c r="I6406" s="29"/>
      <c r="J6406" s="152">
        <v>0</v>
      </c>
    </row>
    <row r="6407" spans="1:10" ht="15.75" hidden="1" thickBot="1" x14ac:dyDescent="0.3">
      <c r="A6407" s="176"/>
      <c r="B6407" s="174"/>
      <c r="C6407" s="31"/>
      <c r="D6407" s="31"/>
      <c r="E6407" s="32"/>
      <c r="F6407" s="42" t="s">
        <v>416</v>
      </c>
      <c r="G6407" s="30" t="str">
        <f>IF(ISNUMBER(F6407),E6407*F6407,"")</f>
        <v/>
      </c>
      <c r="H6407" s="34"/>
      <c r="I6407" s="30"/>
      <c r="J6407" s="152">
        <v>0</v>
      </c>
    </row>
    <row r="6408" spans="1:10" ht="26.25" hidden="1" thickBot="1" x14ac:dyDescent="0.3">
      <c r="A6408" s="176"/>
      <c r="B6408" s="174"/>
      <c r="C6408" s="35" t="s">
        <v>825</v>
      </c>
      <c r="D6408" s="35" t="s">
        <v>583</v>
      </c>
      <c r="E6408" s="36">
        <v>3</v>
      </c>
      <c r="F6408" s="30">
        <v>26.799499999999998</v>
      </c>
      <c r="G6408" s="30">
        <f>IF(ISNUMBER(F6408),E6408*F6408,"")</f>
        <v>80.398499999999999</v>
      </c>
      <c r="H6408" s="38">
        <f>SUM(G6408:G6408)</f>
        <v>80.398499999999999</v>
      </c>
      <c r="I6408" s="39"/>
      <c r="J6408" s="152">
        <v>0</v>
      </c>
    </row>
    <row r="6409" spans="1:10" ht="15.75" hidden="1" thickBot="1" x14ac:dyDescent="0.3">
      <c r="A6409" s="177"/>
      <c r="B6409" s="175"/>
      <c r="C6409" s="54"/>
      <c r="D6409" s="54"/>
      <c r="E6409" s="65"/>
      <c r="F6409" s="66" t="s">
        <v>416</v>
      </c>
      <c r="G6409" s="66" t="str">
        <f>IF(ISNUMBER(F6409),E6409*F6409,"")</f>
        <v/>
      </c>
      <c r="H6409" s="68"/>
      <c r="I6409" s="30"/>
      <c r="J6409" s="152">
        <v>0</v>
      </c>
    </row>
    <row r="6410" spans="1:10" ht="15.75" hidden="1" thickBot="1" x14ac:dyDescent="0.3">
      <c r="A6410" s="170" t="s">
        <v>5749</v>
      </c>
      <c r="B6410" s="173" t="str">
        <f>INDEX(Orçamentária!A:B,MATCH(Composições!A6410,Orçamentária!A:A,0),2)</f>
        <v>Instalação de Caixa de Hidrante e acessórios reaproveitados</v>
      </c>
      <c r="C6410" s="40"/>
      <c r="D6410" s="25" t="s">
        <v>16</v>
      </c>
      <c r="E6410" s="26"/>
      <c r="F6410" s="41" t="s">
        <v>416</v>
      </c>
      <c r="G6410" s="27" t="str">
        <f>IF(ISNUMBER(F6410),E6410*F6410,"")</f>
        <v/>
      </c>
      <c r="H6410" s="28"/>
      <c r="I6410" s="29"/>
      <c r="J6410" s="152">
        <v>0</v>
      </c>
    </row>
    <row r="6411" spans="1:10" ht="15.75" hidden="1" thickBot="1" x14ac:dyDescent="0.3">
      <c r="A6411" s="176"/>
      <c r="B6411" s="174"/>
      <c r="C6411" s="31"/>
      <c r="D6411" s="31"/>
      <c r="E6411" s="32"/>
      <c r="F6411" s="42" t="s">
        <v>416</v>
      </c>
      <c r="G6411" s="30" t="str">
        <f>IF(ISNUMBER(F6411),E6411*F6411,"")</f>
        <v/>
      </c>
      <c r="H6411" s="34"/>
      <c r="I6411" s="30"/>
      <c r="J6411" s="152">
        <v>0</v>
      </c>
    </row>
    <row r="6412" spans="1:10" ht="26.25" hidden="1" thickBot="1" x14ac:dyDescent="0.3">
      <c r="A6412" s="176"/>
      <c r="B6412" s="174"/>
      <c r="C6412" s="35" t="s">
        <v>825</v>
      </c>
      <c r="D6412" s="35" t="s">
        <v>583</v>
      </c>
      <c r="E6412" s="36">
        <v>5.2</v>
      </c>
      <c r="F6412" s="33">
        <v>26.799499999999998</v>
      </c>
      <c r="G6412" s="30">
        <f>IF(ISNUMBER(F6412),E6412*F6412,"")</f>
        <v>139.35739999999998</v>
      </c>
      <c r="H6412" s="38">
        <f>SUM(G6412:G6413)</f>
        <v>249.42059999999998</v>
      </c>
      <c r="I6412" s="39"/>
      <c r="J6412" s="152">
        <v>0</v>
      </c>
    </row>
    <row r="6413" spans="1:10" ht="26.25" hidden="1" thickBot="1" x14ac:dyDescent="0.3">
      <c r="A6413" s="176"/>
      <c r="B6413" s="174"/>
      <c r="C6413" s="35" t="s">
        <v>824</v>
      </c>
      <c r="D6413" s="35" t="s">
        <v>583</v>
      </c>
      <c r="E6413" s="36">
        <v>5.2</v>
      </c>
      <c r="F6413" s="30">
        <v>21.166</v>
      </c>
      <c r="G6413" s="30">
        <f>IF(ISNUMBER(F6413),E6413*F6413,"")</f>
        <v>110.06320000000001</v>
      </c>
      <c r="H6413" s="34"/>
      <c r="I6413" s="30"/>
      <c r="J6413" s="152">
        <v>0</v>
      </c>
    </row>
    <row r="6414" spans="1:10" ht="15.75" hidden="1" thickBot="1" x14ac:dyDescent="0.3">
      <c r="A6414" s="177"/>
      <c r="B6414" s="175"/>
      <c r="C6414" s="54"/>
      <c r="D6414" s="54"/>
      <c r="E6414" s="65"/>
      <c r="F6414" s="66" t="s">
        <v>416</v>
      </c>
      <c r="G6414" s="66" t="str">
        <f>IF(ISNUMBER(F6414),E6414*F6414,"")</f>
        <v/>
      </c>
      <c r="H6414" s="68"/>
      <c r="I6414" s="30"/>
      <c r="J6414" s="152">
        <v>0</v>
      </c>
    </row>
    <row r="6415" spans="1:10" ht="15.75" hidden="1" thickBot="1" x14ac:dyDescent="0.3">
      <c r="A6415" s="170" t="s">
        <v>5750</v>
      </c>
      <c r="B6415" s="173" t="str">
        <f>INDEX(Orçamentária!A:B,MATCH(Composições!A6415,Orçamentária!A:A,0),2)</f>
        <v>Remoção de Mesa de Granito e acessórios para aproveitamento</v>
      </c>
      <c r="C6415" s="40"/>
      <c r="D6415" s="25" t="s">
        <v>16</v>
      </c>
      <c r="E6415" s="26"/>
      <c r="F6415" s="41" t="s">
        <v>416</v>
      </c>
      <c r="G6415" s="27" t="str">
        <f>IF(ISNUMBER(F6415),E6415*F6415,"")</f>
        <v/>
      </c>
      <c r="H6415" s="28"/>
      <c r="I6415" s="29"/>
      <c r="J6415" s="152">
        <v>0</v>
      </c>
    </row>
    <row r="6416" spans="1:10" ht="15.75" hidden="1" thickBot="1" x14ac:dyDescent="0.3">
      <c r="A6416" s="176"/>
      <c r="B6416" s="174"/>
      <c r="C6416" s="31"/>
      <c r="D6416" s="31"/>
      <c r="E6416" s="32"/>
      <c r="F6416" s="42" t="s">
        <v>416</v>
      </c>
      <c r="G6416" s="30" t="str">
        <f>IF(ISNUMBER(F6416),E6416*F6416,"")</f>
        <v/>
      </c>
      <c r="H6416" s="34"/>
      <c r="I6416" s="30"/>
      <c r="J6416" s="152">
        <v>0</v>
      </c>
    </row>
    <row r="6417" spans="1:10" ht="15.75" hidden="1" thickBot="1" x14ac:dyDescent="0.3">
      <c r="A6417" s="176"/>
      <c r="B6417" s="174"/>
      <c r="C6417" s="35" t="s">
        <v>584</v>
      </c>
      <c r="D6417" s="35" t="s">
        <v>583</v>
      </c>
      <c r="E6417" s="36">
        <v>0.9</v>
      </c>
      <c r="F6417" s="30">
        <v>20.225499999999997</v>
      </c>
      <c r="G6417" s="30">
        <f>IF(ISNUMBER(F6417),E6417*F6417,"")</f>
        <v>18.202949999999998</v>
      </c>
      <c r="H6417" s="38">
        <f>SUM(G6417:G6417)</f>
        <v>18.202949999999998</v>
      </c>
      <c r="I6417" s="39"/>
      <c r="J6417" s="152">
        <v>0</v>
      </c>
    </row>
    <row r="6418" spans="1:10" ht="15.75" hidden="1" thickBot="1" x14ac:dyDescent="0.3">
      <c r="A6418" s="177"/>
      <c r="B6418" s="175"/>
      <c r="C6418" s="54"/>
      <c r="D6418" s="54"/>
      <c r="E6418" s="65"/>
      <c r="F6418" s="66" t="s">
        <v>416</v>
      </c>
      <c r="G6418" s="66" t="str">
        <f>IF(ISNUMBER(F6418),E6418*F6418,"")</f>
        <v/>
      </c>
      <c r="H6418" s="68"/>
      <c r="I6418" s="30"/>
      <c r="J6418" s="152">
        <v>0</v>
      </c>
    </row>
    <row r="6419" spans="1:10" ht="15.75" hidden="1" thickBot="1" x14ac:dyDescent="0.3">
      <c r="A6419" s="170" t="s">
        <v>5751</v>
      </c>
      <c r="B6419" s="173" t="str">
        <f>INDEX(Orçamentária!A:B,MATCH(Composições!A6419,Orçamentária!A:A,0),2)</f>
        <v>Instalação de Mesa de Granito e acessórios reaproveitados</v>
      </c>
      <c r="C6419" s="40"/>
      <c r="D6419" s="25" t="s">
        <v>16</v>
      </c>
      <c r="E6419" s="26"/>
      <c r="F6419" s="41" t="s">
        <v>416</v>
      </c>
      <c r="G6419" s="27" t="str">
        <f>IF(ISNUMBER(F6419),E6419*F6419,"")</f>
        <v/>
      </c>
      <c r="H6419" s="28"/>
      <c r="I6419" s="29"/>
      <c r="J6419" s="152">
        <v>0</v>
      </c>
    </row>
    <row r="6420" spans="1:10" ht="15.75" hidden="1" thickBot="1" x14ac:dyDescent="0.3">
      <c r="A6420" s="176"/>
      <c r="B6420" s="174"/>
      <c r="C6420" s="31"/>
      <c r="D6420" s="31"/>
      <c r="E6420" s="32"/>
      <c r="F6420" s="42" t="s">
        <v>416</v>
      </c>
      <c r="G6420" s="30" t="str">
        <f>IF(ISNUMBER(F6420),E6420*F6420,"")</f>
        <v/>
      </c>
      <c r="H6420" s="34"/>
      <c r="I6420" s="30"/>
      <c r="J6420" s="152">
        <v>0</v>
      </c>
    </row>
    <row r="6421" spans="1:10" ht="15.75" hidden="1" thickBot="1" x14ac:dyDescent="0.3">
      <c r="A6421" s="176"/>
      <c r="B6421" s="174"/>
      <c r="C6421" s="35" t="s">
        <v>584</v>
      </c>
      <c r="D6421" s="35" t="s">
        <v>583</v>
      </c>
      <c r="E6421" s="36">
        <f>0.9*1.5</f>
        <v>1.35</v>
      </c>
      <c r="F6421" s="30">
        <v>20.225499999999997</v>
      </c>
      <c r="G6421" s="30">
        <f>IF(ISNUMBER(F6421),E6421*F6421,"")</f>
        <v>27.304424999999998</v>
      </c>
      <c r="H6421" s="38">
        <f>SUM(G6421:G6421)</f>
        <v>27.304424999999998</v>
      </c>
      <c r="I6421" s="39"/>
      <c r="J6421" s="152">
        <v>0</v>
      </c>
    </row>
    <row r="6422" spans="1:10" ht="15.75" hidden="1" thickBot="1" x14ac:dyDescent="0.3">
      <c r="A6422" s="177"/>
      <c r="B6422" s="175"/>
      <c r="C6422" s="54"/>
      <c r="D6422" s="54"/>
      <c r="E6422" s="65"/>
      <c r="F6422" s="66" t="s">
        <v>416</v>
      </c>
      <c r="G6422" s="66" t="str">
        <f>IF(ISNUMBER(F6422),E6422*F6422,"")</f>
        <v/>
      </c>
      <c r="H6422" s="68"/>
      <c r="I6422" s="30"/>
      <c r="J6422" s="152">
        <v>0</v>
      </c>
    </row>
    <row r="6423" spans="1:10" ht="15.75" hidden="1" thickBot="1" x14ac:dyDescent="0.3">
      <c r="A6423" s="170" t="s">
        <v>5758</v>
      </c>
      <c r="B6423" s="173" t="str">
        <f>INDEX(Orçamentária!A:B,MATCH(Composições!A6423,Orçamentária!A:A,0),2)</f>
        <v>Demolição de revestimento de piso vinílico</v>
      </c>
      <c r="C6423" s="40"/>
      <c r="D6423" s="25" t="s">
        <v>70</v>
      </c>
      <c r="E6423" s="26"/>
      <c r="F6423" s="41" t="s">
        <v>416</v>
      </c>
      <c r="G6423" s="27" t="str">
        <f>IF(ISNUMBER(F6423),E6423*F6423,"")</f>
        <v/>
      </c>
      <c r="H6423" s="28"/>
      <c r="I6423" s="29"/>
      <c r="J6423" s="152">
        <v>0</v>
      </c>
    </row>
    <row r="6424" spans="1:10" ht="15.75" hidden="1" thickBot="1" x14ac:dyDescent="0.3">
      <c r="A6424" s="176"/>
      <c r="B6424" s="174"/>
      <c r="C6424" s="31"/>
      <c r="D6424" s="31"/>
      <c r="E6424" s="32"/>
      <c r="F6424" s="42" t="s">
        <v>416</v>
      </c>
      <c r="G6424" s="30" t="str">
        <f>IF(ISNUMBER(F6424),E6424*F6424,"")</f>
        <v/>
      </c>
      <c r="H6424" s="34"/>
      <c r="I6424" s="30"/>
      <c r="J6424" s="152">
        <v>0</v>
      </c>
    </row>
    <row r="6425" spans="1:10" ht="15.75" hidden="1" thickBot="1" x14ac:dyDescent="0.3">
      <c r="A6425" s="176"/>
      <c r="B6425" s="174"/>
      <c r="C6425" s="35" t="s">
        <v>591</v>
      </c>
      <c r="D6425" s="35" t="s">
        <v>583</v>
      </c>
      <c r="E6425" s="36">
        <v>0.09</v>
      </c>
      <c r="F6425" s="33">
        <v>27.160499999999999</v>
      </c>
      <c r="G6425" s="30">
        <f>IF(ISNUMBER(F6425),E6425*F6425,"")</f>
        <v>2.444445</v>
      </c>
      <c r="H6425" s="38">
        <f>SUM(G6425:G6426)</f>
        <v>20.647394999999996</v>
      </c>
      <c r="I6425" s="39"/>
      <c r="J6425" s="152">
        <v>0</v>
      </c>
    </row>
    <row r="6426" spans="1:10" ht="15.75" hidden="1" thickBot="1" x14ac:dyDescent="0.3">
      <c r="A6426" s="176"/>
      <c r="B6426" s="174"/>
      <c r="C6426" s="35" t="s">
        <v>584</v>
      </c>
      <c r="D6426" s="35" t="s">
        <v>583</v>
      </c>
      <c r="E6426" s="36">
        <v>0.9</v>
      </c>
      <c r="F6426" s="30">
        <v>20.225499999999997</v>
      </c>
      <c r="G6426" s="30">
        <f>IF(ISNUMBER(F6426),E6426*F6426,"")</f>
        <v>18.202949999999998</v>
      </c>
      <c r="H6426" s="34"/>
      <c r="I6426" s="30"/>
      <c r="J6426" s="152">
        <v>0</v>
      </c>
    </row>
    <row r="6427" spans="1:10" ht="15.75" hidden="1" thickBot="1" x14ac:dyDescent="0.3">
      <c r="A6427" s="177"/>
      <c r="B6427" s="175"/>
      <c r="C6427" s="54"/>
      <c r="D6427" s="54"/>
      <c r="E6427" s="65"/>
      <c r="F6427" s="66" t="s">
        <v>416</v>
      </c>
      <c r="G6427" s="66" t="str">
        <f>IF(ISNUMBER(F6427),E6427*F6427,"")</f>
        <v/>
      </c>
      <c r="H6427" s="68"/>
      <c r="I6427" s="30"/>
      <c r="J6427" s="152">
        <v>0</v>
      </c>
    </row>
    <row r="6428" spans="1:10" ht="15.75" hidden="1" thickBot="1" x14ac:dyDescent="0.3">
      <c r="A6428" s="170" t="s">
        <v>5759</v>
      </c>
      <c r="B6428" s="173" t="str">
        <f>INDEX(Orçamentária!A:B,MATCH(Composições!A6428,Orçamentária!A:A,0),2)</f>
        <v>Remoção de telhas de fibrocimento, metálica ou cerâmica</v>
      </c>
      <c r="C6428" s="40"/>
      <c r="D6428" s="25" t="s">
        <v>70</v>
      </c>
      <c r="E6428" s="26"/>
      <c r="F6428" s="41" t="s">
        <v>416</v>
      </c>
      <c r="G6428" s="27" t="str">
        <f>IF(ISNUMBER(F6428),E6428*F6428,"")</f>
        <v/>
      </c>
      <c r="H6428" s="28"/>
      <c r="I6428" s="29"/>
      <c r="J6428" s="152">
        <v>0</v>
      </c>
    </row>
    <row r="6429" spans="1:10" ht="15.75" hidden="1" thickBot="1" x14ac:dyDescent="0.3">
      <c r="A6429" s="176"/>
      <c r="B6429" s="174"/>
      <c r="C6429" s="31"/>
      <c r="D6429" s="31"/>
      <c r="E6429" s="32"/>
      <c r="F6429" s="42" t="s">
        <v>416</v>
      </c>
      <c r="G6429" s="30" t="str">
        <f>IF(ISNUMBER(F6429),E6429*F6429,"")</f>
        <v/>
      </c>
      <c r="H6429" s="34"/>
      <c r="I6429" s="30"/>
      <c r="J6429" s="152">
        <v>0</v>
      </c>
    </row>
    <row r="6430" spans="1:10" ht="15.75" hidden="1" thickBot="1" x14ac:dyDescent="0.3">
      <c r="A6430" s="176"/>
      <c r="B6430" s="174"/>
      <c r="C6430" s="35" t="s">
        <v>584</v>
      </c>
      <c r="D6430" s="35" t="s">
        <v>583</v>
      </c>
      <c r="E6430" s="36">
        <v>9.7100000000000006E-2</v>
      </c>
      <c r="F6430" s="33">
        <v>20.225499999999997</v>
      </c>
      <c r="G6430" s="30">
        <f>IF(ISNUMBER(F6430),E6430*F6430,"")</f>
        <v>1.9638960499999998</v>
      </c>
      <c r="H6430" s="38">
        <f>SUM(G6430:G6431)</f>
        <v>3.2755895499999994</v>
      </c>
      <c r="I6430" s="39"/>
      <c r="J6430" s="152">
        <v>0</v>
      </c>
    </row>
    <row r="6431" spans="1:10" ht="15.75" hidden="1" thickBot="1" x14ac:dyDescent="0.3">
      <c r="A6431" s="176"/>
      <c r="B6431" s="174"/>
      <c r="C6431" s="35" t="s">
        <v>1156</v>
      </c>
      <c r="D6431" s="35" t="s">
        <v>583</v>
      </c>
      <c r="E6431" s="36">
        <v>4.9399999999999999E-2</v>
      </c>
      <c r="F6431" s="30">
        <v>26.552499999999998</v>
      </c>
      <c r="G6431" s="30">
        <f>IF(ISNUMBER(F6431),E6431*F6431,"")</f>
        <v>1.3116934999999998</v>
      </c>
      <c r="H6431" s="34"/>
      <c r="I6431" s="30"/>
      <c r="J6431" s="152">
        <v>0</v>
      </c>
    </row>
    <row r="6432" spans="1:10" ht="15.75" hidden="1" thickBot="1" x14ac:dyDescent="0.3">
      <c r="A6432" s="177"/>
      <c r="B6432" s="175"/>
      <c r="C6432" s="54"/>
      <c r="D6432" s="54"/>
      <c r="E6432" s="65"/>
      <c r="F6432" s="66" t="s">
        <v>416</v>
      </c>
      <c r="G6432" s="66" t="str">
        <f>IF(ISNUMBER(F6432),E6432*F6432,"")</f>
        <v/>
      </c>
      <c r="H6432" s="68"/>
      <c r="I6432" s="30"/>
      <c r="J6432" s="152">
        <v>0</v>
      </c>
    </row>
    <row r="6433" spans="1:10" ht="15.75" hidden="1" thickBot="1" x14ac:dyDescent="0.3">
      <c r="A6433" s="170" t="s">
        <v>5789</v>
      </c>
      <c r="B6433" s="173" t="str">
        <f>INDEX(Orçamentária!A:B,MATCH(Composições!A6433,Orçamentária!A:A,0),2)</f>
        <v>Instalação de forro metálico reaproveitado</v>
      </c>
      <c r="C6433" s="40"/>
      <c r="D6433" s="25" t="s">
        <v>70</v>
      </c>
      <c r="E6433" s="26"/>
      <c r="F6433" s="41" t="s">
        <v>416</v>
      </c>
      <c r="G6433" s="27" t="str">
        <f>IF(ISNUMBER(F6433),E6433*F6433,"")</f>
        <v/>
      </c>
      <c r="H6433" s="28"/>
      <c r="I6433" s="29"/>
      <c r="J6433" s="152">
        <v>0</v>
      </c>
    </row>
    <row r="6434" spans="1:10" ht="15.75" hidden="1" thickBot="1" x14ac:dyDescent="0.3">
      <c r="A6434" s="171"/>
      <c r="B6434" s="174"/>
      <c r="C6434" s="31"/>
      <c r="D6434" s="31"/>
      <c r="E6434" s="32"/>
      <c r="F6434" s="42" t="s">
        <v>416</v>
      </c>
      <c r="G6434" s="30" t="str">
        <f>IF(ISNUMBER(F6434),E6434*F6434,"")</f>
        <v/>
      </c>
      <c r="H6434" s="34"/>
      <c r="I6434" s="30"/>
      <c r="J6434" s="152">
        <v>0</v>
      </c>
    </row>
    <row r="6435" spans="1:10" ht="26.25" hidden="1" thickBot="1" x14ac:dyDescent="0.3">
      <c r="A6435" s="171"/>
      <c r="B6435" s="174"/>
      <c r="C6435" s="35" t="s">
        <v>2901</v>
      </c>
      <c r="D6435" s="35" t="s">
        <v>583</v>
      </c>
      <c r="E6435" s="36">
        <v>0.5</v>
      </c>
      <c r="F6435" s="33">
        <v>23.160999999999998</v>
      </c>
      <c r="G6435" s="30">
        <f>IF(ISNUMBER(F6435),E6435*F6435,"")</f>
        <v>11.580499999999999</v>
      </c>
      <c r="H6435" s="38">
        <f>SUM(G6435:G6436)</f>
        <v>21.940249999999999</v>
      </c>
      <c r="I6435" s="39"/>
      <c r="J6435" s="152">
        <v>0</v>
      </c>
    </row>
    <row r="6436" spans="1:10" ht="26.25" hidden="1" thickBot="1" x14ac:dyDescent="0.3">
      <c r="A6436" s="171"/>
      <c r="B6436" s="174"/>
      <c r="C6436" s="35" t="s">
        <v>854</v>
      </c>
      <c r="D6436" s="35" t="s">
        <v>583</v>
      </c>
      <c r="E6436" s="36">
        <v>0.5</v>
      </c>
      <c r="F6436" s="33">
        <v>20.719499999999996</v>
      </c>
      <c r="G6436" s="30">
        <f>IF(ISNUMBER(F6436),E6436*F6436,"")</f>
        <v>10.359749999999998</v>
      </c>
      <c r="H6436" s="34"/>
      <c r="I6436" s="30"/>
      <c r="J6436" s="152">
        <v>0</v>
      </c>
    </row>
    <row r="6437" spans="1:10" ht="15.75" hidden="1" thickBot="1" x14ac:dyDescent="0.3">
      <c r="A6437" s="172"/>
      <c r="B6437" s="175"/>
      <c r="C6437" s="35"/>
      <c r="D6437" s="35"/>
      <c r="E6437" s="36"/>
      <c r="F6437" s="30" t="s">
        <v>416</v>
      </c>
      <c r="G6437" s="30" t="str">
        <f>IF(ISNUMBER(F6437),E6437*F6437,"")</f>
        <v/>
      </c>
      <c r="H6437" s="34"/>
      <c r="I6437" s="30"/>
      <c r="J6437" s="152">
        <v>0</v>
      </c>
    </row>
    <row r="6438" spans="1:10" ht="15.75" hidden="1" thickBot="1" x14ac:dyDescent="0.3">
      <c r="A6438" s="170" t="s">
        <v>5790</v>
      </c>
      <c r="B6438" s="173" t="str">
        <f>INDEX(Orçamentária!A:B,MATCH(Composições!A6438,Orçamentária!A:A,0),2)</f>
        <v>Condulete de alumínio de 1 1/2”</v>
      </c>
      <c r="C6438" s="40"/>
      <c r="D6438" s="25" t="s">
        <v>16</v>
      </c>
      <c r="E6438" s="26"/>
      <c r="F6438" s="41" t="s">
        <v>416</v>
      </c>
      <c r="G6438" s="27" t="str">
        <f>IF(ISNUMBER(F6438),E6438*F6438,"")</f>
        <v/>
      </c>
      <c r="H6438" s="28"/>
      <c r="I6438" s="29"/>
      <c r="J6438" s="152">
        <v>0</v>
      </c>
    </row>
    <row r="6439" spans="1:10" ht="15.75" hidden="1" thickBot="1" x14ac:dyDescent="0.3">
      <c r="A6439" s="171"/>
      <c r="B6439" s="174"/>
      <c r="C6439" s="31"/>
      <c r="D6439" s="31"/>
      <c r="E6439" s="32"/>
      <c r="F6439" s="42" t="s">
        <v>416</v>
      </c>
      <c r="G6439" s="30" t="str">
        <f>IF(ISNUMBER(F6439),E6439*F6439,"")</f>
        <v/>
      </c>
      <c r="H6439" s="34"/>
      <c r="I6439" s="30"/>
      <c r="J6439" s="152">
        <v>0</v>
      </c>
    </row>
    <row r="6440" spans="1:10" ht="26.25" hidden="1" thickBot="1" x14ac:dyDescent="0.3">
      <c r="A6440" s="171"/>
      <c r="B6440" s="174"/>
      <c r="C6440" s="35" t="s">
        <v>8076</v>
      </c>
      <c r="D6440" s="35" t="s">
        <v>213</v>
      </c>
      <c r="E6440" s="36">
        <v>1</v>
      </c>
      <c r="F6440" s="33">
        <v>28.157999999999998</v>
      </c>
      <c r="G6440" s="30">
        <f>IF(ISNUMBER(F6440),E6440*F6440,"")</f>
        <v>28.157999999999998</v>
      </c>
      <c r="H6440" s="38">
        <f>SUM(G6440:G6443)</f>
        <v>50.005854899999996</v>
      </c>
      <c r="I6440" s="39"/>
      <c r="J6440" s="152">
        <v>0</v>
      </c>
    </row>
    <row r="6441" spans="1:10" ht="39" hidden="1" thickBot="1" x14ac:dyDescent="0.3">
      <c r="A6441" s="171"/>
      <c r="B6441" s="174"/>
      <c r="C6441" s="35" t="s">
        <v>8010</v>
      </c>
      <c r="D6441" s="35" t="s">
        <v>213</v>
      </c>
      <c r="E6441" s="36">
        <v>2</v>
      </c>
      <c r="F6441" s="33">
        <v>0.3705</v>
      </c>
      <c r="G6441" s="30">
        <f>IF(ISNUMBER(F6441),E6441*F6441,"")</f>
        <v>0.74099999999999999</v>
      </c>
      <c r="H6441" s="34"/>
      <c r="I6441" s="30"/>
      <c r="J6441" s="152">
        <v>0</v>
      </c>
    </row>
    <row r="6442" spans="1:10" ht="15.75" hidden="1" thickBot="1" x14ac:dyDescent="0.3">
      <c r="A6442" s="171"/>
      <c r="B6442" s="174"/>
      <c r="C6442" s="35" t="s">
        <v>1017</v>
      </c>
      <c r="D6442" s="35" t="s">
        <v>583</v>
      </c>
      <c r="E6442" s="36">
        <v>0.42709999999999998</v>
      </c>
      <c r="F6442" s="33">
        <v>21.584</v>
      </c>
      <c r="G6442" s="30">
        <f>IF(ISNUMBER(F6442),E6442*F6442,"")</f>
        <v>9.2185264</v>
      </c>
      <c r="H6442" s="34"/>
      <c r="I6442" s="30"/>
      <c r="J6442" s="152">
        <v>0</v>
      </c>
    </row>
    <row r="6443" spans="1:10" ht="15.75" hidden="1" thickBot="1" x14ac:dyDescent="0.3">
      <c r="A6443" s="171"/>
      <c r="B6443" s="174"/>
      <c r="C6443" s="35" t="s">
        <v>1018</v>
      </c>
      <c r="D6443" s="35" t="s">
        <v>583</v>
      </c>
      <c r="E6443" s="36">
        <v>0.42709999999999998</v>
      </c>
      <c r="F6443" s="33">
        <v>27.835000000000001</v>
      </c>
      <c r="G6443" s="30">
        <f>IF(ISNUMBER(F6443),E6443*F6443,"")</f>
        <v>11.8883285</v>
      </c>
      <c r="H6443" s="34"/>
      <c r="I6443" s="30"/>
      <c r="J6443" s="152">
        <v>0</v>
      </c>
    </row>
    <row r="6444" spans="1:10" ht="15.75" hidden="1" thickBot="1" x14ac:dyDescent="0.3">
      <c r="A6444" s="172"/>
      <c r="B6444" s="175"/>
      <c r="C6444" s="35"/>
      <c r="D6444" s="35"/>
      <c r="E6444" s="36"/>
      <c r="F6444" s="30" t="s">
        <v>416</v>
      </c>
      <c r="G6444" s="30" t="str">
        <f>IF(ISNUMBER(F6444),E6444*F6444,"")</f>
        <v/>
      </c>
      <c r="H6444" s="34"/>
      <c r="I6444" s="30"/>
      <c r="J6444" s="152">
        <v>0</v>
      </c>
    </row>
    <row r="6445" spans="1:10" ht="15.75" thickBot="1" x14ac:dyDescent="0.3">
      <c r="A6445" s="170" t="s">
        <v>5799</v>
      </c>
      <c r="B6445" s="173" t="str">
        <f>INDEX(Orçamentária!A:B,MATCH(Composições!A6445,Orçamentária!A:A,0),2)</f>
        <v>Remoção de pavimento em elementos intertravados de concreto</v>
      </c>
      <c r="C6445" s="40"/>
      <c r="D6445" s="25" t="s">
        <v>70</v>
      </c>
      <c r="E6445" s="26"/>
      <c r="F6445" s="41" t="s">
        <v>416</v>
      </c>
      <c r="G6445" s="27" t="str">
        <f>IF(ISNUMBER(F6445),E6445*F6445,"")</f>
        <v/>
      </c>
      <c r="H6445" s="28"/>
      <c r="I6445" s="29"/>
      <c r="J6445" s="152">
        <v>15</v>
      </c>
    </row>
    <row r="6446" spans="1:10" x14ac:dyDescent="0.25">
      <c r="A6446" s="176"/>
      <c r="B6446" s="174"/>
      <c r="C6446" s="31"/>
      <c r="D6446" s="31"/>
      <c r="E6446" s="32"/>
      <c r="F6446" s="42" t="s">
        <v>416</v>
      </c>
      <c r="G6446" s="30" t="str">
        <f>IF(ISNUMBER(F6446),E6446*F6446,"")</f>
        <v/>
      </c>
      <c r="H6446" s="34"/>
      <c r="I6446" s="30"/>
      <c r="J6446" s="152">
        <v>15</v>
      </c>
    </row>
    <row r="6447" spans="1:10" x14ac:dyDescent="0.25">
      <c r="A6447" s="176"/>
      <c r="B6447" s="174"/>
      <c r="C6447" s="35" t="s">
        <v>1124</v>
      </c>
      <c r="D6447" s="35" t="s">
        <v>583</v>
      </c>
      <c r="E6447" s="36">
        <v>0.45910000000000001</v>
      </c>
      <c r="F6447" s="33">
        <v>25.127499999999998</v>
      </c>
      <c r="G6447" s="30">
        <f>IF(ISNUMBER(F6447),E6447*F6447,"")</f>
        <v>11.536035249999999</v>
      </c>
      <c r="H6447" s="38">
        <f>SUM(G6447:G6448)</f>
        <v>14.735709349999999</v>
      </c>
      <c r="I6447" s="39"/>
      <c r="J6447" s="152">
        <v>15</v>
      </c>
    </row>
    <row r="6448" spans="1:10" x14ac:dyDescent="0.25">
      <c r="A6448" s="176"/>
      <c r="B6448" s="174"/>
      <c r="C6448" s="35" t="s">
        <v>584</v>
      </c>
      <c r="D6448" s="35" t="s">
        <v>583</v>
      </c>
      <c r="E6448" s="36">
        <v>0.15820000000000001</v>
      </c>
      <c r="F6448" s="30">
        <v>20.225499999999997</v>
      </c>
      <c r="G6448" s="30">
        <f>IF(ISNUMBER(F6448),E6448*F6448,"")</f>
        <v>3.1996740999999997</v>
      </c>
      <c r="H6448" s="34"/>
      <c r="I6448" s="30"/>
      <c r="J6448" s="152">
        <v>15</v>
      </c>
    </row>
    <row r="6449" spans="1:10" ht="15.75" thickBot="1" x14ac:dyDescent="0.3">
      <c r="A6449" s="177"/>
      <c r="B6449" s="175"/>
      <c r="C6449" s="54"/>
      <c r="D6449" s="54"/>
      <c r="E6449" s="65"/>
      <c r="F6449" s="66" t="s">
        <v>416</v>
      </c>
      <c r="G6449" s="66" t="str">
        <f>IF(ISNUMBER(F6449),E6449*F6449,"")</f>
        <v/>
      </c>
      <c r="H6449" s="68"/>
      <c r="I6449" s="30"/>
      <c r="J6449" s="152">
        <v>15</v>
      </c>
    </row>
    <row r="6450" spans="1:10" ht="15.75" thickBot="1" x14ac:dyDescent="0.3">
      <c r="A6450" s="170" t="s">
        <v>5800</v>
      </c>
      <c r="B6450" s="173" t="str">
        <f>INDEX(Orçamentária!A:B,MATCH(Composições!A6450,Orçamentária!A:A,0),2)</f>
        <v>Instalação de pavimentação em elementos intertravados de concreto reaproveitados</v>
      </c>
      <c r="C6450" s="40"/>
      <c r="D6450" s="25" t="s">
        <v>70</v>
      </c>
      <c r="E6450" s="26"/>
      <c r="F6450" s="41" t="s">
        <v>416</v>
      </c>
      <c r="G6450" s="27" t="str">
        <f>IF(ISNUMBER(F6450),E6450*F6450,"")</f>
        <v/>
      </c>
      <c r="H6450" s="28"/>
      <c r="I6450" s="29"/>
      <c r="J6450" s="152">
        <v>11</v>
      </c>
    </row>
    <row r="6451" spans="1:10" x14ac:dyDescent="0.25">
      <c r="A6451" s="176"/>
      <c r="B6451" s="174"/>
      <c r="C6451" s="31"/>
      <c r="D6451" s="31"/>
      <c r="E6451" s="32"/>
      <c r="F6451" s="42" t="s">
        <v>416</v>
      </c>
      <c r="G6451" s="30" t="str">
        <f>IF(ISNUMBER(F6451),E6451*F6451,"")</f>
        <v/>
      </c>
      <c r="H6451" s="34"/>
      <c r="I6451" s="30"/>
      <c r="J6451" s="152">
        <v>11</v>
      </c>
    </row>
    <row r="6452" spans="1:10" ht="25.5" x14ac:dyDescent="0.25">
      <c r="A6452" s="176"/>
      <c r="B6452" s="174"/>
      <c r="C6452" s="35" t="s">
        <v>7985</v>
      </c>
      <c r="D6452" s="35" t="s">
        <v>87</v>
      </c>
      <c r="E6452" s="36">
        <v>5.6800000000000003E-2</v>
      </c>
      <c r="F6452" s="33">
        <v>202.33099999999999</v>
      </c>
      <c r="G6452" s="30">
        <f>IF(ISNUMBER(F6452),E6452*F6452,"")</f>
        <v>11.4924008</v>
      </c>
      <c r="H6452" s="38">
        <f>SUM(G6452:G6457)</f>
        <v>21.90984525</v>
      </c>
      <c r="I6452" s="39"/>
      <c r="J6452" s="152">
        <v>11</v>
      </c>
    </row>
    <row r="6453" spans="1:10" x14ac:dyDescent="0.25">
      <c r="A6453" s="176"/>
      <c r="B6453" s="174"/>
      <c r="C6453" s="35" t="s">
        <v>1122</v>
      </c>
      <c r="D6453" s="35" t="s">
        <v>87</v>
      </c>
      <c r="E6453" s="36">
        <v>6.4000000000000003E-3</v>
      </c>
      <c r="F6453" s="30">
        <v>166.67749999999998</v>
      </c>
      <c r="G6453" s="30">
        <f>IF(ISNUMBER(F6453),E6453*F6453,"")</f>
        <v>1.0667359999999999</v>
      </c>
      <c r="H6453" s="34"/>
      <c r="I6453" s="30"/>
      <c r="J6453" s="152">
        <v>11</v>
      </c>
    </row>
    <row r="6454" spans="1:10" x14ac:dyDescent="0.25">
      <c r="A6454" s="176"/>
      <c r="B6454" s="174"/>
      <c r="C6454" s="35" t="s">
        <v>1124</v>
      </c>
      <c r="D6454" s="35" t="s">
        <v>583</v>
      </c>
      <c r="E6454" s="36">
        <v>0.2041</v>
      </c>
      <c r="F6454" s="30">
        <v>25.127499999999998</v>
      </c>
      <c r="G6454" s="30">
        <f>IF(ISNUMBER(F6454),E6454*F6454,"")</f>
        <v>5.1285227499999992</v>
      </c>
      <c r="H6454" s="34"/>
      <c r="I6454" s="30"/>
      <c r="J6454" s="152">
        <v>11</v>
      </c>
    </row>
    <row r="6455" spans="1:10" x14ac:dyDescent="0.25">
      <c r="A6455" s="176"/>
      <c r="B6455" s="174"/>
      <c r="C6455" s="35" t="s">
        <v>584</v>
      </c>
      <c r="D6455" s="35" t="s">
        <v>583</v>
      </c>
      <c r="E6455" s="36">
        <v>0.2041</v>
      </c>
      <c r="F6455" s="30">
        <v>20.225499999999997</v>
      </c>
      <c r="G6455" s="30">
        <f>IF(ISNUMBER(F6455),E6455*F6455,"")</f>
        <v>4.1280245499999992</v>
      </c>
      <c r="H6455" s="34"/>
      <c r="I6455" s="30"/>
      <c r="J6455" s="152">
        <v>11</v>
      </c>
    </row>
    <row r="6456" spans="1:10" ht="38.25" x14ac:dyDescent="0.25">
      <c r="A6456" s="176"/>
      <c r="B6456" s="174"/>
      <c r="C6456" s="35" t="s">
        <v>963</v>
      </c>
      <c r="D6456" s="35" t="s">
        <v>813</v>
      </c>
      <c r="E6456" s="36">
        <v>5.4999999999999997E-3</v>
      </c>
      <c r="F6456" s="30">
        <v>7.6094999999999997</v>
      </c>
      <c r="G6456" s="30">
        <f>IF(ISNUMBER(F6456),E6456*F6456,"")</f>
        <v>4.1852249999999994E-2</v>
      </c>
      <c r="H6456" s="34"/>
      <c r="I6456" s="30"/>
      <c r="J6456" s="152">
        <v>11</v>
      </c>
    </row>
    <row r="6457" spans="1:10" ht="38.25" x14ac:dyDescent="0.25">
      <c r="A6457" s="176"/>
      <c r="B6457" s="174"/>
      <c r="C6457" s="35" t="s">
        <v>1125</v>
      </c>
      <c r="D6457" s="35" t="s">
        <v>815</v>
      </c>
      <c r="E6457" s="36">
        <v>9.6600000000000005E-2</v>
      </c>
      <c r="F6457" s="30">
        <v>0.54149999999999998</v>
      </c>
      <c r="G6457" s="30">
        <f>IF(ISNUMBER(F6457),E6457*F6457,"")</f>
        <v>5.2308899999999998E-2</v>
      </c>
      <c r="H6457" s="34"/>
      <c r="I6457" s="30"/>
      <c r="J6457" s="152">
        <v>11</v>
      </c>
    </row>
    <row r="6458" spans="1:10" ht="15.75" thickBot="1" x14ac:dyDescent="0.3">
      <c r="A6458" s="177"/>
      <c r="B6458" s="175"/>
      <c r="C6458" s="54"/>
      <c r="D6458" s="54"/>
      <c r="E6458" s="65"/>
      <c r="F6458" s="66" t="s">
        <v>416</v>
      </c>
      <c r="G6458" s="66" t="str">
        <f>IF(ISNUMBER(F6458),E6458*F6458,"")</f>
        <v/>
      </c>
      <c r="H6458" s="68"/>
      <c r="I6458" s="30"/>
      <c r="J6458" s="152">
        <v>11</v>
      </c>
    </row>
    <row r="6459" spans="1:10" ht="15.75" hidden="1" thickBot="1" x14ac:dyDescent="0.3">
      <c r="A6459" s="170" t="s">
        <v>5801</v>
      </c>
      <c r="B6459" s="173" t="str">
        <f>INDEX(Orçamentária!A:B,MATCH(Composições!A6459,Orçamentária!A:A,0),2)</f>
        <v>Disjuntor tripolar trilho DIN até 40 A</v>
      </c>
      <c r="C6459" s="40"/>
      <c r="D6459" s="25" t="s">
        <v>16</v>
      </c>
      <c r="E6459" s="26"/>
      <c r="F6459" s="41" t="s">
        <v>416</v>
      </c>
      <c r="G6459" s="27" t="str">
        <f>IF(ISNUMBER(F6459),E6459*F6459,"")</f>
        <v/>
      </c>
      <c r="H6459" s="28"/>
      <c r="I6459" s="29"/>
      <c r="J6459" s="152">
        <v>0</v>
      </c>
    </row>
    <row r="6460" spans="1:10" ht="15.75" hidden="1" thickBot="1" x14ac:dyDescent="0.3">
      <c r="A6460" s="176"/>
      <c r="B6460" s="174"/>
      <c r="C6460" s="31"/>
      <c r="D6460" s="31"/>
      <c r="E6460" s="32"/>
      <c r="F6460" s="42" t="s">
        <v>416</v>
      </c>
      <c r="G6460" s="30" t="str">
        <f>IF(ISNUMBER(F6460),E6460*F6460,"")</f>
        <v/>
      </c>
      <c r="H6460" s="34"/>
      <c r="I6460" s="30"/>
      <c r="J6460" s="152">
        <v>0</v>
      </c>
    </row>
    <row r="6461" spans="1:10" ht="26.25" hidden="1" thickBot="1" x14ac:dyDescent="0.3">
      <c r="A6461" s="176"/>
      <c r="B6461" s="174"/>
      <c r="C6461" s="35" t="s">
        <v>8425</v>
      </c>
      <c r="D6461" s="35" t="s">
        <v>213</v>
      </c>
      <c r="E6461" s="36">
        <v>3</v>
      </c>
      <c r="F6461" s="33">
        <v>1.7765</v>
      </c>
      <c r="G6461" s="30">
        <f>IF(ISNUMBER(F6461),E6461*F6461,"")</f>
        <v>5.3294999999999995</v>
      </c>
      <c r="H6461" s="38">
        <f>SUM(G6461:G6464)</f>
        <v>107.54428829999999</v>
      </c>
      <c r="I6461" s="39"/>
      <c r="J6461" s="152">
        <v>0</v>
      </c>
    </row>
    <row r="6462" spans="1:10" ht="15.75" hidden="1" thickBot="1" x14ac:dyDescent="0.3">
      <c r="A6462" s="176"/>
      <c r="B6462" s="174"/>
      <c r="C6462" s="35" t="s">
        <v>8138</v>
      </c>
      <c r="D6462" s="35" t="s">
        <v>213</v>
      </c>
      <c r="E6462" s="36">
        <v>1</v>
      </c>
      <c r="F6462" s="33">
        <v>82.165499999999994</v>
      </c>
      <c r="G6462" s="30">
        <f>IF(ISNUMBER(F6462),E6462*F6462,"")</f>
        <v>82.165499999999994</v>
      </c>
      <c r="H6462" s="44"/>
      <c r="I6462" s="45"/>
      <c r="J6462" s="152">
        <v>0</v>
      </c>
    </row>
    <row r="6463" spans="1:10" ht="15.75" hidden="1" thickBot="1" x14ac:dyDescent="0.3">
      <c r="A6463" s="176"/>
      <c r="B6463" s="174"/>
      <c r="C6463" s="35" t="s">
        <v>1017</v>
      </c>
      <c r="D6463" s="35" t="s">
        <v>583</v>
      </c>
      <c r="E6463" s="36">
        <v>0.40570000000000001</v>
      </c>
      <c r="F6463" s="33">
        <v>21.584</v>
      </c>
      <c r="G6463" s="30">
        <f>IF(ISNUMBER(F6463),E6463*F6463,"")</f>
        <v>8.7566287999999997</v>
      </c>
      <c r="H6463" s="44"/>
      <c r="I6463" s="45"/>
      <c r="J6463" s="152">
        <v>0</v>
      </c>
    </row>
    <row r="6464" spans="1:10" ht="15.75" hidden="1" thickBot="1" x14ac:dyDescent="0.3">
      <c r="A6464" s="176"/>
      <c r="B6464" s="174"/>
      <c r="C6464" s="35" t="s">
        <v>1018</v>
      </c>
      <c r="D6464" s="35" t="s">
        <v>583</v>
      </c>
      <c r="E6464" s="36">
        <v>0.40570000000000001</v>
      </c>
      <c r="F6464" s="30">
        <v>27.835000000000001</v>
      </c>
      <c r="G6464" s="30">
        <f>IF(ISNUMBER(F6464),E6464*F6464,"")</f>
        <v>11.292659500000001</v>
      </c>
      <c r="H6464" s="34"/>
      <c r="I6464" s="30"/>
      <c r="J6464" s="152">
        <v>0</v>
      </c>
    </row>
    <row r="6465" spans="1:10" ht="15.75" hidden="1" thickBot="1" x14ac:dyDescent="0.3">
      <c r="A6465" s="177"/>
      <c r="B6465" s="175"/>
      <c r="C6465" s="35"/>
      <c r="D6465" s="35"/>
      <c r="E6465" s="36"/>
      <c r="F6465" s="30" t="s">
        <v>416</v>
      </c>
      <c r="G6465" s="30" t="str">
        <f>IF(ISNUMBER(F6465),E6465*F6465,"")</f>
        <v/>
      </c>
      <c r="H6465" s="34"/>
      <c r="I6465" s="30"/>
      <c r="J6465" s="152">
        <v>0</v>
      </c>
    </row>
    <row r="6466" spans="1:10" ht="15.75" hidden="1" thickBot="1" x14ac:dyDescent="0.3">
      <c r="A6466" s="170" t="s">
        <v>5812</v>
      </c>
      <c r="B6466" s="173" t="str">
        <f>INDEX(Orçamentária!A:B,MATCH(Composições!A6466,Orçamentária!A:A,0),2)</f>
        <v>Poste reto 4m para câmera de CFTV</v>
      </c>
      <c r="C6466" s="40"/>
      <c r="D6466" s="25" t="s">
        <v>16</v>
      </c>
      <c r="E6466" s="26"/>
      <c r="F6466" s="41" t="s">
        <v>416</v>
      </c>
      <c r="G6466" s="27" t="str">
        <f>IF(ISNUMBER(F6466),E6466*F6466,"")</f>
        <v/>
      </c>
      <c r="H6466" s="28"/>
      <c r="I6466" s="29"/>
      <c r="J6466" s="152">
        <v>0</v>
      </c>
    </row>
    <row r="6467" spans="1:10" ht="15.75" hidden="1" thickBot="1" x14ac:dyDescent="0.3">
      <c r="A6467" s="176"/>
      <c r="B6467" s="174"/>
      <c r="C6467" s="31"/>
      <c r="D6467" s="31"/>
      <c r="E6467" s="32"/>
      <c r="F6467" s="42" t="s">
        <v>416</v>
      </c>
      <c r="G6467" s="30" t="str">
        <f>IF(ISNUMBER(F6467),E6467*F6467,"")</f>
        <v/>
      </c>
      <c r="H6467" s="34"/>
      <c r="I6467" s="30"/>
      <c r="J6467" s="152">
        <v>0</v>
      </c>
    </row>
    <row r="6468" spans="1:10" ht="26.25" hidden="1" thickBot="1" x14ac:dyDescent="0.3">
      <c r="A6468" s="176"/>
      <c r="B6468" s="174"/>
      <c r="C6468" s="35" t="s">
        <v>8063</v>
      </c>
      <c r="D6468" s="35" t="s">
        <v>213</v>
      </c>
      <c r="E6468" s="36">
        <v>4</v>
      </c>
      <c r="F6468" s="33">
        <v>23.825999999999997</v>
      </c>
      <c r="G6468" s="30">
        <f>IF(ISNUMBER(F6468),E6468*F6468,"")</f>
        <v>95.303999999999988</v>
      </c>
      <c r="H6468" s="38">
        <f>SUM(G6468:G6471)</f>
        <v>213.80876699999999</v>
      </c>
      <c r="I6468" s="39"/>
      <c r="J6468" s="152">
        <v>0</v>
      </c>
    </row>
    <row r="6469" spans="1:10" ht="15.75" hidden="1" thickBot="1" x14ac:dyDescent="0.3">
      <c r="A6469" s="176"/>
      <c r="B6469" s="174"/>
      <c r="C6469" s="35" t="s">
        <v>5861</v>
      </c>
      <c r="D6469" s="35" t="s">
        <v>213</v>
      </c>
      <c r="E6469" s="36">
        <v>1</v>
      </c>
      <c r="F6469" s="33" t="s">
        <v>416</v>
      </c>
      <c r="G6469" s="30" t="str">
        <f>IF(ISNUMBER(F6469),E6469*F6469,"")</f>
        <v/>
      </c>
      <c r="H6469" s="44"/>
      <c r="I6469" s="45"/>
      <c r="J6469" s="152">
        <v>0</v>
      </c>
    </row>
    <row r="6470" spans="1:10" ht="15.75" hidden="1" thickBot="1" x14ac:dyDescent="0.3">
      <c r="A6470" s="176"/>
      <c r="B6470" s="174"/>
      <c r="C6470" s="35" t="s">
        <v>1017</v>
      </c>
      <c r="D6470" s="35" t="s">
        <v>583</v>
      </c>
      <c r="E6470" s="36">
        <v>1.0580000000000001</v>
      </c>
      <c r="F6470" s="33">
        <v>21.584</v>
      </c>
      <c r="G6470" s="30">
        <f>IF(ISNUMBER(F6470),E6470*F6470,"")</f>
        <v>22.835872000000002</v>
      </c>
      <c r="H6470" s="44"/>
      <c r="I6470" s="45"/>
      <c r="J6470" s="152">
        <v>0</v>
      </c>
    </row>
    <row r="6471" spans="1:10" ht="15.75" hidden="1" thickBot="1" x14ac:dyDescent="0.3">
      <c r="A6471" s="176"/>
      <c r="B6471" s="174"/>
      <c r="C6471" s="35" t="s">
        <v>1018</v>
      </c>
      <c r="D6471" s="35" t="s">
        <v>583</v>
      </c>
      <c r="E6471" s="36">
        <v>3.4369999999999998</v>
      </c>
      <c r="F6471" s="30">
        <v>27.835000000000001</v>
      </c>
      <c r="G6471" s="30">
        <f>IF(ISNUMBER(F6471),E6471*F6471,"")</f>
        <v>95.668894999999992</v>
      </c>
      <c r="H6471" s="34"/>
      <c r="I6471" s="30"/>
      <c r="J6471" s="152">
        <v>0</v>
      </c>
    </row>
    <row r="6472" spans="1:10" ht="15.75" hidden="1" thickBot="1" x14ac:dyDescent="0.3">
      <c r="A6472" s="177"/>
      <c r="B6472" s="175"/>
      <c r="C6472" s="35"/>
      <c r="D6472" s="35"/>
      <c r="E6472" s="36"/>
      <c r="F6472" s="30" t="s">
        <v>416</v>
      </c>
      <c r="G6472" s="30" t="str">
        <f>IF(ISNUMBER(F6472),E6472*F6472,"")</f>
        <v/>
      </c>
      <c r="H6472" s="34"/>
      <c r="I6472" s="30"/>
      <c r="J6472" s="152">
        <v>0</v>
      </c>
    </row>
    <row r="6473" spans="1:10" ht="15.75" hidden="1" thickBot="1" x14ac:dyDescent="0.3">
      <c r="A6473" s="170" t="s">
        <v>5813</v>
      </c>
      <c r="B6473" s="173" t="str">
        <f>INDEX(Orçamentária!A:B,MATCH(Composições!A6473,Orçamentária!A:A,0),2)</f>
        <v>Caixa hermética para CFTV</v>
      </c>
      <c r="C6473" s="40"/>
      <c r="D6473" s="25" t="s">
        <v>16</v>
      </c>
      <c r="E6473" s="26"/>
      <c r="F6473" s="41" t="s">
        <v>416</v>
      </c>
      <c r="G6473" s="27" t="str">
        <f>IF(ISNUMBER(F6473),E6473*F6473,"")</f>
        <v/>
      </c>
      <c r="H6473" s="28"/>
      <c r="I6473" s="29"/>
      <c r="J6473" s="152">
        <v>0</v>
      </c>
    </row>
    <row r="6474" spans="1:10" ht="15.75" hidden="1" thickBot="1" x14ac:dyDescent="0.3">
      <c r="A6474" s="176"/>
      <c r="B6474" s="174"/>
      <c r="C6474" s="31"/>
      <c r="D6474" s="31"/>
      <c r="E6474" s="32"/>
      <c r="F6474" s="42" t="s">
        <v>416</v>
      </c>
      <c r="G6474" s="30" t="str">
        <f>IF(ISNUMBER(F6474),E6474*F6474,"")</f>
        <v/>
      </c>
      <c r="H6474" s="34"/>
      <c r="I6474" s="30"/>
      <c r="J6474" s="152">
        <v>0</v>
      </c>
    </row>
    <row r="6475" spans="1:10" ht="15.75" hidden="1" thickBot="1" x14ac:dyDescent="0.3">
      <c r="A6475" s="176"/>
      <c r="B6475" s="174"/>
      <c r="C6475" s="35" t="s">
        <v>5860</v>
      </c>
      <c r="D6475" s="46" t="s">
        <v>16</v>
      </c>
      <c r="E6475" s="36">
        <v>1</v>
      </c>
      <c r="F6475" s="33" t="s">
        <v>416</v>
      </c>
      <c r="G6475" s="30" t="str">
        <f>IF(ISNUMBER(F6475),E6475*F6475,"")</f>
        <v/>
      </c>
      <c r="H6475" s="38">
        <f>SUM(G6475:G6478)</f>
        <v>47.417608440249602</v>
      </c>
      <c r="I6475" s="39"/>
      <c r="J6475" s="152">
        <v>0</v>
      </c>
    </row>
    <row r="6476" spans="1:10" ht="39" hidden="1" thickBot="1" x14ac:dyDescent="0.3">
      <c r="A6476" s="176"/>
      <c r="B6476" s="174"/>
      <c r="C6476" s="35" t="s">
        <v>2897</v>
      </c>
      <c r="D6476" s="46" t="s">
        <v>87</v>
      </c>
      <c r="E6476" s="36">
        <v>1.9199999999999998E-2</v>
      </c>
      <c r="F6476" s="33">
        <v>838.58271563799997</v>
      </c>
      <c r="G6476" s="30">
        <f>IF(ISNUMBER(F6476),E6476*F6476,"")</f>
        <v>16.100788140249598</v>
      </c>
      <c r="H6476" s="44"/>
      <c r="I6476" s="45"/>
      <c r="J6476" s="152">
        <v>0</v>
      </c>
    </row>
    <row r="6477" spans="1:10" ht="15.75" hidden="1" thickBot="1" x14ac:dyDescent="0.3">
      <c r="A6477" s="176"/>
      <c r="B6477" s="174"/>
      <c r="C6477" s="35" t="s">
        <v>1017</v>
      </c>
      <c r="D6477" s="35" t="s">
        <v>583</v>
      </c>
      <c r="E6477" s="36">
        <v>0.63370000000000004</v>
      </c>
      <c r="F6477" s="33">
        <v>21.584</v>
      </c>
      <c r="G6477" s="30">
        <f>IF(ISNUMBER(F6477),E6477*F6477,"")</f>
        <v>13.677780800000001</v>
      </c>
      <c r="H6477" s="44"/>
      <c r="I6477" s="45"/>
      <c r="J6477" s="152">
        <v>0</v>
      </c>
    </row>
    <row r="6478" spans="1:10" ht="15.75" hidden="1" thickBot="1" x14ac:dyDescent="0.3">
      <c r="A6478" s="176"/>
      <c r="B6478" s="174"/>
      <c r="C6478" s="35" t="s">
        <v>1018</v>
      </c>
      <c r="D6478" s="35" t="s">
        <v>583</v>
      </c>
      <c r="E6478" s="36">
        <v>0.63370000000000004</v>
      </c>
      <c r="F6478" s="30">
        <v>27.835000000000001</v>
      </c>
      <c r="G6478" s="30">
        <f>IF(ISNUMBER(F6478),E6478*F6478,"")</f>
        <v>17.639039500000003</v>
      </c>
      <c r="H6478" s="34"/>
      <c r="I6478" s="30"/>
      <c r="J6478" s="152">
        <v>0</v>
      </c>
    </row>
    <row r="6479" spans="1:10" ht="15.75" hidden="1" thickBot="1" x14ac:dyDescent="0.3">
      <c r="A6479" s="177"/>
      <c r="B6479" s="175"/>
      <c r="C6479" s="54"/>
      <c r="D6479" s="54"/>
      <c r="E6479" s="65"/>
      <c r="F6479" s="66" t="s">
        <v>416</v>
      </c>
      <c r="G6479" s="66" t="str">
        <f>IF(ISNUMBER(F6479),E6479*F6479,"")</f>
        <v/>
      </c>
      <c r="H6479" s="68"/>
      <c r="I6479" s="30"/>
      <c r="J6479" s="152">
        <v>0</v>
      </c>
    </row>
    <row r="6480" spans="1:10" ht="15.75" hidden="1" thickBot="1" x14ac:dyDescent="0.3">
      <c r="A6480" s="170" t="s">
        <v>5817</v>
      </c>
      <c r="B6480" s="173" t="str">
        <f>INDEX(Orçamentária!A:B,MATCH(Composições!A6480,Orçamentária!A:A,0),2)</f>
        <v>Quadro elétrico TTA - 6 disjuntores terminais</v>
      </c>
      <c r="C6480" s="40"/>
      <c r="D6480" s="25" t="s">
        <v>16</v>
      </c>
      <c r="E6480" s="26"/>
      <c r="F6480" s="41" t="s">
        <v>416</v>
      </c>
      <c r="G6480" s="27" t="str">
        <f>IF(ISNUMBER(F6480),E6480*F6480,"")</f>
        <v/>
      </c>
      <c r="H6480" s="28"/>
      <c r="I6480" s="29"/>
      <c r="J6480" s="152">
        <v>0</v>
      </c>
    </row>
    <row r="6481" spans="1:10" ht="15.75" hidden="1" thickBot="1" x14ac:dyDescent="0.3">
      <c r="A6481" s="176"/>
      <c r="B6481" s="174"/>
      <c r="C6481" s="31"/>
      <c r="D6481" s="31"/>
      <c r="E6481" s="32"/>
      <c r="F6481" s="42" t="s">
        <v>416</v>
      </c>
      <c r="G6481" s="30" t="str">
        <f>IF(ISNUMBER(F6481),E6481*F6481,"")</f>
        <v/>
      </c>
      <c r="H6481" s="34"/>
      <c r="I6481" s="30"/>
      <c r="J6481" s="152">
        <v>0</v>
      </c>
    </row>
    <row r="6482" spans="1:10" ht="26.25" hidden="1" thickBot="1" x14ac:dyDescent="0.3">
      <c r="A6482" s="176"/>
      <c r="B6482" s="174"/>
      <c r="C6482" s="35" t="s">
        <v>6940</v>
      </c>
      <c r="D6482" s="46" t="s">
        <v>16</v>
      </c>
      <c r="E6482" s="36">
        <v>1</v>
      </c>
      <c r="F6482" s="33" t="s">
        <v>416</v>
      </c>
      <c r="G6482" s="30" t="str">
        <f>IF(ISNUMBER(F6482),E6482*F6482,"")</f>
        <v/>
      </c>
      <c r="H6482" s="38">
        <f>SUM(G6482:G6485)</f>
        <v>47.417608440249602</v>
      </c>
      <c r="I6482" s="39"/>
      <c r="J6482" s="152">
        <v>0</v>
      </c>
    </row>
    <row r="6483" spans="1:10" ht="39" hidden="1" thickBot="1" x14ac:dyDescent="0.3">
      <c r="A6483" s="176"/>
      <c r="B6483" s="174"/>
      <c r="C6483" s="35" t="s">
        <v>2897</v>
      </c>
      <c r="D6483" s="46" t="s">
        <v>87</v>
      </c>
      <c r="E6483" s="36">
        <v>1.9199999999999998E-2</v>
      </c>
      <c r="F6483" s="30">
        <v>838.58271563799997</v>
      </c>
      <c r="G6483" s="30">
        <f>IF(ISNUMBER(F6483),E6483*F6483,"")</f>
        <v>16.100788140249598</v>
      </c>
      <c r="H6483" s="34"/>
      <c r="I6483" s="30"/>
      <c r="J6483" s="152">
        <v>0</v>
      </c>
    </row>
    <row r="6484" spans="1:10" ht="15.75" hidden="1" thickBot="1" x14ac:dyDescent="0.3">
      <c r="A6484" s="176"/>
      <c r="B6484" s="174"/>
      <c r="C6484" s="35" t="s">
        <v>1017</v>
      </c>
      <c r="D6484" s="35" t="s">
        <v>583</v>
      </c>
      <c r="E6484" s="36">
        <v>0.63370000000000004</v>
      </c>
      <c r="F6484" s="30">
        <v>21.584</v>
      </c>
      <c r="G6484" s="30">
        <f>IF(ISNUMBER(F6484),E6484*F6484,"")</f>
        <v>13.677780800000001</v>
      </c>
      <c r="H6484" s="34"/>
      <c r="I6484" s="30"/>
      <c r="J6484" s="152">
        <v>0</v>
      </c>
    </row>
    <row r="6485" spans="1:10" ht="15.75" hidden="1" thickBot="1" x14ac:dyDescent="0.3">
      <c r="A6485" s="176"/>
      <c r="B6485" s="174"/>
      <c r="C6485" s="35" t="s">
        <v>1018</v>
      </c>
      <c r="D6485" s="35" t="s">
        <v>583</v>
      </c>
      <c r="E6485" s="36">
        <v>0.63370000000000004</v>
      </c>
      <c r="F6485" s="30">
        <v>27.835000000000001</v>
      </c>
      <c r="G6485" s="33">
        <f>IF(ISNUMBER(F6485),E6485*F6485,"")</f>
        <v>17.639039500000003</v>
      </c>
      <c r="H6485" s="34"/>
      <c r="I6485" s="30"/>
      <c r="J6485" s="152">
        <v>0</v>
      </c>
    </row>
    <row r="6486" spans="1:10" ht="15.75" hidden="1" thickBot="1" x14ac:dyDescent="0.3">
      <c r="A6486" s="176"/>
      <c r="B6486" s="175"/>
      <c r="C6486" s="35"/>
      <c r="D6486" s="35"/>
      <c r="E6486" s="36"/>
      <c r="F6486" s="30" t="s">
        <v>416</v>
      </c>
      <c r="G6486" s="30" t="str">
        <f>IF(ISNUMBER(F6486),E6486*F6486,"")</f>
        <v/>
      </c>
      <c r="H6486" s="34"/>
      <c r="I6486" s="30"/>
      <c r="J6486" s="152">
        <v>0</v>
      </c>
    </row>
    <row r="6487" spans="1:10" ht="15.75" hidden="1" thickBot="1" x14ac:dyDescent="0.3">
      <c r="A6487" s="170" t="s">
        <v>5818</v>
      </c>
      <c r="B6487" s="173" t="str">
        <f>INDEX(Orçamentária!A:B,MATCH(Composições!A6487,Orçamentária!A:A,0),2)</f>
        <v>Quadro elétrico TTA - 11 disjuntores terminais</v>
      </c>
      <c r="C6487" s="40"/>
      <c r="D6487" s="25" t="s">
        <v>16</v>
      </c>
      <c r="E6487" s="26"/>
      <c r="F6487" s="41" t="s">
        <v>416</v>
      </c>
      <c r="G6487" s="27" t="str">
        <f>IF(ISNUMBER(F6487),E6487*F6487,"")</f>
        <v/>
      </c>
      <c r="H6487" s="28"/>
      <c r="I6487" s="29"/>
      <c r="J6487" s="152">
        <v>0</v>
      </c>
    </row>
    <row r="6488" spans="1:10" ht="15.75" hidden="1" thickBot="1" x14ac:dyDescent="0.3">
      <c r="A6488" s="176"/>
      <c r="B6488" s="174"/>
      <c r="C6488" s="31"/>
      <c r="D6488" s="31"/>
      <c r="E6488" s="32"/>
      <c r="F6488" s="42" t="s">
        <v>416</v>
      </c>
      <c r="G6488" s="30" t="str">
        <f>IF(ISNUMBER(F6488),E6488*F6488,"")</f>
        <v/>
      </c>
      <c r="H6488" s="34"/>
      <c r="I6488" s="30"/>
      <c r="J6488" s="152">
        <v>0</v>
      </c>
    </row>
    <row r="6489" spans="1:10" ht="26.25" hidden="1" thickBot="1" x14ac:dyDescent="0.3">
      <c r="A6489" s="176"/>
      <c r="B6489" s="174"/>
      <c r="C6489" s="35" t="s">
        <v>6939</v>
      </c>
      <c r="D6489" s="46" t="s">
        <v>16</v>
      </c>
      <c r="E6489" s="36">
        <v>1</v>
      </c>
      <c r="F6489" s="33" t="s">
        <v>416</v>
      </c>
      <c r="G6489" s="30" t="str">
        <f>IF(ISNUMBER(F6489),E6489*F6489,"")</f>
        <v/>
      </c>
      <c r="H6489" s="38">
        <f>SUM(G6489:G6492)</f>
        <v>47.417608440249602</v>
      </c>
      <c r="I6489" s="39"/>
      <c r="J6489" s="152">
        <v>0</v>
      </c>
    </row>
    <row r="6490" spans="1:10" ht="39" hidden="1" thickBot="1" x14ac:dyDescent="0.3">
      <c r="A6490" s="176"/>
      <c r="B6490" s="174"/>
      <c r="C6490" s="35" t="s">
        <v>2897</v>
      </c>
      <c r="D6490" s="46" t="s">
        <v>87</v>
      </c>
      <c r="E6490" s="36">
        <v>1.9199999999999998E-2</v>
      </c>
      <c r="F6490" s="30">
        <v>838.58271563799997</v>
      </c>
      <c r="G6490" s="30">
        <f>IF(ISNUMBER(F6490),E6490*F6490,"")</f>
        <v>16.100788140249598</v>
      </c>
      <c r="H6490" s="34"/>
      <c r="I6490" s="30"/>
      <c r="J6490" s="152">
        <v>0</v>
      </c>
    </row>
    <row r="6491" spans="1:10" ht="15.75" hidden="1" thickBot="1" x14ac:dyDescent="0.3">
      <c r="A6491" s="176"/>
      <c r="B6491" s="174"/>
      <c r="C6491" s="35" t="s">
        <v>1017</v>
      </c>
      <c r="D6491" s="35" t="s">
        <v>583</v>
      </c>
      <c r="E6491" s="36">
        <v>0.63370000000000004</v>
      </c>
      <c r="F6491" s="30">
        <v>21.584</v>
      </c>
      <c r="G6491" s="30">
        <f>IF(ISNUMBER(F6491),E6491*F6491,"")</f>
        <v>13.677780800000001</v>
      </c>
      <c r="H6491" s="34"/>
      <c r="I6491" s="30"/>
      <c r="J6491" s="152">
        <v>0</v>
      </c>
    </row>
    <row r="6492" spans="1:10" ht="15.75" hidden="1" thickBot="1" x14ac:dyDescent="0.3">
      <c r="A6492" s="176"/>
      <c r="B6492" s="174"/>
      <c r="C6492" s="35" t="s">
        <v>1018</v>
      </c>
      <c r="D6492" s="35" t="s">
        <v>583</v>
      </c>
      <c r="E6492" s="36">
        <v>0.63370000000000004</v>
      </c>
      <c r="F6492" s="30">
        <v>27.835000000000001</v>
      </c>
      <c r="G6492" s="33">
        <f>IF(ISNUMBER(F6492),E6492*F6492,"")</f>
        <v>17.639039500000003</v>
      </c>
      <c r="H6492" s="34"/>
      <c r="I6492" s="30"/>
      <c r="J6492" s="152">
        <v>0</v>
      </c>
    </row>
    <row r="6493" spans="1:10" ht="15.75" hidden="1" thickBot="1" x14ac:dyDescent="0.3">
      <c r="A6493" s="176"/>
      <c r="B6493" s="175"/>
      <c r="C6493" s="35"/>
      <c r="D6493" s="35"/>
      <c r="E6493" s="36"/>
      <c r="F6493" s="30" t="s">
        <v>416</v>
      </c>
      <c r="G6493" s="30" t="str">
        <f>IF(ISNUMBER(F6493),E6493*F6493,"")</f>
        <v/>
      </c>
      <c r="H6493" s="34"/>
      <c r="I6493" s="30"/>
      <c r="J6493" s="152">
        <v>0</v>
      </c>
    </row>
    <row r="6494" spans="1:10" ht="15.75" hidden="1" thickBot="1" x14ac:dyDescent="0.3">
      <c r="A6494" s="170" t="s">
        <v>5825</v>
      </c>
      <c r="B6494" s="173" t="str">
        <f>INDEX(Orçamentária!A:B,MATCH(Composições!A6494,Orçamentária!A:A,0),2)</f>
        <v>Anel de borracha para vedação na interligação de tubos de esgoto</v>
      </c>
      <c r="C6494" s="40"/>
      <c r="D6494" s="25" t="s">
        <v>16</v>
      </c>
      <c r="E6494" s="26"/>
      <c r="F6494" s="41" t="s">
        <v>416</v>
      </c>
      <c r="G6494" s="27" t="str">
        <f>IF(ISNUMBER(F6494),E6494*F6494,"")</f>
        <v/>
      </c>
      <c r="H6494" s="28"/>
      <c r="I6494" s="29"/>
      <c r="J6494" s="152">
        <v>0</v>
      </c>
    </row>
    <row r="6495" spans="1:10" ht="15.75" hidden="1" thickBot="1" x14ac:dyDescent="0.3">
      <c r="A6495" s="176"/>
      <c r="B6495" s="174"/>
      <c r="C6495" s="31"/>
      <c r="D6495" s="31"/>
      <c r="E6495" s="32"/>
      <c r="F6495" s="42" t="s">
        <v>416</v>
      </c>
      <c r="G6495" s="30" t="str">
        <f>IF(ISNUMBER(F6495),E6495*F6495,"")</f>
        <v/>
      </c>
      <c r="H6495" s="34"/>
      <c r="I6495" s="30"/>
      <c r="J6495" s="152">
        <v>0</v>
      </c>
    </row>
    <row r="6496" spans="1:10" ht="26.25" hidden="1" thickBot="1" x14ac:dyDescent="0.3">
      <c r="A6496" s="176"/>
      <c r="B6496" s="174"/>
      <c r="C6496" s="35" t="s">
        <v>7982</v>
      </c>
      <c r="D6496" s="35" t="s">
        <v>213</v>
      </c>
      <c r="E6496" s="36">
        <v>1</v>
      </c>
      <c r="F6496" s="30">
        <v>14.3925</v>
      </c>
      <c r="G6496" s="30">
        <f>IF(ISNUMBER(F6496),E6496*F6496,"")</f>
        <v>14.3925</v>
      </c>
      <c r="H6496" s="38">
        <f>SUM(G6496:G6496)</f>
        <v>14.3925</v>
      </c>
      <c r="I6496" s="39"/>
      <c r="J6496" s="152">
        <v>0</v>
      </c>
    </row>
    <row r="6497" spans="1:10" ht="15.75" hidden="1" thickBot="1" x14ac:dyDescent="0.3">
      <c r="A6497" s="177"/>
      <c r="B6497" s="175"/>
      <c r="C6497" s="54"/>
      <c r="D6497" s="54"/>
      <c r="E6497" s="65"/>
      <c r="F6497" s="66" t="s">
        <v>416</v>
      </c>
      <c r="G6497" s="66" t="str">
        <f>IF(ISNUMBER(F6497),E6497*F6497,"")</f>
        <v/>
      </c>
      <c r="H6497" s="68"/>
      <c r="I6497" s="30"/>
      <c r="J6497" s="152">
        <v>0</v>
      </c>
    </row>
    <row r="6498" spans="1:10" ht="15.75" hidden="1" thickBot="1" x14ac:dyDescent="0.3">
      <c r="A6498" s="170" t="s">
        <v>5827</v>
      </c>
      <c r="B6498" s="173" t="str">
        <f>INDEX(Orçamentária!A:B,MATCH(Composições!A6498,Orçamentária!A:A,0),2)</f>
        <v>Anel de Vedação para bacia sanitária</v>
      </c>
      <c r="C6498" s="40"/>
      <c r="D6498" s="25" t="s">
        <v>16</v>
      </c>
      <c r="E6498" s="26"/>
      <c r="F6498" s="41" t="s">
        <v>416</v>
      </c>
      <c r="G6498" s="27" t="str">
        <f>IF(ISNUMBER(F6498),E6498*F6498,"")</f>
        <v/>
      </c>
      <c r="H6498" s="28"/>
      <c r="I6498" s="29"/>
      <c r="J6498" s="152">
        <v>0</v>
      </c>
    </row>
    <row r="6499" spans="1:10" ht="15.75" hidden="1" thickBot="1" x14ac:dyDescent="0.3">
      <c r="A6499" s="176"/>
      <c r="B6499" s="174"/>
      <c r="C6499" s="31"/>
      <c r="D6499" s="31"/>
      <c r="E6499" s="32"/>
      <c r="F6499" s="42" t="s">
        <v>416</v>
      </c>
      <c r="G6499" s="30" t="str">
        <f>IF(ISNUMBER(F6499),E6499*F6499,"")</f>
        <v/>
      </c>
      <c r="H6499" s="34"/>
      <c r="I6499" s="30"/>
      <c r="J6499" s="152">
        <v>0</v>
      </c>
    </row>
    <row r="6500" spans="1:10" ht="26.25" hidden="1" thickBot="1" x14ac:dyDescent="0.3">
      <c r="A6500" s="176"/>
      <c r="B6500" s="174"/>
      <c r="C6500" s="35" t="s">
        <v>7980</v>
      </c>
      <c r="D6500" s="35" t="s">
        <v>213</v>
      </c>
      <c r="E6500" s="36">
        <v>1</v>
      </c>
      <c r="F6500" s="30">
        <v>2.8499999999999996</v>
      </c>
      <c r="G6500" s="30">
        <f>IF(ISNUMBER(F6500),E6500*F6500,"")</f>
        <v>2.8499999999999996</v>
      </c>
      <c r="H6500" s="38">
        <f>SUM(G6500:G6500)</f>
        <v>2.8499999999999996</v>
      </c>
      <c r="I6500" s="39"/>
      <c r="J6500" s="152">
        <v>0</v>
      </c>
    </row>
    <row r="6501" spans="1:10" ht="15.75" hidden="1" thickBot="1" x14ac:dyDescent="0.3">
      <c r="A6501" s="177"/>
      <c r="B6501" s="175"/>
      <c r="C6501" s="54"/>
      <c r="D6501" s="54"/>
      <c r="E6501" s="65"/>
      <c r="F6501" s="66" t="s">
        <v>416</v>
      </c>
      <c r="G6501" s="66" t="str">
        <f>IF(ISNUMBER(F6501),E6501*F6501,"")</f>
        <v/>
      </c>
      <c r="H6501" s="68"/>
      <c r="I6501" s="30"/>
      <c r="J6501" s="152">
        <v>0</v>
      </c>
    </row>
    <row r="6502" spans="1:10" ht="15.75" hidden="1" thickBot="1" x14ac:dyDescent="0.3">
      <c r="A6502" s="170" t="s">
        <v>5828</v>
      </c>
      <c r="B6502" s="173" t="str">
        <f>INDEX(Orçamentária!A:B,MATCH(Composições!A6502,Orçamentária!A:A,0),2)</f>
        <v>Rejunte cimentício flexível</v>
      </c>
      <c r="C6502" s="40"/>
      <c r="D6502" s="25" t="s">
        <v>28</v>
      </c>
      <c r="E6502" s="26"/>
      <c r="F6502" s="41" t="s">
        <v>416</v>
      </c>
      <c r="G6502" s="27" t="str">
        <f>IF(ISNUMBER(F6502),E6502*F6502,"")</f>
        <v/>
      </c>
      <c r="H6502" s="28"/>
      <c r="I6502" s="29"/>
      <c r="J6502" s="152">
        <v>0</v>
      </c>
    </row>
    <row r="6503" spans="1:10" ht="15.75" hidden="1" thickBot="1" x14ac:dyDescent="0.3">
      <c r="A6503" s="176"/>
      <c r="B6503" s="174"/>
      <c r="C6503" s="31"/>
      <c r="D6503" s="31"/>
      <c r="E6503" s="32"/>
      <c r="F6503" s="42" t="s">
        <v>416</v>
      </c>
      <c r="G6503" s="30" t="str">
        <f>IF(ISNUMBER(F6503),E6503*F6503,"")</f>
        <v/>
      </c>
      <c r="H6503" s="34"/>
      <c r="I6503" s="30"/>
      <c r="J6503" s="152">
        <v>0</v>
      </c>
    </row>
    <row r="6504" spans="1:10" ht="15.75" hidden="1" thickBot="1" x14ac:dyDescent="0.3">
      <c r="A6504" s="176"/>
      <c r="B6504" s="174"/>
      <c r="C6504" s="35" t="s">
        <v>8367</v>
      </c>
      <c r="D6504" s="35" t="s">
        <v>773</v>
      </c>
      <c r="E6504" s="36">
        <v>1</v>
      </c>
      <c r="F6504" s="30">
        <v>3.4579999999999997</v>
      </c>
      <c r="G6504" s="30">
        <f>IF(ISNUMBER(F6504),E6504*F6504,"")</f>
        <v>3.4579999999999997</v>
      </c>
      <c r="H6504" s="38">
        <f>SUM(G6504:G6504)</f>
        <v>3.4579999999999997</v>
      </c>
      <c r="I6504" s="39"/>
      <c r="J6504" s="152">
        <v>0</v>
      </c>
    </row>
    <row r="6505" spans="1:10" ht="15.75" hidden="1" thickBot="1" x14ac:dyDescent="0.3">
      <c r="A6505" s="177"/>
      <c r="B6505" s="175"/>
      <c r="C6505" s="54"/>
      <c r="D6505" s="54"/>
      <c r="E6505" s="65"/>
      <c r="F6505" s="66" t="s">
        <v>416</v>
      </c>
      <c r="G6505" s="66" t="str">
        <f>IF(ISNUMBER(F6505),E6505*F6505,"")</f>
        <v/>
      </c>
      <c r="H6505" s="68"/>
      <c r="I6505" s="30"/>
      <c r="J6505" s="152">
        <v>0</v>
      </c>
    </row>
    <row r="6506" spans="1:10" ht="15.75" hidden="1" thickBot="1" x14ac:dyDescent="0.3">
      <c r="A6506" s="170" t="s">
        <v>5832</v>
      </c>
      <c r="B6506" s="173" t="str">
        <f>INDEX(Orçamentária!A:B,MATCH(Composições!A6506,Orçamentária!A:A,0),2)</f>
        <v>Assento para bacia convencional</v>
      </c>
      <c r="C6506" s="40"/>
      <c r="D6506" s="25" t="s">
        <v>16</v>
      </c>
      <c r="E6506" s="26"/>
      <c r="F6506" s="41" t="s">
        <v>416</v>
      </c>
      <c r="G6506" s="27" t="str">
        <f>IF(ISNUMBER(F6506),E6506*F6506,"")</f>
        <v/>
      </c>
      <c r="H6506" s="28"/>
      <c r="I6506" s="29"/>
      <c r="J6506" s="152">
        <v>0</v>
      </c>
    </row>
    <row r="6507" spans="1:10" ht="15.75" hidden="1" thickBot="1" x14ac:dyDescent="0.3">
      <c r="A6507" s="176"/>
      <c r="B6507" s="174"/>
      <c r="C6507" s="31"/>
      <c r="D6507" s="31"/>
      <c r="E6507" s="32"/>
      <c r="F6507" s="42" t="s">
        <v>416</v>
      </c>
      <c r="G6507" s="30" t="str">
        <f>IF(ISNUMBER(F6507),E6507*F6507,"")</f>
        <v/>
      </c>
      <c r="H6507" s="34"/>
      <c r="I6507" s="30"/>
      <c r="J6507" s="152">
        <v>0</v>
      </c>
    </row>
    <row r="6508" spans="1:10" ht="15.75" hidden="1" thickBot="1" x14ac:dyDescent="0.3">
      <c r="A6508" s="176"/>
      <c r="B6508" s="174"/>
      <c r="C6508" s="35" t="s">
        <v>7993</v>
      </c>
      <c r="D6508" s="35" t="s">
        <v>213</v>
      </c>
      <c r="E6508" s="36">
        <v>1</v>
      </c>
      <c r="F6508" s="30">
        <v>38.949999999999996</v>
      </c>
      <c r="G6508" s="30">
        <f>IF(ISNUMBER(F6508),E6508*F6508,"")</f>
        <v>38.949999999999996</v>
      </c>
      <c r="H6508" s="38">
        <f>SUM(G6508:G6508)</f>
        <v>38.949999999999996</v>
      </c>
      <c r="I6508" s="39"/>
      <c r="J6508" s="152">
        <v>0</v>
      </c>
    </row>
    <row r="6509" spans="1:10" ht="15.75" hidden="1" thickBot="1" x14ac:dyDescent="0.3">
      <c r="A6509" s="177"/>
      <c r="B6509" s="175"/>
      <c r="C6509" s="54"/>
      <c r="D6509" s="54"/>
      <c r="E6509" s="65"/>
      <c r="F6509" s="66" t="s">
        <v>416</v>
      </c>
      <c r="G6509" s="66" t="str">
        <f>IF(ISNUMBER(F6509),E6509*F6509,"")</f>
        <v/>
      </c>
      <c r="H6509" s="68"/>
      <c r="I6509" s="30"/>
      <c r="J6509" s="152">
        <v>0</v>
      </c>
    </row>
    <row r="6510" spans="1:10" ht="15.75" hidden="1" thickBot="1" x14ac:dyDescent="0.3">
      <c r="A6510" s="170" t="s">
        <v>5838</v>
      </c>
      <c r="B6510" s="173" t="str">
        <f>INDEX(Orçamentária!A:B,MATCH(Composições!A6510,Orçamentária!A:A,0),2)</f>
        <v>Barra de apoio 70 cm - Linha Acessibilidade</v>
      </c>
      <c r="C6510" s="40"/>
      <c r="D6510" s="25" t="s">
        <v>16</v>
      </c>
      <c r="E6510" s="26"/>
      <c r="F6510" s="41" t="s">
        <v>416</v>
      </c>
      <c r="G6510" s="27" t="str">
        <f>IF(ISNUMBER(F6510),E6510*F6510,"")</f>
        <v/>
      </c>
      <c r="H6510" s="28"/>
      <c r="I6510" s="29"/>
      <c r="J6510" s="152">
        <v>0</v>
      </c>
    </row>
    <row r="6511" spans="1:10" ht="15.75" hidden="1" thickBot="1" x14ac:dyDescent="0.3">
      <c r="A6511" s="176"/>
      <c r="B6511" s="174"/>
      <c r="C6511" s="31"/>
      <c r="D6511" s="31"/>
      <c r="E6511" s="32"/>
      <c r="F6511" s="42" t="s">
        <v>416</v>
      </c>
      <c r="G6511" s="30" t="str">
        <f>IF(ISNUMBER(F6511),E6511*F6511,"")</f>
        <v/>
      </c>
      <c r="H6511" s="34"/>
      <c r="I6511" s="30"/>
      <c r="J6511" s="152">
        <v>0</v>
      </c>
    </row>
    <row r="6512" spans="1:10" ht="26.25" hidden="1" thickBot="1" x14ac:dyDescent="0.3">
      <c r="A6512" s="176"/>
      <c r="B6512" s="174"/>
      <c r="C6512" s="35" t="s">
        <v>7997</v>
      </c>
      <c r="D6512" s="35" t="s">
        <v>213</v>
      </c>
      <c r="E6512" s="36">
        <v>1</v>
      </c>
      <c r="F6512" s="30">
        <v>149.15</v>
      </c>
      <c r="G6512" s="30">
        <f>IF(ISNUMBER(F6512),E6512*F6512,"")</f>
        <v>149.15</v>
      </c>
      <c r="H6512" s="38">
        <f>SUM(G6512:G6512)</f>
        <v>149.15</v>
      </c>
      <c r="I6512" s="39"/>
      <c r="J6512" s="152">
        <v>0</v>
      </c>
    </row>
    <row r="6513" spans="1:10" ht="15.75" hidden="1" thickBot="1" x14ac:dyDescent="0.3">
      <c r="A6513" s="177"/>
      <c r="B6513" s="175"/>
      <c r="C6513" s="54"/>
      <c r="D6513" s="54"/>
      <c r="E6513" s="65"/>
      <c r="F6513" s="66" t="s">
        <v>416</v>
      </c>
      <c r="G6513" s="66" t="str">
        <f>IF(ISNUMBER(F6513),E6513*F6513,"")</f>
        <v/>
      </c>
      <c r="H6513" s="68"/>
      <c r="I6513" s="30"/>
      <c r="J6513" s="152">
        <v>0</v>
      </c>
    </row>
    <row r="6514" spans="1:10" ht="15.75" hidden="1" thickBot="1" x14ac:dyDescent="0.3">
      <c r="A6514" s="170" t="s">
        <v>5839</v>
      </c>
      <c r="B6514" s="173" t="str">
        <f>INDEX(Orçamentária!A:B,MATCH(Composições!A6514,Orçamentária!A:A,0),2)</f>
        <v>Barra de apoio 80 cm - Linha Acessibilidade</v>
      </c>
      <c r="C6514" s="40"/>
      <c r="D6514" s="25" t="s">
        <v>16</v>
      </c>
      <c r="E6514" s="26"/>
      <c r="F6514" s="41" t="s">
        <v>416</v>
      </c>
      <c r="G6514" s="27" t="str">
        <f>IF(ISNUMBER(F6514),E6514*F6514,"")</f>
        <v/>
      </c>
      <c r="H6514" s="28"/>
      <c r="I6514" s="29"/>
      <c r="J6514" s="152">
        <v>0</v>
      </c>
    </row>
    <row r="6515" spans="1:10" ht="15.75" hidden="1" thickBot="1" x14ac:dyDescent="0.3">
      <c r="A6515" s="176"/>
      <c r="B6515" s="174"/>
      <c r="C6515" s="31"/>
      <c r="D6515" s="31"/>
      <c r="E6515" s="32"/>
      <c r="F6515" s="42" t="s">
        <v>416</v>
      </c>
      <c r="G6515" s="30" t="str">
        <f>IF(ISNUMBER(F6515),E6515*F6515,"")</f>
        <v/>
      </c>
      <c r="H6515" s="34"/>
      <c r="I6515" s="30"/>
      <c r="J6515" s="152">
        <v>0</v>
      </c>
    </row>
    <row r="6516" spans="1:10" ht="26.25" hidden="1" thickBot="1" x14ac:dyDescent="0.3">
      <c r="A6516" s="176"/>
      <c r="B6516" s="174"/>
      <c r="C6516" s="35" t="s">
        <v>7998</v>
      </c>
      <c r="D6516" s="35" t="s">
        <v>213</v>
      </c>
      <c r="E6516" s="36">
        <v>1</v>
      </c>
      <c r="F6516" s="30">
        <v>159.03</v>
      </c>
      <c r="G6516" s="30">
        <f>IF(ISNUMBER(F6516),E6516*F6516,"")</f>
        <v>159.03</v>
      </c>
      <c r="H6516" s="38">
        <f>SUM(G6516:G6516)</f>
        <v>159.03</v>
      </c>
      <c r="I6516" s="39"/>
      <c r="J6516" s="152">
        <v>0</v>
      </c>
    </row>
    <row r="6517" spans="1:10" ht="15.75" hidden="1" thickBot="1" x14ac:dyDescent="0.3">
      <c r="A6517" s="177"/>
      <c r="B6517" s="175"/>
      <c r="C6517" s="54"/>
      <c r="D6517" s="54"/>
      <c r="E6517" s="65"/>
      <c r="F6517" s="66" t="s">
        <v>416</v>
      </c>
      <c r="G6517" s="66" t="str">
        <f>IF(ISNUMBER(F6517),E6517*F6517,"")</f>
        <v/>
      </c>
      <c r="H6517" s="68"/>
      <c r="I6517" s="30"/>
      <c r="J6517" s="152">
        <v>0</v>
      </c>
    </row>
    <row r="6518" spans="1:10" ht="15.75" hidden="1" thickBot="1" x14ac:dyDescent="0.3">
      <c r="A6518" s="170" t="s">
        <v>5843</v>
      </c>
      <c r="B6518" s="173" t="str">
        <f>INDEX(Orçamentária!A:B,MATCH(Composições!A6518,Orçamentária!A:A,0),2)</f>
        <v>Bolsa de ligação Branca para Vaso Sanitário</v>
      </c>
      <c r="C6518" s="40"/>
      <c r="D6518" s="25" t="s">
        <v>16</v>
      </c>
      <c r="E6518" s="26"/>
      <c r="F6518" s="41" t="s">
        <v>416</v>
      </c>
      <c r="G6518" s="27" t="str">
        <f>IF(ISNUMBER(F6518),E6518*F6518,"")</f>
        <v/>
      </c>
      <c r="H6518" s="28"/>
      <c r="I6518" s="29"/>
      <c r="J6518" s="152">
        <v>0</v>
      </c>
    </row>
    <row r="6519" spans="1:10" ht="15.75" hidden="1" thickBot="1" x14ac:dyDescent="0.3">
      <c r="A6519" s="176"/>
      <c r="B6519" s="174"/>
      <c r="C6519" s="31"/>
      <c r="D6519" s="31"/>
      <c r="E6519" s="32"/>
      <c r="F6519" s="42" t="s">
        <v>416</v>
      </c>
      <c r="G6519" s="30" t="str">
        <f>IF(ISNUMBER(F6519),E6519*F6519,"")</f>
        <v/>
      </c>
      <c r="H6519" s="34"/>
      <c r="I6519" s="30"/>
      <c r="J6519" s="152">
        <v>0</v>
      </c>
    </row>
    <row r="6520" spans="1:10" ht="26.25" hidden="1" thickBot="1" x14ac:dyDescent="0.3">
      <c r="A6520" s="176"/>
      <c r="B6520" s="174"/>
      <c r="C6520" s="35" t="s">
        <v>8006</v>
      </c>
      <c r="D6520" s="35" t="s">
        <v>213</v>
      </c>
      <c r="E6520" s="36">
        <v>1</v>
      </c>
      <c r="F6520" s="30">
        <v>4.1229999999999993</v>
      </c>
      <c r="G6520" s="30">
        <f>IF(ISNUMBER(F6520),E6520*F6520,"")</f>
        <v>4.1229999999999993</v>
      </c>
      <c r="H6520" s="38">
        <f>SUM(G6520:G6520)</f>
        <v>4.1229999999999993</v>
      </c>
      <c r="I6520" s="39"/>
      <c r="J6520" s="152">
        <v>0</v>
      </c>
    </row>
    <row r="6521" spans="1:10" ht="15.75" hidden="1" thickBot="1" x14ac:dyDescent="0.3">
      <c r="A6521" s="177"/>
      <c r="B6521" s="175"/>
      <c r="C6521" s="54"/>
      <c r="D6521" s="54"/>
      <c r="E6521" s="65"/>
      <c r="F6521" s="66" t="s">
        <v>416</v>
      </c>
      <c r="G6521" s="66" t="str">
        <f>IF(ISNUMBER(F6521),E6521*F6521,"")</f>
        <v/>
      </c>
      <c r="H6521" s="68"/>
      <c r="I6521" s="30"/>
      <c r="J6521" s="152">
        <v>0</v>
      </c>
    </row>
    <row r="6522" spans="1:10" ht="15.75" hidden="1" thickBot="1" x14ac:dyDescent="0.3">
      <c r="A6522" s="170" t="s">
        <v>5845</v>
      </c>
      <c r="B6522" s="173" t="str">
        <f>INDEX(Orçamentária!A:B,MATCH(Composições!A6522,Orçamentária!A:A,0),2)</f>
        <v>Botão de Acionamento para Mictório</v>
      </c>
      <c r="C6522" s="40"/>
      <c r="D6522" s="25" t="s">
        <v>16</v>
      </c>
      <c r="E6522" s="26"/>
      <c r="F6522" s="41" t="s">
        <v>416</v>
      </c>
      <c r="G6522" s="27" t="str">
        <f>IF(ISNUMBER(F6522),E6522*F6522,"")</f>
        <v/>
      </c>
      <c r="H6522" s="28"/>
      <c r="I6522" s="29"/>
      <c r="J6522" s="152">
        <v>0</v>
      </c>
    </row>
    <row r="6523" spans="1:10" ht="15.75" hidden="1" thickBot="1" x14ac:dyDescent="0.3">
      <c r="A6523" s="176"/>
      <c r="B6523" s="174"/>
      <c r="C6523" s="31"/>
      <c r="D6523" s="31"/>
      <c r="E6523" s="32"/>
      <c r="F6523" s="42" t="s">
        <v>416</v>
      </c>
      <c r="G6523" s="30" t="str">
        <f>IF(ISNUMBER(F6523),E6523*F6523,"")</f>
        <v/>
      </c>
      <c r="H6523" s="34"/>
      <c r="I6523" s="30"/>
      <c r="J6523" s="152">
        <v>0</v>
      </c>
    </row>
    <row r="6524" spans="1:10" ht="26.25" hidden="1" thickBot="1" x14ac:dyDescent="0.3">
      <c r="A6524" s="176"/>
      <c r="B6524" s="174"/>
      <c r="C6524" s="35" t="s">
        <v>8490</v>
      </c>
      <c r="D6524" s="35" t="s">
        <v>213</v>
      </c>
      <c r="E6524" s="36">
        <v>1</v>
      </c>
      <c r="F6524" s="30">
        <v>224.98849999999999</v>
      </c>
      <c r="G6524" s="30">
        <f>IF(ISNUMBER(F6524),E6524*F6524,"")</f>
        <v>224.98849999999999</v>
      </c>
      <c r="H6524" s="38">
        <f>SUM(G6524:G6524)</f>
        <v>224.98849999999999</v>
      </c>
      <c r="I6524" s="39"/>
      <c r="J6524" s="152">
        <v>0</v>
      </c>
    </row>
    <row r="6525" spans="1:10" ht="15.75" hidden="1" thickBot="1" x14ac:dyDescent="0.3">
      <c r="A6525" s="177"/>
      <c r="B6525" s="175"/>
      <c r="C6525" s="54"/>
      <c r="D6525" s="54"/>
      <c r="E6525" s="65"/>
      <c r="F6525" s="66" t="s">
        <v>416</v>
      </c>
      <c r="G6525" s="66" t="str">
        <f>IF(ISNUMBER(F6525),E6525*F6525,"")</f>
        <v/>
      </c>
      <c r="H6525" s="68"/>
      <c r="I6525" s="30"/>
      <c r="J6525" s="152">
        <v>0</v>
      </c>
    </row>
    <row r="6526" spans="1:10" ht="15.75" hidden="1" thickBot="1" x14ac:dyDescent="0.3">
      <c r="A6526" s="170" t="s">
        <v>5847</v>
      </c>
      <c r="B6526" s="173" t="str">
        <f>INDEX(Orçamentária!A:B,MATCH(Composições!A6526,Orçamentária!A:A,0),2)</f>
        <v>Braço de metal para Chuveiro</v>
      </c>
      <c r="C6526" s="40"/>
      <c r="D6526" s="25" t="s">
        <v>16</v>
      </c>
      <c r="E6526" s="26"/>
      <c r="F6526" s="41" t="s">
        <v>416</v>
      </c>
      <c r="G6526" s="27" t="str">
        <f>IF(ISNUMBER(F6526),E6526*F6526,"")</f>
        <v/>
      </c>
      <c r="H6526" s="28"/>
      <c r="I6526" s="29"/>
      <c r="J6526" s="152">
        <v>0</v>
      </c>
    </row>
    <row r="6527" spans="1:10" ht="15.75" hidden="1" thickBot="1" x14ac:dyDescent="0.3">
      <c r="A6527" s="176"/>
      <c r="B6527" s="174"/>
      <c r="C6527" s="31"/>
      <c r="D6527" s="31"/>
      <c r="E6527" s="32"/>
      <c r="F6527" s="42" t="s">
        <v>416</v>
      </c>
      <c r="G6527" s="30" t="str">
        <f>IF(ISNUMBER(F6527),E6527*F6527,"")</f>
        <v/>
      </c>
      <c r="H6527" s="34"/>
      <c r="I6527" s="30"/>
      <c r="J6527" s="152">
        <v>0</v>
      </c>
    </row>
    <row r="6528" spans="1:10" ht="26.25" hidden="1" thickBot="1" x14ac:dyDescent="0.3">
      <c r="A6528" s="176"/>
      <c r="B6528" s="174"/>
      <c r="C6528" s="35" t="s">
        <v>8008</v>
      </c>
      <c r="D6528" s="35" t="s">
        <v>213</v>
      </c>
      <c r="E6528" s="36">
        <v>1</v>
      </c>
      <c r="F6528" s="30">
        <v>24.044499999999999</v>
      </c>
      <c r="G6528" s="30">
        <f>IF(ISNUMBER(F6528),E6528*F6528,"")</f>
        <v>24.044499999999999</v>
      </c>
      <c r="H6528" s="38">
        <f>SUM(G6528:G6528)</f>
        <v>24.044499999999999</v>
      </c>
      <c r="I6528" s="39"/>
      <c r="J6528" s="152">
        <v>0</v>
      </c>
    </row>
    <row r="6529" spans="1:10" ht="15.75" hidden="1" thickBot="1" x14ac:dyDescent="0.3">
      <c r="A6529" s="177"/>
      <c r="B6529" s="175"/>
      <c r="C6529" s="54"/>
      <c r="D6529" s="54"/>
      <c r="E6529" s="65"/>
      <c r="F6529" s="66" t="s">
        <v>416</v>
      </c>
      <c r="G6529" s="66" t="str">
        <f>IF(ISNUMBER(F6529),E6529*F6529,"")</f>
        <v/>
      </c>
      <c r="H6529" s="68"/>
      <c r="I6529" s="30"/>
      <c r="J6529" s="152">
        <v>0</v>
      </c>
    </row>
    <row r="6530" spans="1:10" ht="15.75" hidden="1" thickBot="1" x14ac:dyDescent="0.3">
      <c r="A6530" s="170" t="s">
        <v>5850</v>
      </c>
      <c r="B6530" s="173" t="str">
        <f>INDEX(Orçamentária!A:B,MATCH(Composições!A6530,Orçamentária!A:A,0),2)</f>
        <v>Caixa de descarga alta/elevada</v>
      </c>
      <c r="C6530" s="40"/>
      <c r="D6530" s="25" t="s">
        <v>16</v>
      </c>
      <c r="E6530" s="26"/>
      <c r="F6530" s="41" t="s">
        <v>416</v>
      </c>
      <c r="G6530" s="27" t="str">
        <f>IF(ISNUMBER(F6530),E6530*F6530,"")</f>
        <v/>
      </c>
      <c r="H6530" s="28"/>
      <c r="I6530" s="29"/>
      <c r="J6530" s="152">
        <v>0</v>
      </c>
    </row>
    <row r="6531" spans="1:10" ht="15.75" hidden="1" thickBot="1" x14ac:dyDescent="0.3">
      <c r="A6531" s="176"/>
      <c r="B6531" s="174"/>
      <c r="C6531" s="31"/>
      <c r="D6531" s="31"/>
      <c r="E6531" s="32"/>
      <c r="F6531" s="42" t="s">
        <v>416</v>
      </c>
      <c r="G6531" s="30" t="str">
        <f>IF(ISNUMBER(F6531),E6531*F6531,"")</f>
        <v/>
      </c>
      <c r="H6531" s="34"/>
      <c r="I6531" s="30"/>
      <c r="J6531" s="152">
        <v>0</v>
      </c>
    </row>
    <row r="6532" spans="1:10" ht="26.25" hidden="1" thickBot="1" x14ac:dyDescent="0.3">
      <c r="A6532" s="176"/>
      <c r="B6532" s="174"/>
      <c r="C6532" s="35" t="s">
        <v>8033</v>
      </c>
      <c r="D6532" s="35" t="s">
        <v>213</v>
      </c>
      <c r="E6532" s="36">
        <v>1</v>
      </c>
      <c r="F6532" s="30">
        <v>47.404999999999994</v>
      </c>
      <c r="G6532" s="30">
        <f>IF(ISNUMBER(F6532),E6532*F6532,"")</f>
        <v>47.404999999999994</v>
      </c>
      <c r="H6532" s="38">
        <f>SUM(G6532:G6532)</f>
        <v>47.404999999999994</v>
      </c>
      <c r="I6532" s="39"/>
      <c r="J6532" s="152">
        <v>0</v>
      </c>
    </row>
    <row r="6533" spans="1:10" ht="15.75" hidden="1" thickBot="1" x14ac:dyDescent="0.3">
      <c r="A6533" s="177"/>
      <c r="B6533" s="175"/>
      <c r="C6533" s="54"/>
      <c r="D6533" s="54"/>
      <c r="E6533" s="65"/>
      <c r="F6533" s="66" t="s">
        <v>416</v>
      </c>
      <c r="G6533" s="66" t="str">
        <f>IF(ISNUMBER(F6533),E6533*F6533,"")</f>
        <v/>
      </c>
      <c r="H6533" s="68"/>
      <c r="I6533" s="30"/>
      <c r="J6533" s="152">
        <v>0</v>
      </c>
    </row>
    <row r="6534" spans="1:10" ht="15.75" hidden="1" thickBot="1" x14ac:dyDescent="0.3">
      <c r="A6534" s="170" t="s">
        <v>5851</v>
      </c>
      <c r="B6534" s="173" t="str">
        <f>INDEX(Orçamentária!A:B,MATCH(Composições!A6534,Orçamentária!A:A,0),2)</f>
        <v>Caixa de gordura grande com cesta</v>
      </c>
      <c r="C6534" s="40"/>
      <c r="D6534" s="25" t="s">
        <v>16</v>
      </c>
      <c r="E6534" s="26"/>
      <c r="F6534" s="41" t="s">
        <v>416</v>
      </c>
      <c r="G6534" s="27" t="str">
        <f>IF(ISNUMBER(F6534),E6534*F6534,"")</f>
        <v/>
      </c>
      <c r="H6534" s="28"/>
      <c r="I6534" s="29"/>
      <c r="J6534" s="152">
        <v>0</v>
      </c>
    </row>
    <row r="6535" spans="1:10" ht="15.75" hidden="1" thickBot="1" x14ac:dyDescent="0.3">
      <c r="A6535" s="176"/>
      <c r="B6535" s="174"/>
      <c r="C6535" s="31"/>
      <c r="D6535" s="31"/>
      <c r="E6535" s="32"/>
      <c r="F6535" s="42" t="s">
        <v>416</v>
      </c>
      <c r="G6535" s="30" t="str">
        <f>IF(ISNUMBER(F6535),E6535*F6535,"")</f>
        <v/>
      </c>
      <c r="H6535" s="34"/>
      <c r="I6535" s="30"/>
      <c r="J6535" s="152">
        <v>0</v>
      </c>
    </row>
    <row r="6536" spans="1:10" ht="39" hidden="1" thickBot="1" x14ac:dyDescent="0.3">
      <c r="A6536" s="176"/>
      <c r="B6536" s="174"/>
      <c r="C6536" s="35" t="s">
        <v>8543</v>
      </c>
      <c r="D6536" s="35" t="s">
        <v>213</v>
      </c>
      <c r="E6536" s="36">
        <v>1</v>
      </c>
      <c r="F6536" s="30">
        <v>472.38749999999999</v>
      </c>
      <c r="G6536" s="30">
        <f>IF(ISNUMBER(F6536),E6536*F6536,"")</f>
        <v>472.38749999999999</v>
      </c>
      <c r="H6536" s="38">
        <f>SUM(G6536:G6536)</f>
        <v>472.38749999999999</v>
      </c>
      <c r="I6536" s="39"/>
      <c r="J6536" s="152">
        <v>0</v>
      </c>
    </row>
    <row r="6537" spans="1:10" ht="15.75" hidden="1" thickBot="1" x14ac:dyDescent="0.3">
      <c r="A6537" s="177"/>
      <c r="B6537" s="175"/>
      <c r="C6537" s="54"/>
      <c r="D6537" s="54"/>
      <c r="E6537" s="65"/>
      <c r="F6537" s="66" t="s">
        <v>416</v>
      </c>
      <c r="G6537" s="66" t="str">
        <f>IF(ISNUMBER(F6537),E6537*F6537,"")</f>
        <v/>
      </c>
      <c r="H6537" s="68"/>
      <c r="I6537" s="30"/>
      <c r="J6537" s="152">
        <v>0</v>
      </c>
    </row>
    <row r="6538" spans="1:10" ht="15.75" hidden="1" thickBot="1" x14ac:dyDescent="0.3">
      <c r="A6538" s="170" t="s">
        <v>5853</v>
      </c>
      <c r="B6538" s="173" t="str">
        <f>INDEX(Orçamentária!A:B,MATCH(Composições!A6538,Orçamentária!A:A,0),2)</f>
        <v>Caixa de hidrante de parede com vidro - 70x50 cm</v>
      </c>
      <c r="C6538" s="40"/>
      <c r="D6538" s="25" t="s">
        <v>16</v>
      </c>
      <c r="E6538" s="26"/>
      <c r="F6538" s="41" t="s">
        <v>416</v>
      </c>
      <c r="G6538" s="27" t="str">
        <f>IF(ISNUMBER(F6538),E6538*F6538,"")</f>
        <v/>
      </c>
      <c r="H6538" s="28"/>
      <c r="I6538" s="29"/>
      <c r="J6538" s="152">
        <v>0</v>
      </c>
    </row>
    <row r="6539" spans="1:10" ht="15.75" hidden="1" thickBot="1" x14ac:dyDescent="0.3">
      <c r="A6539" s="176"/>
      <c r="B6539" s="174"/>
      <c r="C6539" s="31"/>
      <c r="D6539" s="31"/>
      <c r="E6539" s="32"/>
      <c r="F6539" s="42" t="s">
        <v>416</v>
      </c>
      <c r="G6539" s="30" t="str">
        <f>IF(ISNUMBER(F6539),E6539*F6539,"")</f>
        <v/>
      </c>
      <c r="H6539" s="34"/>
      <c r="I6539" s="30"/>
      <c r="J6539" s="152">
        <v>0</v>
      </c>
    </row>
    <row r="6540" spans="1:10" ht="64.5" hidden="1" thickBot="1" x14ac:dyDescent="0.3">
      <c r="A6540" s="176"/>
      <c r="B6540" s="174"/>
      <c r="C6540" s="35" t="s">
        <v>8034</v>
      </c>
      <c r="D6540" s="35" t="s">
        <v>213</v>
      </c>
      <c r="E6540" s="36">
        <v>1</v>
      </c>
      <c r="F6540" s="30">
        <v>332.63299999999998</v>
      </c>
      <c r="G6540" s="30">
        <f>IF(ISNUMBER(F6540),E6540*F6540,"")</f>
        <v>332.63299999999998</v>
      </c>
      <c r="H6540" s="38">
        <f>SUM(G6540:G6540)</f>
        <v>332.63299999999998</v>
      </c>
      <c r="I6540" s="39"/>
      <c r="J6540" s="152">
        <v>0</v>
      </c>
    </row>
    <row r="6541" spans="1:10" ht="15.75" hidden="1" thickBot="1" x14ac:dyDescent="0.3">
      <c r="A6541" s="177"/>
      <c r="B6541" s="175"/>
      <c r="C6541" s="54"/>
      <c r="D6541" s="54"/>
      <c r="E6541" s="65"/>
      <c r="F6541" s="66" t="s">
        <v>416</v>
      </c>
      <c r="G6541" s="66" t="str">
        <f>IF(ISNUMBER(F6541),E6541*F6541,"")</f>
        <v/>
      </c>
      <c r="H6541" s="68"/>
      <c r="I6541" s="30"/>
      <c r="J6541" s="152">
        <v>0</v>
      </c>
    </row>
    <row r="6542" spans="1:10" ht="15.75" hidden="1" thickBot="1" x14ac:dyDescent="0.3">
      <c r="A6542" s="170" t="s">
        <v>5855</v>
      </c>
      <c r="B6542" s="173" t="str">
        <f>INDEX(Orçamentária!A:B,MATCH(Composições!A6542,Orçamentária!A:A,0),2)</f>
        <v>Caixa sifonada de PVC DN 150 mm</v>
      </c>
      <c r="C6542" s="40"/>
      <c r="D6542" s="25" t="s">
        <v>16</v>
      </c>
      <c r="E6542" s="26"/>
      <c r="F6542" s="41" t="s">
        <v>416</v>
      </c>
      <c r="G6542" s="27" t="str">
        <f>IF(ISNUMBER(F6542),E6542*F6542,"")</f>
        <v/>
      </c>
      <c r="H6542" s="28"/>
      <c r="I6542" s="29"/>
      <c r="J6542" s="152">
        <v>0</v>
      </c>
    </row>
    <row r="6543" spans="1:10" ht="15.75" hidden="1" thickBot="1" x14ac:dyDescent="0.3">
      <c r="A6543" s="176"/>
      <c r="B6543" s="174"/>
      <c r="C6543" s="31"/>
      <c r="D6543" s="31"/>
      <c r="E6543" s="32"/>
      <c r="F6543" s="42" t="s">
        <v>416</v>
      </c>
      <c r="G6543" s="30" t="str">
        <f>IF(ISNUMBER(F6543),E6543*F6543,"")</f>
        <v/>
      </c>
      <c r="H6543" s="34"/>
      <c r="I6543" s="30"/>
      <c r="J6543" s="152">
        <v>0</v>
      </c>
    </row>
    <row r="6544" spans="1:10" ht="26.25" hidden="1" thickBot="1" x14ac:dyDescent="0.3">
      <c r="A6544" s="176"/>
      <c r="B6544" s="174"/>
      <c r="C6544" s="35" t="s">
        <v>8039</v>
      </c>
      <c r="D6544" s="35" t="s">
        <v>213</v>
      </c>
      <c r="E6544" s="36">
        <v>1</v>
      </c>
      <c r="F6544" s="30">
        <v>67.45</v>
      </c>
      <c r="G6544" s="30">
        <f>IF(ISNUMBER(F6544),E6544*F6544,"")</f>
        <v>67.45</v>
      </c>
      <c r="H6544" s="38">
        <f>SUM(G6544:G6544)</f>
        <v>67.45</v>
      </c>
      <c r="I6544" s="39"/>
      <c r="J6544" s="152">
        <v>0</v>
      </c>
    </row>
    <row r="6545" spans="1:10" ht="15.75" hidden="1" thickBot="1" x14ac:dyDescent="0.3">
      <c r="A6545" s="177"/>
      <c r="B6545" s="175"/>
      <c r="C6545" s="54"/>
      <c r="D6545" s="54"/>
      <c r="E6545" s="65"/>
      <c r="F6545" s="66" t="s">
        <v>416</v>
      </c>
      <c r="G6545" s="66" t="str">
        <f>IF(ISNUMBER(F6545),E6545*F6545,"")</f>
        <v/>
      </c>
      <c r="H6545" s="68"/>
      <c r="I6545" s="30"/>
      <c r="J6545" s="152">
        <v>0</v>
      </c>
    </row>
    <row r="6546" spans="1:10" ht="15.75" hidden="1" thickBot="1" x14ac:dyDescent="0.3">
      <c r="A6546" s="170" t="s">
        <v>5856</v>
      </c>
      <c r="B6546" s="173" t="str">
        <f>INDEX(Orçamentária!A:B,MATCH(Composições!A6546,Orçamentária!A:A,0),2)</f>
        <v>Caixa sifonada de PVC DN 250 mm</v>
      </c>
      <c r="C6546" s="40"/>
      <c r="D6546" s="25" t="s">
        <v>16</v>
      </c>
      <c r="E6546" s="26"/>
      <c r="F6546" s="41" t="s">
        <v>416</v>
      </c>
      <c r="G6546" s="27" t="str">
        <f>IF(ISNUMBER(F6546),E6546*F6546,"")</f>
        <v/>
      </c>
      <c r="H6546" s="28"/>
      <c r="I6546" s="29"/>
      <c r="J6546" s="152">
        <v>0</v>
      </c>
    </row>
    <row r="6547" spans="1:10" ht="15.75" hidden="1" thickBot="1" x14ac:dyDescent="0.3">
      <c r="A6547" s="176"/>
      <c r="B6547" s="174"/>
      <c r="C6547" s="31"/>
      <c r="D6547" s="31"/>
      <c r="E6547" s="32"/>
      <c r="F6547" s="42" t="s">
        <v>416</v>
      </c>
      <c r="G6547" s="30" t="str">
        <f>IF(ISNUMBER(F6547),E6547*F6547,"")</f>
        <v/>
      </c>
      <c r="H6547" s="34"/>
      <c r="I6547" s="30"/>
      <c r="J6547" s="152">
        <v>0</v>
      </c>
    </row>
    <row r="6548" spans="1:10" ht="26.25" hidden="1" thickBot="1" x14ac:dyDescent="0.3">
      <c r="A6548" s="176"/>
      <c r="B6548" s="174"/>
      <c r="C6548" s="35" t="s">
        <v>8037</v>
      </c>
      <c r="D6548" s="35" t="s">
        <v>213</v>
      </c>
      <c r="E6548" s="36">
        <v>1</v>
      </c>
      <c r="F6548" s="30">
        <v>125.78</v>
      </c>
      <c r="G6548" s="30">
        <f>IF(ISNUMBER(F6548),E6548*F6548,"")</f>
        <v>125.78</v>
      </c>
      <c r="H6548" s="38">
        <f>SUM(G6548:G6548)</f>
        <v>125.78</v>
      </c>
      <c r="I6548" s="39"/>
      <c r="J6548" s="152">
        <v>0</v>
      </c>
    </row>
    <row r="6549" spans="1:10" ht="15.75" hidden="1" thickBot="1" x14ac:dyDescent="0.3">
      <c r="A6549" s="177"/>
      <c r="B6549" s="175"/>
      <c r="C6549" s="54"/>
      <c r="D6549" s="54"/>
      <c r="E6549" s="65"/>
      <c r="F6549" s="66" t="s">
        <v>416</v>
      </c>
      <c r="G6549" s="66" t="str">
        <f>IF(ISNUMBER(F6549),E6549*F6549,"")</f>
        <v/>
      </c>
      <c r="H6549" s="68"/>
      <c r="I6549" s="30"/>
      <c r="J6549" s="152">
        <v>0</v>
      </c>
    </row>
    <row r="6550" spans="1:10" ht="15.75" hidden="1" thickBot="1" x14ac:dyDescent="0.3">
      <c r="A6550" s="170" t="s">
        <v>5900</v>
      </c>
      <c r="B6550" s="173" t="str">
        <f>INDEX(Orçamentária!A:B,MATCH(Composições!A6550,Orçamentária!A:A,0),2)</f>
        <v>Chuveiro Elétrico</v>
      </c>
      <c r="C6550" s="40"/>
      <c r="D6550" s="25" t="s">
        <v>16</v>
      </c>
      <c r="E6550" s="26"/>
      <c r="F6550" s="41" t="s">
        <v>416</v>
      </c>
      <c r="G6550" s="27" t="str">
        <f>IF(ISNUMBER(F6550),E6550*F6550,"")</f>
        <v/>
      </c>
      <c r="H6550" s="28"/>
      <c r="I6550" s="29"/>
      <c r="J6550" s="152">
        <v>0</v>
      </c>
    </row>
    <row r="6551" spans="1:10" ht="15.75" hidden="1" thickBot="1" x14ac:dyDescent="0.3">
      <c r="A6551" s="176"/>
      <c r="B6551" s="174"/>
      <c r="C6551" s="31"/>
      <c r="D6551" s="31"/>
      <c r="E6551" s="32"/>
      <c r="F6551" s="42" t="s">
        <v>416</v>
      </c>
      <c r="G6551" s="30" t="str">
        <f>IF(ISNUMBER(F6551),E6551*F6551,"")</f>
        <v/>
      </c>
      <c r="H6551" s="34"/>
      <c r="I6551" s="30"/>
      <c r="J6551" s="152">
        <v>0</v>
      </c>
    </row>
    <row r="6552" spans="1:10" ht="26.25" hidden="1" thickBot="1" x14ac:dyDescent="0.3">
      <c r="A6552" s="176"/>
      <c r="B6552" s="174"/>
      <c r="C6552" s="35" t="s">
        <v>931</v>
      </c>
      <c r="D6552" s="35" t="s">
        <v>213</v>
      </c>
      <c r="E6552" s="36">
        <v>1</v>
      </c>
      <c r="F6552" s="30">
        <v>73.320999999999998</v>
      </c>
      <c r="G6552" s="30">
        <f>IF(ISNUMBER(F6552),E6552*F6552,"")</f>
        <v>73.320999999999998</v>
      </c>
      <c r="H6552" s="38">
        <f>SUM(G6552:G6552)</f>
        <v>73.320999999999998</v>
      </c>
      <c r="I6552" s="39"/>
      <c r="J6552" s="152">
        <v>0</v>
      </c>
    </row>
    <row r="6553" spans="1:10" ht="15.75" hidden="1" thickBot="1" x14ac:dyDescent="0.3">
      <c r="A6553" s="177"/>
      <c r="B6553" s="175"/>
      <c r="C6553" s="54"/>
      <c r="D6553" s="54"/>
      <c r="E6553" s="65"/>
      <c r="F6553" s="66" t="s">
        <v>416</v>
      </c>
      <c r="G6553" s="66" t="str">
        <f>IF(ISNUMBER(F6553),E6553*F6553,"")</f>
        <v/>
      </c>
      <c r="H6553" s="68"/>
      <c r="I6553" s="30"/>
      <c r="J6553" s="152">
        <v>0</v>
      </c>
    </row>
    <row r="6554" spans="1:10" ht="15.75" hidden="1" thickBot="1" x14ac:dyDescent="0.3">
      <c r="A6554" s="170" t="s">
        <v>5914</v>
      </c>
      <c r="B6554" s="173" t="str">
        <f>INDEX(Orçamentária!A:B,MATCH(Composições!A6554,Orçamentária!A:A,0),2)</f>
        <v>Cuba retangular em aço inox</v>
      </c>
      <c r="C6554" s="40"/>
      <c r="D6554" s="25" t="s">
        <v>16</v>
      </c>
      <c r="E6554" s="26"/>
      <c r="F6554" s="41" t="s">
        <v>416</v>
      </c>
      <c r="G6554" s="27" t="str">
        <f>IF(ISNUMBER(F6554),E6554*F6554,"")</f>
        <v/>
      </c>
      <c r="H6554" s="28"/>
      <c r="I6554" s="29"/>
      <c r="J6554" s="152">
        <v>0</v>
      </c>
    </row>
    <row r="6555" spans="1:10" ht="15.75" hidden="1" thickBot="1" x14ac:dyDescent="0.3">
      <c r="A6555" s="176"/>
      <c r="B6555" s="174"/>
      <c r="C6555" s="31"/>
      <c r="D6555" s="31"/>
      <c r="E6555" s="32"/>
      <c r="F6555" s="42" t="s">
        <v>416</v>
      </c>
      <c r="G6555" s="30" t="str">
        <f>IF(ISNUMBER(F6555),E6555*F6555,"")</f>
        <v/>
      </c>
      <c r="H6555" s="34"/>
      <c r="I6555" s="30"/>
      <c r="J6555" s="152">
        <v>0</v>
      </c>
    </row>
    <row r="6556" spans="1:10" ht="26.25" hidden="1" thickBot="1" x14ac:dyDescent="0.3">
      <c r="A6556" s="176"/>
      <c r="B6556" s="174"/>
      <c r="C6556" s="35" t="s">
        <v>8102</v>
      </c>
      <c r="D6556" s="35" t="s">
        <v>213</v>
      </c>
      <c r="E6556" s="36">
        <v>1</v>
      </c>
      <c r="F6556" s="30">
        <v>122.71149999999999</v>
      </c>
      <c r="G6556" s="30">
        <f>IF(ISNUMBER(F6556),E6556*F6556,"")</f>
        <v>122.71149999999999</v>
      </c>
      <c r="H6556" s="38">
        <f>SUM(G6556:G6556)</f>
        <v>122.71149999999999</v>
      </c>
      <c r="I6556" s="39"/>
      <c r="J6556" s="152">
        <v>0</v>
      </c>
    </row>
    <row r="6557" spans="1:10" ht="15.75" hidden="1" thickBot="1" x14ac:dyDescent="0.3">
      <c r="A6557" s="177"/>
      <c r="B6557" s="175"/>
      <c r="C6557" s="54"/>
      <c r="D6557" s="54"/>
      <c r="E6557" s="65"/>
      <c r="F6557" s="66" t="s">
        <v>416</v>
      </c>
      <c r="G6557" s="66" t="str">
        <f>IF(ISNUMBER(F6557),E6557*F6557,"")</f>
        <v/>
      </c>
      <c r="H6557" s="68"/>
      <c r="I6557" s="30"/>
      <c r="J6557" s="152">
        <v>0</v>
      </c>
    </row>
    <row r="6558" spans="1:10" ht="15.75" hidden="1" thickBot="1" x14ac:dyDescent="0.3">
      <c r="A6558" s="170" t="s">
        <v>5940</v>
      </c>
      <c r="B6558" s="173" t="str">
        <f>INDEX(Orçamentária!A:B,MATCH(Composições!A6558,Orçamentária!A:A,0),2)</f>
        <v>Manômetro DN63 (2 1/2”) até 150 psi - Seco</v>
      </c>
      <c r="C6558" s="40"/>
      <c r="D6558" s="25" t="s">
        <v>16</v>
      </c>
      <c r="E6558" s="26"/>
      <c r="F6558" s="41" t="s">
        <v>416</v>
      </c>
      <c r="G6558" s="27" t="str">
        <f>IF(ISNUMBER(F6558),E6558*F6558,"")</f>
        <v/>
      </c>
      <c r="H6558" s="28"/>
      <c r="I6558" s="29"/>
      <c r="J6558" s="152">
        <v>0</v>
      </c>
    </row>
    <row r="6559" spans="1:10" ht="15.75" hidden="1" thickBot="1" x14ac:dyDescent="0.3">
      <c r="A6559" s="176"/>
      <c r="B6559" s="174"/>
      <c r="C6559" s="31"/>
      <c r="D6559" s="31"/>
      <c r="E6559" s="32"/>
      <c r="F6559" s="42" t="s">
        <v>416</v>
      </c>
      <c r="G6559" s="30" t="str">
        <f>IF(ISNUMBER(F6559),E6559*F6559,"")</f>
        <v/>
      </c>
      <c r="H6559" s="34"/>
      <c r="I6559" s="30"/>
      <c r="J6559" s="152">
        <v>0</v>
      </c>
    </row>
    <row r="6560" spans="1:10" ht="26.25" hidden="1" thickBot="1" x14ac:dyDescent="0.3">
      <c r="A6560" s="176"/>
      <c r="B6560" s="174"/>
      <c r="C6560" s="35" t="s">
        <v>8285</v>
      </c>
      <c r="D6560" s="35" t="s">
        <v>213</v>
      </c>
      <c r="E6560" s="36">
        <v>1</v>
      </c>
      <c r="F6560" s="30">
        <v>108.82249999999999</v>
      </c>
      <c r="G6560" s="30">
        <f>IF(ISNUMBER(F6560),E6560*F6560,"")</f>
        <v>108.82249999999999</v>
      </c>
      <c r="H6560" s="38">
        <f>SUM(G6560:G6560)</f>
        <v>108.82249999999999</v>
      </c>
      <c r="I6560" s="39"/>
      <c r="J6560" s="152">
        <v>0</v>
      </c>
    </row>
    <row r="6561" spans="1:10" ht="15.75" hidden="1" thickBot="1" x14ac:dyDescent="0.3">
      <c r="A6561" s="177"/>
      <c r="B6561" s="175"/>
      <c r="C6561" s="54"/>
      <c r="D6561" s="54"/>
      <c r="E6561" s="65"/>
      <c r="F6561" s="66" t="s">
        <v>416</v>
      </c>
      <c r="G6561" s="66" t="str">
        <f>IF(ISNUMBER(F6561),E6561*F6561,"")</f>
        <v/>
      </c>
      <c r="H6561" s="68"/>
      <c r="I6561" s="30"/>
      <c r="J6561" s="152">
        <v>0</v>
      </c>
    </row>
    <row r="6562" spans="1:10" ht="15.75" hidden="1" thickBot="1" x14ac:dyDescent="0.3">
      <c r="A6562" s="170" t="s">
        <v>5951</v>
      </c>
      <c r="B6562" s="173" t="str">
        <f>INDEX(Orçamentária!A:B,MATCH(Composições!A6562,Orçamentária!A:A,0),2)</f>
        <v>Tê misturador de transição 1/2” ou 3/4” – Linha Residencial</v>
      </c>
      <c r="C6562" s="40"/>
      <c r="D6562" s="25" t="s">
        <v>16</v>
      </c>
      <c r="E6562" s="26"/>
      <c r="F6562" s="41" t="s">
        <v>416</v>
      </c>
      <c r="G6562" s="27" t="str">
        <f>IF(ISNUMBER(F6562),E6562*F6562,"")</f>
        <v/>
      </c>
      <c r="H6562" s="28"/>
      <c r="I6562" s="29"/>
      <c r="J6562" s="152">
        <v>0</v>
      </c>
    </row>
    <row r="6563" spans="1:10" ht="15.75" hidden="1" thickBot="1" x14ac:dyDescent="0.3">
      <c r="A6563" s="176"/>
      <c r="B6563" s="174"/>
      <c r="C6563" s="31"/>
      <c r="D6563" s="31"/>
      <c r="E6563" s="32"/>
      <c r="F6563" s="42" t="s">
        <v>416</v>
      </c>
      <c r="G6563" s="30" t="str">
        <f>IF(ISNUMBER(F6563),E6563*F6563,"")</f>
        <v/>
      </c>
      <c r="H6563" s="34"/>
      <c r="I6563" s="30"/>
      <c r="J6563" s="152">
        <v>0</v>
      </c>
    </row>
    <row r="6564" spans="1:10" ht="26.25" hidden="1" thickBot="1" x14ac:dyDescent="0.3">
      <c r="A6564" s="176"/>
      <c r="B6564" s="174"/>
      <c r="C6564" s="35" t="s">
        <v>8296</v>
      </c>
      <c r="D6564" s="35" t="s">
        <v>213</v>
      </c>
      <c r="E6564" s="36">
        <v>1</v>
      </c>
      <c r="F6564" s="30">
        <v>182.38099999999997</v>
      </c>
      <c r="G6564" s="30">
        <f>IF(ISNUMBER(F6564),E6564*F6564,"")</f>
        <v>182.38099999999997</v>
      </c>
      <c r="H6564" s="38">
        <f>SUM(G6564:G6564)</f>
        <v>182.38099999999997</v>
      </c>
      <c r="I6564" s="39"/>
      <c r="J6564" s="152">
        <v>0</v>
      </c>
    </row>
    <row r="6565" spans="1:10" ht="15.75" hidden="1" thickBot="1" x14ac:dyDescent="0.3">
      <c r="A6565" s="177"/>
      <c r="B6565" s="175"/>
      <c r="C6565" s="54"/>
      <c r="D6565" s="54"/>
      <c r="E6565" s="65"/>
      <c r="F6565" s="66" t="s">
        <v>416</v>
      </c>
      <c r="G6565" s="66" t="str">
        <f>IF(ISNUMBER(F6565),E6565*F6565,"")</f>
        <v/>
      </c>
      <c r="H6565" s="68"/>
      <c r="I6565" s="30"/>
      <c r="J6565" s="152">
        <v>0</v>
      </c>
    </row>
    <row r="6566" spans="1:10" ht="15.75" hidden="1" thickBot="1" x14ac:dyDescent="0.3">
      <c r="A6566" s="170" t="s">
        <v>5975</v>
      </c>
      <c r="B6566" s="173" t="str">
        <f>INDEX(Orçamentária!A:B,MATCH(Composições!A6566,Orçamentária!A:A,0),2)</f>
        <v>Ralo semi esférico, tipo Abacaxi - 4”</v>
      </c>
      <c r="C6566" s="40"/>
      <c r="D6566" s="25" t="s">
        <v>16</v>
      </c>
      <c r="E6566" s="26"/>
      <c r="F6566" s="41" t="s">
        <v>416</v>
      </c>
      <c r="G6566" s="27" t="str">
        <f>IF(ISNUMBER(F6566),E6566*F6566,"")</f>
        <v/>
      </c>
      <c r="H6566" s="28"/>
      <c r="I6566" s="29"/>
      <c r="J6566" s="152">
        <v>0</v>
      </c>
    </row>
    <row r="6567" spans="1:10" ht="15.75" hidden="1" thickBot="1" x14ac:dyDescent="0.3">
      <c r="A6567" s="176"/>
      <c r="B6567" s="174"/>
      <c r="C6567" s="31"/>
      <c r="D6567" s="31"/>
      <c r="E6567" s="32"/>
      <c r="F6567" s="42" t="s">
        <v>416</v>
      </c>
      <c r="G6567" s="30" t="str">
        <f>IF(ISNUMBER(F6567),E6567*F6567,"")</f>
        <v/>
      </c>
      <c r="H6567" s="34"/>
      <c r="I6567" s="30"/>
      <c r="J6567" s="152">
        <v>0</v>
      </c>
    </row>
    <row r="6568" spans="1:10" ht="15.75" hidden="1" thickBot="1" x14ac:dyDescent="0.3">
      <c r="A6568" s="176"/>
      <c r="B6568" s="174"/>
      <c r="C6568" s="35" t="s">
        <v>8348</v>
      </c>
      <c r="D6568" s="35" t="s">
        <v>213</v>
      </c>
      <c r="E6568" s="36">
        <v>1</v>
      </c>
      <c r="F6568" s="30">
        <v>23.284500000000001</v>
      </c>
      <c r="G6568" s="30">
        <f>IF(ISNUMBER(F6568),E6568*F6568,"")</f>
        <v>23.284500000000001</v>
      </c>
      <c r="H6568" s="38">
        <f>SUM(G6568:G6568)</f>
        <v>23.284500000000001</v>
      </c>
      <c r="I6568" s="39"/>
      <c r="J6568" s="152">
        <v>0</v>
      </c>
    </row>
    <row r="6569" spans="1:10" ht="15.75" hidden="1" thickBot="1" x14ac:dyDescent="0.3">
      <c r="A6569" s="177"/>
      <c r="B6569" s="175"/>
      <c r="C6569" s="54"/>
      <c r="D6569" s="54"/>
      <c r="E6569" s="65"/>
      <c r="F6569" s="66" t="s">
        <v>416</v>
      </c>
      <c r="G6569" s="66" t="str">
        <f>IF(ISNUMBER(F6569),E6569*F6569,"")</f>
        <v/>
      </c>
      <c r="H6569" s="68"/>
      <c r="I6569" s="30"/>
      <c r="J6569" s="152">
        <v>0</v>
      </c>
    </row>
    <row r="6570" spans="1:10" ht="15.75" hidden="1" thickBot="1" x14ac:dyDescent="0.3">
      <c r="A6570" s="170" t="s">
        <v>5987</v>
      </c>
      <c r="B6570" s="173" t="str">
        <f>INDEX(Orçamentária!A:B,MATCH(Composições!A6570,Orçamentária!A:A,0),2)</f>
        <v>Válvula de esfera em bronze 1/2”</v>
      </c>
      <c r="C6570" s="40"/>
      <c r="D6570" s="25" t="s">
        <v>16</v>
      </c>
      <c r="E6570" s="26"/>
      <c r="F6570" s="41" t="s">
        <v>416</v>
      </c>
      <c r="G6570" s="27" t="str">
        <f>IF(ISNUMBER(F6570),E6570*F6570,"")</f>
        <v/>
      </c>
      <c r="H6570" s="28"/>
      <c r="I6570" s="29"/>
      <c r="J6570" s="152">
        <v>0</v>
      </c>
    </row>
    <row r="6571" spans="1:10" ht="15.75" hidden="1" thickBot="1" x14ac:dyDescent="0.3">
      <c r="A6571" s="176"/>
      <c r="B6571" s="174"/>
      <c r="C6571" s="31"/>
      <c r="D6571" s="31"/>
      <c r="E6571" s="32"/>
      <c r="F6571" s="42" t="s">
        <v>416</v>
      </c>
      <c r="G6571" s="30" t="str">
        <f>IF(ISNUMBER(F6571),E6571*F6571,"")</f>
        <v/>
      </c>
      <c r="H6571" s="34"/>
      <c r="I6571" s="30"/>
      <c r="J6571" s="152">
        <v>0</v>
      </c>
    </row>
    <row r="6572" spans="1:10" ht="15.75" hidden="1" thickBot="1" x14ac:dyDescent="0.3">
      <c r="A6572" s="176"/>
      <c r="B6572" s="174"/>
      <c r="C6572" s="35" t="s">
        <v>1003</v>
      </c>
      <c r="D6572" s="35" t="s">
        <v>213</v>
      </c>
      <c r="E6572" s="36">
        <v>1</v>
      </c>
      <c r="F6572" s="30">
        <v>53.399499999999996</v>
      </c>
      <c r="G6572" s="30">
        <f>IF(ISNUMBER(F6572),E6572*F6572,"")</f>
        <v>53.399499999999996</v>
      </c>
      <c r="H6572" s="38">
        <f>SUM(G6572:G6572)</f>
        <v>53.399499999999996</v>
      </c>
      <c r="I6572" s="39"/>
      <c r="J6572" s="152">
        <v>0</v>
      </c>
    </row>
    <row r="6573" spans="1:10" ht="15.75" hidden="1" thickBot="1" x14ac:dyDescent="0.3">
      <c r="A6573" s="177"/>
      <c r="B6573" s="175"/>
      <c r="C6573" s="54"/>
      <c r="D6573" s="54"/>
      <c r="E6573" s="65"/>
      <c r="F6573" s="66" t="s">
        <v>416</v>
      </c>
      <c r="G6573" s="66" t="str">
        <f>IF(ISNUMBER(F6573),E6573*F6573,"")</f>
        <v/>
      </c>
      <c r="H6573" s="68"/>
      <c r="I6573" s="30"/>
      <c r="J6573" s="152">
        <v>0</v>
      </c>
    </row>
    <row r="6574" spans="1:10" ht="15.75" hidden="1" thickBot="1" x14ac:dyDescent="0.3">
      <c r="A6574" s="170" t="s">
        <v>5988</v>
      </c>
      <c r="B6574" s="173" t="str">
        <f>INDEX(Orçamentária!A:B,MATCH(Composições!A6574,Orçamentária!A:A,0),2)</f>
        <v>Válvula de esfera em bronze 3/4”</v>
      </c>
      <c r="C6574" s="40"/>
      <c r="D6574" s="25" t="s">
        <v>16</v>
      </c>
      <c r="E6574" s="26"/>
      <c r="F6574" s="41" t="s">
        <v>416</v>
      </c>
      <c r="G6574" s="27" t="str">
        <f>IF(ISNUMBER(F6574),E6574*F6574,"")</f>
        <v/>
      </c>
      <c r="H6574" s="28"/>
      <c r="I6574" s="29"/>
      <c r="J6574" s="152">
        <v>0</v>
      </c>
    </row>
    <row r="6575" spans="1:10" ht="15.75" hidden="1" thickBot="1" x14ac:dyDescent="0.3">
      <c r="A6575" s="176"/>
      <c r="B6575" s="174"/>
      <c r="C6575" s="31"/>
      <c r="D6575" s="31"/>
      <c r="E6575" s="32"/>
      <c r="F6575" s="42" t="s">
        <v>416</v>
      </c>
      <c r="G6575" s="30" t="str">
        <f>IF(ISNUMBER(F6575),E6575*F6575,"")</f>
        <v/>
      </c>
      <c r="H6575" s="34"/>
      <c r="I6575" s="30"/>
      <c r="J6575" s="152">
        <v>0</v>
      </c>
    </row>
    <row r="6576" spans="1:10" ht="15.75" hidden="1" thickBot="1" x14ac:dyDescent="0.3">
      <c r="A6576" s="176"/>
      <c r="B6576" s="174"/>
      <c r="C6576" s="35" t="s">
        <v>8494</v>
      </c>
      <c r="D6576" s="35" t="s">
        <v>213</v>
      </c>
      <c r="E6576" s="36">
        <v>1</v>
      </c>
      <c r="F6576" s="30">
        <v>61.645499999999998</v>
      </c>
      <c r="G6576" s="30">
        <f>IF(ISNUMBER(F6576),E6576*F6576,"")</f>
        <v>61.645499999999998</v>
      </c>
      <c r="H6576" s="38">
        <f>SUM(G6576:G6576)</f>
        <v>61.645499999999998</v>
      </c>
      <c r="I6576" s="39"/>
      <c r="J6576" s="152">
        <v>0</v>
      </c>
    </row>
    <row r="6577" spans="1:10" ht="15.75" hidden="1" thickBot="1" x14ac:dyDescent="0.3">
      <c r="A6577" s="177"/>
      <c r="B6577" s="175"/>
      <c r="C6577" s="54"/>
      <c r="D6577" s="54"/>
      <c r="E6577" s="65"/>
      <c r="F6577" s="66" t="s">
        <v>416</v>
      </c>
      <c r="G6577" s="66" t="str">
        <f>IF(ISNUMBER(F6577),E6577*F6577,"")</f>
        <v/>
      </c>
      <c r="H6577" s="68"/>
      <c r="I6577" s="30"/>
      <c r="J6577" s="152">
        <v>0</v>
      </c>
    </row>
    <row r="6578" spans="1:10" ht="15.75" hidden="1" thickBot="1" x14ac:dyDescent="0.3">
      <c r="A6578" s="170" t="s">
        <v>5990</v>
      </c>
      <c r="B6578" s="173" t="str">
        <f>INDEX(Orçamentária!A:B,MATCH(Composições!A6578,Orçamentária!A:A,0),2)</f>
        <v>Válvula de esfera em bronze 1 1/2”</v>
      </c>
      <c r="C6578" s="40"/>
      <c r="D6578" s="25" t="s">
        <v>16</v>
      </c>
      <c r="E6578" s="26"/>
      <c r="F6578" s="41" t="s">
        <v>416</v>
      </c>
      <c r="G6578" s="27" t="str">
        <f>IF(ISNUMBER(F6578),E6578*F6578,"")</f>
        <v/>
      </c>
      <c r="H6578" s="28"/>
      <c r="I6578" s="29"/>
      <c r="J6578" s="152">
        <v>0</v>
      </c>
    </row>
    <row r="6579" spans="1:10" ht="15.75" hidden="1" thickBot="1" x14ac:dyDescent="0.3">
      <c r="A6579" s="176"/>
      <c r="B6579" s="174"/>
      <c r="C6579" s="31"/>
      <c r="D6579" s="31"/>
      <c r="E6579" s="32"/>
      <c r="F6579" s="42" t="s">
        <v>416</v>
      </c>
      <c r="G6579" s="30" t="str">
        <f>IF(ISNUMBER(F6579),E6579*F6579,"")</f>
        <v/>
      </c>
      <c r="H6579" s="34"/>
      <c r="I6579" s="30"/>
      <c r="J6579" s="152">
        <v>0</v>
      </c>
    </row>
    <row r="6580" spans="1:10" ht="26.25" hidden="1" thickBot="1" x14ac:dyDescent="0.3">
      <c r="A6580" s="176"/>
      <c r="B6580" s="174"/>
      <c r="C6580" s="35" t="s">
        <v>520</v>
      </c>
      <c r="D6580" s="35" t="s">
        <v>213</v>
      </c>
      <c r="E6580" s="36">
        <v>1</v>
      </c>
      <c r="F6580" s="30">
        <v>149.46350000000001</v>
      </c>
      <c r="G6580" s="30">
        <f>IF(ISNUMBER(F6580),E6580*F6580,"")</f>
        <v>149.46350000000001</v>
      </c>
      <c r="H6580" s="38">
        <f>SUM(G6580:G6580)</f>
        <v>149.46350000000001</v>
      </c>
      <c r="I6580" s="39"/>
      <c r="J6580" s="152">
        <v>0</v>
      </c>
    </row>
    <row r="6581" spans="1:10" ht="15.75" hidden="1" thickBot="1" x14ac:dyDescent="0.3">
      <c r="A6581" s="177"/>
      <c r="B6581" s="175"/>
      <c r="C6581" s="54"/>
      <c r="D6581" s="54"/>
      <c r="E6581" s="65"/>
      <c r="F6581" s="66" t="s">
        <v>416</v>
      </c>
      <c r="G6581" s="66" t="str">
        <f>IF(ISNUMBER(F6581),E6581*F6581,"")</f>
        <v/>
      </c>
      <c r="H6581" s="68"/>
      <c r="I6581" s="30"/>
      <c r="J6581" s="152">
        <v>0</v>
      </c>
    </row>
    <row r="6582" spans="1:10" ht="15.75" hidden="1" thickBot="1" x14ac:dyDescent="0.3">
      <c r="A6582" s="170" t="s">
        <v>5992</v>
      </c>
      <c r="B6582" s="173" t="str">
        <f>INDEX(Orçamentária!A:B,MATCH(Composições!A6582,Orçamentária!A:A,0),2)</f>
        <v>Válvula de esfera em bronze 2”</v>
      </c>
      <c r="C6582" s="40"/>
      <c r="D6582" s="25" t="s">
        <v>16</v>
      </c>
      <c r="E6582" s="26"/>
      <c r="F6582" s="41" t="s">
        <v>416</v>
      </c>
      <c r="G6582" s="27" t="str">
        <f>IF(ISNUMBER(F6582),E6582*F6582,"")</f>
        <v/>
      </c>
      <c r="H6582" s="28"/>
      <c r="I6582" s="29"/>
      <c r="J6582" s="152">
        <v>0</v>
      </c>
    </row>
    <row r="6583" spans="1:10" ht="15.75" hidden="1" thickBot="1" x14ac:dyDescent="0.3">
      <c r="A6583" s="176"/>
      <c r="B6583" s="174"/>
      <c r="C6583" s="31"/>
      <c r="D6583" s="31"/>
      <c r="E6583" s="32"/>
      <c r="F6583" s="42" t="s">
        <v>416</v>
      </c>
      <c r="G6583" s="30" t="str">
        <f>IF(ISNUMBER(F6583),E6583*F6583,"")</f>
        <v/>
      </c>
      <c r="H6583" s="34"/>
      <c r="I6583" s="30"/>
      <c r="J6583" s="152">
        <v>0</v>
      </c>
    </row>
    <row r="6584" spans="1:10" ht="15.75" hidden="1" thickBot="1" x14ac:dyDescent="0.3">
      <c r="A6584" s="176"/>
      <c r="B6584" s="174"/>
      <c r="C6584" s="35" t="s">
        <v>8493</v>
      </c>
      <c r="D6584" s="35" t="s">
        <v>213</v>
      </c>
      <c r="E6584" s="36">
        <v>1</v>
      </c>
      <c r="F6584" s="30">
        <v>230.4795</v>
      </c>
      <c r="G6584" s="30">
        <f>IF(ISNUMBER(F6584),E6584*F6584,"")</f>
        <v>230.4795</v>
      </c>
      <c r="H6584" s="38">
        <f>SUM(G6584:G6584)</f>
        <v>230.4795</v>
      </c>
      <c r="I6584" s="39"/>
      <c r="J6584" s="152">
        <v>0</v>
      </c>
    </row>
    <row r="6585" spans="1:10" ht="15.75" hidden="1" thickBot="1" x14ac:dyDescent="0.3">
      <c r="A6585" s="177"/>
      <c r="B6585" s="175"/>
      <c r="C6585" s="54"/>
      <c r="D6585" s="54"/>
      <c r="E6585" s="65"/>
      <c r="F6585" s="66" t="s">
        <v>416</v>
      </c>
      <c r="G6585" s="66" t="str">
        <f>IF(ISNUMBER(F6585),E6585*F6585,"")</f>
        <v/>
      </c>
      <c r="H6585" s="68"/>
      <c r="I6585" s="30"/>
      <c r="J6585" s="152">
        <v>0</v>
      </c>
    </row>
    <row r="6586" spans="1:10" ht="15.75" hidden="1" thickBot="1" x14ac:dyDescent="0.3">
      <c r="A6586" s="170" t="s">
        <v>5994</v>
      </c>
      <c r="B6586" s="173" t="str">
        <f>INDEX(Orçamentária!A:B,MATCH(Composições!A6586,Orçamentária!A:A,0),2)</f>
        <v>Válvula de esfera metálica 1/2” para gás</v>
      </c>
      <c r="C6586" s="40"/>
      <c r="D6586" s="25" t="s">
        <v>16</v>
      </c>
      <c r="E6586" s="26"/>
      <c r="F6586" s="41" t="s">
        <v>416</v>
      </c>
      <c r="G6586" s="27" t="str">
        <f>IF(ISNUMBER(F6586),E6586*F6586,"")</f>
        <v/>
      </c>
      <c r="H6586" s="28"/>
      <c r="I6586" s="29"/>
      <c r="J6586" s="152">
        <v>0</v>
      </c>
    </row>
    <row r="6587" spans="1:10" ht="15.75" hidden="1" thickBot="1" x14ac:dyDescent="0.3">
      <c r="A6587" s="176"/>
      <c r="B6587" s="174"/>
      <c r="C6587" s="31"/>
      <c r="D6587" s="31"/>
      <c r="E6587" s="32"/>
      <c r="F6587" s="42" t="s">
        <v>416</v>
      </c>
      <c r="G6587" s="30" t="str">
        <f>IF(ISNUMBER(F6587),E6587*F6587,"")</f>
        <v/>
      </c>
      <c r="H6587" s="34"/>
      <c r="I6587" s="30"/>
      <c r="J6587" s="152">
        <v>0</v>
      </c>
    </row>
    <row r="6588" spans="1:10" ht="15.75" hidden="1" thickBot="1" x14ac:dyDescent="0.3">
      <c r="A6588" s="176"/>
      <c r="B6588" s="174"/>
      <c r="C6588" s="35" t="s">
        <v>1003</v>
      </c>
      <c r="D6588" s="35" t="s">
        <v>213</v>
      </c>
      <c r="E6588" s="36">
        <v>1</v>
      </c>
      <c r="F6588" s="30">
        <v>53.399499999999996</v>
      </c>
      <c r="G6588" s="30">
        <f>IF(ISNUMBER(F6588),E6588*F6588,"")</f>
        <v>53.399499999999996</v>
      </c>
      <c r="H6588" s="38">
        <f>SUM(G6588:G6588)</f>
        <v>53.399499999999996</v>
      </c>
      <c r="I6588" s="39"/>
      <c r="J6588" s="152">
        <v>0</v>
      </c>
    </row>
    <row r="6589" spans="1:10" ht="15.75" hidden="1" thickBot="1" x14ac:dyDescent="0.3">
      <c r="A6589" s="177"/>
      <c r="B6589" s="175"/>
      <c r="C6589" s="54"/>
      <c r="D6589" s="54"/>
      <c r="E6589" s="65"/>
      <c r="F6589" s="66" t="s">
        <v>416</v>
      </c>
      <c r="G6589" s="66" t="str">
        <f>IF(ISNUMBER(F6589),E6589*F6589,"")</f>
        <v/>
      </c>
      <c r="H6589" s="68"/>
      <c r="I6589" s="30"/>
      <c r="J6589" s="152">
        <v>0</v>
      </c>
    </row>
    <row r="6590" spans="1:10" ht="15.75" hidden="1" thickBot="1" x14ac:dyDescent="0.3">
      <c r="A6590" s="170" t="s">
        <v>5996</v>
      </c>
      <c r="B6590" s="173" t="str">
        <f>INDEX(Orçamentária!A:B,MATCH(Composições!A6590,Orçamentária!A:A,0),2)</f>
        <v>Registro de Gaveta Bruto 1 1/2”</v>
      </c>
      <c r="C6590" s="40"/>
      <c r="D6590" s="25" t="s">
        <v>16</v>
      </c>
      <c r="E6590" s="26"/>
      <c r="F6590" s="41" t="s">
        <v>416</v>
      </c>
      <c r="G6590" s="27" t="str">
        <f>IF(ISNUMBER(F6590),E6590*F6590,"")</f>
        <v/>
      </c>
      <c r="H6590" s="28"/>
      <c r="I6590" s="29"/>
      <c r="J6590" s="152">
        <v>0</v>
      </c>
    </row>
    <row r="6591" spans="1:10" ht="15.75" hidden="1" thickBot="1" x14ac:dyDescent="0.3">
      <c r="A6591" s="176"/>
      <c r="B6591" s="174"/>
      <c r="C6591" s="31"/>
      <c r="D6591" s="31"/>
      <c r="E6591" s="32"/>
      <c r="F6591" s="42" t="s">
        <v>416</v>
      </c>
      <c r="G6591" s="30" t="str">
        <f>IF(ISNUMBER(F6591),E6591*F6591,"")</f>
        <v/>
      </c>
      <c r="H6591" s="34"/>
      <c r="I6591" s="30"/>
      <c r="J6591" s="152">
        <v>0</v>
      </c>
    </row>
    <row r="6592" spans="1:10" ht="26.25" hidden="1" thickBot="1" x14ac:dyDescent="0.3">
      <c r="A6592" s="176"/>
      <c r="B6592" s="174"/>
      <c r="C6592" s="35" t="s">
        <v>8355</v>
      </c>
      <c r="D6592" s="35" t="s">
        <v>213</v>
      </c>
      <c r="E6592" s="36">
        <v>1</v>
      </c>
      <c r="F6592" s="30">
        <v>102.0585</v>
      </c>
      <c r="G6592" s="30">
        <f>IF(ISNUMBER(F6592),E6592*F6592,"")</f>
        <v>102.0585</v>
      </c>
      <c r="H6592" s="38">
        <f>SUM(G6592:G6592)</f>
        <v>102.0585</v>
      </c>
      <c r="I6592" s="39"/>
      <c r="J6592" s="152">
        <v>0</v>
      </c>
    </row>
    <row r="6593" spans="1:10" ht="15.75" hidden="1" thickBot="1" x14ac:dyDescent="0.3">
      <c r="A6593" s="177"/>
      <c r="B6593" s="175"/>
      <c r="C6593" s="54"/>
      <c r="D6593" s="54"/>
      <c r="E6593" s="65"/>
      <c r="F6593" s="66" t="s">
        <v>416</v>
      </c>
      <c r="G6593" s="66" t="str">
        <f>IF(ISNUMBER(F6593),E6593*F6593,"")</f>
        <v/>
      </c>
      <c r="H6593" s="68"/>
      <c r="I6593" s="30"/>
      <c r="J6593" s="152">
        <v>0</v>
      </c>
    </row>
    <row r="6594" spans="1:10" ht="15.75" hidden="1" thickBot="1" x14ac:dyDescent="0.3">
      <c r="A6594" s="170" t="s">
        <v>5998</v>
      </c>
      <c r="B6594" s="173" t="str">
        <f>INDEX(Orçamentária!A:B,MATCH(Composições!A6594,Orçamentária!A:A,0),2)</f>
        <v>Registro de Gaveta Bruto 1 1/4”</v>
      </c>
      <c r="C6594" s="40"/>
      <c r="D6594" s="25" t="s">
        <v>16</v>
      </c>
      <c r="E6594" s="26"/>
      <c r="F6594" s="41" t="s">
        <v>416</v>
      </c>
      <c r="G6594" s="27" t="str">
        <f>IF(ISNUMBER(F6594),E6594*F6594,"")</f>
        <v/>
      </c>
      <c r="H6594" s="28"/>
      <c r="I6594" s="29"/>
      <c r="J6594" s="152">
        <v>0</v>
      </c>
    </row>
    <row r="6595" spans="1:10" ht="15.75" hidden="1" thickBot="1" x14ac:dyDescent="0.3">
      <c r="A6595" s="176"/>
      <c r="B6595" s="174"/>
      <c r="C6595" s="31"/>
      <c r="D6595" s="31"/>
      <c r="E6595" s="32"/>
      <c r="F6595" s="42" t="s">
        <v>416</v>
      </c>
      <c r="G6595" s="30" t="str">
        <f>IF(ISNUMBER(F6595),E6595*F6595,"")</f>
        <v/>
      </c>
      <c r="H6595" s="34"/>
      <c r="I6595" s="30"/>
      <c r="J6595" s="152">
        <v>0</v>
      </c>
    </row>
    <row r="6596" spans="1:10" ht="26.25" hidden="1" thickBot="1" x14ac:dyDescent="0.3">
      <c r="A6596" s="176"/>
      <c r="B6596" s="174"/>
      <c r="C6596" s="35" t="s">
        <v>8356</v>
      </c>
      <c r="D6596" s="35" t="s">
        <v>213</v>
      </c>
      <c r="E6596" s="36">
        <v>1</v>
      </c>
      <c r="F6596" s="30">
        <v>80.835499999999996</v>
      </c>
      <c r="G6596" s="30">
        <f>IF(ISNUMBER(F6596),E6596*F6596,"")</f>
        <v>80.835499999999996</v>
      </c>
      <c r="H6596" s="38">
        <f>SUM(G6596:G6596)</f>
        <v>80.835499999999996</v>
      </c>
      <c r="I6596" s="39"/>
      <c r="J6596" s="152">
        <v>0</v>
      </c>
    </row>
    <row r="6597" spans="1:10" ht="15.75" hidden="1" thickBot="1" x14ac:dyDescent="0.3">
      <c r="A6597" s="177"/>
      <c r="B6597" s="175"/>
      <c r="C6597" s="54"/>
      <c r="D6597" s="54"/>
      <c r="E6597" s="65"/>
      <c r="F6597" s="66" t="s">
        <v>416</v>
      </c>
      <c r="G6597" s="66" t="str">
        <f>IF(ISNUMBER(F6597),E6597*F6597,"")</f>
        <v/>
      </c>
      <c r="H6597" s="68"/>
      <c r="I6597" s="30"/>
      <c r="J6597" s="152">
        <v>0</v>
      </c>
    </row>
    <row r="6598" spans="1:10" ht="15.75" hidden="1" thickBot="1" x14ac:dyDescent="0.3">
      <c r="A6598" s="170" t="s">
        <v>6000</v>
      </c>
      <c r="B6598" s="173" t="str">
        <f>INDEX(Orçamentária!A:B,MATCH(Composições!A6598,Orçamentária!A:A,0),2)</f>
        <v>Registro de Gaveta Bruto 1”</v>
      </c>
      <c r="C6598" s="40"/>
      <c r="D6598" s="25" t="s">
        <v>16</v>
      </c>
      <c r="E6598" s="26"/>
      <c r="F6598" s="41" t="s">
        <v>416</v>
      </c>
      <c r="G6598" s="27" t="str">
        <f>IF(ISNUMBER(F6598),E6598*F6598,"")</f>
        <v/>
      </c>
      <c r="H6598" s="28"/>
      <c r="I6598" s="29"/>
      <c r="J6598" s="152">
        <v>0</v>
      </c>
    </row>
    <row r="6599" spans="1:10" ht="15.75" hidden="1" thickBot="1" x14ac:dyDescent="0.3">
      <c r="A6599" s="176"/>
      <c r="B6599" s="174"/>
      <c r="C6599" s="31"/>
      <c r="D6599" s="31"/>
      <c r="E6599" s="32"/>
      <c r="F6599" s="42" t="s">
        <v>416</v>
      </c>
      <c r="G6599" s="30" t="str">
        <f>IF(ISNUMBER(F6599),E6599*F6599,"")</f>
        <v/>
      </c>
      <c r="H6599" s="34"/>
      <c r="I6599" s="30"/>
      <c r="J6599" s="152">
        <v>0</v>
      </c>
    </row>
    <row r="6600" spans="1:10" ht="26.25" hidden="1" thickBot="1" x14ac:dyDescent="0.3">
      <c r="A6600" s="176"/>
      <c r="B6600" s="174"/>
      <c r="C6600" s="35" t="s">
        <v>8354</v>
      </c>
      <c r="D6600" s="35" t="s">
        <v>213</v>
      </c>
      <c r="E6600" s="36">
        <v>1</v>
      </c>
      <c r="F6600" s="30">
        <v>59.317999999999998</v>
      </c>
      <c r="G6600" s="30">
        <f>IF(ISNUMBER(F6600),E6600*F6600,"")</f>
        <v>59.317999999999998</v>
      </c>
      <c r="H6600" s="38">
        <f>SUM(G6600:G6600)</f>
        <v>59.317999999999998</v>
      </c>
      <c r="I6600" s="39"/>
      <c r="J6600" s="152">
        <v>0</v>
      </c>
    </row>
    <row r="6601" spans="1:10" ht="15.75" hidden="1" thickBot="1" x14ac:dyDescent="0.3">
      <c r="A6601" s="177"/>
      <c r="B6601" s="175"/>
      <c r="C6601" s="54"/>
      <c r="D6601" s="54"/>
      <c r="E6601" s="65"/>
      <c r="F6601" s="66" t="s">
        <v>416</v>
      </c>
      <c r="G6601" s="66" t="str">
        <f>IF(ISNUMBER(F6601),E6601*F6601,"")</f>
        <v/>
      </c>
      <c r="H6601" s="68"/>
      <c r="I6601" s="30"/>
      <c r="J6601" s="152">
        <v>0</v>
      </c>
    </row>
    <row r="6602" spans="1:10" ht="15.75" hidden="1" thickBot="1" x14ac:dyDescent="0.3">
      <c r="A6602" s="170" t="s">
        <v>6002</v>
      </c>
      <c r="B6602" s="173" t="str">
        <f>INDEX(Orçamentária!A:B,MATCH(Composições!A6602,Orçamentária!A:A,0),2)</f>
        <v>Registro de Gaveta Bruto 1/2”</v>
      </c>
      <c r="C6602" s="40"/>
      <c r="D6602" s="25" t="s">
        <v>16</v>
      </c>
      <c r="E6602" s="26"/>
      <c r="F6602" s="41" t="s">
        <v>416</v>
      </c>
      <c r="G6602" s="27" t="str">
        <f>IF(ISNUMBER(F6602),E6602*F6602,"")</f>
        <v/>
      </c>
      <c r="H6602" s="28"/>
      <c r="I6602" s="29"/>
      <c r="J6602" s="152">
        <v>0</v>
      </c>
    </row>
    <row r="6603" spans="1:10" ht="15.75" hidden="1" thickBot="1" x14ac:dyDescent="0.3">
      <c r="A6603" s="176"/>
      <c r="B6603" s="174"/>
      <c r="C6603" s="31"/>
      <c r="D6603" s="31"/>
      <c r="E6603" s="32"/>
      <c r="F6603" s="42" t="s">
        <v>416</v>
      </c>
      <c r="G6603" s="30" t="str">
        <f>IF(ISNUMBER(F6603),E6603*F6603,"")</f>
        <v/>
      </c>
      <c r="H6603" s="34"/>
      <c r="I6603" s="30"/>
      <c r="J6603" s="152">
        <v>0</v>
      </c>
    </row>
    <row r="6604" spans="1:10" ht="26.25" hidden="1" thickBot="1" x14ac:dyDescent="0.3">
      <c r="A6604" s="176"/>
      <c r="B6604" s="174"/>
      <c r="C6604" s="35" t="s">
        <v>8357</v>
      </c>
      <c r="D6604" s="35" t="s">
        <v>213</v>
      </c>
      <c r="E6604" s="36">
        <v>1</v>
      </c>
      <c r="F6604" s="30">
        <v>35.625</v>
      </c>
      <c r="G6604" s="30">
        <f>IF(ISNUMBER(F6604),E6604*F6604,"")</f>
        <v>35.625</v>
      </c>
      <c r="H6604" s="38">
        <f>SUM(G6604:G6604)</f>
        <v>35.625</v>
      </c>
      <c r="I6604" s="39"/>
      <c r="J6604" s="152">
        <v>0</v>
      </c>
    </row>
    <row r="6605" spans="1:10" ht="15.75" hidden="1" thickBot="1" x14ac:dyDescent="0.3">
      <c r="A6605" s="177"/>
      <c r="B6605" s="175"/>
      <c r="C6605" s="54"/>
      <c r="D6605" s="54"/>
      <c r="E6605" s="65"/>
      <c r="F6605" s="66" t="s">
        <v>416</v>
      </c>
      <c r="G6605" s="66" t="str">
        <f>IF(ISNUMBER(F6605),E6605*F6605,"")</f>
        <v/>
      </c>
      <c r="H6605" s="68"/>
      <c r="I6605" s="30"/>
      <c r="J6605" s="152">
        <v>0</v>
      </c>
    </row>
    <row r="6606" spans="1:10" ht="15.75" hidden="1" thickBot="1" x14ac:dyDescent="0.3">
      <c r="A6606" s="170" t="s">
        <v>6004</v>
      </c>
      <c r="B6606" s="173" t="str">
        <f>INDEX(Orçamentária!A:B,MATCH(Composições!A6606,Orçamentária!A:A,0),2)</f>
        <v>Registro de Gaveta Bruto 2 1/2”</v>
      </c>
      <c r="C6606" s="40"/>
      <c r="D6606" s="25" t="s">
        <v>16</v>
      </c>
      <c r="E6606" s="26"/>
      <c r="F6606" s="41" t="s">
        <v>416</v>
      </c>
      <c r="G6606" s="27" t="str">
        <f>IF(ISNUMBER(F6606),E6606*F6606,"")</f>
        <v/>
      </c>
      <c r="H6606" s="28"/>
      <c r="I6606" s="29"/>
      <c r="J6606" s="152">
        <v>0</v>
      </c>
    </row>
    <row r="6607" spans="1:10" ht="15.75" hidden="1" thickBot="1" x14ac:dyDescent="0.3">
      <c r="A6607" s="176"/>
      <c r="B6607" s="174"/>
      <c r="C6607" s="31"/>
      <c r="D6607" s="31"/>
      <c r="E6607" s="32"/>
      <c r="F6607" s="42" t="s">
        <v>416</v>
      </c>
      <c r="G6607" s="30" t="str">
        <f>IF(ISNUMBER(F6607),E6607*F6607,"")</f>
        <v/>
      </c>
      <c r="H6607" s="34"/>
      <c r="I6607" s="30"/>
      <c r="J6607" s="152">
        <v>0</v>
      </c>
    </row>
    <row r="6608" spans="1:10" ht="26.25" hidden="1" thickBot="1" x14ac:dyDescent="0.3">
      <c r="A6608" s="176"/>
      <c r="B6608" s="174"/>
      <c r="C6608" s="35" t="s">
        <v>8359</v>
      </c>
      <c r="D6608" s="35" t="s">
        <v>213</v>
      </c>
      <c r="E6608" s="36">
        <v>1</v>
      </c>
      <c r="F6608" s="30">
        <v>294.81349999999998</v>
      </c>
      <c r="G6608" s="30">
        <f>IF(ISNUMBER(F6608),E6608*F6608,"")</f>
        <v>294.81349999999998</v>
      </c>
      <c r="H6608" s="38">
        <f>SUM(G6608:G6608)</f>
        <v>294.81349999999998</v>
      </c>
      <c r="I6608" s="39"/>
      <c r="J6608" s="152">
        <v>0</v>
      </c>
    </row>
    <row r="6609" spans="1:10" ht="15.75" hidden="1" thickBot="1" x14ac:dyDescent="0.3">
      <c r="A6609" s="177"/>
      <c r="B6609" s="175"/>
      <c r="C6609" s="54"/>
      <c r="D6609" s="54"/>
      <c r="E6609" s="65"/>
      <c r="F6609" s="66" t="s">
        <v>416</v>
      </c>
      <c r="G6609" s="66" t="str">
        <f>IF(ISNUMBER(F6609),E6609*F6609,"")</f>
        <v/>
      </c>
      <c r="H6609" s="68"/>
      <c r="I6609" s="30"/>
      <c r="J6609" s="152">
        <v>0</v>
      </c>
    </row>
    <row r="6610" spans="1:10" ht="15.75" hidden="1" thickBot="1" x14ac:dyDescent="0.3">
      <c r="A6610" s="170" t="s">
        <v>6006</v>
      </c>
      <c r="B6610" s="173" t="str">
        <f>INDEX(Orçamentária!A:B,MATCH(Composições!A6610,Orçamentária!A:A,0),2)</f>
        <v>Registro de Gaveta Bruto 2”</v>
      </c>
      <c r="C6610" s="40"/>
      <c r="D6610" s="25" t="s">
        <v>16</v>
      </c>
      <c r="E6610" s="26"/>
      <c r="F6610" s="41" t="s">
        <v>416</v>
      </c>
      <c r="G6610" s="27" t="str">
        <f>IF(ISNUMBER(F6610),E6610*F6610,"")</f>
        <v/>
      </c>
      <c r="H6610" s="28"/>
      <c r="I6610" s="29"/>
      <c r="J6610" s="152">
        <v>0</v>
      </c>
    </row>
    <row r="6611" spans="1:10" ht="15.75" hidden="1" thickBot="1" x14ac:dyDescent="0.3">
      <c r="A6611" s="176"/>
      <c r="B6611" s="174"/>
      <c r="C6611" s="31"/>
      <c r="D6611" s="31"/>
      <c r="E6611" s="32"/>
      <c r="F6611" s="42" t="s">
        <v>416</v>
      </c>
      <c r="G6611" s="30" t="str">
        <f>IF(ISNUMBER(F6611),E6611*F6611,"")</f>
        <v/>
      </c>
      <c r="H6611" s="34"/>
      <c r="I6611" s="30"/>
      <c r="J6611" s="152">
        <v>0</v>
      </c>
    </row>
    <row r="6612" spans="1:10" ht="26.25" hidden="1" thickBot="1" x14ac:dyDescent="0.3">
      <c r="A6612" s="176"/>
      <c r="B6612" s="174"/>
      <c r="C6612" s="35" t="s">
        <v>8358</v>
      </c>
      <c r="D6612" s="35" t="s">
        <v>213</v>
      </c>
      <c r="E6612" s="36">
        <v>1</v>
      </c>
      <c r="F6612" s="30">
        <v>142.14849999999998</v>
      </c>
      <c r="G6612" s="30">
        <f>IF(ISNUMBER(F6612),E6612*F6612,"")</f>
        <v>142.14849999999998</v>
      </c>
      <c r="H6612" s="38">
        <f>SUM(G6612:G6612)</f>
        <v>142.14849999999998</v>
      </c>
      <c r="I6612" s="39"/>
      <c r="J6612" s="152">
        <v>0</v>
      </c>
    </row>
    <row r="6613" spans="1:10" ht="15.75" hidden="1" thickBot="1" x14ac:dyDescent="0.3">
      <c r="A6613" s="177"/>
      <c r="B6613" s="175"/>
      <c r="C6613" s="54"/>
      <c r="D6613" s="54"/>
      <c r="E6613" s="65"/>
      <c r="F6613" s="66" t="s">
        <v>416</v>
      </c>
      <c r="G6613" s="66" t="str">
        <f>IF(ISNUMBER(F6613),E6613*F6613,"")</f>
        <v/>
      </c>
      <c r="H6613" s="68"/>
      <c r="I6613" s="30"/>
      <c r="J6613" s="152">
        <v>0</v>
      </c>
    </row>
    <row r="6614" spans="1:10" ht="15.75" hidden="1" thickBot="1" x14ac:dyDescent="0.3">
      <c r="A6614" s="170" t="s">
        <v>6008</v>
      </c>
      <c r="B6614" s="173" t="str">
        <f>INDEX(Orçamentária!A:B,MATCH(Composições!A6614,Orçamentária!A:A,0),2)</f>
        <v>Registro de Gaveta Bruto 3”</v>
      </c>
      <c r="C6614" s="40"/>
      <c r="D6614" s="25" t="s">
        <v>16</v>
      </c>
      <c r="E6614" s="26"/>
      <c r="F6614" s="41" t="s">
        <v>416</v>
      </c>
      <c r="G6614" s="27" t="str">
        <f>IF(ISNUMBER(F6614),E6614*F6614,"")</f>
        <v/>
      </c>
      <c r="H6614" s="28"/>
      <c r="I6614" s="29"/>
      <c r="J6614" s="152">
        <v>0</v>
      </c>
    </row>
    <row r="6615" spans="1:10" ht="15.75" hidden="1" thickBot="1" x14ac:dyDescent="0.3">
      <c r="A6615" s="176"/>
      <c r="B6615" s="174"/>
      <c r="C6615" s="31"/>
      <c r="D6615" s="31"/>
      <c r="E6615" s="32"/>
      <c r="F6615" s="42" t="s">
        <v>416</v>
      </c>
      <c r="G6615" s="30" t="str">
        <f>IF(ISNUMBER(F6615),E6615*F6615,"")</f>
        <v/>
      </c>
      <c r="H6615" s="34"/>
      <c r="I6615" s="30"/>
      <c r="J6615" s="152">
        <v>0</v>
      </c>
    </row>
    <row r="6616" spans="1:10" ht="26.25" hidden="1" thickBot="1" x14ac:dyDescent="0.3">
      <c r="A6616" s="176"/>
      <c r="B6616" s="174"/>
      <c r="C6616" s="35" t="s">
        <v>8360</v>
      </c>
      <c r="D6616" s="35" t="s">
        <v>213</v>
      </c>
      <c r="E6616" s="36">
        <v>1</v>
      </c>
      <c r="F6616" s="30">
        <v>356.92449999999997</v>
      </c>
      <c r="G6616" s="30">
        <f>IF(ISNUMBER(F6616),E6616*F6616,"")</f>
        <v>356.92449999999997</v>
      </c>
      <c r="H6616" s="38">
        <f>SUM(G6616:G6616)</f>
        <v>356.92449999999997</v>
      </c>
      <c r="I6616" s="39"/>
      <c r="J6616" s="152">
        <v>0</v>
      </c>
    </row>
    <row r="6617" spans="1:10" ht="15.75" hidden="1" thickBot="1" x14ac:dyDescent="0.3">
      <c r="A6617" s="177"/>
      <c r="B6617" s="175"/>
      <c r="C6617" s="54"/>
      <c r="D6617" s="54"/>
      <c r="E6617" s="65"/>
      <c r="F6617" s="66" t="s">
        <v>416</v>
      </c>
      <c r="G6617" s="66" t="str">
        <f>IF(ISNUMBER(F6617),E6617*F6617,"")</f>
        <v/>
      </c>
      <c r="H6617" s="68"/>
      <c r="I6617" s="30"/>
      <c r="J6617" s="152">
        <v>0</v>
      </c>
    </row>
    <row r="6618" spans="1:10" ht="15.75" hidden="1" thickBot="1" x14ac:dyDescent="0.3">
      <c r="A6618" s="170" t="s">
        <v>6010</v>
      </c>
      <c r="B6618" s="173" t="str">
        <f>INDEX(Orçamentária!A:B,MATCH(Composições!A6618,Orçamentária!A:A,0),2)</f>
        <v>Registro de Gaveta Bruto 3/4”</v>
      </c>
      <c r="C6618" s="40"/>
      <c r="D6618" s="25" t="s">
        <v>16</v>
      </c>
      <c r="E6618" s="26"/>
      <c r="F6618" s="41" t="s">
        <v>416</v>
      </c>
      <c r="G6618" s="27" t="str">
        <f>IF(ISNUMBER(F6618),E6618*F6618,"")</f>
        <v/>
      </c>
      <c r="H6618" s="28"/>
      <c r="I6618" s="29"/>
      <c r="J6618" s="152">
        <v>0</v>
      </c>
    </row>
    <row r="6619" spans="1:10" ht="15.75" hidden="1" thickBot="1" x14ac:dyDescent="0.3">
      <c r="A6619" s="176"/>
      <c r="B6619" s="174"/>
      <c r="C6619" s="31"/>
      <c r="D6619" s="31"/>
      <c r="E6619" s="32"/>
      <c r="F6619" s="42" t="s">
        <v>416</v>
      </c>
      <c r="G6619" s="30" t="str">
        <f>IF(ISNUMBER(F6619),E6619*F6619,"")</f>
        <v/>
      </c>
      <c r="H6619" s="34"/>
      <c r="I6619" s="30"/>
      <c r="J6619" s="152">
        <v>0</v>
      </c>
    </row>
    <row r="6620" spans="1:10" ht="26.25" hidden="1" thickBot="1" x14ac:dyDescent="0.3">
      <c r="A6620" s="176"/>
      <c r="B6620" s="174"/>
      <c r="C6620" s="35" t="s">
        <v>8361</v>
      </c>
      <c r="D6620" s="35" t="s">
        <v>213</v>
      </c>
      <c r="E6620" s="36">
        <v>1</v>
      </c>
      <c r="F6620" s="30">
        <v>37.572499999999998</v>
      </c>
      <c r="G6620" s="30">
        <f>IF(ISNUMBER(F6620),E6620*F6620,"")</f>
        <v>37.572499999999998</v>
      </c>
      <c r="H6620" s="38">
        <f>SUM(G6620:G6620)</f>
        <v>37.572499999999998</v>
      </c>
      <c r="I6620" s="39"/>
      <c r="J6620" s="152">
        <v>0</v>
      </c>
    </row>
    <row r="6621" spans="1:10" ht="15.75" hidden="1" thickBot="1" x14ac:dyDescent="0.3">
      <c r="A6621" s="177"/>
      <c r="B6621" s="175"/>
      <c r="C6621" s="54"/>
      <c r="D6621" s="54"/>
      <c r="E6621" s="65"/>
      <c r="F6621" s="66" t="s">
        <v>416</v>
      </c>
      <c r="G6621" s="66" t="str">
        <f>IF(ISNUMBER(F6621),E6621*F6621,"")</f>
        <v/>
      </c>
      <c r="H6621" s="68"/>
      <c r="I6621" s="30"/>
      <c r="J6621" s="152">
        <v>0</v>
      </c>
    </row>
    <row r="6622" spans="1:10" ht="15.75" hidden="1" thickBot="1" x14ac:dyDescent="0.3">
      <c r="A6622" s="170" t="s">
        <v>6012</v>
      </c>
      <c r="B6622" s="173" t="str">
        <f>INDEX(Orçamentária!A:B,MATCH(Composições!A6622,Orçamentária!A:A,0),2)</f>
        <v>Registro de Gaveta Bruto 4”</v>
      </c>
      <c r="C6622" s="40"/>
      <c r="D6622" s="25" t="s">
        <v>16</v>
      </c>
      <c r="E6622" s="26"/>
      <c r="F6622" s="41" t="s">
        <v>416</v>
      </c>
      <c r="G6622" s="27" t="str">
        <f>IF(ISNUMBER(F6622),E6622*F6622,"")</f>
        <v/>
      </c>
      <c r="H6622" s="28"/>
      <c r="I6622" s="29"/>
      <c r="J6622" s="152">
        <v>0</v>
      </c>
    </row>
    <row r="6623" spans="1:10" ht="15.75" hidden="1" thickBot="1" x14ac:dyDescent="0.3">
      <c r="A6623" s="176"/>
      <c r="B6623" s="174"/>
      <c r="C6623" s="31"/>
      <c r="D6623" s="31"/>
      <c r="E6623" s="32"/>
      <c r="F6623" s="42" t="s">
        <v>416</v>
      </c>
      <c r="G6623" s="30" t="str">
        <f>IF(ISNUMBER(F6623),E6623*F6623,"")</f>
        <v/>
      </c>
      <c r="H6623" s="34"/>
      <c r="I6623" s="30"/>
      <c r="J6623" s="152">
        <v>0</v>
      </c>
    </row>
    <row r="6624" spans="1:10" ht="26.25" hidden="1" thickBot="1" x14ac:dyDescent="0.3">
      <c r="A6624" s="176"/>
      <c r="B6624" s="174"/>
      <c r="C6624" s="35" t="s">
        <v>8362</v>
      </c>
      <c r="D6624" s="35" t="s">
        <v>213</v>
      </c>
      <c r="E6624" s="36">
        <v>1</v>
      </c>
      <c r="F6624" s="30">
        <v>743.69799999999998</v>
      </c>
      <c r="G6624" s="30">
        <f>IF(ISNUMBER(F6624),E6624*F6624,"")</f>
        <v>743.69799999999998</v>
      </c>
      <c r="H6624" s="38">
        <f>SUM(G6624:G6624)</f>
        <v>743.69799999999998</v>
      </c>
      <c r="I6624" s="39"/>
      <c r="J6624" s="152">
        <v>0</v>
      </c>
    </row>
    <row r="6625" spans="1:10" ht="15.75" hidden="1" thickBot="1" x14ac:dyDescent="0.3">
      <c r="A6625" s="177"/>
      <c r="B6625" s="175"/>
      <c r="C6625" s="54"/>
      <c r="D6625" s="54"/>
      <c r="E6625" s="65"/>
      <c r="F6625" s="66" t="s">
        <v>416</v>
      </c>
      <c r="G6625" s="66" t="str">
        <f>IF(ISNUMBER(F6625),E6625*F6625,"")</f>
        <v/>
      </c>
      <c r="H6625" s="68"/>
      <c r="I6625" s="30"/>
      <c r="J6625" s="152">
        <v>0</v>
      </c>
    </row>
    <row r="6626" spans="1:10" ht="15.75" hidden="1" thickBot="1" x14ac:dyDescent="0.3">
      <c r="A6626" s="170" t="s">
        <v>6018</v>
      </c>
      <c r="B6626" s="173" t="str">
        <f>INDEX(Orçamentária!A:B,MATCH(Composições!A6626,Orçamentária!A:A,0),2)</f>
        <v>Registro de Pressão Bruto 1/2”</v>
      </c>
      <c r="C6626" s="40"/>
      <c r="D6626" s="25" t="s">
        <v>16</v>
      </c>
      <c r="E6626" s="26"/>
      <c r="F6626" s="41" t="s">
        <v>416</v>
      </c>
      <c r="G6626" s="27" t="str">
        <f>IF(ISNUMBER(F6626),E6626*F6626,"")</f>
        <v/>
      </c>
      <c r="H6626" s="28"/>
      <c r="I6626" s="29"/>
      <c r="J6626" s="152">
        <v>0</v>
      </c>
    </row>
    <row r="6627" spans="1:10" ht="15.75" hidden="1" thickBot="1" x14ac:dyDescent="0.3">
      <c r="A6627" s="176"/>
      <c r="B6627" s="174"/>
      <c r="C6627" s="31"/>
      <c r="D6627" s="31"/>
      <c r="E6627" s="32"/>
      <c r="F6627" s="42" t="s">
        <v>416</v>
      </c>
      <c r="G6627" s="30" t="str">
        <f>IF(ISNUMBER(F6627),E6627*F6627,"")</f>
        <v/>
      </c>
      <c r="H6627" s="34"/>
      <c r="I6627" s="30"/>
      <c r="J6627" s="152">
        <v>0</v>
      </c>
    </row>
    <row r="6628" spans="1:10" ht="26.25" hidden="1" thickBot="1" x14ac:dyDescent="0.3">
      <c r="A6628" s="176"/>
      <c r="B6628" s="174"/>
      <c r="C6628" s="35" t="s">
        <v>8364</v>
      </c>
      <c r="D6628" s="35" t="s">
        <v>213</v>
      </c>
      <c r="E6628" s="36">
        <v>1</v>
      </c>
      <c r="F6628" s="30">
        <v>25.241499999999998</v>
      </c>
      <c r="G6628" s="30">
        <f>IF(ISNUMBER(F6628),E6628*F6628,"")</f>
        <v>25.241499999999998</v>
      </c>
      <c r="H6628" s="38">
        <f>SUM(G6628:G6628)</f>
        <v>25.241499999999998</v>
      </c>
      <c r="I6628" s="39"/>
      <c r="J6628" s="152">
        <v>0</v>
      </c>
    </row>
    <row r="6629" spans="1:10" ht="15.75" hidden="1" thickBot="1" x14ac:dyDescent="0.3">
      <c r="A6629" s="177"/>
      <c r="B6629" s="175"/>
      <c r="C6629" s="54"/>
      <c r="D6629" s="54"/>
      <c r="E6629" s="65"/>
      <c r="F6629" s="66" t="s">
        <v>416</v>
      </c>
      <c r="G6629" s="66" t="str">
        <f>IF(ISNUMBER(F6629),E6629*F6629,"")</f>
        <v/>
      </c>
      <c r="H6629" s="68"/>
      <c r="I6629" s="30"/>
      <c r="J6629" s="152">
        <v>0</v>
      </c>
    </row>
    <row r="6630" spans="1:10" ht="15.75" hidden="1" thickBot="1" x14ac:dyDescent="0.3">
      <c r="A6630" s="170" t="s">
        <v>6020</v>
      </c>
      <c r="B6630" s="173" t="str">
        <f>INDEX(Orçamentária!A:B,MATCH(Composições!A6630,Orçamentária!A:A,0),2)</f>
        <v>Registro de Pressão Bruto 3/4”</v>
      </c>
      <c r="C6630" s="40"/>
      <c r="D6630" s="25" t="s">
        <v>16</v>
      </c>
      <c r="E6630" s="26"/>
      <c r="F6630" s="41" t="s">
        <v>416</v>
      </c>
      <c r="G6630" s="27" t="str">
        <f>IF(ISNUMBER(F6630),E6630*F6630,"")</f>
        <v/>
      </c>
      <c r="H6630" s="28"/>
      <c r="I6630" s="29"/>
      <c r="J6630" s="152">
        <v>0</v>
      </c>
    </row>
    <row r="6631" spans="1:10" ht="15.75" hidden="1" thickBot="1" x14ac:dyDescent="0.3">
      <c r="A6631" s="176"/>
      <c r="B6631" s="174"/>
      <c r="C6631" s="31"/>
      <c r="D6631" s="31"/>
      <c r="E6631" s="32"/>
      <c r="F6631" s="42" t="s">
        <v>416</v>
      </c>
      <c r="G6631" s="30" t="str">
        <f>IF(ISNUMBER(F6631),E6631*F6631,"")</f>
        <v/>
      </c>
      <c r="H6631" s="34"/>
      <c r="I6631" s="30"/>
      <c r="J6631" s="152">
        <v>0</v>
      </c>
    </row>
    <row r="6632" spans="1:10" ht="26.25" hidden="1" thickBot="1" x14ac:dyDescent="0.3">
      <c r="A6632" s="176"/>
      <c r="B6632" s="174"/>
      <c r="C6632" s="35" t="s">
        <v>8365</v>
      </c>
      <c r="D6632" s="35" t="s">
        <v>213</v>
      </c>
      <c r="E6632" s="36">
        <v>1</v>
      </c>
      <c r="F6632" s="30">
        <v>30.1435</v>
      </c>
      <c r="G6632" s="30">
        <f>IF(ISNUMBER(F6632),E6632*F6632,"")</f>
        <v>30.1435</v>
      </c>
      <c r="H6632" s="38">
        <f>SUM(G6632:G6632)</f>
        <v>30.1435</v>
      </c>
      <c r="I6632" s="39"/>
      <c r="J6632" s="152">
        <v>0</v>
      </c>
    </row>
    <row r="6633" spans="1:10" ht="15.75" hidden="1" thickBot="1" x14ac:dyDescent="0.3">
      <c r="A6633" s="177"/>
      <c r="B6633" s="175"/>
      <c r="C6633" s="54"/>
      <c r="D6633" s="54"/>
      <c r="E6633" s="65"/>
      <c r="F6633" s="66" t="s">
        <v>416</v>
      </c>
      <c r="G6633" s="66" t="str">
        <f>IF(ISNUMBER(F6633),E6633*F6633,"")</f>
        <v/>
      </c>
      <c r="H6633" s="68"/>
      <c r="I6633" s="30"/>
      <c r="J6633" s="152">
        <v>0</v>
      </c>
    </row>
    <row r="6634" spans="1:10" ht="15.75" hidden="1" thickBot="1" x14ac:dyDescent="0.3">
      <c r="A6634" s="170" t="s">
        <v>6022</v>
      </c>
      <c r="B6634" s="173" t="str">
        <f>INDEX(Orçamentária!A:B,MATCH(Composições!A6634,Orçamentária!A:A,0),2)</f>
        <v>Registro Esfera PVC VS Roscável 1/2”</v>
      </c>
      <c r="C6634" s="40"/>
      <c r="D6634" s="25" t="s">
        <v>16</v>
      </c>
      <c r="E6634" s="26"/>
      <c r="F6634" s="41" t="s">
        <v>416</v>
      </c>
      <c r="G6634" s="27" t="str">
        <f>IF(ISNUMBER(F6634),E6634*F6634,"")</f>
        <v/>
      </c>
      <c r="H6634" s="28"/>
      <c r="I6634" s="29"/>
      <c r="J6634" s="152">
        <v>0</v>
      </c>
    </row>
    <row r="6635" spans="1:10" ht="15.75" hidden="1" thickBot="1" x14ac:dyDescent="0.3">
      <c r="A6635" s="176"/>
      <c r="B6635" s="174"/>
      <c r="C6635" s="31"/>
      <c r="D6635" s="31"/>
      <c r="E6635" s="32"/>
      <c r="F6635" s="42" t="s">
        <v>416</v>
      </c>
      <c r="G6635" s="30" t="str">
        <f>IF(ISNUMBER(F6635),E6635*F6635,"")</f>
        <v/>
      </c>
      <c r="H6635" s="34"/>
      <c r="I6635" s="30"/>
      <c r="J6635" s="152">
        <v>0</v>
      </c>
    </row>
    <row r="6636" spans="1:10" ht="26.25" hidden="1" thickBot="1" x14ac:dyDescent="0.3">
      <c r="A6636" s="176"/>
      <c r="B6636" s="174"/>
      <c r="C6636" s="35" t="s">
        <v>8352</v>
      </c>
      <c r="D6636" s="35" t="s">
        <v>213</v>
      </c>
      <c r="E6636" s="36">
        <v>1</v>
      </c>
      <c r="F6636" s="30">
        <v>23.588499999999996</v>
      </c>
      <c r="G6636" s="30">
        <f>IF(ISNUMBER(F6636),E6636*F6636,"")</f>
        <v>23.588499999999996</v>
      </c>
      <c r="H6636" s="38">
        <f>SUM(G6636:G6636)</f>
        <v>23.588499999999996</v>
      </c>
      <c r="I6636" s="39"/>
      <c r="J6636" s="152">
        <v>0</v>
      </c>
    </row>
    <row r="6637" spans="1:10" ht="15.75" hidden="1" thickBot="1" x14ac:dyDescent="0.3">
      <c r="A6637" s="177"/>
      <c r="B6637" s="175"/>
      <c r="C6637" s="54"/>
      <c r="D6637" s="54"/>
      <c r="E6637" s="65"/>
      <c r="F6637" s="66" t="s">
        <v>416</v>
      </c>
      <c r="G6637" s="66" t="str">
        <f>IF(ISNUMBER(F6637),E6637*F6637,"")</f>
        <v/>
      </c>
      <c r="H6637" s="68"/>
      <c r="I6637" s="30"/>
      <c r="J6637" s="152">
        <v>0</v>
      </c>
    </row>
    <row r="6638" spans="1:10" ht="15.75" hidden="1" thickBot="1" x14ac:dyDescent="0.3">
      <c r="A6638" s="170" t="s">
        <v>6024</v>
      </c>
      <c r="B6638" s="173" t="str">
        <f>INDEX(Orçamentária!A:B,MATCH(Composições!A6638,Orçamentária!A:A,0),2)</f>
        <v>Registro Esfera PVC VS Roscável 1 1/2”</v>
      </c>
      <c r="C6638" s="40"/>
      <c r="D6638" s="25" t="s">
        <v>16</v>
      </c>
      <c r="E6638" s="26"/>
      <c r="F6638" s="41" t="s">
        <v>416</v>
      </c>
      <c r="G6638" s="27" t="str">
        <f>IF(ISNUMBER(F6638),E6638*F6638,"")</f>
        <v/>
      </c>
      <c r="H6638" s="28"/>
      <c r="I6638" s="29"/>
      <c r="J6638" s="152">
        <v>0</v>
      </c>
    </row>
    <row r="6639" spans="1:10" ht="15.75" hidden="1" thickBot="1" x14ac:dyDescent="0.3">
      <c r="A6639" s="176"/>
      <c r="B6639" s="174"/>
      <c r="C6639" s="31"/>
      <c r="D6639" s="31"/>
      <c r="E6639" s="32"/>
      <c r="F6639" s="42" t="s">
        <v>416</v>
      </c>
      <c r="G6639" s="30" t="str">
        <f>IF(ISNUMBER(F6639),E6639*F6639,"")</f>
        <v/>
      </c>
      <c r="H6639" s="34"/>
      <c r="I6639" s="30"/>
      <c r="J6639" s="152">
        <v>0</v>
      </c>
    </row>
    <row r="6640" spans="1:10" ht="26.25" hidden="1" thickBot="1" x14ac:dyDescent="0.3">
      <c r="A6640" s="176"/>
      <c r="B6640" s="174"/>
      <c r="C6640" s="35" t="s">
        <v>8351</v>
      </c>
      <c r="D6640" s="35" t="s">
        <v>213</v>
      </c>
      <c r="E6640" s="36">
        <v>1</v>
      </c>
      <c r="F6640" s="30">
        <v>64.656999999999996</v>
      </c>
      <c r="G6640" s="30">
        <f>IF(ISNUMBER(F6640),E6640*F6640,"")</f>
        <v>64.656999999999996</v>
      </c>
      <c r="H6640" s="38">
        <f>SUM(G6640:G6640)</f>
        <v>64.656999999999996</v>
      </c>
      <c r="I6640" s="39"/>
      <c r="J6640" s="152">
        <v>0</v>
      </c>
    </row>
    <row r="6641" spans="1:10" ht="15.75" hidden="1" thickBot="1" x14ac:dyDescent="0.3">
      <c r="A6641" s="177"/>
      <c r="B6641" s="175"/>
      <c r="C6641" s="54"/>
      <c r="D6641" s="54"/>
      <c r="E6641" s="65"/>
      <c r="F6641" s="66" t="s">
        <v>416</v>
      </c>
      <c r="G6641" s="66" t="str">
        <f>IF(ISNUMBER(F6641),E6641*F6641,"")</f>
        <v/>
      </c>
      <c r="H6641" s="68"/>
      <c r="I6641" s="30"/>
      <c r="J6641" s="152">
        <v>0</v>
      </c>
    </row>
    <row r="6642" spans="1:10" ht="15.75" hidden="1" thickBot="1" x14ac:dyDescent="0.3">
      <c r="A6642" s="170" t="s">
        <v>6026</v>
      </c>
      <c r="B6642" s="173" t="str">
        <f>INDEX(Orçamentária!A:B,MATCH(Composições!A6642,Orçamentária!A:A,0),2)</f>
        <v>Registro Esfera PVC VS Soldável 60 mm</v>
      </c>
      <c r="C6642" s="40"/>
      <c r="D6642" s="25" t="s">
        <v>16</v>
      </c>
      <c r="E6642" s="26"/>
      <c r="F6642" s="41" t="s">
        <v>416</v>
      </c>
      <c r="G6642" s="27" t="str">
        <f>IF(ISNUMBER(F6642),E6642*F6642,"")</f>
        <v/>
      </c>
      <c r="H6642" s="28"/>
      <c r="I6642" s="29"/>
      <c r="J6642" s="152">
        <v>0</v>
      </c>
    </row>
    <row r="6643" spans="1:10" ht="15.75" hidden="1" thickBot="1" x14ac:dyDescent="0.3">
      <c r="A6643" s="176"/>
      <c r="B6643" s="174"/>
      <c r="C6643" s="31"/>
      <c r="D6643" s="31"/>
      <c r="E6643" s="32"/>
      <c r="F6643" s="42" t="s">
        <v>416</v>
      </c>
      <c r="G6643" s="30" t="str">
        <f>IF(ISNUMBER(F6643),E6643*F6643,"")</f>
        <v/>
      </c>
      <c r="H6643" s="34"/>
      <c r="I6643" s="30"/>
      <c r="J6643" s="152">
        <v>0</v>
      </c>
    </row>
    <row r="6644" spans="1:10" ht="26.25" hidden="1" thickBot="1" x14ac:dyDescent="0.3">
      <c r="A6644" s="176"/>
      <c r="B6644" s="174"/>
      <c r="C6644" s="35" t="s">
        <v>8353</v>
      </c>
      <c r="D6644" s="35" t="s">
        <v>213</v>
      </c>
      <c r="E6644" s="36">
        <v>1</v>
      </c>
      <c r="F6644" s="30">
        <v>115.10199999999999</v>
      </c>
      <c r="G6644" s="30">
        <f>IF(ISNUMBER(F6644),E6644*F6644,"")</f>
        <v>115.10199999999999</v>
      </c>
      <c r="H6644" s="38">
        <f>SUM(G6644:G6644)</f>
        <v>115.10199999999999</v>
      </c>
      <c r="I6644" s="39"/>
      <c r="J6644" s="152">
        <v>0</v>
      </c>
    </row>
    <row r="6645" spans="1:10" ht="15.75" hidden="1" thickBot="1" x14ac:dyDescent="0.3">
      <c r="A6645" s="177"/>
      <c r="B6645" s="175"/>
      <c r="C6645" s="54"/>
      <c r="D6645" s="54"/>
      <c r="E6645" s="65"/>
      <c r="F6645" s="66" t="s">
        <v>416</v>
      </c>
      <c r="G6645" s="66" t="str">
        <f>IF(ISNUMBER(F6645),E6645*F6645,"")</f>
        <v/>
      </c>
      <c r="H6645" s="68"/>
      <c r="I6645" s="30"/>
      <c r="J6645" s="152">
        <v>0</v>
      </c>
    </row>
    <row r="6646" spans="1:10" ht="15.75" hidden="1" thickBot="1" x14ac:dyDescent="0.3">
      <c r="A6646" s="170" t="s">
        <v>6027</v>
      </c>
      <c r="B6646" s="173" t="str">
        <f>INDEX(Orçamentária!A:B,MATCH(Composições!A6646,Orçamentária!A:A,0),2)</f>
        <v>Registro para Hidrante 2 1/2”</v>
      </c>
      <c r="C6646" s="40"/>
      <c r="D6646" s="25" t="s">
        <v>16</v>
      </c>
      <c r="E6646" s="26"/>
      <c r="F6646" s="41" t="s">
        <v>416</v>
      </c>
      <c r="G6646" s="27" t="str">
        <f>IF(ISNUMBER(F6646),E6646*F6646,"")</f>
        <v/>
      </c>
      <c r="H6646" s="28"/>
      <c r="I6646" s="29"/>
      <c r="J6646" s="152">
        <v>0</v>
      </c>
    </row>
    <row r="6647" spans="1:10" ht="15.75" hidden="1" thickBot="1" x14ac:dyDescent="0.3">
      <c r="A6647" s="176"/>
      <c r="B6647" s="174"/>
      <c r="C6647" s="31"/>
      <c r="D6647" s="31"/>
      <c r="E6647" s="32"/>
      <c r="F6647" s="42" t="s">
        <v>416</v>
      </c>
      <c r="G6647" s="30" t="str">
        <f>IF(ISNUMBER(F6647),E6647*F6647,"")</f>
        <v/>
      </c>
      <c r="H6647" s="34"/>
      <c r="I6647" s="30"/>
      <c r="J6647" s="152">
        <v>0</v>
      </c>
    </row>
    <row r="6648" spans="1:10" ht="51.75" hidden="1" thickBot="1" x14ac:dyDescent="0.3">
      <c r="A6648" s="176"/>
      <c r="B6648" s="174"/>
      <c r="C6648" s="35" t="s">
        <v>8363</v>
      </c>
      <c r="D6648" s="35" t="s">
        <v>213</v>
      </c>
      <c r="E6648" s="36">
        <v>1</v>
      </c>
      <c r="F6648" s="30">
        <v>171</v>
      </c>
      <c r="G6648" s="30">
        <f>IF(ISNUMBER(F6648),E6648*F6648,"")</f>
        <v>171</v>
      </c>
      <c r="H6648" s="38">
        <f>SUM(G6648:G6648)</f>
        <v>171</v>
      </c>
      <c r="I6648" s="39"/>
      <c r="J6648" s="152">
        <v>0</v>
      </c>
    </row>
    <row r="6649" spans="1:10" ht="15.75" hidden="1" thickBot="1" x14ac:dyDescent="0.3">
      <c r="A6649" s="177"/>
      <c r="B6649" s="175"/>
      <c r="C6649" s="54"/>
      <c r="D6649" s="54"/>
      <c r="E6649" s="65"/>
      <c r="F6649" s="66" t="s">
        <v>416</v>
      </c>
      <c r="G6649" s="66" t="str">
        <f>IF(ISNUMBER(F6649),E6649*F6649,"")</f>
        <v/>
      </c>
      <c r="H6649" s="68"/>
      <c r="I6649" s="30"/>
      <c r="J6649" s="152">
        <v>0</v>
      </c>
    </row>
    <row r="6650" spans="1:10" ht="15.75" hidden="1" thickBot="1" x14ac:dyDescent="0.3">
      <c r="A6650" s="170" t="s">
        <v>6064</v>
      </c>
      <c r="B6650" s="173" t="str">
        <f>INDEX(Orçamentária!A:B,MATCH(Composições!A6650,Orçamentária!A:A,0),2)</f>
        <v>Terminal de Ventilação PVC - 100 mm</v>
      </c>
      <c r="C6650" s="40"/>
      <c r="D6650" s="25" t="s">
        <v>16</v>
      </c>
      <c r="E6650" s="26"/>
      <c r="F6650" s="41" t="s">
        <v>416</v>
      </c>
      <c r="G6650" s="27" t="str">
        <f>IF(ISNUMBER(F6650),E6650*F6650,"")</f>
        <v/>
      </c>
      <c r="H6650" s="28"/>
      <c r="I6650" s="29"/>
      <c r="J6650" s="152">
        <v>0</v>
      </c>
    </row>
    <row r="6651" spans="1:10" ht="15.75" hidden="1" thickBot="1" x14ac:dyDescent="0.3">
      <c r="A6651" s="176"/>
      <c r="B6651" s="174"/>
      <c r="C6651" s="31"/>
      <c r="D6651" s="31"/>
      <c r="E6651" s="32"/>
      <c r="F6651" s="42" t="s">
        <v>416</v>
      </c>
      <c r="G6651" s="30" t="str">
        <f>IF(ISNUMBER(F6651),E6651*F6651,"")</f>
        <v/>
      </c>
      <c r="H6651" s="34"/>
      <c r="I6651" s="30"/>
      <c r="J6651" s="152">
        <v>0</v>
      </c>
    </row>
    <row r="6652" spans="1:10" ht="26.25" hidden="1" thickBot="1" x14ac:dyDescent="0.3">
      <c r="A6652" s="176"/>
      <c r="B6652" s="174"/>
      <c r="C6652" s="35" t="s">
        <v>8433</v>
      </c>
      <c r="D6652" s="35" t="s">
        <v>213</v>
      </c>
      <c r="E6652" s="36">
        <v>1</v>
      </c>
      <c r="F6652" s="30">
        <v>21.555499999999999</v>
      </c>
      <c r="G6652" s="30">
        <f>IF(ISNUMBER(F6652),E6652*F6652,"")</f>
        <v>21.555499999999999</v>
      </c>
      <c r="H6652" s="38">
        <f>SUM(G6652:G6652)</f>
        <v>21.555499999999999</v>
      </c>
      <c r="I6652" s="39"/>
      <c r="J6652" s="152">
        <v>0</v>
      </c>
    </row>
    <row r="6653" spans="1:10" ht="15.75" hidden="1" thickBot="1" x14ac:dyDescent="0.3">
      <c r="A6653" s="177"/>
      <c r="B6653" s="175"/>
      <c r="C6653" s="54"/>
      <c r="D6653" s="54"/>
      <c r="E6653" s="65"/>
      <c r="F6653" s="66" t="s">
        <v>416</v>
      </c>
      <c r="G6653" s="66" t="str">
        <f>IF(ISNUMBER(F6653),E6653*F6653,"")</f>
        <v/>
      </c>
      <c r="H6653" s="68"/>
      <c r="I6653" s="30"/>
      <c r="J6653" s="152">
        <v>0</v>
      </c>
    </row>
    <row r="6654" spans="1:10" ht="15.75" hidden="1" thickBot="1" x14ac:dyDescent="0.3">
      <c r="A6654" s="170" t="s">
        <v>6066</v>
      </c>
      <c r="B6654" s="173" t="str">
        <f>INDEX(Orçamentária!A:B,MATCH(Composições!A6654,Orçamentária!A:A,0),2)</f>
        <v>Terminal de Ventilação PVC - 50 mm</v>
      </c>
      <c r="C6654" s="40"/>
      <c r="D6654" s="25" t="s">
        <v>16</v>
      </c>
      <c r="E6654" s="26"/>
      <c r="F6654" s="41" t="s">
        <v>416</v>
      </c>
      <c r="G6654" s="27" t="str">
        <f>IF(ISNUMBER(F6654),E6654*F6654,"")</f>
        <v/>
      </c>
      <c r="H6654" s="28"/>
      <c r="I6654" s="29"/>
      <c r="J6654" s="152">
        <v>0</v>
      </c>
    </row>
    <row r="6655" spans="1:10" ht="15.75" hidden="1" thickBot="1" x14ac:dyDescent="0.3">
      <c r="A6655" s="176"/>
      <c r="B6655" s="174"/>
      <c r="C6655" s="31"/>
      <c r="D6655" s="31"/>
      <c r="E6655" s="32"/>
      <c r="F6655" s="42" t="s">
        <v>416</v>
      </c>
      <c r="G6655" s="30" t="str">
        <f>IF(ISNUMBER(F6655),E6655*F6655,"")</f>
        <v/>
      </c>
      <c r="H6655" s="34"/>
      <c r="I6655" s="30"/>
      <c r="J6655" s="152">
        <v>0</v>
      </c>
    </row>
    <row r="6656" spans="1:10" ht="26.25" hidden="1" thickBot="1" x14ac:dyDescent="0.3">
      <c r="A6656" s="176"/>
      <c r="B6656" s="174"/>
      <c r="C6656" s="35" t="s">
        <v>8434</v>
      </c>
      <c r="D6656" s="35" t="s">
        <v>213</v>
      </c>
      <c r="E6656" s="36">
        <v>1</v>
      </c>
      <c r="F6656" s="30">
        <v>8.968</v>
      </c>
      <c r="G6656" s="30">
        <f>IF(ISNUMBER(F6656),E6656*F6656,"")</f>
        <v>8.968</v>
      </c>
      <c r="H6656" s="38">
        <f>SUM(G6656:G6656)</f>
        <v>8.968</v>
      </c>
      <c r="I6656" s="39"/>
      <c r="J6656" s="152">
        <v>0</v>
      </c>
    </row>
    <row r="6657" spans="1:10" ht="15.75" hidden="1" thickBot="1" x14ac:dyDescent="0.3">
      <c r="A6657" s="177"/>
      <c r="B6657" s="175"/>
      <c r="C6657" s="54"/>
      <c r="D6657" s="54"/>
      <c r="E6657" s="65"/>
      <c r="F6657" s="66" t="s">
        <v>416</v>
      </c>
      <c r="G6657" s="66" t="str">
        <f>IF(ISNUMBER(F6657),E6657*F6657,"")</f>
        <v/>
      </c>
      <c r="H6657" s="68"/>
      <c r="I6657" s="30"/>
      <c r="J6657" s="152">
        <v>0</v>
      </c>
    </row>
    <row r="6658" spans="1:10" ht="15.75" hidden="1" thickBot="1" x14ac:dyDescent="0.3">
      <c r="A6658" s="170" t="s">
        <v>6068</v>
      </c>
      <c r="B6658" s="173" t="str">
        <f>INDEX(Orçamentária!A:B,MATCH(Composições!A6658,Orçamentária!A:A,0),2)</f>
        <v>Terminal de Ventilação PVC - 75 mm</v>
      </c>
      <c r="C6658" s="40"/>
      <c r="D6658" s="25" t="s">
        <v>16</v>
      </c>
      <c r="E6658" s="26"/>
      <c r="F6658" s="41" t="s">
        <v>416</v>
      </c>
      <c r="G6658" s="27" t="str">
        <f>IF(ISNUMBER(F6658),E6658*F6658,"")</f>
        <v/>
      </c>
      <c r="H6658" s="28"/>
      <c r="I6658" s="29"/>
      <c r="J6658" s="152">
        <v>0</v>
      </c>
    </row>
    <row r="6659" spans="1:10" ht="15.75" hidden="1" thickBot="1" x14ac:dyDescent="0.3">
      <c r="A6659" s="176"/>
      <c r="B6659" s="174"/>
      <c r="C6659" s="31"/>
      <c r="D6659" s="31"/>
      <c r="E6659" s="32"/>
      <c r="F6659" s="42" t="s">
        <v>416</v>
      </c>
      <c r="G6659" s="30" t="str">
        <f>IF(ISNUMBER(F6659),E6659*F6659,"")</f>
        <v/>
      </c>
      <c r="H6659" s="34"/>
      <c r="I6659" s="30"/>
      <c r="J6659" s="152">
        <v>0</v>
      </c>
    </row>
    <row r="6660" spans="1:10" ht="26.25" hidden="1" thickBot="1" x14ac:dyDescent="0.3">
      <c r="A6660" s="176"/>
      <c r="B6660" s="174"/>
      <c r="C6660" s="35" t="s">
        <v>8435</v>
      </c>
      <c r="D6660" s="35" t="s">
        <v>213</v>
      </c>
      <c r="E6660" s="36">
        <v>1</v>
      </c>
      <c r="F6660" s="30">
        <v>17.242499999999996</v>
      </c>
      <c r="G6660" s="30">
        <f>IF(ISNUMBER(F6660),E6660*F6660,"")</f>
        <v>17.242499999999996</v>
      </c>
      <c r="H6660" s="38">
        <f>SUM(G6660:G6660)</f>
        <v>17.242499999999996</v>
      </c>
      <c r="I6660" s="39"/>
      <c r="J6660" s="152">
        <v>0</v>
      </c>
    </row>
    <row r="6661" spans="1:10" ht="15.75" hidden="1" thickBot="1" x14ac:dyDescent="0.3">
      <c r="A6661" s="177"/>
      <c r="B6661" s="175"/>
      <c r="C6661" s="54"/>
      <c r="D6661" s="54"/>
      <c r="E6661" s="65"/>
      <c r="F6661" s="66" t="s">
        <v>416</v>
      </c>
      <c r="G6661" s="66" t="str">
        <f>IF(ISNUMBER(F6661),E6661*F6661,"")</f>
        <v/>
      </c>
      <c r="H6661" s="68"/>
      <c r="I6661" s="30"/>
      <c r="J6661" s="152">
        <v>0</v>
      </c>
    </row>
    <row r="6662" spans="1:10" ht="15.75" hidden="1" thickBot="1" x14ac:dyDescent="0.3">
      <c r="A6662" s="170" t="s">
        <v>6072</v>
      </c>
      <c r="B6662" s="173" t="str">
        <f>INDEX(Orçamentária!A:B,MATCH(Composições!A6662,Orçamentária!A:A,0),2)</f>
        <v>Torneira de Bóia Com Balão Plástico 1 1/2”</v>
      </c>
      <c r="C6662" s="40"/>
      <c r="D6662" s="25" t="s">
        <v>16</v>
      </c>
      <c r="E6662" s="26"/>
      <c r="F6662" s="41" t="s">
        <v>416</v>
      </c>
      <c r="G6662" s="27" t="str">
        <f>IF(ISNUMBER(F6662),E6662*F6662,"")</f>
        <v/>
      </c>
      <c r="H6662" s="28"/>
      <c r="I6662" s="29"/>
      <c r="J6662" s="152">
        <v>0</v>
      </c>
    </row>
    <row r="6663" spans="1:10" ht="15.75" hidden="1" thickBot="1" x14ac:dyDescent="0.3">
      <c r="A6663" s="176"/>
      <c r="B6663" s="174"/>
      <c r="C6663" s="31"/>
      <c r="D6663" s="31"/>
      <c r="E6663" s="32"/>
      <c r="F6663" s="42" t="s">
        <v>416</v>
      </c>
      <c r="G6663" s="30" t="str">
        <f>IF(ISNUMBER(F6663),E6663*F6663,"")</f>
        <v/>
      </c>
      <c r="H6663" s="34"/>
      <c r="I6663" s="30"/>
      <c r="J6663" s="152">
        <v>0</v>
      </c>
    </row>
    <row r="6664" spans="1:10" ht="39" hidden="1" thickBot="1" x14ac:dyDescent="0.3">
      <c r="A6664" s="176"/>
      <c r="B6664" s="174"/>
      <c r="C6664" s="35" t="s">
        <v>8444</v>
      </c>
      <c r="D6664" s="35" t="s">
        <v>213</v>
      </c>
      <c r="E6664" s="36">
        <v>1</v>
      </c>
      <c r="F6664" s="30">
        <v>439.60300000000001</v>
      </c>
      <c r="G6664" s="30">
        <f>IF(ISNUMBER(F6664),E6664*F6664,"")</f>
        <v>439.60300000000001</v>
      </c>
      <c r="H6664" s="38">
        <f>SUM(G6664:G6664)</f>
        <v>439.60300000000001</v>
      </c>
      <c r="I6664" s="39"/>
      <c r="J6664" s="152">
        <v>0</v>
      </c>
    </row>
    <row r="6665" spans="1:10" ht="15.75" hidden="1" thickBot="1" x14ac:dyDescent="0.3">
      <c r="A6665" s="177"/>
      <c r="B6665" s="175"/>
      <c r="C6665" s="54"/>
      <c r="D6665" s="54"/>
      <c r="E6665" s="65"/>
      <c r="F6665" s="66" t="s">
        <v>416</v>
      </c>
      <c r="G6665" s="66" t="str">
        <f>IF(ISNUMBER(F6665),E6665*F6665,"")</f>
        <v/>
      </c>
      <c r="H6665" s="68"/>
      <c r="I6665" s="30"/>
      <c r="J6665" s="152">
        <v>0</v>
      </c>
    </row>
    <row r="6666" spans="1:10" ht="15.75" hidden="1" thickBot="1" x14ac:dyDescent="0.3">
      <c r="A6666" s="170" t="s">
        <v>6074</v>
      </c>
      <c r="B6666" s="173" t="str">
        <f>INDEX(Orçamentária!A:B,MATCH(Composições!A6666,Orçamentária!A:A,0),2)</f>
        <v>Torneira de Bóia Com Balão Plástico 1 1/4”</v>
      </c>
      <c r="C6666" s="40"/>
      <c r="D6666" s="25" t="s">
        <v>16</v>
      </c>
      <c r="E6666" s="26"/>
      <c r="F6666" s="41" t="s">
        <v>416</v>
      </c>
      <c r="G6666" s="27" t="str">
        <f>IF(ISNUMBER(F6666),E6666*F6666,"")</f>
        <v/>
      </c>
      <c r="H6666" s="28"/>
      <c r="I6666" s="29"/>
      <c r="J6666" s="152">
        <v>0</v>
      </c>
    </row>
    <row r="6667" spans="1:10" ht="15.75" hidden="1" thickBot="1" x14ac:dyDescent="0.3">
      <c r="A6667" s="176"/>
      <c r="B6667" s="174"/>
      <c r="C6667" s="31"/>
      <c r="D6667" s="31"/>
      <c r="E6667" s="32"/>
      <c r="F6667" s="42" t="s">
        <v>416</v>
      </c>
      <c r="G6667" s="30" t="str">
        <f>IF(ISNUMBER(F6667),E6667*F6667,"")</f>
        <v/>
      </c>
      <c r="H6667" s="34"/>
      <c r="I6667" s="30"/>
      <c r="J6667" s="152">
        <v>0</v>
      </c>
    </row>
    <row r="6668" spans="1:10" ht="39" hidden="1" thickBot="1" x14ac:dyDescent="0.3">
      <c r="A6668" s="176"/>
      <c r="B6668" s="174"/>
      <c r="C6668" s="35" t="s">
        <v>8445</v>
      </c>
      <c r="D6668" s="35" t="s">
        <v>213</v>
      </c>
      <c r="E6668" s="36">
        <v>1</v>
      </c>
      <c r="F6668" s="30">
        <v>360.66749999999996</v>
      </c>
      <c r="G6668" s="30">
        <f>IF(ISNUMBER(F6668),E6668*F6668,"")</f>
        <v>360.66749999999996</v>
      </c>
      <c r="H6668" s="38">
        <f>SUM(G6668:G6668)</f>
        <v>360.66749999999996</v>
      </c>
      <c r="I6668" s="39"/>
      <c r="J6668" s="152">
        <v>0</v>
      </c>
    </row>
    <row r="6669" spans="1:10" ht="15.75" hidden="1" thickBot="1" x14ac:dyDescent="0.3">
      <c r="A6669" s="177"/>
      <c r="B6669" s="175"/>
      <c r="C6669" s="54"/>
      <c r="D6669" s="54"/>
      <c r="E6669" s="65"/>
      <c r="F6669" s="66" t="s">
        <v>416</v>
      </c>
      <c r="G6669" s="66" t="str">
        <f>IF(ISNUMBER(F6669),E6669*F6669,"")</f>
        <v/>
      </c>
      <c r="H6669" s="68"/>
      <c r="I6669" s="30"/>
      <c r="J6669" s="152">
        <v>0</v>
      </c>
    </row>
    <row r="6670" spans="1:10" ht="15.75" hidden="1" thickBot="1" x14ac:dyDescent="0.3">
      <c r="A6670" s="170" t="s">
        <v>6076</v>
      </c>
      <c r="B6670" s="173" t="str">
        <f>INDEX(Orçamentária!A:B,MATCH(Composições!A6670,Orçamentária!A:A,0),2)</f>
        <v>Torneira de Bóia Com Balão Plástico 1”</v>
      </c>
      <c r="C6670" s="40"/>
      <c r="D6670" s="25" t="s">
        <v>16</v>
      </c>
      <c r="E6670" s="26"/>
      <c r="F6670" s="41" t="s">
        <v>416</v>
      </c>
      <c r="G6670" s="27" t="str">
        <f>IF(ISNUMBER(F6670),E6670*F6670,"")</f>
        <v/>
      </c>
      <c r="H6670" s="28"/>
      <c r="I6670" s="29"/>
      <c r="J6670" s="152">
        <v>0</v>
      </c>
    </row>
    <row r="6671" spans="1:10" ht="15.75" hidden="1" thickBot="1" x14ac:dyDescent="0.3">
      <c r="A6671" s="176"/>
      <c r="B6671" s="174"/>
      <c r="C6671" s="31"/>
      <c r="D6671" s="31"/>
      <c r="E6671" s="32"/>
      <c r="F6671" s="42" t="s">
        <v>416</v>
      </c>
      <c r="G6671" s="30" t="str">
        <f>IF(ISNUMBER(F6671),E6671*F6671,"")</f>
        <v/>
      </c>
      <c r="H6671" s="34"/>
      <c r="I6671" s="30"/>
      <c r="J6671" s="152">
        <v>0</v>
      </c>
    </row>
    <row r="6672" spans="1:10" ht="26.25" hidden="1" thickBot="1" x14ac:dyDescent="0.3">
      <c r="A6672" s="176"/>
      <c r="B6672" s="174"/>
      <c r="C6672" s="35" t="s">
        <v>8447</v>
      </c>
      <c r="D6672" s="35" t="s">
        <v>213</v>
      </c>
      <c r="E6672" s="36">
        <v>1</v>
      </c>
      <c r="F6672" s="30">
        <v>211.77399999999997</v>
      </c>
      <c r="G6672" s="30">
        <f>IF(ISNUMBER(F6672),E6672*F6672,"")</f>
        <v>211.77399999999997</v>
      </c>
      <c r="H6672" s="38">
        <f>SUM(G6672:G6672)</f>
        <v>211.77399999999997</v>
      </c>
      <c r="I6672" s="39"/>
      <c r="J6672" s="152">
        <v>0</v>
      </c>
    </row>
    <row r="6673" spans="1:10" ht="15.75" hidden="1" thickBot="1" x14ac:dyDescent="0.3">
      <c r="A6673" s="177"/>
      <c r="B6673" s="175"/>
      <c r="C6673" s="54"/>
      <c r="D6673" s="54"/>
      <c r="E6673" s="65"/>
      <c r="F6673" s="66" t="s">
        <v>416</v>
      </c>
      <c r="G6673" s="66" t="str">
        <f>IF(ISNUMBER(F6673),E6673*F6673,"")</f>
        <v/>
      </c>
      <c r="H6673" s="68"/>
      <c r="I6673" s="30"/>
      <c r="J6673" s="152">
        <v>0</v>
      </c>
    </row>
    <row r="6674" spans="1:10" ht="15.75" hidden="1" thickBot="1" x14ac:dyDescent="0.3">
      <c r="A6674" s="170" t="s">
        <v>6078</v>
      </c>
      <c r="B6674" s="173" t="str">
        <f>INDEX(Orçamentária!A:B,MATCH(Composições!A6674,Orçamentária!A:A,0),2)</f>
        <v>Torneira de Bóia Com Balão Plástico 2”</v>
      </c>
      <c r="C6674" s="40"/>
      <c r="D6674" s="25" t="s">
        <v>16</v>
      </c>
      <c r="E6674" s="26"/>
      <c r="F6674" s="41" t="s">
        <v>416</v>
      </c>
      <c r="G6674" s="27" t="str">
        <f>IF(ISNUMBER(F6674),E6674*F6674,"")</f>
        <v/>
      </c>
      <c r="H6674" s="28"/>
      <c r="I6674" s="29"/>
      <c r="J6674" s="152">
        <v>0</v>
      </c>
    </row>
    <row r="6675" spans="1:10" ht="15.75" hidden="1" thickBot="1" x14ac:dyDescent="0.3">
      <c r="A6675" s="176"/>
      <c r="B6675" s="174"/>
      <c r="C6675" s="31"/>
      <c r="D6675" s="31"/>
      <c r="E6675" s="32"/>
      <c r="F6675" s="42" t="s">
        <v>416</v>
      </c>
      <c r="G6675" s="30" t="str">
        <f>IF(ISNUMBER(F6675),E6675*F6675,"")</f>
        <v/>
      </c>
      <c r="H6675" s="34"/>
      <c r="I6675" s="30"/>
      <c r="J6675" s="152">
        <v>0</v>
      </c>
    </row>
    <row r="6676" spans="1:10" ht="26.25" hidden="1" thickBot="1" x14ac:dyDescent="0.3">
      <c r="A6676" s="176"/>
      <c r="B6676" s="174"/>
      <c r="C6676" s="35" t="s">
        <v>8448</v>
      </c>
      <c r="D6676" s="35" t="s">
        <v>213</v>
      </c>
      <c r="E6676" s="36">
        <v>1</v>
      </c>
      <c r="F6676" s="30">
        <v>564.03399999999999</v>
      </c>
      <c r="G6676" s="30">
        <f>IF(ISNUMBER(F6676),E6676*F6676,"")</f>
        <v>564.03399999999999</v>
      </c>
      <c r="H6676" s="38">
        <f>SUM(G6676:G6676)</f>
        <v>564.03399999999999</v>
      </c>
      <c r="I6676" s="39"/>
      <c r="J6676" s="152">
        <v>0</v>
      </c>
    </row>
    <row r="6677" spans="1:10" ht="15.75" hidden="1" thickBot="1" x14ac:dyDescent="0.3">
      <c r="A6677" s="177"/>
      <c r="B6677" s="175"/>
      <c r="C6677" s="54"/>
      <c r="D6677" s="54"/>
      <c r="E6677" s="65"/>
      <c r="F6677" s="66" t="s">
        <v>416</v>
      </c>
      <c r="G6677" s="66" t="str">
        <f>IF(ISNUMBER(F6677),E6677*F6677,"")</f>
        <v/>
      </c>
      <c r="H6677" s="68"/>
      <c r="I6677" s="30"/>
      <c r="J6677" s="152">
        <v>0</v>
      </c>
    </row>
    <row r="6678" spans="1:10" ht="15.75" hidden="1" thickBot="1" x14ac:dyDescent="0.3">
      <c r="A6678" s="170" t="s">
        <v>6080</v>
      </c>
      <c r="B6678" s="173" t="str">
        <f>INDEX(Orçamentária!A:B,MATCH(Composições!A6678,Orçamentária!A:A,0),2)</f>
        <v>Torneira de Bóia Com Balão Plástico 3/4”</v>
      </c>
      <c r="C6678" s="40"/>
      <c r="D6678" s="25" t="s">
        <v>16</v>
      </c>
      <c r="E6678" s="26"/>
      <c r="F6678" s="41" t="s">
        <v>416</v>
      </c>
      <c r="G6678" s="27" t="str">
        <f>IF(ISNUMBER(F6678),E6678*F6678,"")</f>
        <v/>
      </c>
      <c r="H6678" s="28"/>
      <c r="I6678" s="29"/>
      <c r="J6678" s="152">
        <v>0</v>
      </c>
    </row>
    <row r="6679" spans="1:10" ht="15.75" hidden="1" thickBot="1" x14ac:dyDescent="0.3">
      <c r="A6679" s="176"/>
      <c r="B6679" s="174"/>
      <c r="C6679" s="31"/>
      <c r="D6679" s="31"/>
      <c r="E6679" s="32"/>
      <c r="F6679" s="42" t="s">
        <v>416</v>
      </c>
      <c r="G6679" s="30" t="str">
        <f>IF(ISNUMBER(F6679),E6679*F6679,"")</f>
        <v/>
      </c>
      <c r="H6679" s="34"/>
      <c r="I6679" s="30"/>
      <c r="J6679" s="152">
        <v>0</v>
      </c>
    </row>
    <row r="6680" spans="1:10" ht="26.25" hidden="1" thickBot="1" x14ac:dyDescent="0.3">
      <c r="A6680" s="176"/>
      <c r="B6680" s="174"/>
      <c r="C6680" s="35" t="s">
        <v>8446</v>
      </c>
      <c r="D6680" s="35" t="s">
        <v>213</v>
      </c>
      <c r="E6680" s="36">
        <v>1</v>
      </c>
      <c r="F6680" s="30">
        <v>94.135499999999993</v>
      </c>
      <c r="G6680" s="30">
        <f>IF(ISNUMBER(F6680),E6680*F6680,"")</f>
        <v>94.135499999999993</v>
      </c>
      <c r="H6680" s="38">
        <f>SUM(G6680:G6680)</f>
        <v>94.135499999999993</v>
      </c>
      <c r="I6680" s="39"/>
      <c r="J6680" s="152">
        <v>0</v>
      </c>
    </row>
    <row r="6681" spans="1:10" ht="15.75" hidden="1" thickBot="1" x14ac:dyDescent="0.3">
      <c r="A6681" s="177"/>
      <c r="B6681" s="175"/>
      <c r="C6681" s="54"/>
      <c r="D6681" s="54"/>
      <c r="E6681" s="65"/>
      <c r="F6681" s="66" t="s">
        <v>416</v>
      </c>
      <c r="G6681" s="66" t="str">
        <f>IF(ISNUMBER(F6681),E6681*F6681,"")</f>
        <v/>
      </c>
      <c r="H6681" s="68"/>
      <c r="I6681" s="30"/>
      <c r="J6681" s="152">
        <v>0</v>
      </c>
    </row>
    <row r="6682" spans="1:10" ht="15.75" hidden="1" thickBot="1" x14ac:dyDescent="0.3">
      <c r="A6682" s="170" t="s">
        <v>6088</v>
      </c>
      <c r="B6682" s="173" t="str">
        <f>INDEX(Orçamentária!A:B,MATCH(Composições!A6682,Orçamentária!A:A,0),2)</f>
        <v>Tubo de cobre classe “E” 22 mm</v>
      </c>
      <c r="C6682" s="40"/>
      <c r="D6682" s="25" t="s">
        <v>69</v>
      </c>
      <c r="E6682" s="26"/>
      <c r="F6682" s="41" t="s">
        <v>416</v>
      </c>
      <c r="G6682" s="27" t="str">
        <f>IF(ISNUMBER(F6682),E6682*F6682,"")</f>
        <v/>
      </c>
      <c r="H6682" s="28"/>
      <c r="I6682" s="29"/>
      <c r="J6682" s="152">
        <v>0</v>
      </c>
    </row>
    <row r="6683" spans="1:10" ht="15.75" hidden="1" thickBot="1" x14ac:dyDescent="0.3">
      <c r="A6683" s="176"/>
      <c r="B6683" s="174"/>
      <c r="C6683" s="31"/>
      <c r="D6683" s="31"/>
      <c r="E6683" s="32"/>
      <c r="F6683" s="42" t="s">
        <v>416</v>
      </c>
      <c r="G6683" s="30" t="str">
        <f>IF(ISNUMBER(F6683),E6683*F6683,"")</f>
        <v/>
      </c>
      <c r="H6683" s="34"/>
      <c r="I6683" s="30"/>
      <c r="J6683" s="152">
        <v>0</v>
      </c>
    </row>
    <row r="6684" spans="1:10" ht="26.25" hidden="1" thickBot="1" x14ac:dyDescent="0.3">
      <c r="A6684" s="176"/>
      <c r="B6684" s="174"/>
      <c r="C6684" s="35" t="s">
        <v>823</v>
      </c>
      <c r="D6684" s="35" t="s">
        <v>385</v>
      </c>
      <c r="E6684" s="36">
        <v>1</v>
      </c>
      <c r="F6684" s="30">
        <v>56.097499999999997</v>
      </c>
      <c r="G6684" s="30">
        <f>IF(ISNUMBER(F6684),E6684*F6684,"")</f>
        <v>56.097499999999997</v>
      </c>
      <c r="H6684" s="38">
        <f t="shared" ref="H6684" si="9">SUM(G6684:G6684)</f>
        <v>56.097499999999997</v>
      </c>
      <c r="I6684" s="39"/>
      <c r="J6684" s="152">
        <v>0</v>
      </c>
    </row>
    <row r="6685" spans="1:10" ht="15.75" hidden="1" thickBot="1" x14ac:dyDescent="0.3">
      <c r="A6685" s="177"/>
      <c r="B6685" s="175"/>
      <c r="C6685" s="54"/>
      <c r="D6685" s="54"/>
      <c r="E6685" s="65"/>
      <c r="F6685" s="66" t="s">
        <v>416</v>
      </c>
      <c r="G6685" s="66" t="str">
        <f>IF(ISNUMBER(F6685),E6685*F6685,"")</f>
        <v/>
      </c>
      <c r="H6685" s="68"/>
      <c r="I6685" s="30"/>
      <c r="J6685" s="152">
        <v>0</v>
      </c>
    </row>
    <row r="6686" spans="1:10" ht="15.75" hidden="1" thickBot="1" x14ac:dyDescent="0.3">
      <c r="A6686" s="170" t="s">
        <v>6089</v>
      </c>
      <c r="B6686" s="173" t="str">
        <f>INDEX(Orçamentária!A:B,MATCH(Composições!A6686,Orçamentária!A:A,0),2)</f>
        <v>Tubo de cobre classe “E” 28 mm</v>
      </c>
      <c r="C6686" s="40"/>
      <c r="D6686" s="25" t="s">
        <v>69</v>
      </c>
      <c r="E6686" s="26"/>
      <c r="F6686" s="41" t="s">
        <v>416</v>
      </c>
      <c r="G6686" s="27" t="str">
        <f>IF(ISNUMBER(F6686),E6686*F6686,"")</f>
        <v/>
      </c>
      <c r="H6686" s="28"/>
      <c r="I6686" s="29"/>
      <c r="J6686" s="152">
        <v>0</v>
      </c>
    </row>
    <row r="6687" spans="1:10" ht="15.75" hidden="1" thickBot="1" x14ac:dyDescent="0.3">
      <c r="A6687" s="176"/>
      <c r="B6687" s="174"/>
      <c r="C6687" s="31"/>
      <c r="D6687" s="31"/>
      <c r="E6687" s="32"/>
      <c r="F6687" s="42" t="s">
        <v>416</v>
      </c>
      <c r="G6687" s="30" t="str">
        <f>IF(ISNUMBER(F6687),E6687*F6687,"")</f>
        <v/>
      </c>
      <c r="H6687" s="34"/>
      <c r="I6687" s="30"/>
      <c r="J6687" s="152">
        <v>0</v>
      </c>
    </row>
    <row r="6688" spans="1:10" ht="26.25" hidden="1" thickBot="1" x14ac:dyDescent="0.3">
      <c r="A6688" s="176"/>
      <c r="B6688" s="174"/>
      <c r="C6688" s="35" t="s">
        <v>827</v>
      </c>
      <c r="D6688" s="35" t="s">
        <v>385</v>
      </c>
      <c r="E6688" s="36">
        <v>1</v>
      </c>
      <c r="F6688" s="30">
        <v>71.202500000000001</v>
      </c>
      <c r="G6688" s="30">
        <f>IF(ISNUMBER(F6688),E6688*F6688,"")</f>
        <v>71.202500000000001</v>
      </c>
      <c r="H6688" s="38">
        <f t="shared" ref="H6688" si="10">SUM(G6688:G6688)</f>
        <v>71.202500000000001</v>
      </c>
      <c r="I6688" s="39"/>
      <c r="J6688" s="152">
        <v>0</v>
      </c>
    </row>
    <row r="6689" spans="1:10" ht="15.75" hidden="1" thickBot="1" x14ac:dyDescent="0.3">
      <c r="A6689" s="177"/>
      <c r="B6689" s="175"/>
      <c r="C6689" s="54"/>
      <c r="D6689" s="54"/>
      <c r="E6689" s="65"/>
      <c r="F6689" s="66" t="s">
        <v>416</v>
      </c>
      <c r="G6689" s="66" t="str">
        <f>IF(ISNUMBER(F6689),E6689*F6689,"")</f>
        <v/>
      </c>
      <c r="H6689" s="68"/>
      <c r="I6689" s="30"/>
      <c r="J6689" s="152">
        <v>0</v>
      </c>
    </row>
    <row r="6690" spans="1:10" ht="15.75" hidden="1" thickBot="1" x14ac:dyDescent="0.3">
      <c r="A6690" s="170" t="s">
        <v>6091</v>
      </c>
      <c r="B6690" s="173" t="str">
        <f>INDEX(Orçamentária!A:B,MATCH(Composições!A6690,Orçamentária!A:A,0),2)</f>
        <v>Tubo de cobre classe “E” 42 mm</v>
      </c>
      <c r="C6690" s="40"/>
      <c r="D6690" s="25" t="s">
        <v>69</v>
      </c>
      <c r="E6690" s="26"/>
      <c r="F6690" s="41" t="s">
        <v>416</v>
      </c>
      <c r="G6690" s="27" t="str">
        <f>IF(ISNUMBER(F6690),E6690*F6690,"")</f>
        <v/>
      </c>
      <c r="H6690" s="28"/>
      <c r="I6690" s="29"/>
      <c r="J6690" s="152">
        <v>0</v>
      </c>
    </row>
    <row r="6691" spans="1:10" ht="15.75" hidden="1" thickBot="1" x14ac:dyDescent="0.3">
      <c r="A6691" s="176"/>
      <c r="B6691" s="174"/>
      <c r="C6691" s="31"/>
      <c r="D6691" s="31"/>
      <c r="E6691" s="32"/>
      <c r="F6691" s="42" t="s">
        <v>416</v>
      </c>
      <c r="G6691" s="30" t="str">
        <f>IF(ISNUMBER(F6691),E6691*F6691,"")</f>
        <v/>
      </c>
      <c r="H6691" s="34"/>
      <c r="I6691" s="30"/>
      <c r="J6691" s="152">
        <v>0</v>
      </c>
    </row>
    <row r="6692" spans="1:10" ht="26.25" hidden="1" thickBot="1" x14ac:dyDescent="0.3">
      <c r="A6692" s="176"/>
      <c r="B6692" s="174"/>
      <c r="C6692" s="35" t="s">
        <v>829</v>
      </c>
      <c r="D6692" s="35" t="s">
        <v>385</v>
      </c>
      <c r="E6692" s="36">
        <v>1</v>
      </c>
      <c r="F6692" s="30">
        <v>139.63099999999997</v>
      </c>
      <c r="G6692" s="30">
        <f>IF(ISNUMBER(F6692),E6692*F6692,"")</f>
        <v>139.63099999999997</v>
      </c>
      <c r="H6692" s="38">
        <f t="shared" ref="H6692" si="11">SUM(G6692:G6692)</f>
        <v>139.63099999999997</v>
      </c>
      <c r="I6692" s="39"/>
      <c r="J6692" s="152">
        <v>0</v>
      </c>
    </row>
    <row r="6693" spans="1:10" ht="15.75" hidden="1" thickBot="1" x14ac:dyDescent="0.3">
      <c r="A6693" s="177"/>
      <c r="B6693" s="175"/>
      <c r="C6693" s="54"/>
      <c r="D6693" s="54"/>
      <c r="E6693" s="65"/>
      <c r="F6693" s="66" t="s">
        <v>416</v>
      </c>
      <c r="G6693" s="66" t="str">
        <f>IF(ISNUMBER(F6693),E6693*F6693,"")</f>
        <v/>
      </c>
      <c r="H6693" s="68"/>
      <c r="I6693" s="30"/>
      <c r="J6693" s="152">
        <v>0</v>
      </c>
    </row>
    <row r="6694" spans="1:10" ht="15.75" hidden="1" thickBot="1" x14ac:dyDescent="0.3">
      <c r="A6694" s="170" t="s">
        <v>6092</v>
      </c>
      <c r="B6694" s="173" t="str">
        <f>INDEX(Orçamentária!A:B,MATCH(Composições!A6694,Orçamentária!A:A,0),2)</f>
        <v>Tubo de cobre classe “E” 35 mm</v>
      </c>
      <c r="C6694" s="40"/>
      <c r="D6694" s="25" t="s">
        <v>69</v>
      </c>
      <c r="E6694" s="26"/>
      <c r="F6694" s="41" t="s">
        <v>416</v>
      </c>
      <c r="G6694" s="27" t="str">
        <f>IF(ISNUMBER(F6694),E6694*F6694,"")</f>
        <v/>
      </c>
      <c r="H6694" s="28"/>
      <c r="I6694" s="29"/>
      <c r="J6694" s="152">
        <v>0</v>
      </c>
    </row>
    <row r="6695" spans="1:10" ht="15.75" hidden="1" thickBot="1" x14ac:dyDescent="0.3">
      <c r="A6695" s="176"/>
      <c r="B6695" s="174"/>
      <c r="C6695" s="31"/>
      <c r="D6695" s="31"/>
      <c r="E6695" s="32"/>
      <c r="F6695" s="42" t="s">
        <v>416</v>
      </c>
      <c r="G6695" s="30" t="str">
        <f>IF(ISNUMBER(F6695),E6695*F6695,"")</f>
        <v/>
      </c>
      <c r="H6695" s="34"/>
      <c r="I6695" s="30"/>
      <c r="J6695" s="152">
        <v>0</v>
      </c>
    </row>
    <row r="6696" spans="1:10" ht="26.25" hidden="1" thickBot="1" x14ac:dyDescent="0.3">
      <c r="A6696" s="176"/>
      <c r="B6696" s="174"/>
      <c r="C6696" s="35" t="s">
        <v>8457</v>
      </c>
      <c r="D6696" s="35" t="s">
        <v>385</v>
      </c>
      <c r="E6696" s="36">
        <v>1</v>
      </c>
      <c r="F6696" s="30">
        <v>103.398</v>
      </c>
      <c r="G6696" s="30">
        <f>IF(ISNUMBER(F6696),E6696*F6696,"")</f>
        <v>103.398</v>
      </c>
      <c r="H6696" s="38">
        <f t="shared" ref="H6696" si="12">SUM(G6696:G6696)</f>
        <v>103.398</v>
      </c>
      <c r="I6696" s="39"/>
      <c r="J6696" s="152">
        <v>0</v>
      </c>
    </row>
    <row r="6697" spans="1:10" ht="15.75" hidden="1" thickBot="1" x14ac:dyDescent="0.3">
      <c r="A6697" s="177"/>
      <c r="B6697" s="175"/>
      <c r="C6697" s="54"/>
      <c r="D6697" s="54"/>
      <c r="E6697" s="65"/>
      <c r="F6697" s="66" t="s">
        <v>416</v>
      </c>
      <c r="G6697" s="66" t="str">
        <f>IF(ISNUMBER(F6697),E6697*F6697,"")</f>
        <v/>
      </c>
      <c r="H6697" s="68"/>
      <c r="I6697" s="30"/>
      <c r="J6697" s="152">
        <v>0</v>
      </c>
    </row>
    <row r="6698" spans="1:10" ht="15.75" hidden="1" thickBot="1" x14ac:dyDescent="0.3">
      <c r="A6698" s="170" t="s">
        <v>6093</v>
      </c>
      <c r="B6698" s="173" t="str">
        <f>INDEX(Orçamentária!A:B,MATCH(Composições!A6698,Orçamentária!A:A,0),2)</f>
        <v>Tubo de cobre classe “E” 54 mm</v>
      </c>
      <c r="C6698" s="40"/>
      <c r="D6698" s="25" t="s">
        <v>69</v>
      </c>
      <c r="E6698" s="26"/>
      <c r="F6698" s="41" t="s">
        <v>416</v>
      </c>
      <c r="G6698" s="27" t="str">
        <f>IF(ISNUMBER(F6698),E6698*F6698,"")</f>
        <v/>
      </c>
      <c r="H6698" s="28"/>
      <c r="I6698" s="29"/>
      <c r="J6698" s="152">
        <v>0</v>
      </c>
    </row>
    <row r="6699" spans="1:10" ht="15.75" hidden="1" thickBot="1" x14ac:dyDescent="0.3">
      <c r="A6699" s="176"/>
      <c r="B6699" s="174"/>
      <c r="C6699" s="31"/>
      <c r="D6699" s="31"/>
      <c r="E6699" s="32"/>
      <c r="F6699" s="42" t="s">
        <v>416</v>
      </c>
      <c r="G6699" s="30" t="str">
        <f>IF(ISNUMBER(F6699),E6699*F6699,"")</f>
        <v/>
      </c>
      <c r="H6699" s="34"/>
      <c r="I6699" s="30"/>
      <c r="J6699" s="152">
        <v>0</v>
      </c>
    </row>
    <row r="6700" spans="1:10" ht="26.25" hidden="1" thickBot="1" x14ac:dyDescent="0.3">
      <c r="A6700" s="176"/>
      <c r="B6700" s="174"/>
      <c r="C6700" s="35" t="s">
        <v>8458</v>
      </c>
      <c r="D6700" s="35" t="s">
        <v>385</v>
      </c>
      <c r="E6700" s="36">
        <v>1</v>
      </c>
      <c r="F6700" s="30">
        <v>202.49250000000001</v>
      </c>
      <c r="G6700" s="30">
        <f>IF(ISNUMBER(F6700),E6700*F6700,"")</f>
        <v>202.49250000000001</v>
      </c>
      <c r="H6700" s="38">
        <f t="shared" ref="H6700" si="13">SUM(G6700:G6700)</f>
        <v>202.49250000000001</v>
      </c>
      <c r="I6700" s="39"/>
      <c r="J6700" s="152">
        <v>0</v>
      </c>
    </row>
    <row r="6701" spans="1:10" ht="15.75" hidden="1" thickBot="1" x14ac:dyDescent="0.3">
      <c r="A6701" s="177"/>
      <c r="B6701" s="175"/>
      <c r="C6701" s="54"/>
      <c r="D6701" s="54"/>
      <c r="E6701" s="65"/>
      <c r="F6701" s="66" t="s">
        <v>416</v>
      </c>
      <c r="G6701" s="66" t="str">
        <f>IF(ISNUMBER(F6701),E6701*F6701,"")</f>
        <v/>
      </c>
      <c r="H6701" s="68"/>
      <c r="I6701" s="30"/>
      <c r="J6701" s="152">
        <v>0</v>
      </c>
    </row>
    <row r="6702" spans="1:10" ht="15.75" hidden="1" thickBot="1" x14ac:dyDescent="0.3">
      <c r="A6702" s="170" t="s">
        <v>6094</v>
      </c>
      <c r="B6702" s="173" t="str">
        <f>INDEX(Orçamentária!A:B,MATCH(Composições!A6702,Orçamentária!A:A,0),2)</f>
        <v>Tubo de cobre classe “E” 66 mm</v>
      </c>
      <c r="C6702" s="40"/>
      <c r="D6702" s="25" t="s">
        <v>69</v>
      </c>
      <c r="E6702" s="26"/>
      <c r="F6702" s="41" t="s">
        <v>416</v>
      </c>
      <c r="G6702" s="27" t="str">
        <f>IF(ISNUMBER(F6702),E6702*F6702,"")</f>
        <v/>
      </c>
      <c r="H6702" s="28"/>
      <c r="I6702" s="29"/>
      <c r="J6702" s="152">
        <v>0</v>
      </c>
    </row>
    <row r="6703" spans="1:10" ht="15.75" hidden="1" thickBot="1" x14ac:dyDescent="0.3">
      <c r="A6703" s="176"/>
      <c r="B6703" s="174"/>
      <c r="C6703" s="31"/>
      <c r="D6703" s="31"/>
      <c r="E6703" s="32"/>
      <c r="F6703" s="42" t="s">
        <v>416</v>
      </c>
      <c r="G6703" s="30" t="str">
        <f>IF(ISNUMBER(F6703),E6703*F6703,"")</f>
        <v/>
      </c>
      <c r="H6703" s="34"/>
      <c r="I6703" s="30"/>
      <c r="J6703" s="152">
        <v>0</v>
      </c>
    </row>
    <row r="6704" spans="1:10" ht="26.25" hidden="1" thickBot="1" x14ac:dyDescent="0.3">
      <c r="A6704" s="176"/>
      <c r="B6704" s="174"/>
      <c r="C6704" s="35" t="s">
        <v>8459</v>
      </c>
      <c r="D6704" s="35" t="s">
        <v>385</v>
      </c>
      <c r="E6704" s="36">
        <v>1</v>
      </c>
      <c r="F6704" s="30">
        <v>285.27550000000002</v>
      </c>
      <c r="G6704" s="30">
        <f>IF(ISNUMBER(F6704),E6704*F6704,"")</f>
        <v>285.27550000000002</v>
      </c>
      <c r="H6704" s="38">
        <f t="shared" ref="H6704" si="14">SUM(G6704:G6704)</f>
        <v>285.27550000000002</v>
      </c>
      <c r="I6704" s="39"/>
      <c r="J6704" s="152">
        <v>0</v>
      </c>
    </row>
    <row r="6705" spans="1:10" ht="15.75" hidden="1" thickBot="1" x14ac:dyDescent="0.3">
      <c r="A6705" s="177"/>
      <c r="B6705" s="175"/>
      <c r="C6705" s="54"/>
      <c r="D6705" s="54"/>
      <c r="E6705" s="65"/>
      <c r="F6705" s="66" t="s">
        <v>416</v>
      </c>
      <c r="G6705" s="66" t="str">
        <f>IF(ISNUMBER(F6705),E6705*F6705,"")</f>
        <v/>
      </c>
      <c r="H6705" s="68"/>
      <c r="I6705" s="30"/>
      <c r="J6705" s="152">
        <v>0</v>
      </c>
    </row>
    <row r="6706" spans="1:10" ht="15.75" hidden="1" thickBot="1" x14ac:dyDescent="0.3">
      <c r="A6706" s="170" t="s">
        <v>6095</v>
      </c>
      <c r="B6706" s="173" t="str">
        <f>INDEX(Orçamentária!A:B,MATCH(Composições!A6706,Orçamentária!A:A,0),2)</f>
        <v>Tubo de cobre classe “E” 79 mm</v>
      </c>
      <c r="C6706" s="40"/>
      <c r="D6706" s="25" t="s">
        <v>69</v>
      </c>
      <c r="E6706" s="26"/>
      <c r="F6706" s="41" t="s">
        <v>416</v>
      </c>
      <c r="G6706" s="27" t="str">
        <f>IF(ISNUMBER(F6706),E6706*F6706,"")</f>
        <v/>
      </c>
      <c r="H6706" s="28"/>
      <c r="I6706" s="29"/>
      <c r="J6706" s="152">
        <v>0</v>
      </c>
    </row>
    <row r="6707" spans="1:10" ht="15.75" hidden="1" thickBot="1" x14ac:dyDescent="0.3">
      <c r="A6707" s="176"/>
      <c r="B6707" s="174"/>
      <c r="C6707" s="31"/>
      <c r="D6707" s="31"/>
      <c r="E6707" s="32"/>
      <c r="F6707" s="42" t="s">
        <v>416</v>
      </c>
      <c r="G6707" s="30" t="str">
        <f>IF(ISNUMBER(F6707),E6707*F6707,"")</f>
        <v/>
      </c>
      <c r="H6707" s="34"/>
      <c r="I6707" s="30"/>
      <c r="J6707" s="152">
        <v>0</v>
      </c>
    </row>
    <row r="6708" spans="1:10" ht="26.25" hidden="1" thickBot="1" x14ac:dyDescent="0.3">
      <c r="A6708" s="176"/>
      <c r="B6708" s="174"/>
      <c r="C6708" s="35" t="s">
        <v>8460</v>
      </c>
      <c r="D6708" s="35" t="s">
        <v>385</v>
      </c>
      <c r="E6708" s="36">
        <v>1</v>
      </c>
      <c r="F6708" s="30">
        <v>417.0215</v>
      </c>
      <c r="G6708" s="30">
        <f>IF(ISNUMBER(F6708),E6708*F6708,"")</f>
        <v>417.0215</v>
      </c>
      <c r="H6708" s="38">
        <f t="shared" ref="H6708" si="15">SUM(G6708:G6708)</f>
        <v>417.0215</v>
      </c>
      <c r="I6708" s="39"/>
      <c r="J6708" s="152">
        <v>0</v>
      </c>
    </row>
    <row r="6709" spans="1:10" ht="15.75" hidden="1" thickBot="1" x14ac:dyDescent="0.3">
      <c r="A6709" s="177"/>
      <c r="B6709" s="175"/>
      <c r="C6709" s="54"/>
      <c r="D6709" s="54"/>
      <c r="E6709" s="65"/>
      <c r="F6709" s="66" t="s">
        <v>416</v>
      </c>
      <c r="G6709" s="66" t="str">
        <f>IF(ISNUMBER(F6709),E6709*F6709,"")</f>
        <v/>
      </c>
      <c r="H6709" s="68"/>
      <c r="I6709" s="30"/>
      <c r="J6709" s="152">
        <v>0</v>
      </c>
    </row>
    <row r="6710" spans="1:10" ht="15.75" hidden="1" thickBot="1" x14ac:dyDescent="0.3">
      <c r="A6710" s="170" t="s">
        <v>6096</v>
      </c>
      <c r="B6710" s="173" t="str">
        <f>INDEX(Orçamentária!A:B,MATCH(Composições!A6710,Orçamentária!A:A,0),2)</f>
        <v>Tubo de cobre classe “E” 104 mm</v>
      </c>
      <c r="C6710" s="40"/>
      <c r="D6710" s="25" t="s">
        <v>69</v>
      </c>
      <c r="E6710" s="26"/>
      <c r="F6710" s="41" t="s">
        <v>416</v>
      </c>
      <c r="G6710" s="27" t="str">
        <f>IF(ISNUMBER(F6710),E6710*F6710,"")</f>
        <v/>
      </c>
      <c r="H6710" s="28"/>
      <c r="I6710" s="29"/>
      <c r="J6710" s="152">
        <v>0</v>
      </c>
    </row>
    <row r="6711" spans="1:10" ht="15.75" hidden="1" thickBot="1" x14ac:dyDescent="0.3">
      <c r="A6711" s="176"/>
      <c r="B6711" s="174"/>
      <c r="C6711" s="31"/>
      <c r="D6711" s="31"/>
      <c r="E6711" s="32"/>
      <c r="F6711" s="42" t="s">
        <v>416</v>
      </c>
      <c r="G6711" s="30" t="str">
        <f>IF(ISNUMBER(F6711),E6711*F6711,"")</f>
        <v/>
      </c>
      <c r="H6711" s="34"/>
      <c r="I6711" s="30"/>
      <c r="J6711" s="152">
        <v>0</v>
      </c>
    </row>
    <row r="6712" spans="1:10" ht="26.25" hidden="1" thickBot="1" x14ac:dyDescent="0.3">
      <c r="A6712" s="176"/>
      <c r="B6712" s="174"/>
      <c r="C6712" s="35" t="s">
        <v>8456</v>
      </c>
      <c r="D6712" s="35" t="s">
        <v>385</v>
      </c>
      <c r="E6712" s="36">
        <v>1</v>
      </c>
      <c r="F6712" s="30">
        <v>614.92549999999994</v>
      </c>
      <c r="G6712" s="30">
        <f>IF(ISNUMBER(F6712),E6712*F6712,"")</f>
        <v>614.92549999999994</v>
      </c>
      <c r="H6712" s="38">
        <f t="shared" ref="H6712" si="16">SUM(G6712:G6712)</f>
        <v>614.92549999999994</v>
      </c>
      <c r="I6712" s="39"/>
      <c r="J6712" s="152">
        <v>0</v>
      </c>
    </row>
    <row r="6713" spans="1:10" ht="15.75" hidden="1" thickBot="1" x14ac:dyDescent="0.3">
      <c r="A6713" s="177"/>
      <c r="B6713" s="175"/>
      <c r="C6713" s="54"/>
      <c r="D6713" s="54"/>
      <c r="E6713" s="65"/>
      <c r="F6713" s="66" t="s">
        <v>416</v>
      </c>
      <c r="G6713" s="66" t="str">
        <f>IF(ISNUMBER(F6713),E6713*F6713,"")</f>
        <v/>
      </c>
      <c r="H6713" s="68"/>
      <c r="I6713" s="30"/>
      <c r="J6713" s="152">
        <v>0</v>
      </c>
    </row>
    <row r="6714" spans="1:10" ht="15.75" hidden="1" thickBot="1" x14ac:dyDescent="0.3">
      <c r="A6714" s="170" t="s">
        <v>6097</v>
      </c>
      <c r="B6714" s="173" t="str">
        <f>INDEX(Orçamentária!A:B,MATCH(Composições!A6714,Orçamentária!A:A,0),2)</f>
        <v>Tubo CPVC soldável 22 mm – Linha Residencial</v>
      </c>
      <c r="C6714" s="40"/>
      <c r="D6714" s="25" t="s">
        <v>69</v>
      </c>
      <c r="E6714" s="26"/>
      <c r="F6714" s="41" t="s">
        <v>416</v>
      </c>
      <c r="G6714" s="27" t="str">
        <f>IF(ISNUMBER(F6714),E6714*F6714,"")</f>
        <v/>
      </c>
      <c r="H6714" s="28"/>
      <c r="I6714" s="29"/>
      <c r="J6714" s="152">
        <v>0</v>
      </c>
    </row>
    <row r="6715" spans="1:10" ht="15.75" hidden="1" thickBot="1" x14ac:dyDescent="0.3">
      <c r="A6715" s="176"/>
      <c r="B6715" s="174"/>
      <c r="C6715" s="31"/>
      <c r="D6715" s="31"/>
      <c r="E6715" s="32"/>
      <c r="F6715" s="42" t="s">
        <v>416</v>
      </c>
      <c r="G6715" s="30" t="str">
        <f>IF(ISNUMBER(F6715),E6715*F6715,"")</f>
        <v/>
      </c>
      <c r="H6715" s="34"/>
      <c r="I6715" s="30"/>
      <c r="J6715" s="152">
        <v>0</v>
      </c>
    </row>
    <row r="6716" spans="1:10" ht="26.25" hidden="1" thickBot="1" x14ac:dyDescent="0.3">
      <c r="A6716" s="176"/>
      <c r="B6716" s="174"/>
      <c r="C6716" s="35" t="s">
        <v>2948</v>
      </c>
      <c r="D6716" s="35" t="s">
        <v>385</v>
      </c>
      <c r="E6716" s="36">
        <v>1</v>
      </c>
      <c r="F6716" s="30">
        <v>13.034000000000001</v>
      </c>
      <c r="G6716" s="30">
        <f>IF(ISNUMBER(F6716),E6716*F6716,"")</f>
        <v>13.034000000000001</v>
      </c>
      <c r="H6716" s="38">
        <f t="shared" ref="H6716" si="17">SUM(G6716:G6716)</f>
        <v>13.034000000000001</v>
      </c>
      <c r="I6716" s="39"/>
      <c r="J6716" s="152">
        <v>0</v>
      </c>
    </row>
    <row r="6717" spans="1:10" ht="15.75" hidden="1" thickBot="1" x14ac:dyDescent="0.3">
      <c r="A6717" s="177"/>
      <c r="B6717" s="175"/>
      <c r="C6717" s="54"/>
      <c r="D6717" s="54"/>
      <c r="E6717" s="65"/>
      <c r="F6717" s="66" t="s">
        <v>416</v>
      </c>
      <c r="G6717" s="66" t="str">
        <f>IF(ISNUMBER(F6717),E6717*F6717,"")</f>
        <v/>
      </c>
      <c r="H6717" s="68"/>
      <c r="I6717" s="30"/>
      <c r="J6717" s="152">
        <v>0</v>
      </c>
    </row>
    <row r="6718" spans="1:10" ht="15.75" hidden="1" thickBot="1" x14ac:dyDescent="0.3">
      <c r="A6718" s="170" t="s">
        <v>6099</v>
      </c>
      <c r="B6718" s="173" t="str">
        <f>INDEX(Orçamentária!A:B,MATCH(Composições!A6718,Orçamentária!A:A,0),2)</f>
        <v>Tubo CPVC soldável 28 mm  – Linha Residencial</v>
      </c>
      <c r="C6718" s="40"/>
      <c r="D6718" s="25" t="s">
        <v>69</v>
      </c>
      <c r="E6718" s="26"/>
      <c r="F6718" s="41" t="s">
        <v>416</v>
      </c>
      <c r="G6718" s="27" t="str">
        <f>IF(ISNUMBER(F6718),E6718*F6718,"")</f>
        <v/>
      </c>
      <c r="H6718" s="28"/>
      <c r="I6718" s="29"/>
      <c r="J6718" s="152">
        <v>0</v>
      </c>
    </row>
    <row r="6719" spans="1:10" ht="15.75" hidden="1" thickBot="1" x14ac:dyDescent="0.3">
      <c r="A6719" s="176"/>
      <c r="B6719" s="174"/>
      <c r="C6719" s="31"/>
      <c r="D6719" s="31"/>
      <c r="E6719" s="32"/>
      <c r="F6719" s="42" t="s">
        <v>416</v>
      </c>
      <c r="G6719" s="30" t="str">
        <f>IF(ISNUMBER(F6719),E6719*F6719,"")</f>
        <v/>
      </c>
      <c r="H6719" s="34"/>
      <c r="I6719" s="30"/>
      <c r="J6719" s="152">
        <v>0</v>
      </c>
    </row>
    <row r="6720" spans="1:10" ht="26.25" hidden="1" thickBot="1" x14ac:dyDescent="0.3">
      <c r="A6720" s="176"/>
      <c r="B6720" s="174"/>
      <c r="C6720" s="35" t="s">
        <v>2949</v>
      </c>
      <c r="D6720" s="35" t="s">
        <v>385</v>
      </c>
      <c r="E6720" s="36">
        <v>1</v>
      </c>
      <c r="F6720" s="30">
        <v>22.448499999999999</v>
      </c>
      <c r="G6720" s="30">
        <f>IF(ISNUMBER(F6720),E6720*F6720,"")</f>
        <v>22.448499999999999</v>
      </c>
      <c r="H6720" s="38">
        <f t="shared" ref="H6720" si="18">SUM(G6720:G6720)</f>
        <v>22.448499999999999</v>
      </c>
      <c r="I6720" s="39"/>
      <c r="J6720" s="152">
        <v>0</v>
      </c>
    </row>
    <row r="6721" spans="1:10" ht="15.75" hidden="1" thickBot="1" x14ac:dyDescent="0.3">
      <c r="A6721" s="177"/>
      <c r="B6721" s="175"/>
      <c r="C6721" s="54"/>
      <c r="D6721" s="54"/>
      <c r="E6721" s="65"/>
      <c r="F6721" s="66" t="s">
        <v>416</v>
      </c>
      <c r="G6721" s="66" t="str">
        <f>IF(ISNUMBER(F6721),E6721*F6721,"")</f>
        <v/>
      </c>
      <c r="H6721" s="68"/>
      <c r="I6721" s="30"/>
      <c r="J6721" s="152">
        <v>0</v>
      </c>
    </row>
    <row r="6722" spans="1:10" ht="15.75" hidden="1" thickBot="1" x14ac:dyDescent="0.3">
      <c r="A6722" s="170" t="s">
        <v>6101</v>
      </c>
      <c r="B6722" s="173" t="str">
        <f>INDEX(Orçamentária!A:B,MATCH(Composições!A6722,Orçamentária!A:A,0),2)</f>
        <v>Tubo de aço-carbono galvanizado 1 1/4” – Água Potável e Combate a Incêndio</v>
      </c>
      <c r="C6722" s="40"/>
      <c r="D6722" s="25" t="s">
        <v>69</v>
      </c>
      <c r="E6722" s="26"/>
      <c r="F6722" s="41" t="s">
        <v>416</v>
      </c>
      <c r="G6722" s="27" t="str">
        <f>IF(ISNUMBER(F6722),E6722*F6722,"")</f>
        <v/>
      </c>
      <c r="H6722" s="28"/>
      <c r="I6722" s="29"/>
      <c r="J6722" s="152">
        <v>0</v>
      </c>
    </row>
    <row r="6723" spans="1:10" ht="15.75" hidden="1" thickBot="1" x14ac:dyDescent="0.3">
      <c r="A6723" s="176"/>
      <c r="B6723" s="174"/>
      <c r="C6723" s="31"/>
      <c r="D6723" s="31"/>
      <c r="E6723" s="32"/>
      <c r="F6723" s="42" t="s">
        <v>416</v>
      </c>
      <c r="G6723" s="30" t="str">
        <f>IF(ISNUMBER(F6723),E6723*F6723,"")</f>
        <v/>
      </c>
      <c r="H6723" s="34"/>
      <c r="I6723" s="30"/>
      <c r="J6723" s="152">
        <v>0</v>
      </c>
    </row>
    <row r="6724" spans="1:10" ht="26.25" hidden="1" thickBot="1" x14ac:dyDescent="0.3">
      <c r="A6724" s="176"/>
      <c r="B6724" s="174"/>
      <c r="C6724" s="35" t="s">
        <v>8544</v>
      </c>
      <c r="D6724" s="35" t="s">
        <v>385</v>
      </c>
      <c r="E6724" s="36">
        <v>1</v>
      </c>
      <c r="F6724" s="30">
        <v>49.580499999999994</v>
      </c>
      <c r="G6724" s="30">
        <f>IF(ISNUMBER(F6724),E6724*F6724,"")</f>
        <v>49.580499999999994</v>
      </c>
      <c r="H6724" s="38">
        <f t="shared" ref="H6724" si="19">SUM(G6724:G6724)</f>
        <v>49.580499999999994</v>
      </c>
      <c r="I6724" s="39"/>
      <c r="J6724" s="152">
        <v>0</v>
      </c>
    </row>
    <row r="6725" spans="1:10" ht="15.75" hidden="1" thickBot="1" x14ac:dyDescent="0.3">
      <c r="A6725" s="177"/>
      <c r="B6725" s="175"/>
      <c r="C6725" s="54"/>
      <c r="D6725" s="54"/>
      <c r="E6725" s="65"/>
      <c r="F6725" s="66" t="s">
        <v>416</v>
      </c>
      <c r="G6725" s="66" t="str">
        <f>IF(ISNUMBER(F6725),E6725*F6725,"")</f>
        <v/>
      </c>
      <c r="H6725" s="68"/>
      <c r="I6725" s="30"/>
      <c r="J6725" s="152">
        <v>0</v>
      </c>
    </row>
    <row r="6726" spans="1:10" ht="15.75" hidden="1" thickBot="1" x14ac:dyDescent="0.3">
      <c r="A6726" s="170" t="s">
        <v>6103</v>
      </c>
      <c r="B6726" s="173" t="str">
        <f>INDEX(Orçamentária!A:B,MATCH(Composições!A6726,Orçamentária!A:A,0),2)</f>
        <v>Tubo de aço-carbono galvanizado 1/2” – Água Potável e Combate a Incêndio</v>
      </c>
      <c r="C6726" s="40"/>
      <c r="D6726" s="25" t="s">
        <v>69</v>
      </c>
      <c r="E6726" s="26"/>
      <c r="F6726" s="41" t="s">
        <v>416</v>
      </c>
      <c r="G6726" s="27" t="str">
        <f>IF(ISNUMBER(F6726),E6726*F6726,"")</f>
        <v/>
      </c>
      <c r="H6726" s="28"/>
      <c r="I6726" s="29"/>
      <c r="J6726" s="152">
        <v>0</v>
      </c>
    </row>
    <row r="6727" spans="1:10" ht="15.75" hidden="1" thickBot="1" x14ac:dyDescent="0.3">
      <c r="A6727" s="176"/>
      <c r="B6727" s="174"/>
      <c r="C6727" s="31"/>
      <c r="D6727" s="31"/>
      <c r="E6727" s="32"/>
      <c r="F6727" s="42" t="s">
        <v>416</v>
      </c>
      <c r="G6727" s="30" t="str">
        <f>IF(ISNUMBER(F6727),E6727*F6727,"")</f>
        <v/>
      </c>
      <c r="H6727" s="34"/>
      <c r="I6727" s="30"/>
      <c r="J6727" s="152">
        <v>0</v>
      </c>
    </row>
    <row r="6728" spans="1:10" ht="26.25" hidden="1" thickBot="1" x14ac:dyDescent="0.3">
      <c r="A6728" s="176"/>
      <c r="B6728" s="174"/>
      <c r="C6728" s="35" t="s">
        <v>8545</v>
      </c>
      <c r="D6728" s="35" t="s">
        <v>385</v>
      </c>
      <c r="E6728" s="36">
        <v>1</v>
      </c>
      <c r="F6728" s="30">
        <v>19.456</v>
      </c>
      <c r="G6728" s="30">
        <f>IF(ISNUMBER(F6728),E6728*F6728,"")</f>
        <v>19.456</v>
      </c>
      <c r="H6728" s="38">
        <f t="shared" ref="H6728" si="20">SUM(G6728:G6728)</f>
        <v>19.456</v>
      </c>
      <c r="I6728" s="39"/>
      <c r="J6728" s="152">
        <v>0</v>
      </c>
    </row>
    <row r="6729" spans="1:10" ht="15.75" hidden="1" thickBot="1" x14ac:dyDescent="0.3">
      <c r="A6729" s="177"/>
      <c r="B6729" s="175"/>
      <c r="C6729" s="54"/>
      <c r="D6729" s="54"/>
      <c r="E6729" s="65"/>
      <c r="F6729" s="66" t="s">
        <v>416</v>
      </c>
      <c r="G6729" s="66" t="str">
        <f>IF(ISNUMBER(F6729),E6729*F6729,"")</f>
        <v/>
      </c>
      <c r="H6729" s="68"/>
      <c r="I6729" s="30"/>
      <c r="J6729" s="152">
        <v>0</v>
      </c>
    </row>
    <row r="6730" spans="1:10" ht="15.75" hidden="1" thickBot="1" x14ac:dyDescent="0.3">
      <c r="A6730" s="170" t="s">
        <v>6105</v>
      </c>
      <c r="B6730" s="173" t="str">
        <f>INDEX(Orçamentária!A:B,MATCH(Composições!A6730,Orçamentária!A:A,0),2)</f>
        <v>Tubo de aço-carbono galvanizado 3/4” – Água Potável e Combate a Incêndio</v>
      </c>
      <c r="C6730" s="40"/>
      <c r="D6730" s="25" t="s">
        <v>69</v>
      </c>
      <c r="E6730" s="26"/>
      <c r="F6730" s="41" t="s">
        <v>416</v>
      </c>
      <c r="G6730" s="27" t="str">
        <f>IF(ISNUMBER(F6730),E6730*F6730,"")</f>
        <v/>
      </c>
      <c r="H6730" s="28"/>
      <c r="I6730" s="29"/>
      <c r="J6730" s="152">
        <v>0</v>
      </c>
    </row>
    <row r="6731" spans="1:10" ht="15.75" hidden="1" thickBot="1" x14ac:dyDescent="0.3">
      <c r="A6731" s="176"/>
      <c r="B6731" s="174"/>
      <c r="C6731" s="31"/>
      <c r="D6731" s="31"/>
      <c r="E6731" s="32"/>
      <c r="F6731" s="42" t="s">
        <v>416</v>
      </c>
      <c r="G6731" s="30" t="str">
        <f>IF(ISNUMBER(F6731),E6731*F6731,"")</f>
        <v/>
      </c>
      <c r="H6731" s="34"/>
      <c r="I6731" s="30"/>
      <c r="J6731" s="152">
        <v>0</v>
      </c>
    </row>
    <row r="6732" spans="1:10" ht="26.25" hidden="1" thickBot="1" x14ac:dyDescent="0.3">
      <c r="A6732" s="176"/>
      <c r="B6732" s="174"/>
      <c r="C6732" s="35" t="s">
        <v>8546</v>
      </c>
      <c r="D6732" s="35" t="s">
        <v>385</v>
      </c>
      <c r="E6732" s="36">
        <v>1</v>
      </c>
      <c r="F6732" s="30">
        <v>25.336500000000001</v>
      </c>
      <c r="G6732" s="30">
        <f>IF(ISNUMBER(F6732),E6732*F6732,"")</f>
        <v>25.336500000000001</v>
      </c>
      <c r="H6732" s="38">
        <f t="shared" ref="H6732" si="21">SUM(G6732:G6732)</f>
        <v>25.336500000000001</v>
      </c>
      <c r="I6732" s="39"/>
      <c r="J6732" s="152">
        <v>0</v>
      </c>
    </row>
    <row r="6733" spans="1:10" ht="15.75" hidden="1" thickBot="1" x14ac:dyDescent="0.3">
      <c r="A6733" s="177"/>
      <c r="B6733" s="175"/>
      <c r="C6733" s="54"/>
      <c r="D6733" s="54"/>
      <c r="E6733" s="65"/>
      <c r="F6733" s="66" t="s">
        <v>416</v>
      </c>
      <c r="G6733" s="66" t="str">
        <f>IF(ISNUMBER(F6733),E6733*F6733,"")</f>
        <v/>
      </c>
      <c r="H6733" s="68"/>
      <c r="I6733" s="30"/>
      <c r="J6733" s="152">
        <v>0</v>
      </c>
    </row>
    <row r="6734" spans="1:10" ht="15.75" hidden="1" thickBot="1" x14ac:dyDescent="0.3">
      <c r="A6734" s="170" t="s">
        <v>6107</v>
      </c>
      <c r="B6734" s="173" t="str">
        <f>INDEX(Orçamentária!A:B,MATCH(Composições!A6734,Orçamentária!A:A,0),2)</f>
        <v>Tubo de aço-carbono galvanizado 1” – Água Potável e Combate a Incêndio</v>
      </c>
      <c r="C6734" s="40"/>
      <c r="D6734" s="25" t="s">
        <v>69</v>
      </c>
      <c r="E6734" s="26"/>
      <c r="F6734" s="41" t="s">
        <v>416</v>
      </c>
      <c r="G6734" s="27" t="str">
        <f>IF(ISNUMBER(F6734),E6734*F6734,"")</f>
        <v/>
      </c>
      <c r="H6734" s="28"/>
      <c r="I6734" s="29"/>
      <c r="J6734" s="152">
        <v>0</v>
      </c>
    </row>
    <row r="6735" spans="1:10" ht="15.75" hidden="1" thickBot="1" x14ac:dyDescent="0.3">
      <c r="A6735" s="176"/>
      <c r="B6735" s="174"/>
      <c r="C6735" s="31"/>
      <c r="D6735" s="31"/>
      <c r="E6735" s="32"/>
      <c r="F6735" s="42" t="s">
        <v>416</v>
      </c>
      <c r="G6735" s="30" t="str">
        <f>IF(ISNUMBER(F6735),E6735*F6735,"")</f>
        <v/>
      </c>
      <c r="H6735" s="34"/>
      <c r="I6735" s="30"/>
      <c r="J6735" s="152">
        <v>0</v>
      </c>
    </row>
    <row r="6736" spans="1:10" ht="26.25" hidden="1" thickBot="1" x14ac:dyDescent="0.3">
      <c r="A6736" s="176"/>
      <c r="B6736" s="174"/>
      <c r="C6736" s="35" t="s">
        <v>8547</v>
      </c>
      <c r="D6736" s="35" t="s">
        <v>385</v>
      </c>
      <c r="E6736" s="36">
        <v>1</v>
      </c>
      <c r="F6736" s="30">
        <v>34.019500000000001</v>
      </c>
      <c r="G6736" s="30">
        <f>IF(ISNUMBER(F6736),E6736*F6736,"")</f>
        <v>34.019500000000001</v>
      </c>
      <c r="H6736" s="38">
        <f t="shared" ref="H6736" si="22">SUM(G6736:G6736)</f>
        <v>34.019500000000001</v>
      </c>
      <c r="I6736" s="39"/>
      <c r="J6736" s="152">
        <v>0</v>
      </c>
    </row>
    <row r="6737" spans="1:10" ht="15.75" hidden="1" thickBot="1" x14ac:dyDescent="0.3">
      <c r="A6737" s="177"/>
      <c r="B6737" s="175"/>
      <c r="C6737" s="54"/>
      <c r="D6737" s="54"/>
      <c r="E6737" s="65"/>
      <c r="F6737" s="66" t="s">
        <v>416</v>
      </c>
      <c r="G6737" s="66" t="str">
        <f>IF(ISNUMBER(F6737),E6737*F6737,"")</f>
        <v/>
      </c>
      <c r="H6737" s="68"/>
      <c r="I6737" s="30"/>
      <c r="J6737" s="152">
        <v>0</v>
      </c>
    </row>
    <row r="6738" spans="1:10" ht="15.75" hidden="1" thickBot="1" x14ac:dyDescent="0.3">
      <c r="A6738" s="170" t="s">
        <v>6109</v>
      </c>
      <c r="B6738" s="173" t="str">
        <f>INDEX(Orçamentária!A:B,MATCH(Composições!A6738,Orçamentária!A:A,0),2)</f>
        <v>Tubo de aço-carbono galvanizado 2” – Água Potável e Combate a Incêndio</v>
      </c>
      <c r="C6738" s="40"/>
      <c r="D6738" s="25" t="s">
        <v>69</v>
      </c>
      <c r="E6738" s="26"/>
      <c r="F6738" s="41" t="s">
        <v>416</v>
      </c>
      <c r="G6738" s="27" t="str">
        <f>IF(ISNUMBER(F6738),E6738*F6738,"")</f>
        <v/>
      </c>
      <c r="H6738" s="28"/>
      <c r="I6738" s="29"/>
      <c r="J6738" s="152">
        <v>0</v>
      </c>
    </row>
    <row r="6739" spans="1:10" ht="15.75" hidden="1" thickBot="1" x14ac:dyDescent="0.3">
      <c r="A6739" s="176"/>
      <c r="B6739" s="174"/>
      <c r="C6739" s="31"/>
      <c r="D6739" s="31"/>
      <c r="E6739" s="32"/>
      <c r="F6739" s="42" t="s">
        <v>416</v>
      </c>
      <c r="G6739" s="30" t="str">
        <f>IF(ISNUMBER(F6739),E6739*F6739,"")</f>
        <v/>
      </c>
      <c r="H6739" s="34"/>
      <c r="I6739" s="30"/>
      <c r="J6739" s="152">
        <v>0</v>
      </c>
    </row>
    <row r="6740" spans="1:10" ht="26.25" hidden="1" thickBot="1" x14ac:dyDescent="0.3">
      <c r="A6740" s="176"/>
      <c r="B6740" s="174"/>
      <c r="C6740" s="35" t="s">
        <v>8548</v>
      </c>
      <c r="D6740" s="35" t="s">
        <v>385</v>
      </c>
      <c r="E6740" s="36">
        <v>1</v>
      </c>
      <c r="F6740" s="30">
        <v>71.497</v>
      </c>
      <c r="G6740" s="30">
        <f>IF(ISNUMBER(F6740),E6740*F6740,"")</f>
        <v>71.497</v>
      </c>
      <c r="H6740" s="38">
        <f t="shared" ref="H6740" si="23">SUM(G6740:G6740)</f>
        <v>71.497</v>
      </c>
      <c r="I6740" s="39"/>
      <c r="J6740" s="152">
        <v>0</v>
      </c>
    </row>
    <row r="6741" spans="1:10" ht="15.75" hidden="1" thickBot="1" x14ac:dyDescent="0.3">
      <c r="A6741" s="177"/>
      <c r="B6741" s="175"/>
      <c r="C6741" s="54"/>
      <c r="D6741" s="54"/>
      <c r="E6741" s="65"/>
      <c r="F6741" s="66" t="s">
        <v>416</v>
      </c>
      <c r="G6741" s="66" t="str">
        <f>IF(ISNUMBER(F6741),E6741*F6741,"")</f>
        <v/>
      </c>
      <c r="H6741" s="68"/>
      <c r="I6741" s="30"/>
      <c r="J6741" s="152">
        <v>0</v>
      </c>
    </row>
    <row r="6742" spans="1:10" ht="15.75" hidden="1" thickBot="1" x14ac:dyDescent="0.3">
      <c r="A6742" s="170" t="s">
        <v>6111</v>
      </c>
      <c r="B6742" s="173" t="str">
        <f>INDEX(Orçamentária!A:B,MATCH(Composições!A6742,Orçamentária!A:A,0),2)</f>
        <v>Tubo de aço-carbono galvanizado 2 1/2” – Água Potável e Combate a Incêndio</v>
      </c>
      <c r="C6742" s="40"/>
      <c r="D6742" s="25" t="s">
        <v>69</v>
      </c>
      <c r="E6742" s="26"/>
      <c r="F6742" s="41" t="s">
        <v>416</v>
      </c>
      <c r="G6742" s="27" t="str">
        <f>IF(ISNUMBER(F6742),E6742*F6742,"")</f>
        <v/>
      </c>
      <c r="H6742" s="28"/>
      <c r="I6742" s="29"/>
      <c r="J6742" s="152">
        <v>0</v>
      </c>
    </row>
    <row r="6743" spans="1:10" ht="15.75" hidden="1" thickBot="1" x14ac:dyDescent="0.3">
      <c r="A6743" s="176"/>
      <c r="B6743" s="174"/>
      <c r="C6743" s="31"/>
      <c r="D6743" s="31"/>
      <c r="E6743" s="32"/>
      <c r="F6743" s="42" t="s">
        <v>416</v>
      </c>
      <c r="G6743" s="30" t="str">
        <f>IF(ISNUMBER(F6743),E6743*F6743,"")</f>
        <v/>
      </c>
      <c r="H6743" s="34"/>
      <c r="I6743" s="30"/>
      <c r="J6743" s="152">
        <v>0</v>
      </c>
    </row>
    <row r="6744" spans="1:10" ht="26.25" hidden="1" thickBot="1" x14ac:dyDescent="0.3">
      <c r="A6744" s="176"/>
      <c r="B6744" s="174"/>
      <c r="C6744" s="35" t="s">
        <v>8549</v>
      </c>
      <c r="D6744" s="35" t="s">
        <v>385</v>
      </c>
      <c r="E6744" s="36">
        <v>1</v>
      </c>
      <c r="F6744" s="30">
        <v>100.0445</v>
      </c>
      <c r="G6744" s="30">
        <f>IF(ISNUMBER(F6744),E6744*F6744,"")</f>
        <v>100.0445</v>
      </c>
      <c r="H6744" s="38">
        <f t="shared" ref="H6744" si="24">SUM(G6744:G6744)</f>
        <v>100.0445</v>
      </c>
      <c r="I6744" s="39"/>
      <c r="J6744" s="152">
        <v>0</v>
      </c>
    </row>
    <row r="6745" spans="1:10" ht="15.75" hidden="1" thickBot="1" x14ac:dyDescent="0.3">
      <c r="A6745" s="177"/>
      <c r="B6745" s="175"/>
      <c r="C6745" s="54"/>
      <c r="D6745" s="54"/>
      <c r="E6745" s="65"/>
      <c r="F6745" s="66" t="s">
        <v>416</v>
      </c>
      <c r="G6745" s="66" t="str">
        <f>IF(ISNUMBER(F6745),E6745*F6745,"")</f>
        <v/>
      </c>
      <c r="H6745" s="68"/>
      <c r="I6745" s="30"/>
      <c r="J6745" s="152">
        <v>0</v>
      </c>
    </row>
    <row r="6746" spans="1:10" ht="15.75" hidden="1" thickBot="1" x14ac:dyDescent="0.3">
      <c r="A6746" s="170" t="s">
        <v>6113</v>
      </c>
      <c r="B6746" s="173" t="str">
        <f>INDEX(Orçamentária!A:B,MATCH(Composições!A6746,Orçamentária!A:A,0),2)</f>
        <v>Tubo de aço-carbono galvanizado 3” – Água Potável e Combate a Incêndio</v>
      </c>
      <c r="C6746" s="40"/>
      <c r="D6746" s="25" t="s">
        <v>69</v>
      </c>
      <c r="E6746" s="26"/>
      <c r="F6746" s="41" t="s">
        <v>416</v>
      </c>
      <c r="G6746" s="27" t="str">
        <f>IF(ISNUMBER(F6746),E6746*F6746,"")</f>
        <v/>
      </c>
      <c r="H6746" s="28"/>
      <c r="I6746" s="29"/>
      <c r="J6746" s="152">
        <v>0</v>
      </c>
    </row>
    <row r="6747" spans="1:10" ht="15.75" hidden="1" thickBot="1" x14ac:dyDescent="0.3">
      <c r="A6747" s="176"/>
      <c r="B6747" s="174"/>
      <c r="C6747" s="31"/>
      <c r="D6747" s="31"/>
      <c r="E6747" s="32"/>
      <c r="F6747" s="42" t="s">
        <v>416</v>
      </c>
      <c r="G6747" s="30" t="str">
        <f>IF(ISNUMBER(F6747),E6747*F6747,"")</f>
        <v/>
      </c>
      <c r="H6747" s="34"/>
      <c r="I6747" s="30"/>
      <c r="J6747" s="152">
        <v>0</v>
      </c>
    </row>
    <row r="6748" spans="1:10" ht="26.25" hidden="1" thickBot="1" x14ac:dyDescent="0.3">
      <c r="A6748" s="176"/>
      <c r="B6748" s="174"/>
      <c r="C6748" s="35" t="s">
        <v>8550</v>
      </c>
      <c r="D6748" s="35" t="s">
        <v>385</v>
      </c>
      <c r="E6748" s="36">
        <v>1</v>
      </c>
      <c r="F6748" s="30">
        <v>114.94049999999999</v>
      </c>
      <c r="G6748" s="30">
        <f>IF(ISNUMBER(F6748),E6748*F6748,"")</f>
        <v>114.94049999999999</v>
      </c>
      <c r="H6748" s="38">
        <f t="shared" ref="H6748" si="25">SUM(G6748:G6748)</f>
        <v>114.94049999999999</v>
      </c>
      <c r="I6748" s="39"/>
      <c r="J6748" s="152">
        <v>0</v>
      </c>
    </row>
    <row r="6749" spans="1:10" ht="15.75" hidden="1" thickBot="1" x14ac:dyDescent="0.3">
      <c r="A6749" s="177"/>
      <c r="B6749" s="175"/>
      <c r="C6749" s="54"/>
      <c r="D6749" s="54"/>
      <c r="E6749" s="65"/>
      <c r="F6749" s="66" t="s">
        <v>416</v>
      </c>
      <c r="G6749" s="66" t="str">
        <f>IF(ISNUMBER(F6749),E6749*F6749,"")</f>
        <v/>
      </c>
      <c r="H6749" s="68"/>
      <c r="I6749" s="30"/>
      <c r="J6749" s="152">
        <v>0</v>
      </c>
    </row>
    <row r="6750" spans="1:10" ht="15.75" hidden="1" thickBot="1" x14ac:dyDescent="0.3">
      <c r="A6750" s="170" t="s">
        <v>6115</v>
      </c>
      <c r="B6750" s="173" t="str">
        <f>INDEX(Orçamentária!A:B,MATCH(Composições!A6750,Orçamentária!A:A,0),2)</f>
        <v>Niple de aço-carbono galvanizado 2”</v>
      </c>
      <c r="C6750" s="40"/>
      <c r="D6750" s="25" t="s">
        <v>16</v>
      </c>
      <c r="E6750" s="26"/>
      <c r="F6750" s="41" t="s">
        <v>416</v>
      </c>
      <c r="G6750" s="27" t="str">
        <f>IF(ISNUMBER(F6750),E6750*F6750,"")</f>
        <v/>
      </c>
      <c r="H6750" s="28"/>
      <c r="I6750" s="29"/>
      <c r="J6750" s="152">
        <v>0</v>
      </c>
    </row>
    <row r="6751" spans="1:10" ht="15.75" hidden="1" thickBot="1" x14ac:dyDescent="0.3">
      <c r="A6751" s="176"/>
      <c r="B6751" s="174"/>
      <c r="C6751" s="31"/>
      <c r="D6751" s="31"/>
      <c r="E6751" s="32"/>
      <c r="F6751" s="42" t="s">
        <v>416</v>
      </c>
      <c r="G6751" s="30" t="str">
        <f>IF(ISNUMBER(F6751),E6751*F6751,"")</f>
        <v/>
      </c>
      <c r="H6751" s="34"/>
      <c r="I6751" s="30"/>
      <c r="J6751" s="152">
        <v>0</v>
      </c>
    </row>
    <row r="6752" spans="1:10" ht="15.75" hidden="1" thickBot="1" x14ac:dyDescent="0.3">
      <c r="A6752" s="176"/>
      <c r="B6752" s="174"/>
      <c r="C6752" s="35" t="s">
        <v>8298</v>
      </c>
      <c r="D6752" s="35" t="s">
        <v>213</v>
      </c>
      <c r="E6752" s="36">
        <v>1</v>
      </c>
      <c r="F6752" s="30">
        <v>35.0075</v>
      </c>
      <c r="G6752" s="30">
        <f>IF(ISNUMBER(F6752),E6752*F6752,"")</f>
        <v>35.0075</v>
      </c>
      <c r="H6752" s="38">
        <f t="shared" ref="H6752" si="26">SUM(G6752:G6752)</f>
        <v>35.0075</v>
      </c>
      <c r="I6752" s="39"/>
      <c r="J6752" s="152">
        <v>0</v>
      </c>
    </row>
    <row r="6753" spans="1:10" ht="15.75" hidden="1" thickBot="1" x14ac:dyDescent="0.3">
      <c r="A6753" s="177"/>
      <c r="B6753" s="175"/>
      <c r="C6753" s="54"/>
      <c r="D6753" s="54"/>
      <c r="E6753" s="65"/>
      <c r="F6753" s="66" t="s">
        <v>416</v>
      </c>
      <c r="G6753" s="66" t="str">
        <f>IF(ISNUMBER(F6753),E6753*F6753,"")</f>
        <v/>
      </c>
      <c r="H6753" s="68"/>
      <c r="I6753" s="30"/>
      <c r="J6753" s="152">
        <v>0</v>
      </c>
    </row>
    <row r="6754" spans="1:10" ht="15.75" hidden="1" thickBot="1" x14ac:dyDescent="0.3">
      <c r="A6754" s="170" t="s">
        <v>6117</v>
      </c>
      <c r="B6754" s="173" t="str">
        <f>INDEX(Orçamentária!A:B,MATCH(Composições!A6754,Orçamentária!A:A,0),2)</f>
        <v>Niple de aço-carbono galvanizado 2 1/2”</v>
      </c>
      <c r="C6754" s="40"/>
      <c r="D6754" s="25" t="s">
        <v>16</v>
      </c>
      <c r="E6754" s="26"/>
      <c r="F6754" s="41" t="s">
        <v>416</v>
      </c>
      <c r="G6754" s="27" t="str">
        <f>IF(ISNUMBER(F6754),E6754*F6754,"")</f>
        <v/>
      </c>
      <c r="H6754" s="28"/>
      <c r="I6754" s="29"/>
      <c r="J6754" s="152">
        <v>0</v>
      </c>
    </row>
    <row r="6755" spans="1:10" ht="15.75" hidden="1" thickBot="1" x14ac:dyDescent="0.3">
      <c r="A6755" s="176"/>
      <c r="B6755" s="174"/>
      <c r="C6755" s="31"/>
      <c r="D6755" s="31"/>
      <c r="E6755" s="32"/>
      <c r="F6755" s="42" t="s">
        <v>416</v>
      </c>
      <c r="G6755" s="30" t="str">
        <f>IF(ISNUMBER(F6755),E6755*F6755,"")</f>
        <v/>
      </c>
      <c r="H6755" s="34"/>
      <c r="I6755" s="30"/>
      <c r="J6755" s="152">
        <v>0</v>
      </c>
    </row>
    <row r="6756" spans="1:10" ht="15.75" hidden="1" thickBot="1" x14ac:dyDescent="0.3">
      <c r="A6756" s="176"/>
      <c r="B6756" s="174"/>
      <c r="C6756" s="35" t="s">
        <v>8297</v>
      </c>
      <c r="D6756" s="35" t="s">
        <v>213</v>
      </c>
      <c r="E6756" s="36">
        <v>1</v>
      </c>
      <c r="F6756" s="30">
        <v>53.58</v>
      </c>
      <c r="G6756" s="30">
        <f>IF(ISNUMBER(F6756),E6756*F6756,"")</f>
        <v>53.58</v>
      </c>
      <c r="H6756" s="38">
        <f t="shared" ref="H6756" si="27">SUM(G6756:G6756)</f>
        <v>53.58</v>
      </c>
      <c r="I6756" s="39"/>
      <c r="J6756" s="152">
        <v>0</v>
      </c>
    </row>
    <row r="6757" spans="1:10" ht="15.75" hidden="1" thickBot="1" x14ac:dyDescent="0.3">
      <c r="A6757" s="177"/>
      <c r="B6757" s="175"/>
      <c r="C6757" s="54"/>
      <c r="D6757" s="54"/>
      <c r="E6757" s="65"/>
      <c r="F6757" s="66" t="s">
        <v>416</v>
      </c>
      <c r="G6757" s="66" t="str">
        <f>IF(ISNUMBER(F6757),E6757*F6757,"")</f>
        <v/>
      </c>
      <c r="H6757" s="68"/>
      <c r="I6757" s="30"/>
      <c r="J6757" s="152">
        <v>0</v>
      </c>
    </row>
    <row r="6758" spans="1:10" ht="15.75" hidden="1" thickBot="1" x14ac:dyDescent="0.3">
      <c r="A6758" s="170" t="s">
        <v>6119</v>
      </c>
      <c r="B6758" s="173" t="str">
        <f>INDEX(Orçamentária!A:B,MATCH(Composições!A6758,Orçamentária!A:A,0),2)</f>
        <v>Niple de aço-carbono galvanizado 3”</v>
      </c>
      <c r="C6758" s="40"/>
      <c r="D6758" s="25" t="s">
        <v>16</v>
      </c>
      <c r="E6758" s="26"/>
      <c r="F6758" s="41" t="s">
        <v>416</v>
      </c>
      <c r="G6758" s="27" t="str">
        <f>IF(ISNUMBER(F6758),E6758*F6758,"")</f>
        <v/>
      </c>
      <c r="H6758" s="28"/>
      <c r="I6758" s="29"/>
      <c r="J6758" s="152">
        <v>0</v>
      </c>
    </row>
    <row r="6759" spans="1:10" ht="15.75" hidden="1" thickBot="1" x14ac:dyDescent="0.3">
      <c r="A6759" s="176"/>
      <c r="B6759" s="174"/>
      <c r="C6759" s="31"/>
      <c r="D6759" s="31"/>
      <c r="E6759" s="32"/>
      <c r="F6759" s="42" t="s">
        <v>416</v>
      </c>
      <c r="G6759" s="30" t="str">
        <f>IF(ISNUMBER(F6759),E6759*F6759,"")</f>
        <v/>
      </c>
      <c r="H6759" s="34"/>
      <c r="I6759" s="30"/>
      <c r="J6759" s="152">
        <v>0</v>
      </c>
    </row>
    <row r="6760" spans="1:10" ht="15.75" hidden="1" thickBot="1" x14ac:dyDescent="0.3">
      <c r="A6760" s="176"/>
      <c r="B6760" s="174"/>
      <c r="C6760" s="35" t="s">
        <v>8299</v>
      </c>
      <c r="D6760" s="35" t="s">
        <v>213</v>
      </c>
      <c r="E6760" s="36">
        <v>1</v>
      </c>
      <c r="F6760" s="30">
        <v>87.162499999999994</v>
      </c>
      <c r="G6760" s="30">
        <f>IF(ISNUMBER(F6760),E6760*F6760,"")</f>
        <v>87.162499999999994</v>
      </c>
      <c r="H6760" s="38">
        <f t="shared" ref="H6760" si="28">SUM(G6760:G6760)</f>
        <v>87.162499999999994</v>
      </c>
      <c r="I6760" s="39"/>
      <c r="J6760" s="152">
        <v>0</v>
      </c>
    </row>
    <row r="6761" spans="1:10" ht="15.75" hidden="1" thickBot="1" x14ac:dyDescent="0.3">
      <c r="A6761" s="177"/>
      <c r="B6761" s="175"/>
      <c r="C6761" s="54"/>
      <c r="D6761" s="54"/>
      <c r="E6761" s="65"/>
      <c r="F6761" s="66" t="s">
        <v>416</v>
      </c>
      <c r="G6761" s="66" t="str">
        <f>IF(ISNUMBER(F6761),E6761*F6761,"")</f>
        <v/>
      </c>
      <c r="H6761" s="68"/>
      <c r="I6761" s="30"/>
      <c r="J6761" s="152">
        <v>0</v>
      </c>
    </row>
    <row r="6762" spans="1:10" ht="15.75" hidden="1" thickBot="1" x14ac:dyDescent="0.3">
      <c r="A6762" s="170" t="s">
        <v>6125</v>
      </c>
      <c r="B6762" s="173" t="str">
        <f>INDEX(Orçamentária!A:B,MATCH(Composições!A6762,Orçamentária!A:A,0),2)</f>
        <v>Tubo PVC esgoto DN 300 mm - Ocre</v>
      </c>
      <c r="C6762" s="40"/>
      <c r="D6762" s="25" t="s">
        <v>69</v>
      </c>
      <c r="E6762" s="26"/>
      <c r="F6762" s="41" t="s">
        <v>416</v>
      </c>
      <c r="G6762" s="27" t="str">
        <f>IF(ISNUMBER(F6762),E6762*F6762,"")</f>
        <v/>
      </c>
      <c r="H6762" s="28"/>
      <c r="I6762" s="29"/>
      <c r="J6762" s="152">
        <v>0</v>
      </c>
    </row>
    <row r="6763" spans="1:10" ht="15.75" hidden="1" thickBot="1" x14ac:dyDescent="0.3">
      <c r="A6763" s="176"/>
      <c r="B6763" s="174"/>
      <c r="C6763" s="31"/>
      <c r="D6763" s="31"/>
      <c r="E6763" s="32"/>
      <c r="F6763" s="42" t="s">
        <v>416</v>
      </c>
      <c r="G6763" s="30" t="str">
        <f>IF(ISNUMBER(F6763),E6763*F6763,"")</f>
        <v/>
      </c>
      <c r="H6763" s="34"/>
      <c r="I6763" s="30"/>
      <c r="J6763" s="152">
        <v>0</v>
      </c>
    </row>
    <row r="6764" spans="1:10" ht="15.75" hidden="1" thickBot="1" x14ac:dyDescent="0.3">
      <c r="A6764" s="176"/>
      <c r="B6764" s="174"/>
      <c r="C6764" s="35" t="s">
        <v>8455</v>
      </c>
      <c r="D6764" s="35" t="s">
        <v>385</v>
      </c>
      <c r="E6764" s="36">
        <v>1</v>
      </c>
      <c r="F6764" s="30">
        <v>316.77749999999997</v>
      </c>
      <c r="G6764" s="30">
        <f>IF(ISNUMBER(F6764),E6764*F6764,"")</f>
        <v>316.77749999999997</v>
      </c>
      <c r="H6764" s="38">
        <f t="shared" ref="H6764" si="29">SUM(G6764:G6764)</f>
        <v>316.77749999999997</v>
      </c>
      <c r="I6764" s="39"/>
      <c r="J6764" s="152">
        <v>0</v>
      </c>
    </row>
    <row r="6765" spans="1:10" ht="15.75" hidden="1" thickBot="1" x14ac:dyDescent="0.3">
      <c r="A6765" s="177"/>
      <c r="B6765" s="175"/>
      <c r="C6765" s="54"/>
      <c r="D6765" s="54"/>
      <c r="E6765" s="65"/>
      <c r="F6765" s="66" t="s">
        <v>416</v>
      </c>
      <c r="G6765" s="66" t="str">
        <f>IF(ISNUMBER(F6765),E6765*F6765,"")</f>
        <v/>
      </c>
      <c r="H6765" s="68"/>
      <c r="I6765" s="30"/>
      <c r="J6765" s="152">
        <v>0</v>
      </c>
    </row>
    <row r="6766" spans="1:10" ht="15.75" hidden="1" thickBot="1" x14ac:dyDescent="0.3">
      <c r="A6766" s="170" t="s">
        <v>6127</v>
      </c>
      <c r="B6766" s="173" t="str">
        <f>INDEX(Orçamentária!A:B,MATCH(Composições!A6766,Orçamentária!A:A,0),2)</f>
        <v>Tubo PVC esgoto ou águas pluviais predial DN 100 mm</v>
      </c>
      <c r="C6766" s="40"/>
      <c r="D6766" s="25" t="s">
        <v>69</v>
      </c>
      <c r="E6766" s="26"/>
      <c r="F6766" s="41" t="s">
        <v>416</v>
      </c>
      <c r="G6766" s="27" t="str">
        <f>IF(ISNUMBER(F6766),E6766*F6766,"")</f>
        <v/>
      </c>
      <c r="H6766" s="28"/>
      <c r="I6766" s="29"/>
      <c r="J6766" s="152">
        <v>0</v>
      </c>
    </row>
    <row r="6767" spans="1:10" ht="15.75" hidden="1" thickBot="1" x14ac:dyDescent="0.3">
      <c r="A6767" s="176"/>
      <c r="B6767" s="174"/>
      <c r="C6767" s="31"/>
      <c r="D6767" s="31"/>
      <c r="E6767" s="32"/>
      <c r="F6767" s="42" t="s">
        <v>416</v>
      </c>
      <c r="G6767" s="30" t="str">
        <f>IF(ISNUMBER(F6767),E6767*F6767,"")</f>
        <v/>
      </c>
      <c r="H6767" s="34"/>
      <c r="I6767" s="30"/>
      <c r="J6767" s="152">
        <v>0</v>
      </c>
    </row>
    <row r="6768" spans="1:10" ht="26.25" hidden="1" thickBot="1" x14ac:dyDescent="0.3">
      <c r="A6768" s="176"/>
      <c r="B6768" s="174"/>
      <c r="C6768" s="35" t="s">
        <v>8551</v>
      </c>
      <c r="D6768" s="35" t="s">
        <v>385</v>
      </c>
      <c r="E6768" s="36">
        <v>1</v>
      </c>
      <c r="F6768" s="30">
        <v>14.648999999999999</v>
      </c>
      <c r="G6768" s="30">
        <f>IF(ISNUMBER(F6768),E6768*F6768,"")</f>
        <v>14.648999999999999</v>
      </c>
      <c r="H6768" s="38">
        <f t="shared" ref="H6768" si="30">SUM(G6768:G6768)</f>
        <v>14.648999999999999</v>
      </c>
      <c r="I6768" s="39"/>
      <c r="J6768" s="152">
        <v>0</v>
      </c>
    </row>
    <row r="6769" spans="1:10" ht="15.75" hidden="1" thickBot="1" x14ac:dyDescent="0.3">
      <c r="A6769" s="177"/>
      <c r="B6769" s="175"/>
      <c r="C6769" s="54"/>
      <c r="D6769" s="54"/>
      <c r="E6769" s="65"/>
      <c r="F6769" s="66" t="s">
        <v>416</v>
      </c>
      <c r="G6769" s="66" t="str">
        <f>IF(ISNUMBER(F6769),E6769*F6769,"")</f>
        <v/>
      </c>
      <c r="H6769" s="68"/>
      <c r="I6769" s="30"/>
      <c r="J6769" s="152">
        <v>0</v>
      </c>
    </row>
    <row r="6770" spans="1:10" ht="15.75" hidden="1" thickBot="1" x14ac:dyDescent="0.3">
      <c r="A6770" s="170" t="s">
        <v>6128</v>
      </c>
      <c r="B6770" s="173" t="str">
        <f>INDEX(Orçamentária!A:B,MATCH(Composições!A6770,Orçamentária!A:A,0),2)</f>
        <v>Tubo PVC esgoto ou águas pluviais predial DN 150 mm</v>
      </c>
      <c r="C6770" s="40"/>
      <c r="D6770" s="25" t="s">
        <v>69</v>
      </c>
      <c r="E6770" s="26"/>
      <c r="F6770" s="41" t="s">
        <v>416</v>
      </c>
      <c r="G6770" s="27" t="str">
        <f>IF(ISNUMBER(F6770),E6770*F6770,"")</f>
        <v/>
      </c>
      <c r="H6770" s="28"/>
      <c r="I6770" s="29"/>
      <c r="J6770" s="152">
        <v>0</v>
      </c>
    </row>
    <row r="6771" spans="1:10" ht="15.75" hidden="1" thickBot="1" x14ac:dyDescent="0.3">
      <c r="A6771" s="176"/>
      <c r="B6771" s="174"/>
      <c r="C6771" s="31"/>
      <c r="D6771" s="31"/>
      <c r="E6771" s="32"/>
      <c r="F6771" s="42" t="s">
        <v>416</v>
      </c>
      <c r="G6771" s="30" t="str">
        <f>IF(ISNUMBER(F6771),E6771*F6771,"")</f>
        <v/>
      </c>
      <c r="H6771" s="34"/>
      <c r="I6771" s="30"/>
      <c r="J6771" s="152">
        <v>0</v>
      </c>
    </row>
    <row r="6772" spans="1:10" ht="26.25" hidden="1" thickBot="1" x14ac:dyDescent="0.3">
      <c r="A6772" s="176"/>
      <c r="B6772" s="174"/>
      <c r="C6772" s="35" t="s">
        <v>8552</v>
      </c>
      <c r="D6772" s="35" t="s">
        <v>385</v>
      </c>
      <c r="E6772" s="36">
        <v>1</v>
      </c>
      <c r="F6772" s="30">
        <v>38.294499999999999</v>
      </c>
      <c r="G6772" s="30">
        <f>IF(ISNUMBER(F6772),E6772*F6772,"")</f>
        <v>38.294499999999999</v>
      </c>
      <c r="H6772" s="38">
        <f t="shared" ref="H6772" si="31">SUM(G6772:G6772)</f>
        <v>38.294499999999999</v>
      </c>
      <c r="I6772" s="39"/>
      <c r="J6772" s="152">
        <v>0</v>
      </c>
    </row>
    <row r="6773" spans="1:10" ht="15.75" hidden="1" thickBot="1" x14ac:dyDescent="0.3">
      <c r="A6773" s="177"/>
      <c r="B6773" s="175"/>
      <c r="C6773" s="54"/>
      <c r="D6773" s="54"/>
      <c r="E6773" s="65"/>
      <c r="F6773" s="66" t="s">
        <v>416</v>
      </c>
      <c r="G6773" s="66" t="str">
        <f>IF(ISNUMBER(F6773),E6773*F6773,"")</f>
        <v/>
      </c>
      <c r="H6773" s="68"/>
      <c r="I6773" s="30"/>
      <c r="J6773" s="152">
        <v>0</v>
      </c>
    </row>
    <row r="6774" spans="1:10" ht="15.75" hidden="1" thickBot="1" x14ac:dyDescent="0.3">
      <c r="A6774" s="170" t="s">
        <v>6129</v>
      </c>
      <c r="B6774" s="173" t="str">
        <f>INDEX(Orçamentária!A:B,MATCH(Composições!A6774,Orçamentária!A:A,0),2)</f>
        <v>Tubo PVC esgoto ou águas pluviais predial DN 40 mm</v>
      </c>
      <c r="C6774" s="40"/>
      <c r="D6774" s="25" t="s">
        <v>69</v>
      </c>
      <c r="E6774" s="26"/>
      <c r="F6774" s="41" t="s">
        <v>416</v>
      </c>
      <c r="G6774" s="27" t="str">
        <f>IF(ISNUMBER(F6774),E6774*F6774,"")</f>
        <v/>
      </c>
      <c r="H6774" s="28"/>
      <c r="I6774" s="29"/>
      <c r="J6774" s="152">
        <v>0</v>
      </c>
    </row>
    <row r="6775" spans="1:10" ht="15.75" hidden="1" thickBot="1" x14ac:dyDescent="0.3">
      <c r="A6775" s="176"/>
      <c r="B6775" s="174"/>
      <c r="C6775" s="31"/>
      <c r="D6775" s="31"/>
      <c r="E6775" s="32"/>
      <c r="F6775" s="42" t="s">
        <v>416</v>
      </c>
      <c r="G6775" s="30" t="str">
        <f>IF(ISNUMBER(F6775),E6775*F6775,"")</f>
        <v/>
      </c>
      <c r="H6775" s="34"/>
      <c r="I6775" s="30"/>
      <c r="J6775" s="152">
        <v>0</v>
      </c>
    </row>
    <row r="6776" spans="1:10" ht="26.25" hidden="1" thickBot="1" x14ac:dyDescent="0.3">
      <c r="A6776" s="176"/>
      <c r="B6776" s="174"/>
      <c r="C6776" s="35" t="s">
        <v>8553</v>
      </c>
      <c r="D6776" s="35" t="s">
        <v>385</v>
      </c>
      <c r="E6776" s="36">
        <v>1</v>
      </c>
      <c r="F6776" s="30">
        <v>6.4029999999999996</v>
      </c>
      <c r="G6776" s="30">
        <f>IF(ISNUMBER(F6776),E6776*F6776,"")</f>
        <v>6.4029999999999996</v>
      </c>
      <c r="H6776" s="38">
        <f t="shared" ref="H6776" si="32">SUM(G6776:G6776)</f>
        <v>6.4029999999999996</v>
      </c>
      <c r="I6776" s="39"/>
      <c r="J6776" s="152">
        <v>0</v>
      </c>
    </row>
    <row r="6777" spans="1:10" ht="15.75" hidden="1" thickBot="1" x14ac:dyDescent="0.3">
      <c r="A6777" s="177"/>
      <c r="B6777" s="175"/>
      <c r="C6777" s="54"/>
      <c r="D6777" s="54"/>
      <c r="E6777" s="65"/>
      <c r="F6777" s="66" t="s">
        <v>416</v>
      </c>
      <c r="G6777" s="66" t="str">
        <f>IF(ISNUMBER(F6777),E6777*F6777,"")</f>
        <v/>
      </c>
      <c r="H6777" s="68"/>
      <c r="I6777" s="30"/>
      <c r="J6777" s="152">
        <v>0</v>
      </c>
    </row>
    <row r="6778" spans="1:10" ht="15.75" hidden="1" thickBot="1" x14ac:dyDescent="0.3">
      <c r="A6778" s="170" t="s">
        <v>6131</v>
      </c>
      <c r="B6778" s="173" t="str">
        <f>INDEX(Orçamentária!A:B,MATCH(Composições!A6778,Orçamentária!A:A,0),2)</f>
        <v>Tubo PVC esgoto ou águas pluviais predial DN 50 mm</v>
      </c>
      <c r="C6778" s="40"/>
      <c r="D6778" s="25" t="s">
        <v>69</v>
      </c>
      <c r="E6778" s="26"/>
      <c r="F6778" s="41" t="s">
        <v>416</v>
      </c>
      <c r="G6778" s="27" t="str">
        <f>IF(ISNUMBER(F6778),E6778*F6778,"")</f>
        <v/>
      </c>
      <c r="H6778" s="28"/>
      <c r="I6778" s="29"/>
      <c r="J6778" s="152">
        <v>0</v>
      </c>
    </row>
    <row r="6779" spans="1:10" ht="15.75" hidden="1" thickBot="1" x14ac:dyDescent="0.3">
      <c r="A6779" s="176"/>
      <c r="B6779" s="174"/>
      <c r="C6779" s="31"/>
      <c r="D6779" s="31"/>
      <c r="E6779" s="32"/>
      <c r="F6779" s="42" t="s">
        <v>416</v>
      </c>
      <c r="G6779" s="30" t="str">
        <f>IF(ISNUMBER(F6779),E6779*F6779,"")</f>
        <v/>
      </c>
      <c r="H6779" s="34"/>
      <c r="I6779" s="30"/>
      <c r="J6779" s="152">
        <v>0</v>
      </c>
    </row>
    <row r="6780" spans="1:10" ht="26.25" hidden="1" thickBot="1" x14ac:dyDescent="0.3">
      <c r="A6780" s="176"/>
      <c r="B6780" s="174"/>
      <c r="C6780" s="35" t="s">
        <v>8466</v>
      </c>
      <c r="D6780" s="35" t="s">
        <v>385</v>
      </c>
      <c r="E6780" s="36">
        <v>1</v>
      </c>
      <c r="F6780" s="30">
        <v>10.563999999999998</v>
      </c>
      <c r="G6780" s="30">
        <f>IF(ISNUMBER(F6780),E6780*F6780,"")</f>
        <v>10.563999999999998</v>
      </c>
      <c r="H6780" s="38">
        <f t="shared" ref="H6780" si="33">SUM(G6780:G6780)</f>
        <v>10.563999999999998</v>
      </c>
      <c r="I6780" s="39"/>
      <c r="J6780" s="152">
        <v>0</v>
      </c>
    </row>
    <row r="6781" spans="1:10" ht="15.75" hidden="1" thickBot="1" x14ac:dyDescent="0.3">
      <c r="A6781" s="177"/>
      <c r="B6781" s="175"/>
      <c r="C6781" s="54"/>
      <c r="D6781" s="54"/>
      <c r="E6781" s="65"/>
      <c r="F6781" s="66" t="s">
        <v>416</v>
      </c>
      <c r="G6781" s="66" t="str">
        <f>IF(ISNUMBER(F6781),E6781*F6781,"")</f>
        <v/>
      </c>
      <c r="H6781" s="68"/>
      <c r="I6781" s="30"/>
      <c r="J6781" s="152">
        <v>0</v>
      </c>
    </row>
    <row r="6782" spans="1:10" ht="15.75" hidden="1" thickBot="1" x14ac:dyDescent="0.3">
      <c r="A6782" s="170" t="s">
        <v>6132</v>
      </c>
      <c r="B6782" s="173" t="str">
        <f>INDEX(Orçamentária!A:B,MATCH(Composições!A6782,Orçamentária!A:A,0),2)</f>
        <v>Tubo PVC esgoto ou águas pluviais predial DN 75 mm</v>
      </c>
      <c r="C6782" s="40"/>
      <c r="D6782" s="25" t="s">
        <v>69</v>
      </c>
      <c r="E6782" s="26"/>
      <c r="F6782" s="41" t="s">
        <v>416</v>
      </c>
      <c r="G6782" s="27" t="str">
        <f>IF(ISNUMBER(F6782),E6782*F6782,"")</f>
        <v/>
      </c>
      <c r="H6782" s="28"/>
      <c r="I6782" s="29"/>
      <c r="J6782" s="152">
        <v>0</v>
      </c>
    </row>
    <row r="6783" spans="1:10" ht="15.75" hidden="1" thickBot="1" x14ac:dyDescent="0.3">
      <c r="A6783" s="176"/>
      <c r="B6783" s="174"/>
      <c r="C6783" s="31"/>
      <c r="D6783" s="31"/>
      <c r="E6783" s="32"/>
      <c r="F6783" s="42" t="s">
        <v>416</v>
      </c>
      <c r="G6783" s="30" t="str">
        <f>IF(ISNUMBER(F6783),E6783*F6783,"")</f>
        <v/>
      </c>
      <c r="H6783" s="34"/>
      <c r="I6783" s="30"/>
      <c r="J6783" s="152">
        <v>0</v>
      </c>
    </row>
    <row r="6784" spans="1:10" ht="26.25" hidden="1" thickBot="1" x14ac:dyDescent="0.3">
      <c r="A6784" s="176"/>
      <c r="B6784" s="174"/>
      <c r="C6784" s="35" t="s">
        <v>8467</v>
      </c>
      <c r="D6784" s="35" t="s">
        <v>385</v>
      </c>
      <c r="E6784" s="36">
        <v>1</v>
      </c>
      <c r="F6784" s="30">
        <v>13.87</v>
      </c>
      <c r="G6784" s="30">
        <f>IF(ISNUMBER(F6784),E6784*F6784,"")</f>
        <v>13.87</v>
      </c>
      <c r="H6784" s="38">
        <f t="shared" ref="H6784" si="34">SUM(G6784:G6784)</f>
        <v>13.87</v>
      </c>
      <c r="I6784" s="39"/>
      <c r="J6784" s="152">
        <v>0</v>
      </c>
    </row>
    <row r="6785" spans="1:10" ht="15.75" hidden="1" thickBot="1" x14ac:dyDescent="0.3">
      <c r="A6785" s="177"/>
      <c r="B6785" s="175"/>
      <c r="C6785" s="54"/>
      <c r="D6785" s="54"/>
      <c r="E6785" s="65"/>
      <c r="F6785" s="66" t="s">
        <v>416</v>
      </c>
      <c r="G6785" s="66" t="str">
        <f>IF(ISNUMBER(F6785),E6785*F6785,"")</f>
        <v/>
      </c>
      <c r="H6785" s="68"/>
      <c r="I6785" s="30"/>
      <c r="J6785" s="152">
        <v>0</v>
      </c>
    </row>
    <row r="6786" spans="1:10" ht="15.75" hidden="1" thickBot="1" x14ac:dyDescent="0.3">
      <c r="A6786" s="170" t="s">
        <v>6133</v>
      </c>
      <c r="B6786" s="173" t="str">
        <f>INDEX(Orçamentária!A:B,MATCH(Composições!A6786,Orçamentária!A:A,0),2)</f>
        <v>Tubo PVC roscável para água fria 1 1/2”</v>
      </c>
      <c r="C6786" s="40"/>
      <c r="D6786" s="25" t="s">
        <v>69</v>
      </c>
      <c r="E6786" s="26"/>
      <c r="F6786" s="41" t="s">
        <v>416</v>
      </c>
      <c r="G6786" s="27" t="str">
        <f>IF(ISNUMBER(F6786),E6786*F6786,"")</f>
        <v/>
      </c>
      <c r="H6786" s="28"/>
      <c r="I6786" s="29"/>
      <c r="J6786" s="152">
        <v>0</v>
      </c>
    </row>
    <row r="6787" spans="1:10" ht="15.75" hidden="1" thickBot="1" x14ac:dyDescent="0.3">
      <c r="A6787" s="176"/>
      <c r="B6787" s="174"/>
      <c r="C6787" s="31"/>
      <c r="D6787" s="31"/>
      <c r="E6787" s="32"/>
      <c r="F6787" s="42" t="s">
        <v>416</v>
      </c>
      <c r="G6787" s="30" t="str">
        <f>IF(ISNUMBER(F6787),E6787*F6787,"")</f>
        <v/>
      </c>
      <c r="H6787" s="34"/>
      <c r="I6787" s="30"/>
      <c r="J6787" s="152">
        <v>0</v>
      </c>
    </row>
    <row r="6788" spans="1:10" ht="15.75" hidden="1" thickBot="1" x14ac:dyDescent="0.3">
      <c r="A6788" s="176"/>
      <c r="B6788" s="174"/>
      <c r="C6788" s="35" t="s">
        <v>8554</v>
      </c>
      <c r="D6788" s="35" t="s">
        <v>385</v>
      </c>
      <c r="E6788" s="36">
        <v>1</v>
      </c>
      <c r="F6788" s="30">
        <v>30.960500000000003</v>
      </c>
      <c r="G6788" s="30">
        <f>IF(ISNUMBER(F6788),E6788*F6788,"")</f>
        <v>30.960500000000003</v>
      </c>
      <c r="H6788" s="38">
        <f t="shared" ref="H6788" si="35">SUM(G6788:G6788)</f>
        <v>30.960500000000003</v>
      </c>
      <c r="I6788" s="39"/>
      <c r="J6788" s="152">
        <v>0</v>
      </c>
    </row>
    <row r="6789" spans="1:10" ht="15.75" hidden="1" thickBot="1" x14ac:dyDescent="0.3">
      <c r="A6789" s="177"/>
      <c r="B6789" s="175"/>
      <c r="C6789" s="54"/>
      <c r="D6789" s="54"/>
      <c r="E6789" s="65"/>
      <c r="F6789" s="66" t="s">
        <v>416</v>
      </c>
      <c r="G6789" s="66" t="str">
        <f>IF(ISNUMBER(F6789),E6789*F6789,"")</f>
        <v/>
      </c>
      <c r="H6789" s="68"/>
      <c r="I6789" s="30"/>
      <c r="J6789" s="152">
        <v>0</v>
      </c>
    </row>
    <row r="6790" spans="1:10" ht="15.75" hidden="1" thickBot="1" x14ac:dyDescent="0.3">
      <c r="A6790" s="170" t="s">
        <v>6135</v>
      </c>
      <c r="B6790" s="173" t="str">
        <f>INDEX(Orçamentária!A:B,MATCH(Composições!A6790,Orçamentária!A:A,0),2)</f>
        <v>Tubo PVC roscável para água fria 1”</v>
      </c>
      <c r="C6790" s="40"/>
      <c r="D6790" s="25" t="s">
        <v>69</v>
      </c>
      <c r="E6790" s="26"/>
      <c r="F6790" s="41" t="s">
        <v>416</v>
      </c>
      <c r="G6790" s="27" t="str">
        <f>IF(ISNUMBER(F6790),E6790*F6790,"")</f>
        <v/>
      </c>
      <c r="H6790" s="28"/>
      <c r="I6790" s="29"/>
      <c r="J6790" s="152">
        <v>0</v>
      </c>
    </row>
    <row r="6791" spans="1:10" ht="15.75" hidden="1" thickBot="1" x14ac:dyDescent="0.3">
      <c r="A6791" s="176"/>
      <c r="B6791" s="174"/>
      <c r="C6791" s="31"/>
      <c r="D6791" s="31"/>
      <c r="E6791" s="32"/>
      <c r="F6791" s="42" t="s">
        <v>416</v>
      </c>
      <c r="G6791" s="30" t="str">
        <f>IF(ISNUMBER(F6791),E6791*F6791,"")</f>
        <v/>
      </c>
      <c r="H6791" s="34"/>
      <c r="I6791" s="30"/>
      <c r="J6791" s="152">
        <v>0</v>
      </c>
    </row>
    <row r="6792" spans="1:10" ht="15.75" hidden="1" thickBot="1" x14ac:dyDescent="0.3">
      <c r="A6792" s="176"/>
      <c r="B6792" s="174"/>
      <c r="C6792" s="35" t="s">
        <v>8468</v>
      </c>
      <c r="D6792" s="35" t="s">
        <v>385</v>
      </c>
      <c r="E6792" s="36">
        <v>1</v>
      </c>
      <c r="F6792" s="30">
        <v>20.985499999999998</v>
      </c>
      <c r="G6792" s="30">
        <f>IF(ISNUMBER(F6792),E6792*F6792,"")</f>
        <v>20.985499999999998</v>
      </c>
      <c r="H6792" s="38">
        <f t="shared" ref="H6792" si="36">SUM(G6792:G6792)</f>
        <v>20.985499999999998</v>
      </c>
      <c r="I6792" s="39"/>
      <c r="J6792" s="152">
        <v>0</v>
      </c>
    </row>
    <row r="6793" spans="1:10" ht="15.75" hidden="1" thickBot="1" x14ac:dyDescent="0.3">
      <c r="A6793" s="177"/>
      <c r="B6793" s="175"/>
      <c r="C6793" s="54"/>
      <c r="D6793" s="54"/>
      <c r="E6793" s="65"/>
      <c r="F6793" s="66" t="s">
        <v>416</v>
      </c>
      <c r="G6793" s="66" t="str">
        <f>IF(ISNUMBER(F6793),E6793*F6793,"")</f>
        <v/>
      </c>
      <c r="H6793" s="68"/>
      <c r="I6793" s="30"/>
      <c r="J6793" s="152">
        <v>0</v>
      </c>
    </row>
    <row r="6794" spans="1:10" ht="15.75" hidden="1" thickBot="1" x14ac:dyDescent="0.3">
      <c r="A6794" s="170" t="s">
        <v>6137</v>
      </c>
      <c r="B6794" s="173" t="str">
        <f>INDEX(Orçamentária!A:B,MATCH(Composições!A6794,Orçamentária!A:A,0),2)</f>
        <v>Tubo PVC roscável para água fria 2 1/2”</v>
      </c>
      <c r="C6794" s="40"/>
      <c r="D6794" s="25" t="s">
        <v>69</v>
      </c>
      <c r="E6794" s="26"/>
      <c r="F6794" s="41" t="s">
        <v>416</v>
      </c>
      <c r="G6794" s="27" t="str">
        <f>IF(ISNUMBER(F6794),E6794*F6794,"")</f>
        <v/>
      </c>
      <c r="H6794" s="28"/>
      <c r="I6794" s="29"/>
      <c r="J6794" s="152">
        <v>0</v>
      </c>
    </row>
    <row r="6795" spans="1:10" ht="15.75" hidden="1" thickBot="1" x14ac:dyDescent="0.3">
      <c r="A6795" s="176"/>
      <c r="B6795" s="174"/>
      <c r="C6795" s="31"/>
      <c r="D6795" s="31"/>
      <c r="E6795" s="32"/>
      <c r="F6795" s="42" t="s">
        <v>416</v>
      </c>
      <c r="G6795" s="30" t="str">
        <f>IF(ISNUMBER(F6795),E6795*F6795,"")</f>
        <v/>
      </c>
      <c r="H6795" s="34"/>
      <c r="I6795" s="30"/>
      <c r="J6795" s="152">
        <v>0</v>
      </c>
    </row>
    <row r="6796" spans="1:10" ht="15.75" hidden="1" thickBot="1" x14ac:dyDescent="0.3">
      <c r="A6796" s="176"/>
      <c r="B6796" s="174"/>
      <c r="C6796" s="35" t="s">
        <v>8555</v>
      </c>
      <c r="D6796" s="35" t="s">
        <v>385</v>
      </c>
      <c r="E6796" s="36">
        <v>1</v>
      </c>
      <c r="F6796" s="30">
        <v>60.704999999999998</v>
      </c>
      <c r="G6796" s="30">
        <f>IF(ISNUMBER(F6796),E6796*F6796,"")</f>
        <v>60.704999999999998</v>
      </c>
      <c r="H6796" s="38">
        <f t="shared" ref="H6796" si="37">SUM(G6796:G6796)</f>
        <v>60.704999999999998</v>
      </c>
      <c r="I6796" s="39"/>
      <c r="J6796" s="152">
        <v>0</v>
      </c>
    </row>
    <row r="6797" spans="1:10" ht="15.75" hidden="1" thickBot="1" x14ac:dyDescent="0.3">
      <c r="A6797" s="177"/>
      <c r="B6797" s="175"/>
      <c r="C6797" s="54"/>
      <c r="D6797" s="54"/>
      <c r="E6797" s="65"/>
      <c r="F6797" s="66" t="s">
        <v>416</v>
      </c>
      <c r="G6797" s="66" t="str">
        <f>IF(ISNUMBER(F6797),E6797*F6797,"")</f>
        <v/>
      </c>
      <c r="H6797" s="68"/>
      <c r="I6797" s="30"/>
      <c r="J6797" s="152">
        <v>0</v>
      </c>
    </row>
    <row r="6798" spans="1:10" ht="15.75" hidden="1" thickBot="1" x14ac:dyDescent="0.3">
      <c r="A6798" s="170" t="s">
        <v>6139</v>
      </c>
      <c r="B6798" s="173" t="str">
        <f>INDEX(Orçamentária!A:B,MATCH(Composições!A6798,Orçamentária!A:A,0),2)</f>
        <v>Tubo PVC roscável para água fria 2”</v>
      </c>
      <c r="C6798" s="40"/>
      <c r="D6798" s="25" t="s">
        <v>69</v>
      </c>
      <c r="E6798" s="26"/>
      <c r="F6798" s="41" t="s">
        <v>416</v>
      </c>
      <c r="G6798" s="27" t="str">
        <f>IF(ISNUMBER(F6798),E6798*F6798,"")</f>
        <v/>
      </c>
      <c r="H6798" s="28"/>
      <c r="I6798" s="29"/>
      <c r="J6798" s="152">
        <v>0</v>
      </c>
    </row>
    <row r="6799" spans="1:10" ht="15.75" hidden="1" thickBot="1" x14ac:dyDescent="0.3">
      <c r="A6799" s="176"/>
      <c r="B6799" s="174"/>
      <c r="C6799" s="31"/>
      <c r="D6799" s="31"/>
      <c r="E6799" s="32"/>
      <c r="F6799" s="42" t="s">
        <v>416</v>
      </c>
      <c r="G6799" s="30" t="str">
        <f>IF(ISNUMBER(F6799),E6799*F6799,"")</f>
        <v/>
      </c>
      <c r="H6799" s="34"/>
      <c r="I6799" s="30"/>
      <c r="J6799" s="152">
        <v>0</v>
      </c>
    </row>
    <row r="6800" spans="1:10" ht="15.75" hidden="1" thickBot="1" x14ac:dyDescent="0.3">
      <c r="A6800" s="176"/>
      <c r="B6800" s="174"/>
      <c r="C6800" s="35" t="s">
        <v>8556</v>
      </c>
      <c r="D6800" s="35" t="s">
        <v>385</v>
      </c>
      <c r="E6800" s="36">
        <v>1</v>
      </c>
      <c r="F6800" s="30">
        <v>44.308</v>
      </c>
      <c r="G6800" s="30">
        <f>IF(ISNUMBER(F6800),E6800*F6800,"")</f>
        <v>44.308</v>
      </c>
      <c r="H6800" s="38">
        <f t="shared" ref="H6800" si="38">SUM(G6800:G6800)</f>
        <v>44.308</v>
      </c>
      <c r="I6800" s="39"/>
      <c r="J6800" s="152">
        <v>0</v>
      </c>
    </row>
    <row r="6801" spans="1:10" ht="15.75" hidden="1" thickBot="1" x14ac:dyDescent="0.3">
      <c r="A6801" s="177"/>
      <c r="B6801" s="175"/>
      <c r="C6801" s="54"/>
      <c r="D6801" s="54"/>
      <c r="E6801" s="65"/>
      <c r="F6801" s="66" t="s">
        <v>416</v>
      </c>
      <c r="G6801" s="66" t="str">
        <f>IF(ISNUMBER(F6801),E6801*F6801,"")</f>
        <v/>
      </c>
      <c r="H6801" s="68"/>
      <c r="I6801" s="30"/>
      <c r="J6801" s="152">
        <v>0</v>
      </c>
    </row>
    <row r="6802" spans="1:10" ht="15.75" hidden="1" thickBot="1" x14ac:dyDescent="0.3">
      <c r="A6802" s="170" t="s">
        <v>6141</v>
      </c>
      <c r="B6802" s="173" t="str">
        <f>INDEX(Orçamentária!A:B,MATCH(Composições!A6802,Orçamentária!A:A,0),2)</f>
        <v>Tubo PVC roscável para água fria 3”</v>
      </c>
      <c r="C6802" s="40"/>
      <c r="D6802" s="25" t="s">
        <v>69</v>
      </c>
      <c r="E6802" s="26"/>
      <c r="F6802" s="41" t="s">
        <v>416</v>
      </c>
      <c r="G6802" s="27" t="str">
        <f>IF(ISNUMBER(F6802),E6802*F6802,"")</f>
        <v/>
      </c>
      <c r="H6802" s="28"/>
      <c r="I6802" s="29"/>
      <c r="J6802" s="152">
        <v>0</v>
      </c>
    </row>
    <row r="6803" spans="1:10" ht="15.75" hidden="1" thickBot="1" x14ac:dyDescent="0.3">
      <c r="A6803" s="176"/>
      <c r="B6803" s="174"/>
      <c r="C6803" s="31"/>
      <c r="D6803" s="31"/>
      <c r="E6803" s="32"/>
      <c r="F6803" s="42" t="s">
        <v>416</v>
      </c>
      <c r="G6803" s="30" t="str">
        <f>IF(ISNUMBER(F6803),E6803*F6803,"")</f>
        <v/>
      </c>
      <c r="H6803" s="34"/>
      <c r="I6803" s="30"/>
      <c r="J6803" s="152">
        <v>0</v>
      </c>
    </row>
    <row r="6804" spans="1:10" ht="15.75" hidden="1" thickBot="1" x14ac:dyDescent="0.3">
      <c r="A6804" s="176"/>
      <c r="B6804" s="174"/>
      <c r="C6804" s="35" t="s">
        <v>6583</v>
      </c>
      <c r="D6804" s="46" t="s">
        <v>69</v>
      </c>
      <c r="E6804" s="36">
        <v>1</v>
      </c>
      <c r="F6804" s="30">
        <v>0</v>
      </c>
      <c r="G6804" s="30">
        <f>IF(ISNUMBER(F6804),E6804*F6804,"")</f>
        <v>0</v>
      </c>
      <c r="H6804" s="38">
        <f t="shared" ref="H6804" si="39">SUM(G6804:G6804)</f>
        <v>0</v>
      </c>
      <c r="I6804" s="39"/>
      <c r="J6804" s="152">
        <v>0</v>
      </c>
    </row>
    <row r="6805" spans="1:10" ht="15.75" hidden="1" thickBot="1" x14ac:dyDescent="0.3">
      <c r="A6805" s="177"/>
      <c r="B6805" s="175"/>
      <c r="C6805" s="54"/>
      <c r="D6805" s="54"/>
      <c r="E6805" s="65"/>
      <c r="F6805" s="66" t="s">
        <v>416</v>
      </c>
      <c r="G6805" s="66" t="str">
        <f>IF(ISNUMBER(F6805),E6805*F6805,"")</f>
        <v/>
      </c>
      <c r="H6805" s="68"/>
      <c r="I6805" s="30"/>
      <c r="J6805" s="152">
        <v>0</v>
      </c>
    </row>
    <row r="6806" spans="1:10" ht="15.75" hidden="1" thickBot="1" x14ac:dyDescent="0.3">
      <c r="A6806" s="170" t="s">
        <v>6143</v>
      </c>
      <c r="B6806" s="173" t="str">
        <f>INDEX(Orçamentária!A:B,MATCH(Composições!A6806,Orçamentária!A:A,0),2)</f>
        <v>Tubo PVC roscável para água fria 3/4”</v>
      </c>
      <c r="C6806" s="40"/>
      <c r="D6806" s="25" t="s">
        <v>69</v>
      </c>
      <c r="E6806" s="26"/>
      <c r="F6806" s="41" t="s">
        <v>416</v>
      </c>
      <c r="G6806" s="27" t="str">
        <f>IF(ISNUMBER(F6806),E6806*F6806,"")</f>
        <v/>
      </c>
      <c r="H6806" s="28"/>
      <c r="I6806" s="29"/>
      <c r="J6806" s="152">
        <v>0</v>
      </c>
    </row>
    <row r="6807" spans="1:10" ht="15.75" hidden="1" thickBot="1" x14ac:dyDescent="0.3">
      <c r="A6807" s="176"/>
      <c r="B6807" s="174"/>
      <c r="C6807" s="31"/>
      <c r="D6807" s="31"/>
      <c r="E6807" s="32"/>
      <c r="F6807" s="42" t="s">
        <v>416</v>
      </c>
      <c r="G6807" s="30" t="str">
        <f>IF(ISNUMBER(F6807),E6807*F6807,"")</f>
        <v/>
      </c>
      <c r="H6807" s="34"/>
      <c r="I6807" s="30"/>
      <c r="J6807" s="152">
        <v>0</v>
      </c>
    </row>
    <row r="6808" spans="1:10" ht="15.75" hidden="1" thickBot="1" x14ac:dyDescent="0.3">
      <c r="A6808" s="176"/>
      <c r="B6808" s="174"/>
      <c r="C6808" s="35" t="s">
        <v>8557</v>
      </c>
      <c r="D6808" s="35" t="s">
        <v>385</v>
      </c>
      <c r="E6808" s="36">
        <v>1</v>
      </c>
      <c r="F6808" s="30">
        <v>10.041499999999999</v>
      </c>
      <c r="G6808" s="30">
        <f>IF(ISNUMBER(F6808),E6808*F6808,"")</f>
        <v>10.041499999999999</v>
      </c>
      <c r="H6808" s="38">
        <f t="shared" ref="H6808" si="40">SUM(G6808:G6808)</f>
        <v>10.041499999999999</v>
      </c>
      <c r="I6808" s="39"/>
      <c r="J6808" s="152">
        <v>0</v>
      </c>
    </row>
    <row r="6809" spans="1:10" ht="15.75" hidden="1" thickBot="1" x14ac:dyDescent="0.3">
      <c r="A6809" s="177"/>
      <c r="B6809" s="175"/>
      <c r="C6809" s="54"/>
      <c r="D6809" s="54"/>
      <c r="E6809" s="65"/>
      <c r="F6809" s="66" t="s">
        <v>416</v>
      </c>
      <c r="G6809" s="66" t="str">
        <f>IF(ISNUMBER(F6809),E6809*F6809,"")</f>
        <v/>
      </c>
      <c r="H6809" s="68"/>
      <c r="I6809" s="30"/>
      <c r="J6809" s="152">
        <v>0</v>
      </c>
    </row>
    <row r="6810" spans="1:10" ht="15.75" hidden="1" thickBot="1" x14ac:dyDescent="0.3">
      <c r="A6810" s="170" t="s">
        <v>6145</v>
      </c>
      <c r="B6810" s="173" t="str">
        <f>INDEX(Orçamentária!A:B,MATCH(Composições!A6810,Orçamentária!A:A,0),2)</f>
        <v>Tubo PVC roscável para água fria 4”</v>
      </c>
      <c r="C6810" s="40"/>
      <c r="D6810" s="25" t="s">
        <v>69</v>
      </c>
      <c r="E6810" s="26"/>
      <c r="F6810" s="41" t="s">
        <v>416</v>
      </c>
      <c r="G6810" s="27" t="str">
        <f>IF(ISNUMBER(F6810),E6810*F6810,"")</f>
        <v/>
      </c>
      <c r="H6810" s="28"/>
      <c r="I6810" s="29"/>
      <c r="J6810" s="152">
        <v>0</v>
      </c>
    </row>
    <row r="6811" spans="1:10" ht="15.75" hidden="1" thickBot="1" x14ac:dyDescent="0.3">
      <c r="A6811" s="176"/>
      <c r="B6811" s="174"/>
      <c r="C6811" s="31"/>
      <c r="D6811" s="31"/>
      <c r="E6811" s="32"/>
      <c r="F6811" s="42" t="s">
        <v>416</v>
      </c>
      <c r="G6811" s="30" t="str">
        <f>IF(ISNUMBER(F6811),E6811*F6811,"")</f>
        <v/>
      </c>
      <c r="H6811" s="34"/>
      <c r="I6811" s="30"/>
      <c r="J6811" s="152">
        <v>0</v>
      </c>
    </row>
    <row r="6812" spans="1:10" ht="15.75" hidden="1" thickBot="1" x14ac:dyDescent="0.3">
      <c r="A6812" s="176"/>
      <c r="B6812" s="174"/>
      <c r="C6812" s="35" t="s">
        <v>6585</v>
      </c>
      <c r="D6812" s="46" t="s">
        <v>69</v>
      </c>
      <c r="E6812" s="36">
        <v>1</v>
      </c>
      <c r="F6812" s="30">
        <v>0</v>
      </c>
      <c r="G6812" s="30">
        <f>IF(ISNUMBER(F6812),E6812*F6812,"")</f>
        <v>0</v>
      </c>
      <c r="H6812" s="38">
        <f t="shared" ref="H6812" si="41">SUM(G6812:G6812)</f>
        <v>0</v>
      </c>
      <c r="I6812" s="39"/>
      <c r="J6812" s="152">
        <v>0</v>
      </c>
    </row>
    <row r="6813" spans="1:10" ht="15.75" hidden="1" thickBot="1" x14ac:dyDescent="0.3">
      <c r="A6813" s="177"/>
      <c r="B6813" s="175"/>
      <c r="C6813" s="54"/>
      <c r="D6813" s="54"/>
      <c r="E6813" s="65"/>
      <c r="F6813" s="66" t="s">
        <v>416</v>
      </c>
      <c r="G6813" s="66" t="str">
        <f>IF(ISNUMBER(F6813),E6813*F6813,"")</f>
        <v/>
      </c>
      <c r="H6813" s="68"/>
      <c r="I6813" s="30"/>
      <c r="J6813" s="152">
        <v>0</v>
      </c>
    </row>
    <row r="6814" spans="1:10" ht="15.75" hidden="1" thickBot="1" x14ac:dyDescent="0.3">
      <c r="A6814" s="170" t="s">
        <v>6149</v>
      </c>
      <c r="B6814" s="173" t="str">
        <f>INDEX(Orçamentária!A:B,MATCH(Composições!A6814,Orçamentária!A:A,0),2)</f>
        <v>Tubo PVC soldável água fria DN 20 mm</v>
      </c>
      <c r="C6814" s="40"/>
      <c r="D6814" s="25" t="s">
        <v>69</v>
      </c>
      <c r="E6814" s="26"/>
      <c r="F6814" s="41" t="s">
        <v>416</v>
      </c>
      <c r="G6814" s="27" t="str">
        <f>IF(ISNUMBER(F6814),E6814*F6814,"")</f>
        <v/>
      </c>
      <c r="H6814" s="28"/>
      <c r="I6814" s="29"/>
      <c r="J6814" s="152">
        <v>0</v>
      </c>
    </row>
    <row r="6815" spans="1:10" ht="15.75" hidden="1" thickBot="1" x14ac:dyDescent="0.3">
      <c r="A6815" s="176"/>
      <c r="B6815" s="174"/>
      <c r="C6815" s="31"/>
      <c r="D6815" s="31"/>
      <c r="E6815" s="32"/>
      <c r="F6815" s="42" t="s">
        <v>416</v>
      </c>
      <c r="G6815" s="30" t="str">
        <f>IF(ISNUMBER(F6815),E6815*F6815,"")</f>
        <v/>
      </c>
      <c r="H6815" s="34"/>
      <c r="I6815" s="30"/>
      <c r="J6815" s="152">
        <v>0</v>
      </c>
    </row>
    <row r="6816" spans="1:10" ht="15.75" hidden="1" thickBot="1" x14ac:dyDescent="0.3">
      <c r="A6816" s="176"/>
      <c r="B6816" s="174"/>
      <c r="C6816" s="35" t="s">
        <v>8474</v>
      </c>
      <c r="D6816" s="35" t="s">
        <v>385</v>
      </c>
      <c r="E6816" s="36">
        <v>1</v>
      </c>
      <c r="F6816" s="30">
        <v>3.6385000000000001</v>
      </c>
      <c r="G6816" s="30">
        <f>IF(ISNUMBER(F6816),E6816*F6816,"")</f>
        <v>3.6385000000000001</v>
      </c>
      <c r="H6816" s="38">
        <f t="shared" ref="H6816" si="42">SUM(G6816:G6816)</f>
        <v>3.6385000000000001</v>
      </c>
      <c r="I6816" s="39"/>
      <c r="J6816" s="152">
        <v>0</v>
      </c>
    </row>
    <row r="6817" spans="1:10" ht="15.75" hidden="1" thickBot="1" x14ac:dyDescent="0.3">
      <c r="A6817" s="177"/>
      <c r="B6817" s="175"/>
      <c r="C6817" s="54"/>
      <c r="D6817" s="54"/>
      <c r="E6817" s="65"/>
      <c r="F6817" s="66" t="s">
        <v>416</v>
      </c>
      <c r="G6817" s="66" t="str">
        <f>IF(ISNUMBER(F6817),E6817*F6817,"")</f>
        <v/>
      </c>
      <c r="H6817" s="68"/>
      <c r="I6817" s="30"/>
      <c r="J6817" s="152">
        <v>0</v>
      </c>
    </row>
    <row r="6818" spans="1:10" ht="15.75" hidden="1" thickBot="1" x14ac:dyDescent="0.3">
      <c r="A6818" s="170" t="s">
        <v>6150</v>
      </c>
      <c r="B6818" s="173" t="str">
        <f>INDEX(Orçamentária!A:B,MATCH(Composições!A6818,Orçamentária!A:A,0),2)</f>
        <v>Tubo PVC soldável água fria DN 25 mm</v>
      </c>
      <c r="C6818" s="40"/>
      <c r="D6818" s="25" t="s">
        <v>69</v>
      </c>
      <c r="E6818" s="26"/>
      <c r="F6818" s="41" t="s">
        <v>416</v>
      </c>
      <c r="G6818" s="27" t="str">
        <f>IF(ISNUMBER(F6818),E6818*F6818,"")</f>
        <v/>
      </c>
      <c r="H6818" s="28"/>
      <c r="I6818" s="29"/>
      <c r="J6818" s="152">
        <v>0</v>
      </c>
    </row>
    <row r="6819" spans="1:10" ht="15.75" hidden="1" thickBot="1" x14ac:dyDescent="0.3">
      <c r="A6819" s="176"/>
      <c r="B6819" s="174"/>
      <c r="C6819" s="31"/>
      <c r="D6819" s="31"/>
      <c r="E6819" s="32"/>
      <c r="F6819" s="42" t="s">
        <v>416</v>
      </c>
      <c r="G6819" s="30" t="str">
        <f>IF(ISNUMBER(F6819),E6819*F6819,"")</f>
        <v/>
      </c>
      <c r="H6819" s="34"/>
      <c r="I6819" s="30"/>
      <c r="J6819" s="152">
        <v>0</v>
      </c>
    </row>
    <row r="6820" spans="1:10" ht="15.75" hidden="1" thickBot="1" x14ac:dyDescent="0.3">
      <c r="A6820" s="176"/>
      <c r="B6820" s="174"/>
      <c r="C6820" s="35" t="s">
        <v>8475</v>
      </c>
      <c r="D6820" s="35" t="s">
        <v>385</v>
      </c>
      <c r="E6820" s="36">
        <v>1</v>
      </c>
      <c r="F6820" s="30">
        <v>4.1040000000000001</v>
      </c>
      <c r="G6820" s="30">
        <f>IF(ISNUMBER(F6820),E6820*F6820,"")</f>
        <v>4.1040000000000001</v>
      </c>
      <c r="H6820" s="38">
        <f t="shared" ref="H6820" si="43">SUM(G6820:G6820)</f>
        <v>4.1040000000000001</v>
      </c>
      <c r="I6820" s="39"/>
      <c r="J6820" s="152">
        <v>0</v>
      </c>
    </row>
    <row r="6821" spans="1:10" ht="15.75" hidden="1" thickBot="1" x14ac:dyDescent="0.3">
      <c r="A6821" s="177"/>
      <c r="B6821" s="175"/>
      <c r="C6821" s="54"/>
      <c r="D6821" s="54"/>
      <c r="E6821" s="65"/>
      <c r="F6821" s="66" t="s">
        <v>416</v>
      </c>
      <c r="G6821" s="66" t="str">
        <f>IF(ISNUMBER(F6821),E6821*F6821,"")</f>
        <v/>
      </c>
      <c r="H6821" s="68"/>
      <c r="I6821" s="30"/>
      <c r="J6821" s="152">
        <v>0</v>
      </c>
    </row>
    <row r="6822" spans="1:10" ht="15.75" hidden="1" thickBot="1" x14ac:dyDescent="0.3">
      <c r="A6822" s="170" t="s">
        <v>6151</v>
      </c>
      <c r="B6822" s="173" t="str">
        <f>INDEX(Orçamentária!A:B,MATCH(Composições!A6822,Orçamentária!A:A,0),2)</f>
        <v>Tubo PVC soldável água fria DN 32 mm</v>
      </c>
      <c r="C6822" s="40"/>
      <c r="D6822" s="25" t="s">
        <v>69</v>
      </c>
      <c r="E6822" s="26"/>
      <c r="F6822" s="41" t="s">
        <v>416</v>
      </c>
      <c r="G6822" s="27" t="str">
        <f>IF(ISNUMBER(F6822),E6822*F6822,"")</f>
        <v/>
      </c>
      <c r="H6822" s="28"/>
      <c r="I6822" s="29"/>
      <c r="J6822" s="152">
        <v>0</v>
      </c>
    </row>
    <row r="6823" spans="1:10" ht="15.75" hidden="1" thickBot="1" x14ac:dyDescent="0.3">
      <c r="A6823" s="176"/>
      <c r="B6823" s="174"/>
      <c r="C6823" s="31"/>
      <c r="D6823" s="31"/>
      <c r="E6823" s="32"/>
      <c r="F6823" s="42" t="s">
        <v>416</v>
      </c>
      <c r="G6823" s="30" t="str">
        <f>IF(ISNUMBER(F6823),E6823*F6823,"")</f>
        <v/>
      </c>
      <c r="H6823" s="34"/>
      <c r="I6823" s="30"/>
      <c r="J6823" s="152">
        <v>0</v>
      </c>
    </row>
    <row r="6824" spans="1:10" ht="15.75" hidden="1" thickBot="1" x14ac:dyDescent="0.3">
      <c r="A6824" s="176"/>
      <c r="B6824" s="174"/>
      <c r="C6824" s="35" t="s">
        <v>8476</v>
      </c>
      <c r="D6824" s="35" t="s">
        <v>385</v>
      </c>
      <c r="E6824" s="36">
        <v>1</v>
      </c>
      <c r="F6824" s="30">
        <v>8.8539999999999992</v>
      </c>
      <c r="G6824" s="30">
        <f>IF(ISNUMBER(F6824),E6824*F6824,"")</f>
        <v>8.8539999999999992</v>
      </c>
      <c r="H6824" s="38">
        <f t="shared" ref="H6824" si="44">SUM(G6824:G6824)</f>
        <v>8.8539999999999992</v>
      </c>
      <c r="I6824" s="39"/>
      <c r="J6824" s="152">
        <v>0</v>
      </c>
    </row>
    <row r="6825" spans="1:10" ht="15.75" hidden="1" thickBot="1" x14ac:dyDescent="0.3">
      <c r="A6825" s="177"/>
      <c r="B6825" s="175"/>
      <c r="C6825" s="54"/>
      <c r="D6825" s="54"/>
      <c r="E6825" s="65"/>
      <c r="F6825" s="66" t="s">
        <v>416</v>
      </c>
      <c r="G6825" s="66" t="str">
        <f>IF(ISNUMBER(F6825),E6825*F6825,"")</f>
        <v/>
      </c>
      <c r="H6825" s="68"/>
      <c r="I6825" s="30"/>
      <c r="J6825" s="152">
        <v>0</v>
      </c>
    </row>
    <row r="6826" spans="1:10" ht="15.75" hidden="1" thickBot="1" x14ac:dyDescent="0.3">
      <c r="A6826" s="170" t="s">
        <v>6152</v>
      </c>
      <c r="B6826" s="173" t="str">
        <f>INDEX(Orçamentária!A:B,MATCH(Composições!A6826,Orçamentária!A:A,0),2)</f>
        <v>Tubo PVC soldável água fria DN 40 mm</v>
      </c>
      <c r="C6826" s="40"/>
      <c r="D6826" s="25" t="s">
        <v>69</v>
      </c>
      <c r="E6826" s="26"/>
      <c r="F6826" s="41" t="s">
        <v>416</v>
      </c>
      <c r="G6826" s="27" t="str">
        <f>IF(ISNUMBER(F6826),E6826*F6826,"")</f>
        <v/>
      </c>
      <c r="H6826" s="28"/>
      <c r="I6826" s="29"/>
      <c r="J6826" s="152">
        <v>0</v>
      </c>
    </row>
    <row r="6827" spans="1:10" ht="15.75" hidden="1" thickBot="1" x14ac:dyDescent="0.3">
      <c r="A6827" s="176"/>
      <c r="B6827" s="174"/>
      <c r="C6827" s="31"/>
      <c r="D6827" s="31"/>
      <c r="E6827" s="32"/>
      <c r="F6827" s="42" t="s">
        <v>416</v>
      </c>
      <c r="G6827" s="30" t="str">
        <f>IF(ISNUMBER(F6827),E6827*F6827,"")</f>
        <v/>
      </c>
      <c r="H6827" s="34"/>
      <c r="I6827" s="30"/>
      <c r="J6827" s="152">
        <v>0</v>
      </c>
    </row>
    <row r="6828" spans="1:10" ht="15.75" hidden="1" thickBot="1" x14ac:dyDescent="0.3">
      <c r="A6828" s="176"/>
      <c r="B6828" s="174"/>
      <c r="C6828" s="35" t="s">
        <v>8477</v>
      </c>
      <c r="D6828" s="35" t="s">
        <v>385</v>
      </c>
      <c r="E6828" s="36">
        <v>1</v>
      </c>
      <c r="F6828" s="30">
        <v>13.907999999999999</v>
      </c>
      <c r="G6828" s="30">
        <f>IF(ISNUMBER(F6828),E6828*F6828,"")</f>
        <v>13.907999999999999</v>
      </c>
      <c r="H6828" s="38">
        <f t="shared" ref="H6828" si="45">SUM(G6828:G6828)</f>
        <v>13.907999999999999</v>
      </c>
      <c r="I6828" s="39"/>
      <c r="J6828" s="152">
        <v>0</v>
      </c>
    </row>
    <row r="6829" spans="1:10" ht="15.75" hidden="1" thickBot="1" x14ac:dyDescent="0.3">
      <c r="A6829" s="177"/>
      <c r="B6829" s="175"/>
      <c r="C6829" s="54"/>
      <c r="D6829" s="54"/>
      <c r="E6829" s="65"/>
      <c r="F6829" s="66" t="s">
        <v>416</v>
      </c>
      <c r="G6829" s="66" t="str">
        <f>IF(ISNUMBER(F6829),E6829*F6829,"")</f>
        <v/>
      </c>
      <c r="H6829" s="68"/>
      <c r="I6829" s="30"/>
      <c r="J6829" s="152">
        <v>0</v>
      </c>
    </row>
    <row r="6830" spans="1:10" ht="15.75" hidden="1" thickBot="1" x14ac:dyDescent="0.3">
      <c r="A6830" s="170" t="s">
        <v>6153</v>
      </c>
      <c r="B6830" s="173" t="str">
        <f>INDEX(Orçamentária!A:B,MATCH(Composições!A6830,Orçamentária!A:A,0),2)</f>
        <v>Tubo PVC soldável água fria DN 50 mm</v>
      </c>
      <c r="C6830" s="40"/>
      <c r="D6830" s="25" t="s">
        <v>69</v>
      </c>
      <c r="E6830" s="26"/>
      <c r="F6830" s="41" t="s">
        <v>416</v>
      </c>
      <c r="G6830" s="27" t="str">
        <f>IF(ISNUMBER(F6830),E6830*F6830,"")</f>
        <v/>
      </c>
      <c r="H6830" s="28"/>
      <c r="I6830" s="29"/>
      <c r="J6830" s="152">
        <v>0</v>
      </c>
    </row>
    <row r="6831" spans="1:10" ht="15.75" hidden="1" thickBot="1" x14ac:dyDescent="0.3">
      <c r="A6831" s="176"/>
      <c r="B6831" s="174"/>
      <c r="C6831" s="31"/>
      <c r="D6831" s="31"/>
      <c r="E6831" s="32"/>
      <c r="F6831" s="42" t="s">
        <v>416</v>
      </c>
      <c r="G6831" s="30" t="str">
        <f>IF(ISNUMBER(F6831),E6831*F6831,"")</f>
        <v/>
      </c>
      <c r="H6831" s="34"/>
      <c r="I6831" s="30"/>
      <c r="J6831" s="152">
        <v>0</v>
      </c>
    </row>
    <row r="6832" spans="1:10" ht="15.75" hidden="1" thickBot="1" x14ac:dyDescent="0.3">
      <c r="A6832" s="176"/>
      <c r="B6832" s="174"/>
      <c r="C6832" s="35" t="s">
        <v>8478</v>
      </c>
      <c r="D6832" s="35" t="s">
        <v>385</v>
      </c>
      <c r="E6832" s="36">
        <v>1</v>
      </c>
      <c r="F6832" s="30">
        <v>15.256999999999998</v>
      </c>
      <c r="G6832" s="30">
        <f>IF(ISNUMBER(F6832),E6832*F6832,"")</f>
        <v>15.256999999999998</v>
      </c>
      <c r="H6832" s="38">
        <f t="shared" ref="H6832" si="46">SUM(G6832:G6832)</f>
        <v>15.256999999999998</v>
      </c>
      <c r="I6832" s="39"/>
      <c r="J6832" s="152">
        <v>0</v>
      </c>
    </row>
    <row r="6833" spans="1:10" ht="15.75" hidden="1" thickBot="1" x14ac:dyDescent="0.3">
      <c r="A6833" s="177"/>
      <c r="B6833" s="175"/>
      <c r="C6833" s="54"/>
      <c r="D6833" s="54"/>
      <c r="E6833" s="65"/>
      <c r="F6833" s="66" t="s">
        <v>416</v>
      </c>
      <c r="G6833" s="66" t="str">
        <f>IF(ISNUMBER(F6833),E6833*F6833,"")</f>
        <v/>
      </c>
      <c r="H6833" s="68"/>
      <c r="I6833" s="30"/>
      <c r="J6833" s="152">
        <v>0</v>
      </c>
    </row>
    <row r="6834" spans="1:10" ht="15.75" hidden="1" thickBot="1" x14ac:dyDescent="0.3">
      <c r="A6834" s="170" t="s">
        <v>6154</v>
      </c>
      <c r="B6834" s="173" t="str">
        <f>INDEX(Orçamentária!A:B,MATCH(Composições!A6834,Orçamentária!A:A,0),2)</f>
        <v>Tubo PVC soldável água fria DN 60 mm</v>
      </c>
      <c r="C6834" s="40"/>
      <c r="D6834" s="25" t="s">
        <v>69</v>
      </c>
      <c r="E6834" s="26"/>
      <c r="F6834" s="41" t="s">
        <v>416</v>
      </c>
      <c r="G6834" s="27" t="str">
        <f>IF(ISNUMBER(F6834),E6834*F6834,"")</f>
        <v/>
      </c>
      <c r="H6834" s="28"/>
      <c r="I6834" s="29"/>
      <c r="J6834" s="152">
        <v>0</v>
      </c>
    </row>
    <row r="6835" spans="1:10" ht="15.75" hidden="1" thickBot="1" x14ac:dyDescent="0.3">
      <c r="A6835" s="176"/>
      <c r="B6835" s="174"/>
      <c r="C6835" s="31"/>
      <c r="D6835" s="31"/>
      <c r="E6835" s="32"/>
      <c r="F6835" s="42" t="s">
        <v>416</v>
      </c>
      <c r="G6835" s="30" t="str">
        <f>IF(ISNUMBER(F6835),E6835*F6835,"")</f>
        <v/>
      </c>
      <c r="H6835" s="34"/>
      <c r="I6835" s="30"/>
      <c r="J6835" s="152">
        <v>0</v>
      </c>
    </row>
    <row r="6836" spans="1:10" ht="15.75" hidden="1" thickBot="1" x14ac:dyDescent="0.3">
      <c r="A6836" s="176"/>
      <c r="B6836" s="174"/>
      <c r="C6836" s="35" t="s">
        <v>8479</v>
      </c>
      <c r="D6836" s="35" t="s">
        <v>385</v>
      </c>
      <c r="E6836" s="36">
        <v>1</v>
      </c>
      <c r="F6836" s="30">
        <v>25.099</v>
      </c>
      <c r="G6836" s="30">
        <f>IF(ISNUMBER(F6836),E6836*F6836,"")</f>
        <v>25.099</v>
      </c>
      <c r="H6836" s="38">
        <f t="shared" ref="H6836" si="47">SUM(G6836:G6836)</f>
        <v>25.099</v>
      </c>
      <c r="I6836" s="39"/>
      <c r="J6836" s="152">
        <v>0</v>
      </c>
    </row>
    <row r="6837" spans="1:10" ht="15.75" hidden="1" thickBot="1" x14ac:dyDescent="0.3">
      <c r="A6837" s="177"/>
      <c r="B6837" s="175"/>
      <c r="C6837" s="54"/>
      <c r="D6837" s="54"/>
      <c r="E6837" s="65"/>
      <c r="F6837" s="66" t="s">
        <v>416</v>
      </c>
      <c r="G6837" s="66" t="str">
        <f>IF(ISNUMBER(F6837),E6837*F6837,"")</f>
        <v/>
      </c>
      <c r="H6837" s="68"/>
      <c r="I6837" s="30"/>
      <c r="J6837" s="152">
        <v>0</v>
      </c>
    </row>
    <row r="6838" spans="1:10" ht="15.75" hidden="1" thickBot="1" x14ac:dyDescent="0.3">
      <c r="A6838" s="170" t="s">
        <v>6155</v>
      </c>
      <c r="B6838" s="173" t="str">
        <f>INDEX(Orçamentária!A:B,MATCH(Composições!A6838,Orçamentária!A:A,0),2)</f>
        <v>Tubo PVC soldável água fria DN 75 mm</v>
      </c>
      <c r="C6838" s="40"/>
      <c r="D6838" s="25" t="s">
        <v>69</v>
      </c>
      <c r="E6838" s="26"/>
      <c r="F6838" s="41" t="s">
        <v>416</v>
      </c>
      <c r="G6838" s="27" t="str">
        <f>IF(ISNUMBER(F6838),E6838*F6838,"")</f>
        <v/>
      </c>
      <c r="H6838" s="28"/>
      <c r="I6838" s="29"/>
      <c r="J6838" s="152">
        <v>0</v>
      </c>
    </row>
    <row r="6839" spans="1:10" ht="15.75" hidden="1" thickBot="1" x14ac:dyDescent="0.3">
      <c r="A6839" s="176"/>
      <c r="B6839" s="174"/>
      <c r="C6839" s="31"/>
      <c r="D6839" s="31"/>
      <c r="E6839" s="32"/>
      <c r="F6839" s="42" t="s">
        <v>416</v>
      </c>
      <c r="G6839" s="30" t="str">
        <f>IF(ISNUMBER(F6839),E6839*F6839,"")</f>
        <v/>
      </c>
      <c r="H6839" s="34"/>
      <c r="I6839" s="30"/>
      <c r="J6839" s="152">
        <v>0</v>
      </c>
    </row>
    <row r="6840" spans="1:10" ht="15.75" hidden="1" thickBot="1" x14ac:dyDescent="0.3">
      <c r="A6840" s="176"/>
      <c r="B6840" s="174"/>
      <c r="C6840" s="35" t="s">
        <v>8480</v>
      </c>
      <c r="D6840" s="35" t="s">
        <v>385</v>
      </c>
      <c r="E6840" s="36">
        <v>1</v>
      </c>
      <c r="F6840" s="30">
        <v>41.581499999999998</v>
      </c>
      <c r="G6840" s="30">
        <f>IF(ISNUMBER(F6840),E6840*F6840,"")</f>
        <v>41.581499999999998</v>
      </c>
      <c r="H6840" s="38">
        <f t="shared" ref="H6840" si="48">SUM(G6840:G6840)</f>
        <v>41.581499999999998</v>
      </c>
      <c r="I6840" s="39"/>
      <c r="J6840" s="152">
        <v>0</v>
      </c>
    </row>
    <row r="6841" spans="1:10" ht="15.75" hidden="1" thickBot="1" x14ac:dyDescent="0.3">
      <c r="A6841" s="177"/>
      <c r="B6841" s="175"/>
      <c r="C6841" s="54"/>
      <c r="D6841" s="54"/>
      <c r="E6841" s="65"/>
      <c r="F6841" s="66" t="s">
        <v>416</v>
      </c>
      <c r="G6841" s="66" t="str">
        <f>IF(ISNUMBER(F6841),E6841*F6841,"")</f>
        <v/>
      </c>
      <c r="H6841" s="68"/>
      <c r="I6841" s="30"/>
      <c r="J6841" s="152">
        <v>0</v>
      </c>
    </row>
    <row r="6842" spans="1:10" ht="15.75" hidden="1" thickBot="1" x14ac:dyDescent="0.3">
      <c r="A6842" s="170" t="s">
        <v>6157</v>
      </c>
      <c r="B6842" s="173" t="str">
        <f>INDEX(Orçamentária!A:B,MATCH(Composições!A6842,Orçamentária!A:A,0),2)</f>
        <v>Tubo PVC soldável água fria DN 85 mm</v>
      </c>
      <c r="C6842" s="40"/>
      <c r="D6842" s="25" t="s">
        <v>69</v>
      </c>
      <c r="E6842" s="26"/>
      <c r="F6842" s="41" t="s">
        <v>416</v>
      </c>
      <c r="G6842" s="27" t="str">
        <f>IF(ISNUMBER(F6842),E6842*F6842,"")</f>
        <v/>
      </c>
      <c r="H6842" s="28"/>
      <c r="I6842" s="29"/>
      <c r="J6842" s="152">
        <v>0</v>
      </c>
    </row>
    <row r="6843" spans="1:10" ht="15.75" hidden="1" thickBot="1" x14ac:dyDescent="0.3">
      <c r="A6843" s="176"/>
      <c r="B6843" s="174"/>
      <c r="C6843" s="31"/>
      <c r="D6843" s="31"/>
      <c r="E6843" s="32"/>
      <c r="F6843" s="42" t="s">
        <v>416</v>
      </c>
      <c r="G6843" s="30" t="str">
        <f>IF(ISNUMBER(F6843),E6843*F6843,"")</f>
        <v/>
      </c>
      <c r="H6843" s="34"/>
      <c r="I6843" s="30"/>
      <c r="J6843" s="152">
        <v>0</v>
      </c>
    </row>
    <row r="6844" spans="1:10" ht="15.75" hidden="1" thickBot="1" x14ac:dyDescent="0.3">
      <c r="A6844" s="176"/>
      <c r="B6844" s="174"/>
      <c r="C6844" s="35" t="s">
        <v>8481</v>
      </c>
      <c r="D6844" s="35" t="s">
        <v>385</v>
      </c>
      <c r="E6844" s="36">
        <v>1</v>
      </c>
      <c r="F6844" s="30">
        <v>57.854999999999997</v>
      </c>
      <c r="G6844" s="30">
        <f>IF(ISNUMBER(F6844),E6844*F6844,"")</f>
        <v>57.854999999999997</v>
      </c>
      <c r="H6844" s="38">
        <f t="shared" ref="H6844" si="49">SUM(G6844:G6844)</f>
        <v>57.854999999999997</v>
      </c>
      <c r="I6844" s="39"/>
      <c r="J6844" s="152">
        <v>0</v>
      </c>
    </row>
    <row r="6845" spans="1:10" ht="15.75" hidden="1" thickBot="1" x14ac:dyDescent="0.3">
      <c r="A6845" s="177"/>
      <c r="B6845" s="175"/>
      <c r="C6845" s="54"/>
      <c r="D6845" s="54"/>
      <c r="E6845" s="65"/>
      <c r="F6845" s="66" t="s">
        <v>416</v>
      </c>
      <c r="G6845" s="66" t="str">
        <f>IF(ISNUMBER(F6845),E6845*F6845,"")</f>
        <v/>
      </c>
      <c r="H6845" s="68"/>
      <c r="I6845" s="30"/>
      <c r="J6845" s="152">
        <v>0</v>
      </c>
    </row>
    <row r="6846" spans="1:10" ht="15.75" hidden="1" thickBot="1" x14ac:dyDescent="0.3">
      <c r="A6846" s="170" t="s">
        <v>6159</v>
      </c>
      <c r="B6846" s="173" t="str">
        <f>INDEX(Orçamentária!A:B,MATCH(Composições!A6846,Orçamentária!A:A,0),2)</f>
        <v>Tubo PVC soldável água fria DN 110 mm</v>
      </c>
      <c r="C6846" s="40"/>
      <c r="D6846" s="25" t="s">
        <v>69</v>
      </c>
      <c r="E6846" s="26"/>
      <c r="F6846" s="41" t="s">
        <v>416</v>
      </c>
      <c r="G6846" s="27" t="str">
        <f>IF(ISNUMBER(F6846),E6846*F6846,"")</f>
        <v/>
      </c>
      <c r="H6846" s="28"/>
      <c r="I6846" s="29"/>
      <c r="J6846" s="152">
        <v>0</v>
      </c>
    </row>
    <row r="6847" spans="1:10" ht="15.75" hidden="1" thickBot="1" x14ac:dyDescent="0.3">
      <c r="A6847" s="176"/>
      <c r="B6847" s="174"/>
      <c r="C6847" s="31"/>
      <c r="D6847" s="31"/>
      <c r="E6847" s="32"/>
      <c r="F6847" s="42" t="s">
        <v>416</v>
      </c>
      <c r="G6847" s="30" t="str">
        <f>IF(ISNUMBER(F6847),E6847*F6847,"")</f>
        <v/>
      </c>
      <c r="H6847" s="34"/>
      <c r="I6847" s="30"/>
      <c r="J6847" s="152">
        <v>0</v>
      </c>
    </row>
    <row r="6848" spans="1:10" ht="15.75" hidden="1" thickBot="1" x14ac:dyDescent="0.3">
      <c r="A6848" s="176"/>
      <c r="B6848" s="174"/>
      <c r="C6848" s="35" t="s">
        <v>8473</v>
      </c>
      <c r="D6848" s="35" t="s">
        <v>385</v>
      </c>
      <c r="E6848" s="36">
        <v>1</v>
      </c>
      <c r="F6848" s="30">
        <v>90.534999999999997</v>
      </c>
      <c r="G6848" s="30">
        <f>IF(ISNUMBER(F6848),E6848*F6848,"")</f>
        <v>90.534999999999997</v>
      </c>
      <c r="H6848" s="38">
        <f t="shared" ref="H6848" si="50">SUM(G6848:G6848)</f>
        <v>90.534999999999997</v>
      </c>
      <c r="I6848" s="39"/>
      <c r="J6848" s="152">
        <v>0</v>
      </c>
    </row>
    <row r="6849" spans="1:10" ht="15.75" hidden="1" thickBot="1" x14ac:dyDescent="0.3">
      <c r="A6849" s="177"/>
      <c r="B6849" s="175"/>
      <c r="C6849" s="54"/>
      <c r="D6849" s="54"/>
      <c r="E6849" s="65"/>
      <c r="F6849" s="66" t="s">
        <v>416</v>
      </c>
      <c r="G6849" s="66" t="str">
        <f>IF(ISNUMBER(F6849),E6849*F6849,"")</f>
        <v/>
      </c>
      <c r="H6849" s="68"/>
      <c r="I6849" s="30"/>
      <c r="J6849" s="152">
        <v>0</v>
      </c>
    </row>
    <row r="6850" spans="1:10" ht="15.75" hidden="1" thickBot="1" x14ac:dyDescent="0.3">
      <c r="A6850" s="170" t="s">
        <v>6178</v>
      </c>
      <c r="B6850" s="173" t="str">
        <f>INDEX(Orçamentária!A:B,MATCH(Composições!A6850,Orçamentária!A:A,0),2)</f>
        <v>Válvula de escoamento para lavatório e bidê</v>
      </c>
      <c r="C6850" s="40"/>
      <c r="D6850" s="25" t="s">
        <v>16</v>
      </c>
      <c r="E6850" s="26"/>
      <c r="F6850" s="41" t="s">
        <v>416</v>
      </c>
      <c r="G6850" s="27" t="str">
        <f>IF(ISNUMBER(F6850),E6850*F6850,"")</f>
        <v/>
      </c>
      <c r="H6850" s="28"/>
      <c r="I6850" s="29"/>
      <c r="J6850" s="152">
        <v>0</v>
      </c>
    </row>
    <row r="6851" spans="1:10" ht="15.75" hidden="1" thickBot="1" x14ac:dyDescent="0.3">
      <c r="A6851" s="176"/>
      <c r="B6851" s="174"/>
      <c r="C6851" s="31"/>
      <c r="D6851" s="31"/>
      <c r="E6851" s="32"/>
      <c r="F6851" s="42" t="s">
        <v>416</v>
      </c>
      <c r="G6851" s="30" t="str">
        <f>IF(ISNUMBER(F6851),E6851*F6851,"")</f>
        <v/>
      </c>
      <c r="H6851" s="34"/>
      <c r="I6851" s="30"/>
      <c r="J6851" s="152">
        <v>0</v>
      </c>
    </row>
    <row r="6852" spans="1:10" ht="15.75" hidden="1" thickBot="1" x14ac:dyDescent="0.3">
      <c r="A6852" s="176"/>
      <c r="B6852" s="174"/>
      <c r="C6852" s="35" t="s">
        <v>8503</v>
      </c>
      <c r="D6852" s="35" t="s">
        <v>213</v>
      </c>
      <c r="E6852" s="36">
        <v>1</v>
      </c>
      <c r="F6852" s="30">
        <v>37.173500000000004</v>
      </c>
      <c r="G6852" s="30">
        <f>IF(ISNUMBER(F6852),E6852*F6852,"")</f>
        <v>37.173500000000004</v>
      </c>
      <c r="H6852" s="38">
        <f t="shared" ref="H6852" si="51">SUM(G6852:G6852)</f>
        <v>37.173500000000004</v>
      </c>
      <c r="I6852" s="39"/>
      <c r="J6852" s="152">
        <v>0</v>
      </c>
    </row>
    <row r="6853" spans="1:10" ht="15.75" hidden="1" thickBot="1" x14ac:dyDescent="0.3">
      <c r="A6853" s="177"/>
      <c r="B6853" s="175"/>
      <c r="C6853" s="54"/>
      <c r="D6853" s="54"/>
      <c r="E6853" s="65"/>
      <c r="F6853" s="66" t="s">
        <v>416</v>
      </c>
      <c r="G6853" s="66" t="str">
        <f>IF(ISNUMBER(F6853),E6853*F6853,"")</f>
        <v/>
      </c>
      <c r="H6853" s="68"/>
      <c r="I6853" s="30"/>
      <c r="J6853" s="152">
        <v>0</v>
      </c>
    </row>
    <row r="6854" spans="1:10" ht="15.75" hidden="1" thickBot="1" x14ac:dyDescent="0.3">
      <c r="A6854" s="170" t="s">
        <v>6180</v>
      </c>
      <c r="B6854" s="173" t="str">
        <f>INDEX(Orçamentária!A:B,MATCH(Composições!A6854,Orçamentária!A:A,0),2)</f>
        <v>Válvula de escoamento para pia de cozinha 3 1/2”</v>
      </c>
      <c r="C6854" s="40"/>
      <c r="D6854" s="25" t="s">
        <v>16</v>
      </c>
      <c r="E6854" s="26"/>
      <c r="F6854" s="41" t="s">
        <v>416</v>
      </c>
      <c r="G6854" s="27" t="str">
        <f>IF(ISNUMBER(F6854),E6854*F6854,"")</f>
        <v/>
      </c>
      <c r="H6854" s="28"/>
      <c r="I6854" s="29"/>
      <c r="J6854" s="152">
        <v>0</v>
      </c>
    </row>
    <row r="6855" spans="1:10" ht="15.75" hidden="1" thickBot="1" x14ac:dyDescent="0.3">
      <c r="A6855" s="176"/>
      <c r="B6855" s="174"/>
      <c r="C6855" s="31"/>
      <c r="D6855" s="31"/>
      <c r="E6855" s="32"/>
      <c r="F6855" s="42" t="s">
        <v>416</v>
      </c>
      <c r="G6855" s="30" t="str">
        <f>IF(ISNUMBER(F6855),E6855*F6855,"")</f>
        <v/>
      </c>
      <c r="H6855" s="34"/>
      <c r="I6855" s="30"/>
      <c r="J6855" s="152">
        <v>0</v>
      </c>
    </row>
    <row r="6856" spans="1:10" ht="15.75" hidden="1" thickBot="1" x14ac:dyDescent="0.3">
      <c r="A6856" s="176"/>
      <c r="B6856" s="174"/>
      <c r="C6856" s="35" t="s">
        <v>8504</v>
      </c>
      <c r="D6856" s="35" t="s">
        <v>213</v>
      </c>
      <c r="E6856" s="36">
        <v>1</v>
      </c>
      <c r="F6856" s="30">
        <v>50.786999999999999</v>
      </c>
      <c r="G6856" s="30">
        <f>IF(ISNUMBER(F6856),E6856*F6856,"")</f>
        <v>50.786999999999999</v>
      </c>
      <c r="H6856" s="38">
        <f t="shared" ref="H6856" si="52">SUM(G6856:G6856)</f>
        <v>50.786999999999999</v>
      </c>
      <c r="I6856" s="39"/>
      <c r="J6856" s="152">
        <v>0</v>
      </c>
    </row>
    <row r="6857" spans="1:10" ht="15.75" hidden="1" thickBot="1" x14ac:dyDescent="0.3">
      <c r="A6857" s="177"/>
      <c r="B6857" s="175"/>
      <c r="C6857" s="54"/>
      <c r="D6857" s="54"/>
      <c r="E6857" s="65"/>
      <c r="F6857" s="66" t="s">
        <v>416</v>
      </c>
      <c r="G6857" s="66" t="str">
        <f>IF(ISNUMBER(F6857),E6857*F6857,"")</f>
        <v/>
      </c>
      <c r="H6857" s="68"/>
      <c r="I6857" s="30"/>
      <c r="J6857" s="152">
        <v>0</v>
      </c>
    </row>
    <row r="6858" spans="1:10" ht="15.75" hidden="1" thickBot="1" x14ac:dyDescent="0.3">
      <c r="A6858" s="170" t="s">
        <v>6183</v>
      </c>
      <c r="B6858" s="173" t="str">
        <f>INDEX(Orçamentária!A:B,MATCH(Composições!A6858,Orçamentária!A:A,0),2)</f>
        <v>Válvula de Sucção tipo Pé com Crivos 1”</v>
      </c>
      <c r="C6858" s="40"/>
      <c r="D6858" s="25" t="s">
        <v>16</v>
      </c>
      <c r="E6858" s="26"/>
      <c r="F6858" s="41" t="s">
        <v>416</v>
      </c>
      <c r="G6858" s="27" t="str">
        <f>IF(ISNUMBER(F6858),E6858*F6858,"")</f>
        <v/>
      </c>
      <c r="H6858" s="28"/>
      <c r="I6858" s="29"/>
      <c r="J6858" s="152">
        <v>0</v>
      </c>
    </row>
    <row r="6859" spans="1:10" ht="15.75" hidden="1" thickBot="1" x14ac:dyDescent="0.3">
      <c r="A6859" s="176"/>
      <c r="B6859" s="174"/>
      <c r="C6859" s="31"/>
      <c r="D6859" s="31"/>
      <c r="E6859" s="32"/>
      <c r="F6859" s="42" t="s">
        <v>416</v>
      </c>
      <c r="G6859" s="30" t="str">
        <f>IF(ISNUMBER(F6859),E6859*F6859,"")</f>
        <v/>
      </c>
      <c r="H6859" s="34"/>
      <c r="I6859" s="30"/>
      <c r="J6859" s="152">
        <v>0</v>
      </c>
    </row>
    <row r="6860" spans="1:10" ht="26.25" hidden="1" thickBot="1" x14ac:dyDescent="0.3">
      <c r="A6860" s="176"/>
      <c r="B6860" s="174"/>
      <c r="C6860" s="35" t="s">
        <v>8495</v>
      </c>
      <c r="D6860" s="35" t="s">
        <v>213</v>
      </c>
      <c r="E6860" s="36">
        <v>1</v>
      </c>
      <c r="F6860" s="30">
        <v>56.439499999999995</v>
      </c>
      <c r="G6860" s="30">
        <f>IF(ISNUMBER(F6860),E6860*F6860,"")</f>
        <v>56.439499999999995</v>
      </c>
      <c r="H6860" s="38">
        <f t="shared" ref="H6860" si="53">SUM(G6860:G6860)</f>
        <v>56.439499999999995</v>
      </c>
      <c r="I6860" s="39"/>
      <c r="J6860" s="152">
        <v>0</v>
      </c>
    </row>
    <row r="6861" spans="1:10" ht="15.75" hidden="1" thickBot="1" x14ac:dyDescent="0.3">
      <c r="A6861" s="177"/>
      <c r="B6861" s="175"/>
      <c r="C6861" s="54"/>
      <c r="D6861" s="54"/>
      <c r="E6861" s="65"/>
      <c r="F6861" s="66" t="s">
        <v>416</v>
      </c>
      <c r="G6861" s="66" t="str">
        <f>IF(ISNUMBER(F6861),E6861*F6861,"")</f>
        <v/>
      </c>
      <c r="H6861" s="68"/>
      <c r="I6861" s="30"/>
      <c r="J6861" s="152">
        <v>0</v>
      </c>
    </row>
    <row r="6862" spans="1:10" ht="15.75" hidden="1" thickBot="1" x14ac:dyDescent="0.3">
      <c r="A6862" s="170" t="s">
        <v>6185</v>
      </c>
      <c r="B6862" s="173" t="str">
        <f>INDEX(Orçamentária!A:B,MATCH(Composições!A6862,Orçamentária!A:A,0),2)</f>
        <v>Válvula de Sucção tipo Pé com Crivos 2”</v>
      </c>
      <c r="C6862" s="40"/>
      <c r="D6862" s="25" t="s">
        <v>16</v>
      </c>
      <c r="E6862" s="26"/>
      <c r="F6862" s="41" t="s">
        <v>416</v>
      </c>
      <c r="G6862" s="27" t="str">
        <f>IF(ISNUMBER(F6862),E6862*F6862,"")</f>
        <v/>
      </c>
      <c r="H6862" s="28"/>
      <c r="I6862" s="29"/>
      <c r="J6862" s="152">
        <v>0</v>
      </c>
    </row>
    <row r="6863" spans="1:10" ht="15.75" hidden="1" thickBot="1" x14ac:dyDescent="0.3">
      <c r="A6863" s="176"/>
      <c r="B6863" s="174"/>
      <c r="C6863" s="31"/>
      <c r="D6863" s="31"/>
      <c r="E6863" s="32"/>
      <c r="F6863" s="42" t="s">
        <v>416</v>
      </c>
      <c r="G6863" s="30" t="str">
        <f>IF(ISNUMBER(F6863),E6863*F6863,"")</f>
        <v/>
      </c>
      <c r="H6863" s="34"/>
      <c r="I6863" s="30"/>
      <c r="J6863" s="152">
        <v>0</v>
      </c>
    </row>
    <row r="6864" spans="1:10" ht="26.25" hidden="1" thickBot="1" x14ac:dyDescent="0.3">
      <c r="A6864" s="176"/>
      <c r="B6864" s="174"/>
      <c r="C6864" s="35" t="s">
        <v>8496</v>
      </c>
      <c r="D6864" s="35" t="s">
        <v>213</v>
      </c>
      <c r="E6864" s="36">
        <v>1</v>
      </c>
      <c r="F6864" s="30">
        <v>144.82749999999999</v>
      </c>
      <c r="G6864" s="30">
        <f>IF(ISNUMBER(F6864),E6864*F6864,"")</f>
        <v>144.82749999999999</v>
      </c>
      <c r="H6864" s="38">
        <f t="shared" ref="H6864" si="54">SUM(G6864:G6864)</f>
        <v>144.82749999999999</v>
      </c>
      <c r="I6864" s="39"/>
      <c r="J6864" s="152">
        <v>0</v>
      </c>
    </row>
    <row r="6865" spans="1:10" ht="15.75" hidden="1" thickBot="1" x14ac:dyDescent="0.3">
      <c r="A6865" s="177"/>
      <c r="B6865" s="175"/>
      <c r="C6865" s="54"/>
      <c r="D6865" s="54"/>
      <c r="E6865" s="65"/>
      <c r="F6865" s="66" t="s">
        <v>416</v>
      </c>
      <c r="G6865" s="66" t="str">
        <f>IF(ISNUMBER(F6865),E6865*F6865,"")</f>
        <v/>
      </c>
      <c r="H6865" s="68"/>
      <c r="I6865" s="30"/>
      <c r="J6865" s="152">
        <v>0</v>
      </c>
    </row>
    <row r="6866" spans="1:10" ht="15.75" hidden="1" thickBot="1" x14ac:dyDescent="0.3">
      <c r="A6866" s="170" t="s">
        <v>6189</v>
      </c>
      <c r="B6866" s="173" t="str">
        <f>INDEX(Orçamentária!A:B,MATCH(Composições!A6866,Orçamentária!A:A,0),2)</f>
        <v>Válvula de retenção horizontal – PN-25 3/4”</v>
      </c>
      <c r="C6866" s="40"/>
      <c r="D6866" s="25" t="s">
        <v>16</v>
      </c>
      <c r="E6866" s="26"/>
      <c r="F6866" s="41" t="s">
        <v>416</v>
      </c>
      <c r="G6866" s="27" t="str">
        <f>IF(ISNUMBER(F6866),E6866*F6866,"")</f>
        <v/>
      </c>
      <c r="H6866" s="28"/>
      <c r="I6866" s="29"/>
      <c r="J6866" s="152">
        <v>0</v>
      </c>
    </row>
    <row r="6867" spans="1:10" ht="15.75" hidden="1" thickBot="1" x14ac:dyDescent="0.3">
      <c r="A6867" s="176"/>
      <c r="B6867" s="174"/>
      <c r="C6867" s="31"/>
      <c r="D6867" s="31"/>
      <c r="E6867" s="32"/>
      <c r="F6867" s="42" t="s">
        <v>416</v>
      </c>
      <c r="G6867" s="30" t="str">
        <f>IF(ISNUMBER(F6867),E6867*F6867,"")</f>
        <v/>
      </c>
      <c r="H6867" s="34"/>
      <c r="I6867" s="30"/>
      <c r="J6867" s="152">
        <v>0</v>
      </c>
    </row>
    <row r="6868" spans="1:10" ht="26.25" hidden="1" thickBot="1" x14ac:dyDescent="0.3">
      <c r="A6868" s="176"/>
      <c r="B6868" s="174"/>
      <c r="C6868" s="35" t="s">
        <v>8498</v>
      </c>
      <c r="D6868" s="35" t="s">
        <v>213</v>
      </c>
      <c r="E6868" s="36">
        <v>1</v>
      </c>
      <c r="F6868" s="30">
        <v>81.585999999999999</v>
      </c>
      <c r="G6868" s="30">
        <f>IF(ISNUMBER(F6868),E6868*F6868,"")</f>
        <v>81.585999999999999</v>
      </c>
      <c r="H6868" s="38">
        <f>SUM(G6868:G6868)</f>
        <v>81.585999999999999</v>
      </c>
      <c r="I6868" s="39"/>
      <c r="J6868" s="152">
        <v>0</v>
      </c>
    </row>
    <row r="6869" spans="1:10" ht="15.75" hidden="1" thickBot="1" x14ac:dyDescent="0.3">
      <c r="A6869" s="177"/>
      <c r="B6869" s="175"/>
      <c r="C6869" s="54"/>
      <c r="D6869" s="54"/>
      <c r="E6869" s="65"/>
      <c r="F6869" s="66" t="s">
        <v>416</v>
      </c>
      <c r="G6869" s="66" t="str">
        <f>IF(ISNUMBER(F6869),E6869*F6869,"")</f>
        <v/>
      </c>
      <c r="H6869" s="68"/>
      <c r="I6869" s="30"/>
      <c r="J6869" s="152">
        <v>0</v>
      </c>
    </row>
    <row r="6870" spans="1:10" ht="15.75" hidden="1" thickBot="1" x14ac:dyDescent="0.3">
      <c r="A6870" s="170" t="s">
        <v>6191</v>
      </c>
      <c r="B6870" s="173" t="str">
        <f>INDEX(Orçamentária!A:B,MATCH(Composições!A6870,Orçamentária!A:A,0),2)</f>
        <v>Válvula de retenção horizontal – PN-25 2”</v>
      </c>
      <c r="C6870" s="40"/>
      <c r="D6870" s="25" t="s">
        <v>16</v>
      </c>
      <c r="E6870" s="26"/>
      <c r="F6870" s="41" t="s">
        <v>416</v>
      </c>
      <c r="G6870" s="27" t="str">
        <f>IF(ISNUMBER(F6870),E6870*F6870,"")</f>
        <v/>
      </c>
      <c r="H6870" s="28"/>
      <c r="I6870" s="29"/>
      <c r="J6870" s="152">
        <v>0</v>
      </c>
    </row>
    <row r="6871" spans="1:10" ht="15.75" hidden="1" thickBot="1" x14ac:dyDescent="0.3">
      <c r="A6871" s="176"/>
      <c r="B6871" s="174"/>
      <c r="C6871" s="31"/>
      <c r="D6871" s="31"/>
      <c r="E6871" s="32"/>
      <c r="F6871" s="42" t="s">
        <v>416</v>
      </c>
      <c r="G6871" s="30" t="str">
        <f>IF(ISNUMBER(F6871),E6871*F6871,"")</f>
        <v/>
      </c>
      <c r="H6871" s="34"/>
      <c r="I6871" s="30"/>
      <c r="J6871" s="152">
        <v>0</v>
      </c>
    </row>
    <row r="6872" spans="1:10" ht="26.25" hidden="1" thickBot="1" x14ac:dyDescent="0.3">
      <c r="A6872" s="176"/>
      <c r="B6872" s="174"/>
      <c r="C6872" s="35" t="s">
        <v>8497</v>
      </c>
      <c r="D6872" s="35" t="s">
        <v>213</v>
      </c>
      <c r="E6872" s="36">
        <v>1</v>
      </c>
      <c r="F6872" s="30">
        <v>259.90099999999995</v>
      </c>
      <c r="G6872" s="30">
        <f>IF(ISNUMBER(F6872),E6872*F6872,"")</f>
        <v>259.90099999999995</v>
      </c>
      <c r="H6872" s="38">
        <f>SUM(G6872:G6872)</f>
        <v>259.90099999999995</v>
      </c>
      <c r="I6872" s="39"/>
      <c r="J6872" s="152">
        <v>0</v>
      </c>
    </row>
    <row r="6873" spans="1:10" ht="15.75" hidden="1" thickBot="1" x14ac:dyDescent="0.3">
      <c r="A6873" s="177"/>
      <c r="B6873" s="175"/>
      <c r="C6873" s="54"/>
      <c r="D6873" s="54"/>
      <c r="E6873" s="65"/>
      <c r="F6873" s="66" t="s">
        <v>416</v>
      </c>
      <c r="G6873" s="66" t="str">
        <f>IF(ISNUMBER(F6873),E6873*F6873,"")</f>
        <v/>
      </c>
      <c r="H6873" s="68"/>
      <c r="I6873" s="30"/>
      <c r="J6873" s="152">
        <v>0</v>
      </c>
    </row>
    <row r="6874" spans="1:10" ht="15.75" hidden="1" thickBot="1" x14ac:dyDescent="0.3">
      <c r="A6874" s="170" t="s">
        <v>6193</v>
      </c>
      <c r="B6874" s="173" t="str">
        <f>INDEX(Orçamentária!A:B,MATCH(Composições!A6874,Orçamentária!A:A,0),2)</f>
        <v>Válvula de retenção vertical - 3”</v>
      </c>
      <c r="C6874" s="40"/>
      <c r="D6874" s="25" t="s">
        <v>16</v>
      </c>
      <c r="E6874" s="26"/>
      <c r="F6874" s="41" t="s">
        <v>416</v>
      </c>
      <c r="G6874" s="27" t="str">
        <f>IF(ISNUMBER(F6874),E6874*F6874,"")</f>
        <v/>
      </c>
      <c r="H6874" s="28"/>
      <c r="I6874" s="29"/>
      <c r="J6874" s="152">
        <v>0</v>
      </c>
    </row>
    <row r="6875" spans="1:10" ht="15.75" hidden="1" thickBot="1" x14ac:dyDescent="0.3">
      <c r="A6875" s="176"/>
      <c r="B6875" s="174"/>
      <c r="C6875" s="31"/>
      <c r="D6875" s="31"/>
      <c r="E6875" s="32"/>
      <c r="F6875" s="42" t="s">
        <v>416</v>
      </c>
      <c r="G6875" s="30" t="str">
        <f>IF(ISNUMBER(F6875),E6875*F6875,"")</f>
        <v/>
      </c>
      <c r="H6875" s="34"/>
      <c r="I6875" s="30"/>
      <c r="J6875" s="152">
        <v>0</v>
      </c>
    </row>
    <row r="6876" spans="1:10" ht="26.25" hidden="1" thickBot="1" x14ac:dyDescent="0.3">
      <c r="A6876" s="176"/>
      <c r="B6876" s="174"/>
      <c r="C6876" s="35" t="s">
        <v>8501</v>
      </c>
      <c r="D6876" s="35" t="s">
        <v>213</v>
      </c>
      <c r="E6876" s="36">
        <v>1</v>
      </c>
      <c r="F6876" s="30">
        <v>314.88699999999994</v>
      </c>
      <c r="G6876" s="30">
        <f>IF(ISNUMBER(F6876),E6876*F6876,"")</f>
        <v>314.88699999999994</v>
      </c>
      <c r="H6876" s="38">
        <f>SUM(G6876:G6876)</f>
        <v>314.88699999999994</v>
      </c>
      <c r="I6876" s="39"/>
      <c r="J6876" s="152">
        <v>0</v>
      </c>
    </row>
    <row r="6877" spans="1:10" ht="15.75" hidden="1" thickBot="1" x14ac:dyDescent="0.3">
      <c r="A6877" s="177"/>
      <c r="B6877" s="175"/>
      <c r="C6877" s="54"/>
      <c r="D6877" s="54"/>
      <c r="E6877" s="65"/>
      <c r="F6877" s="66" t="s">
        <v>416</v>
      </c>
      <c r="G6877" s="66" t="str">
        <f>IF(ISNUMBER(F6877),E6877*F6877,"")</f>
        <v/>
      </c>
      <c r="H6877" s="68"/>
      <c r="I6877" s="30"/>
      <c r="J6877" s="152">
        <v>0</v>
      </c>
    </row>
    <row r="6878" spans="1:10" ht="15.75" hidden="1" thickBot="1" x14ac:dyDescent="0.3">
      <c r="A6878" s="170" t="s">
        <v>6195</v>
      </c>
      <c r="B6878" s="173" t="str">
        <f>INDEX(Orçamentária!A:B,MATCH(Composições!A6878,Orçamentária!A:A,0),2)</f>
        <v>Válvula de retenção vertical - 4”</v>
      </c>
      <c r="C6878" s="40"/>
      <c r="D6878" s="25" t="s">
        <v>16</v>
      </c>
      <c r="E6878" s="26"/>
      <c r="F6878" s="41" t="s">
        <v>416</v>
      </c>
      <c r="G6878" s="27" t="str">
        <f>IF(ISNUMBER(F6878),E6878*F6878,"")</f>
        <v/>
      </c>
      <c r="H6878" s="28"/>
      <c r="I6878" s="29"/>
      <c r="J6878" s="152">
        <v>0</v>
      </c>
    </row>
    <row r="6879" spans="1:10" ht="15.75" hidden="1" thickBot="1" x14ac:dyDescent="0.3">
      <c r="A6879" s="176"/>
      <c r="B6879" s="174"/>
      <c r="C6879" s="31"/>
      <c r="D6879" s="31"/>
      <c r="E6879" s="32"/>
      <c r="F6879" s="42" t="s">
        <v>416</v>
      </c>
      <c r="G6879" s="30" t="str">
        <f>IF(ISNUMBER(F6879),E6879*F6879,"")</f>
        <v/>
      </c>
      <c r="H6879" s="34"/>
      <c r="I6879" s="30"/>
      <c r="J6879" s="152">
        <v>0</v>
      </c>
    </row>
    <row r="6880" spans="1:10" ht="26.25" hidden="1" thickBot="1" x14ac:dyDescent="0.3">
      <c r="A6880" s="176"/>
      <c r="B6880" s="174"/>
      <c r="C6880" s="35" t="s">
        <v>8502</v>
      </c>
      <c r="D6880" s="35" t="s">
        <v>213</v>
      </c>
      <c r="E6880" s="36">
        <v>1</v>
      </c>
      <c r="F6880" s="30">
        <v>546.49699999999996</v>
      </c>
      <c r="G6880" s="30">
        <f>IF(ISNUMBER(F6880),E6880*F6880,"")</f>
        <v>546.49699999999996</v>
      </c>
      <c r="H6880" s="38">
        <f>SUM(G6880:G6880)</f>
        <v>546.49699999999996</v>
      </c>
      <c r="I6880" s="39"/>
      <c r="J6880" s="152">
        <v>0</v>
      </c>
    </row>
    <row r="6881" spans="1:10" ht="15.75" hidden="1" thickBot="1" x14ac:dyDescent="0.3">
      <c r="A6881" s="177"/>
      <c r="B6881" s="175"/>
      <c r="C6881" s="54"/>
      <c r="D6881" s="54"/>
      <c r="E6881" s="65"/>
      <c r="F6881" s="66" t="s">
        <v>416</v>
      </c>
      <c r="G6881" s="66" t="str">
        <f>IF(ISNUMBER(F6881),E6881*F6881,"")</f>
        <v/>
      </c>
      <c r="H6881" s="68"/>
      <c r="I6881" s="30"/>
      <c r="J6881" s="152">
        <v>0</v>
      </c>
    </row>
    <row r="6882" spans="1:10" ht="15.75" hidden="1" thickBot="1" x14ac:dyDescent="0.3">
      <c r="A6882" s="170" t="s">
        <v>6197</v>
      </c>
      <c r="B6882" s="173" t="str">
        <f>INDEX(Orçamentária!A:B,MATCH(Composições!A6882,Orçamentária!A:A,0),2)</f>
        <v>Válvula de retenção vertical - 2”</v>
      </c>
      <c r="C6882" s="40"/>
      <c r="D6882" s="25" t="s">
        <v>16</v>
      </c>
      <c r="E6882" s="26"/>
      <c r="F6882" s="41" t="s">
        <v>416</v>
      </c>
      <c r="G6882" s="27" t="str">
        <f>IF(ISNUMBER(F6882),E6882*F6882,"")</f>
        <v/>
      </c>
      <c r="H6882" s="28"/>
      <c r="I6882" s="29"/>
      <c r="J6882" s="152">
        <v>0</v>
      </c>
    </row>
    <row r="6883" spans="1:10" ht="15.75" hidden="1" thickBot="1" x14ac:dyDescent="0.3">
      <c r="A6883" s="176"/>
      <c r="B6883" s="174"/>
      <c r="C6883" s="31"/>
      <c r="D6883" s="31"/>
      <c r="E6883" s="32"/>
      <c r="F6883" s="42" t="s">
        <v>416</v>
      </c>
      <c r="G6883" s="30" t="str">
        <f>IF(ISNUMBER(F6883),E6883*F6883,"")</f>
        <v/>
      </c>
      <c r="H6883" s="34"/>
      <c r="I6883" s="30"/>
      <c r="J6883" s="152">
        <v>0</v>
      </c>
    </row>
    <row r="6884" spans="1:10" ht="26.25" hidden="1" thickBot="1" x14ac:dyDescent="0.3">
      <c r="A6884" s="176"/>
      <c r="B6884" s="174"/>
      <c r="C6884" s="35" t="s">
        <v>8500</v>
      </c>
      <c r="D6884" s="35" t="s">
        <v>213</v>
      </c>
      <c r="E6884" s="36">
        <v>1</v>
      </c>
      <c r="F6884" s="30">
        <v>143.8965</v>
      </c>
      <c r="G6884" s="30">
        <f>IF(ISNUMBER(F6884),E6884*F6884,"")</f>
        <v>143.8965</v>
      </c>
      <c r="H6884" s="38">
        <f>SUM(G6884:G6884)</f>
        <v>143.8965</v>
      </c>
      <c r="I6884" s="39"/>
      <c r="J6884" s="152">
        <v>0</v>
      </c>
    </row>
    <row r="6885" spans="1:10" ht="15.75" hidden="1" thickBot="1" x14ac:dyDescent="0.3">
      <c r="A6885" s="177"/>
      <c r="B6885" s="175"/>
      <c r="C6885" s="54"/>
      <c r="D6885" s="54"/>
      <c r="E6885" s="65"/>
      <c r="F6885" s="66" t="s">
        <v>416</v>
      </c>
      <c r="G6885" s="66" t="str">
        <f>IF(ISNUMBER(F6885),E6885*F6885,"")</f>
        <v/>
      </c>
      <c r="H6885" s="68"/>
      <c r="I6885" s="30"/>
      <c r="J6885" s="152">
        <v>0</v>
      </c>
    </row>
    <row r="6886" spans="1:10" ht="15.75" hidden="1" thickBot="1" x14ac:dyDescent="0.3">
      <c r="A6886" s="170" t="s">
        <v>6199</v>
      </c>
      <c r="B6886" s="173" t="str">
        <f>INDEX(Orçamentária!A:B,MATCH(Composições!A6886,Orçamentária!A:A,0),2)</f>
        <v>Válvula de retenção vertical - 2 1/2”</v>
      </c>
      <c r="C6886" s="40"/>
      <c r="D6886" s="25" t="s">
        <v>16</v>
      </c>
      <c r="E6886" s="26"/>
      <c r="F6886" s="41" t="s">
        <v>416</v>
      </c>
      <c r="G6886" s="27" t="str">
        <f>IF(ISNUMBER(F6886),E6886*F6886,"")</f>
        <v/>
      </c>
      <c r="H6886" s="28"/>
      <c r="I6886" s="29"/>
      <c r="J6886" s="152">
        <v>0</v>
      </c>
    </row>
    <row r="6887" spans="1:10" ht="15.75" hidden="1" thickBot="1" x14ac:dyDescent="0.3">
      <c r="A6887" s="176"/>
      <c r="B6887" s="174"/>
      <c r="C6887" s="31"/>
      <c r="D6887" s="31"/>
      <c r="E6887" s="32"/>
      <c r="F6887" s="42" t="s">
        <v>416</v>
      </c>
      <c r="G6887" s="30" t="str">
        <f>IF(ISNUMBER(F6887),E6887*F6887,"")</f>
        <v/>
      </c>
      <c r="H6887" s="34"/>
      <c r="I6887" s="30"/>
      <c r="J6887" s="152">
        <v>0</v>
      </c>
    </row>
    <row r="6888" spans="1:10" ht="26.25" hidden="1" thickBot="1" x14ac:dyDescent="0.3">
      <c r="A6888" s="176"/>
      <c r="B6888" s="174"/>
      <c r="C6888" s="35" t="s">
        <v>8499</v>
      </c>
      <c r="D6888" s="35" t="s">
        <v>213</v>
      </c>
      <c r="E6888" s="36">
        <v>1</v>
      </c>
      <c r="F6888" s="30">
        <v>230.58399999999997</v>
      </c>
      <c r="G6888" s="30">
        <f>IF(ISNUMBER(F6888),E6888*F6888,"")</f>
        <v>230.58399999999997</v>
      </c>
      <c r="H6888" s="38">
        <f>SUM(G6888:G6888)</f>
        <v>230.58399999999997</v>
      </c>
      <c r="I6888" s="39"/>
      <c r="J6888" s="152">
        <v>0</v>
      </c>
    </row>
    <row r="6889" spans="1:10" ht="15.75" hidden="1" thickBot="1" x14ac:dyDescent="0.3">
      <c r="A6889" s="177"/>
      <c r="B6889" s="175"/>
      <c r="C6889" s="54"/>
      <c r="D6889" s="54"/>
      <c r="E6889" s="65"/>
      <c r="F6889" s="66" t="s">
        <v>416</v>
      </c>
      <c r="G6889" s="66" t="str">
        <f>IF(ISNUMBER(F6889),E6889*F6889,"")</f>
        <v/>
      </c>
      <c r="H6889" s="68"/>
      <c r="I6889" s="30"/>
      <c r="J6889" s="152">
        <v>0</v>
      </c>
    </row>
    <row r="6890" spans="1:10" ht="15.75" hidden="1" thickBot="1" x14ac:dyDescent="0.3">
      <c r="A6890" s="170" t="s">
        <v>6203</v>
      </c>
      <c r="B6890" s="173" t="str">
        <f>INDEX(Orçamentária!A:B,MATCH(Composições!A6890,Orçamentária!A:A,0),2)</f>
        <v>Válvula de escoamento para tanque</v>
      </c>
      <c r="C6890" s="40"/>
      <c r="D6890" s="25" t="s">
        <v>16</v>
      </c>
      <c r="E6890" s="26"/>
      <c r="F6890" s="41" t="s">
        <v>416</v>
      </c>
      <c r="G6890" s="27" t="str">
        <f>IF(ISNUMBER(F6890),E6890*F6890,"")</f>
        <v/>
      </c>
      <c r="H6890" s="28"/>
      <c r="I6890" s="29"/>
      <c r="J6890" s="152">
        <v>0</v>
      </c>
    </row>
    <row r="6891" spans="1:10" ht="15.75" hidden="1" thickBot="1" x14ac:dyDescent="0.3">
      <c r="A6891" s="176"/>
      <c r="B6891" s="174"/>
      <c r="C6891" s="31"/>
      <c r="D6891" s="31"/>
      <c r="E6891" s="32"/>
      <c r="F6891" s="42" t="s">
        <v>416</v>
      </c>
      <c r="G6891" s="30" t="str">
        <f>IF(ISNUMBER(F6891),E6891*F6891,"")</f>
        <v/>
      </c>
      <c r="H6891" s="34"/>
      <c r="I6891" s="30"/>
      <c r="J6891" s="152">
        <v>0</v>
      </c>
    </row>
    <row r="6892" spans="1:10" ht="26.25" hidden="1" thickBot="1" x14ac:dyDescent="0.3">
      <c r="A6892" s="176"/>
      <c r="B6892" s="174"/>
      <c r="C6892" s="35" t="s">
        <v>8491</v>
      </c>
      <c r="D6892" s="35" t="s">
        <v>213</v>
      </c>
      <c r="E6892" s="36">
        <v>1</v>
      </c>
      <c r="F6892" s="30">
        <v>46.777999999999999</v>
      </c>
      <c r="G6892" s="30">
        <f>IF(ISNUMBER(F6892),E6892*F6892,"")</f>
        <v>46.777999999999999</v>
      </c>
      <c r="H6892" s="38">
        <f>SUM(G6892:G6892)</f>
        <v>46.777999999999999</v>
      </c>
      <c r="I6892" s="39"/>
      <c r="J6892" s="152">
        <v>0</v>
      </c>
    </row>
    <row r="6893" spans="1:10" ht="15.75" hidden="1" thickBot="1" x14ac:dyDescent="0.3">
      <c r="A6893" s="177"/>
      <c r="B6893" s="175"/>
      <c r="C6893" s="54"/>
      <c r="D6893" s="54"/>
      <c r="E6893" s="65"/>
      <c r="F6893" s="66" t="s">
        <v>416</v>
      </c>
      <c r="G6893" s="66" t="str">
        <f>IF(ISNUMBER(F6893),E6893*F6893,"")</f>
        <v/>
      </c>
      <c r="H6893" s="68"/>
      <c r="I6893" s="30"/>
      <c r="J6893" s="152">
        <v>0</v>
      </c>
    </row>
    <row r="6894" spans="1:10" ht="15.75" hidden="1" thickBot="1" x14ac:dyDescent="0.3">
      <c r="A6894" s="170" t="s">
        <v>6204</v>
      </c>
      <c r="B6894" s="173" t="str">
        <f>INDEX(Orçamentária!A:B,MATCH(Composições!A6894,Orçamentária!A:A,0),2)</f>
        <v>Sifão para tanque</v>
      </c>
      <c r="C6894" s="40"/>
      <c r="D6894" s="25" t="s">
        <v>16</v>
      </c>
      <c r="E6894" s="26"/>
      <c r="F6894" s="41" t="s">
        <v>416</v>
      </c>
      <c r="G6894" s="27" t="str">
        <f>IF(ISNUMBER(F6894),E6894*F6894,"")</f>
        <v/>
      </c>
      <c r="H6894" s="28"/>
      <c r="I6894" s="29"/>
      <c r="J6894" s="152">
        <v>0</v>
      </c>
    </row>
    <row r="6895" spans="1:10" ht="15.75" hidden="1" thickBot="1" x14ac:dyDescent="0.3">
      <c r="A6895" s="176"/>
      <c r="B6895" s="174"/>
      <c r="C6895" s="31"/>
      <c r="D6895" s="31"/>
      <c r="E6895" s="32"/>
      <c r="F6895" s="42" t="s">
        <v>416</v>
      </c>
      <c r="G6895" s="30" t="str">
        <f>IF(ISNUMBER(F6895),E6895*F6895,"")</f>
        <v/>
      </c>
      <c r="H6895" s="34"/>
      <c r="I6895" s="30"/>
      <c r="J6895" s="152">
        <v>0</v>
      </c>
    </row>
    <row r="6896" spans="1:10" ht="15.75" hidden="1" thickBot="1" x14ac:dyDescent="0.3">
      <c r="A6896" s="176"/>
      <c r="B6896" s="174"/>
      <c r="C6896" s="35" t="s">
        <v>8372</v>
      </c>
      <c r="D6896" s="35" t="s">
        <v>213</v>
      </c>
      <c r="E6896" s="36">
        <v>1</v>
      </c>
      <c r="F6896" s="30">
        <v>157.49099999999999</v>
      </c>
      <c r="G6896" s="30">
        <f>IF(ISNUMBER(F6896),E6896*F6896,"")</f>
        <v>157.49099999999999</v>
      </c>
      <c r="H6896" s="38">
        <f>SUM(G6896:G6896)</f>
        <v>157.49099999999999</v>
      </c>
      <c r="I6896" s="39"/>
      <c r="J6896" s="152">
        <v>0</v>
      </c>
    </row>
    <row r="6897" spans="1:10" ht="15.75" hidden="1" thickBot="1" x14ac:dyDescent="0.3">
      <c r="A6897" s="177"/>
      <c r="B6897" s="175"/>
      <c r="C6897" s="54"/>
      <c r="D6897" s="54"/>
      <c r="E6897" s="65"/>
      <c r="F6897" s="66" t="s">
        <v>416</v>
      </c>
      <c r="G6897" s="66" t="str">
        <f>IF(ISNUMBER(F6897),E6897*F6897,"")</f>
        <v/>
      </c>
      <c r="H6897" s="68"/>
      <c r="I6897" s="30"/>
      <c r="J6897" s="152">
        <v>0</v>
      </c>
    </row>
    <row r="6898" spans="1:10" ht="15.75" hidden="1" thickBot="1" x14ac:dyDescent="0.3">
      <c r="A6898" s="170" t="s">
        <v>6205</v>
      </c>
      <c r="B6898" s="173" t="str">
        <f>INDEX(Orçamentária!A:B,MATCH(Composições!A6898,Orçamentária!A:A,0),2)</f>
        <v>Tampa em ferro fundido 20x20 cm</v>
      </c>
      <c r="C6898" s="40"/>
      <c r="D6898" s="25" t="s">
        <v>16</v>
      </c>
      <c r="E6898" s="26"/>
      <c r="F6898" s="41" t="s">
        <v>416</v>
      </c>
      <c r="G6898" s="27" t="str">
        <f>IF(ISNUMBER(F6898),E6898*F6898,"")</f>
        <v/>
      </c>
      <c r="H6898" s="28"/>
      <c r="I6898" s="29"/>
      <c r="J6898" s="152">
        <v>0</v>
      </c>
    </row>
    <row r="6899" spans="1:10" ht="15.75" hidden="1" thickBot="1" x14ac:dyDescent="0.3">
      <c r="A6899" s="176"/>
      <c r="B6899" s="174"/>
      <c r="C6899" s="31"/>
      <c r="D6899" s="31"/>
      <c r="E6899" s="32"/>
      <c r="F6899" s="42" t="s">
        <v>416</v>
      </c>
      <c r="G6899" s="30" t="str">
        <f>IF(ISNUMBER(F6899),E6899*F6899,"")</f>
        <v/>
      </c>
      <c r="H6899" s="34"/>
      <c r="I6899" s="30"/>
      <c r="J6899" s="152">
        <v>0</v>
      </c>
    </row>
    <row r="6900" spans="1:10" ht="26.25" hidden="1" thickBot="1" x14ac:dyDescent="0.3">
      <c r="A6900" s="176"/>
      <c r="B6900" s="174"/>
      <c r="C6900" s="35" t="s">
        <v>1030</v>
      </c>
      <c r="D6900" s="35" t="s">
        <v>213</v>
      </c>
      <c r="E6900" s="36">
        <v>1</v>
      </c>
      <c r="F6900" s="30">
        <v>94.847999999999999</v>
      </c>
      <c r="G6900" s="30">
        <f>IF(ISNUMBER(F6900),E6900*F6900,"")</f>
        <v>94.847999999999999</v>
      </c>
      <c r="H6900" s="38">
        <f>SUM(G6900:G6900)</f>
        <v>94.847999999999999</v>
      </c>
      <c r="I6900" s="39"/>
      <c r="J6900" s="152">
        <v>0</v>
      </c>
    </row>
    <row r="6901" spans="1:10" ht="15.75" hidden="1" thickBot="1" x14ac:dyDescent="0.3">
      <c r="A6901" s="177"/>
      <c r="B6901" s="175"/>
      <c r="C6901" s="54"/>
      <c r="D6901" s="54"/>
      <c r="E6901" s="65"/>
      <c r="F6901" s="66" t="s">
        <v>416</v>
      </c>
      <c r="G6901" s="66" t="str">
        <f>IF(ISNUMBER(F6901),E6901*F6901,"")</f>
        <v/>
      </c>
      <c r="H6901" s="68"/>
      <c r="I6901" s="30"/>
      <c r="J6901" s="152">
        <v>0</v>
      </c>
    </row>
    <row r="6902" spans="1:10" ht="15.75" hidden="1" thickBot="1" x14ac:dyDescent="0.3">
      <c r="A6902" s="170" t="s">
        <v>6207</v>
      </c>
      <c r="B6902" s="173" t="str">
        <f>INDEX(Orçamentária!A:B,MATCH(Composições!A6902,Orçamentária!A:A,0),2)</f>
        <v>Adaptador com Flange e Anel 85 mm x 3”</v>
      </c>
      <c r="C6902" s="40"/>
      <c r="D6902" s="25" t="s">
        <v>16</v>
      </c>
      <c r="E6902" s="26"/>
      <c r="F6902" s="41" t="s">
        <v>416</v>
      </c>
      <c r="G6902" s="27" t="str">
        <f>IF(ISNUMBER(F6902),E6902*F6902,"")</f>
        <v/>
      </c>
      <c r="H6902" s="28"/>
      <c r="I6902" s="29"/>
      <c r="J6902" s="152">
        <v>0</v>
      </c>
    </row>
    <row r="6903" spans="1:10" ht="15.75" hidden="1" thickBot="1" x14ac:dyDescent="0.3">
      <c r="A6903" s="176"/>
      <c r="B6903" s="174"/>
      <c r="C6903" s="31"/>
      <c r="D6903" s="31"/>
      <c r="E6903" s="32"/>
      <c r="F6903" s="42" t="s">
        <v>416</v>
      </c>
      <c r="G6903" s="30" t="str">
        <f>IF(ISNUMBER(F6903),E6903*F6903,"")</f>
        <v/>
      </c>
      <c r="H6903" s="34"/>
      <c r="I6903" s="30"/>
      <c r="J6903" s="152">
        <v>0</v>
      </c>
    </row>
    <row r="6904" spans="1:10" ht="26.25" hidden="1" thickBot="1" x14ac:dyDescent="0.3">
      <c r="A6904" s="176"/>
      <c r="B6904" s="174"/>
      <c r="C6904" s="35" t="s">
        <v>7973</v>
      </c>
      <c r="D6904" s="35" t="s">
        <v>213</v>
      </c>
      <c r="E6904" s="36">
        <v>1</v>
      </c>
      <c r="F6904" s="30">
        <v>301.72000000000003</v>
      </c>
      <c r="G6904" s="30">
        <f>IF(ISNUMBER(F6904),E6904*F6904,"")</f>
        <v>301.72000000000003</v>
      </c>
      <c r="H6904" s="38">
        <f>SUM(G6904:G6904)</f>
        <v>301.72000000000003</v>
      </c>
      <c r="I6904" s="39"/>
      <c r="J6904" s="152">
        <v>0</v>
      </c>
    </row>
    <row r="6905" spans="1:10" ht="15.75" hidden="1" thickBot="1" x14ac:dyDescent="0.3">
      <c r="A6905" s="177"/>
      <c r="B6905" s="175"/>
      <c r="C6905" s="54"/>
      <c r="D6905" s="54"/>
      <c r="E6905" s="65"/>
      <c r="F6905" s="66" t="s">
        <v>416</v>
      </c>
      <c r="G6905" s="66" t="str">
        <f>IF(ISNUMBER(F6905),E6905*F6905,"")</f>
        <v/>
      </c>
      <c r="H6905" s="68"/>
      <c r="I6905" s="30"/>
      <c r="J6905" s="152">
        <v>0</v>
      </c>
    </row>
    <row r="6906" spans="1:10" ht="15.75" hidden="1" thickBot="1" x14ac:dyDescent="0.3">
      <c r="A6906" s="170" t="s">
        <v>6215</v>
      </c>
      <c r="B6906" s="173" t="str">
        <f>INDEX(Orçamentária!A:B,MATCH(Composições!A6906,Orçamentária!A:A,0),2)</f>
        <v>Adaptador PVC água fria- 60 mm x 2”</v>
      </c>
      <c r="C6906" s="40"/>
      <c r="D6906" s="25" t="s">
        <v>16</v>
      </c>
      <c r="E6906" s="26"/>
      <c r="F6906" s="41" t="s">
        <v>416</v>
      </c>
      <c r="G6906" s="27" t="str">
        <f>IF(ISNUMBER(F6906),E6906*F6906,"")</f>
        <v/>
      </c>
      <c r="H6906" s="28"/>
      <c r="I6906" s="29"/>
      <c r="J6906" s="152">
        <v>0</v>
      </c>
    </row>
    <row r="6907" spans="1:10" ht="15.75" hidden="1" thickBot="1" x14ac:dyDescent="0.3">
      <c r="A6907" s="176"/>
      <c r="B6907" s="174"/>
      <c r="C6907" s="31"/>
      <c r="D6907" s="31"/>
      <c r="E6907" s="32"/>
      <c r="F6907" s="42" t="s">
        <v>416</v>
      </c>
      <c r="G6907" s="30" t="str">
        <f>IF(ISNUMBER(F6907),E6907*F6907,"")</f>
        <v/>
      </c>
      <c r="H6907" s="34"/>
      <c r="I6907" s="30"/>
      <c r="J6907" s="152">
        <v>0</v>
      </c>
    </row>
    <row r="6908" spans="1:10" ht="26.25" hidden="1" thickBot="1" x14ac:dyDescent="0.3">
      <c r="A6908" s="176"/>
      <c r="B6908" s="174"/>
      <c r="C6908" s="35" t="s">
        <v>7964</v>
      </c>
      <c r="D6908" s="35" t="s">
        <v>213</v>
      </c>
      <c r="E6908" s="36">
        <v>1</v>
      </c>
      <c r="F6908" s="30">
        <v>11.038999999999998</v>
      </c>
      <c r="G6908" s="30">
        <f>IF(ISNUMBER(F6908),E6908*F6908,"")</f>
        <v>11.038999999999998</v>
      </c>
      <c r="H6908" s="38">
        <f>SUM(G6908:G6908)</f>
        <v>11.038999999999998</v>
      </c>
      <c r="I6908" s="39"/>
      <c r="J6908" s="152">
        <v>0</v>
      </c>
    </row>
    <row r="6909" spans="1:10" ht="15.75" hidden="1" thickBot="1" x14ac:dyDescent="0.3">
      <c r="A6909" s="177"/>
      <c r="B6909" s="175"/>
      <c r="C6909" s="54"/>
      <c r="D6909" s="54"/>
      <c r="E6909" s="65"/>
      <c r="F6909" s="66" t="s">
        <v>416</v>
      </c>
      <c r="G6909" s="66" t="str">
        <f>IF(ISNUMBER(F6909),E6909*F6909,"")</f>
        <v/>
      </c>
      <c r="H6909" s="68"/>
      <c r="I6909" s="30"/>
      <c r="J6909" s="152">
        <v>0</v>
      </c>
    </row>
    <row r="6910" spans="1:10" ht="15.75" hidden="1" thickBot="1" x14ac:dyDescent="0.3">
      <c r="A6910" s="170" t="s">
        <v>6217</v>
      </c>
      <c r="B6910" s="173" t="str">
        <f>INDEX(Orçamentária!A:B,MATCH(Composições!A6910,Orçamentária!A:A,0),2)</f>
        <v>Manilha para Poço – 1,10 x 0,50 x 0,05 m</v>
      </c>
      <c r="C6910" s="40"/>
      <c r="D6910" s="25" t="s">
        <v>16</v>
      </c>
      <c r="E6910" s="26"/>
      <c r="F6910" s="41" t="s">
        <v>416</v>
      </c>
      <c r="G6910" s="27" t="str">
        <f>IF(ISNUMBER(F6910),E6910*F6910,"")</f>
        <v/>
      </c>
      <c r="H6910" s="28"/>
      <c r="I6910" s="29"/>
      <c r="J6910" s="152">
        <v>0</v>
      </c>
    </row>
    <row r="6911" spans="1:10" ht="15.75" hidden="1" thickBot="1" x14ac:dyDescent="0.3">
      <c r="A6911" s="176"/>
      <c r="B6911" s="174"/>
      <c r="C6911" s="31"/>
      <c r="D6911" s="31"/>
      <c r="E6911" s="32"/>
      <c r="F6911" s="42" t="s">
        <v>416</v>
      </c>
      <c r="G6911" s="30" t="str">
        <f>IF(ISNUMBER(F6911),E6911*F6911,"")</f>
        <v/>
      </c>
      <c r="H6911" s="34"/>
      <c r="I6911" s="30"/>
      <c r="J6911" s="152">
        <v>0</v>
      </c>
    </row>
    <row r="6912" spans="1:10" ht="39" hidden="1" thickBot="1" x14ac:dyDescent="0.3">
      <c r="A6912" s="176"/>
      <c r="B6912" s="174"/>
      <c r="C6912" s="35" t="s">
        <v>7983</v>
      </c>
      <c r="D6912" s="35" t="s">
        <v>213</v>
      </c>
      <c r="E6912" s="36">
        <v>1</v>
      </c>
      <c r="F6912" s="30">
        <v>278.39749999999998</v>
      </c>
      <c r="G6912" s="30">
        <f>IF(ISNUMBER(F6912),E6912*F6912,"")</f>
        <v>278.39749999999998</v>
      </c>
      <c r="H6912" s="38">
        <f>SUM(G6912:G6912)</f>
        <v>278.39749999999998</v>
      </c>
      <c r="I6912" s="39"/>
      <c r="J6912" s="152">
        <v>0</v>
      </c>
    </row>
    <row r="6913" spans="1:10" ht="15.75" hidden="1" thickBot="1" x14ac:dyDescent="0.3">
      <c r="A6913" s="177"/>
      <c r="B6913" s="175"/>
      <c r="C6913" s="54"/>
      <c r="D6913" s="54"/>
      <c r="E6913" s="65"/>
      <c r="F6913" s="66" t="s">
        <v>416</v>
      </c>
      <c r="G6913" s="66" t="str">
        <f>IF(ISNUMBER(F6913),E6913*F6913,"")</f>
        <v/>
      </c>
      <c r="H6913" s="68"/>
      <c r="I6913" s="30"/>
      <c r="J6913" s="152">
        <v>0</v>
      </c>
    </row>
    <row r="6914" spans="1:10" ht="15.75" hidden="1" thickBot="1" x14ac:dyDescent="0.3">
      <c r="A6914" s="170" t="s">
        <v>6219</v>
      </c>
      <c r="B6914" s="173" t="str">
        <f>INDEX(Orçamentária!A:B,MATCH(Composições!A6914,Orçamentária!A:A,0),2)</f>
        <v>Aquecedor elétrico horizontal – 200 L – Linha Residencial</v>
      </c>
      <c r="C6914" s="40"/>
      <c r="D6914" s="25" t="s">
        <v>16</v>
      </c>
      <c r="E6914" s="26"/>
      <c r="F6914" s="41" t="s">
        <v>416</v>
      </c>
      <c r="G6914" s="27" t="str">
        <f>IF(ISNUMBER(F6914),E6914*F6914,"")</f>
        <v/>
      </c>
      <c r="H6914" s="28"/>
      <c r="I6914" s="29"/>
      <c r="J6914" s="152">
        <v>0</v>
      </c>
    </row>
    <row r="6915" spans="1:10" ht="15.75" hidden="1" thickBot="1" x14ac:dyDescent="0.3">
      <c r="A6915" s="176"/>
      <c r="B6915" s="174"/>
      <c r="C6915" s="31"/>
      <c r="D6915" s="31"/>
      <c r="E6915" s="32"/>
      <c r="F6915" s="42" t="s">
        <v>416</v>
      </c>
      <c r="G6915" s="30" t="str">
        <f>IF(ISNUMBER(F6915),E6915*F6915,"")</f>
        <v/>
      </c>
      <c r="H6915" s="34"/>
      <c r="I6915" s="30"/>
      <c r="J6915" s="152">
        <v>0</v>
      </c>
    </row>
    <row r="6916" spans="1:10" ht="39" hidden="1" thickBot="1" x14ac:dyDescent="0.3">
      <c r="A6916" s="176"/>
      <c r="B6916" s="174"/>
      <c r="C6916" s="35" t="s">
        <v>7984</v>
      </c>
      <c r="D6916" s="35" t="s">
        <v>213</v>
      </c>
      <c r="E6916" s="36">
        <v>1</v>
      </c>
      <c r="F6916" s="30">
        <v>4887.1324999999997</v>
      </c>
      <c r="G6916" s="30">
        <f>IF(ISNUMBER(F6916),E6916*F6916,"")</f>
        <v>4887.1324999999997</v>
      </c>
      <c r="H6916" s="38">
        <f>SUM(G6916:G6916)</f>
        <v>4887.1324999999997</v>
      </c>
      <c r="I6916" s="39"/>
      <c r="J6916" s="152">
        <v>0</v>
      </c>
    </row>
    <row r="6917" spans="1:10" ht="15.75" hidden="1" thickBot="1" x14ac:dyDescent="0.3">
      <c r="A6917" s="177"/>
      <c r="B6917" s="175"/>
      <c r="C6917" s="54"/>
      <c r="D6917" s="54"/>
      <c r="E6917" s="65"/>
      <c r="F6917" s="66" t="s">
        <v>416</v>
      </c>
      <c r="G6917" s="66" t="str">
        <f>IF(ISNUMBER(F6917),E6917*F6917,"")</f>
        <v/>
      </c>
      <c r="H6917" s="68"/>
      <c r="I6917" s="30"/>
      <c r="J6917" s="152">
        <v>0</v>
      </c>
    </row>
    <row r="6918" spans="1:10" ht="15.75" hidden="1" thickBot="1" x14ac:dyDescent="0.3">
      <c r="A6918" s="170" t="s">
        <v>6253</v>
      </c>
      <c r="B6918" s="173" t="str">
        <f>INDEX(Orçamentária!A:B,MATCH(Composições!A6918,Orçamentária!A:A,0),2)</f>
        <v>Bucha de Redução em CPVC 28 x 22 mm</v>
      </c>
      <c r="C6918" s="40"/>
      <c r="D6918" s="25" t="s">
        <v>16</v>
      </c>
      <c r="E6918" s="26"/>
      <c r="F6918" s="41" t="s">
        <v>416</v>
      </c>
      <c r="G6918" s="27" t="str">
        <f>IF(ISNUMBER(F6918),E6918*F6918,"")</f>
        <v/>
      </c>
      <c r="H6918" s="28"/>
      <c r="I6918" s="29"/>
      <c r="J6918" s="152">
        <v>0</v>
      </c>
    </row>
    <row r="6919" spans="1:10" ht="15.75" hidden="1" thickBot="1" x14ac:dyDescent="0.3">
      <c r="A6919" s="176"/>
      <c r="B6919" s="174"/>
      <c r="C6919" s="31"/>
      <c r="D6919" s="31"/>
      <c r="E6919" s="32"/>
      <c r="F6919" s="42" t="s">
        <v>416</v>
      </c>
      <c r="G6919" s="30" t="str">
        <f>IF(ISNUMBER(F6919),E6919*F6919,"")</f>
        <v/>
      </c>
      <c r="H6919" s="34"/>
      <c r="I6919" s="30"/>
      <c r="J6919" s="152">
        <v>0</v>
      </c>
    </row>
    <row r="6920" spans="1:10" ht="26.25" hidden="1" thickBot="1" x14ac:dyDescent="0.3">
      <c r="A6920" s="176"/>
      <c r="B6920" s="174"/>
      <c r="C6920" s="35" t="s">
        <v>8023</v>
      </c>
      <c r="D6920" s="35" t="s">
        <v>213</v>
      </c>
      <c r="E6920" s="36">
        <v>1</v>
      </c>
      <c r="F6920" s="30">
        <v>2.8119999999999998</v>
      </c>
      <c r="G6920" s="30">
        <f>IF(ISNUMBER(F6920),E6920*F6920,"")</f>
        <v>2.8119999999999998</v>
      </c>
      <c r="H6920" s="38">
        <f>SUM(G6920:G6920)</f>
        <v>2.8119999999999998</v>
      </c>
      <c r="I6920" s="39"/>
      <c r="J6920" s="152">
        <v>0</v>
      </c>
    </row>
    <row r="6921" spans="1:10" ht="15.75" hidden="1" thickBot="1" x14ac:dyDescent="0.3">
      <c r="A6921" s="177"/>
      <c r="B6921" s="175"/>
      <c r="C6921" s="54"/>
      <c r="D6921" s="54"/>
      <c r="E6921" s="65"/>
      <c r="F6921" s="66" t="s">
        <v>416</v>
      </c>
      <c r="G6921" s="66" t="str">
        <f>IF(ISNUMBER(F6921),E6921*F6921,"")</f>
        <v/>
      </c>
      <c r="H6921" s="68"/>
      <c r="I6921" s="30"/>
      <c r="J6921" s="152">
        <v>0</v>
      </c>
    </row>
    <row r="6922" spans="1:10" ht="15.75" hidden="1" thickBot="1" x14ac:dyDescent="0.3">
      <c r="A6922" s="170" t="s">
        <v>6258</v>
      </c>
      <c r="B6922" s="173" t="str">
        <f>INDEX(Orçamentária!A:B,MATCH(Composições!A6922,Orçamentária!A:A,0),2)</f>
        <v>Plug Galvanizado 4”</v>
      </c>
      <c r="C6922" s="40"/>
      <c r="D6922" s="25" t="s">
        <v>16</v>
      </c>
      <c r="E6922" s="26"/>
      <c r="F6922" s="41" t="s">
        <v>416</v>
      </c>
      <c r="G6922" s="27" t="str">
        <f>IF(ISNUMBER(F6922),E6922*F6922,"")</f>
        <v/>
      </c>
      <c r="H6922" s="28"/>
      <c r="I6922" s="29"/>
      <c r="J6922" s="152">
        <v>0</v>
      </c>
    </row>
    <row r="6923" spans="1:10" ht="15.75" hidden="1" thickBot="1" x14ac:dyDescent="0.3">
      <c r="A6923" s="176"/>
      <c r="B6923" s="174"/>
      <c r="C6923" s="31"/>
      <c r="D6923" s="31"/>
      <c r="E6923" s="32"/>
      <c r="F6923" s="42" t="s">
        <v>416</v>
      </c>
      <c r="G6923" s="30" t="str">
        <f>IF(ISNUMBER(F6923),E6923*F6923,"")</f>
        <v/>
      </c>
      <c r="H6923" s="34"/>
      <c r="I6923" s="30"/>
      <c r="J6923" s="152">
        <v>0</v>
      </c>
    </row>
    <row r="6924" spans="1:10" ht="15.75" hidden="1" thickBot="1" x14ac:dyDescent="0.3">
      <c r="A6924" s="176"/>
      <c r="B6924" s="174"/>
      <c r="C6924" s="35" t="s">
        <v>8326</v>
      </c>
      <c r="D6924" s="35" t="s">
        <v>213</v>
      </c>
      <c r="E6924" s="36">
        <v>1</v>
      </c>
      <c r="F6924" s="30">
        <v>108.05299999999998</v>
      </c>
      <c r="G6924" s="30">
        <f>IF(ISNUMBER(F6924),E6924*F6924,"")</f>
        <v>108.05299999999998</v>
      </c>
      <c r="H6924" s="38">
        <f>SUM(G6924:G6924)</f>
        <v>108.05299999999998</v>
      </c>
      <c r="I6924" s="39"/>
      <c r="J6924" s="152">
        <v>0</v>
      </c>
    </row>
    <row r="6925" spans="1:10" ht="15.75" hidden="1" thickBot="1" x14ac:dyDescent="0.3">
      <c r="A6925" s="177"/>
      <c r="B6925" s="175"/>
      <c r="C6925" s="54"/>
      <c r="D6925" s="54"/>
      <c r="E6925" s="65"/>
      <c r="F6925" s="66" t="s">
        <v>416</v>
      </c>
      <c r="G6925" s="66" t="str">
        <f>IF(ISNUMBER(F6925),E6925*F6925,"")</f>
        <v/>
      </c>
      <c r="H6925" s="68"/>
      <c r="I6925" s="30"/>
      <c r="J6925" s="152">
        <v>0</v>
      </c>
    </row>
    <row r="6926" spans="1:10" ht="15.75" hidden="1" thickBot="1" x14ac:dyDescent="0.3">
      <c r="A6926" s="170" t="s">
        <v>6260</v>
      </c>
      <c r="B6926" s="173" t="str">
        <f>INDEX(Orçamentária!A:B,MATCH(Composições!A6926,Orçamentária!A:A,0),2)</f>
        <v>Caixa d’água 1000 Litros</v>
      </c>
      <c r="C6926" s="40"/>
      <c r="D6926" s="25" t="s">
        <v>16</v>
      </c>
      <c r="E6926" s="26"/>
      <c r="F6926" s="41" t="s">
        <v>416</v>
      </c>
      <c r="G6926" s="27" t="str">
        <f>IF(ISNUMBER(F6926),E6926*F6926,"")</f>
        <v/>
      </c>
      <c r="H6926" s="28"/>
      <c r="I6926" s="29"/>
      <c r="J6926" s="152">
        <v>0</v>
      </c>
    </row>
    <row r="6927" spans="1:10" ht="15.75" hidden="1" thickBot="1" x14ac:dyDescent="0.3">
      <c r="A6927" s="176"/>
      <c r="B6927" s="174"/>
      <c r="C6927" s="31"/>
      <c r="D6927" s="31"/>
      <c r="E6927" s="32"/>
      <c r="F6927" s="42" t="s">
        <v>416</v>
      </c>
      <c r="G6927" s="30" t="str">
        <f>IF(ISNUMBER(F6927),E6927*F6927,"")</f>
        <v/>
      </c>
      <c r="H6927" s="34"/>
      <c r="I6927" s="30"/>
      <c r="J6927" s="152">
        <v>0</v>
      </c>
    </row>
    <row r="6928" spans="1:10" ht="15.75" hidden="1" thickBot="1" x14ac:dyDescent="0.3">
      <c r="A6928" s="176"/>
      <c r="B6928" s="174"/>
      <c r="C6928" s="35" t="s">
        <v>8032</v>
      </c>
      <c r="D6928" s="35" t="s">
        <v>213</v>
      </c>
      <c r="E6928" s="36">
        <v>1</v>
      </c>
      <c r="F6928" s="30">
        <v>455.90499999999997</v>
      </c>
      <c r="G6928" s="30">
        <f>IF(ISNUMBER(F6928),E6928*F6928,"")</f>
        <v>455.90499999999997</v>
      </c>
      <c r="H6928" s="38">
        <f>SUM(G6928:G6928)</f>
        <v>455.90499999999997</v>
      </c>
      <c r="I6928" s="39"/>
      <c r="J6928" s="152">
        <v>0</v>
      </c>
    </row>
    <row r="6929" spans="1:10" ht="15.75" hidden="1" thickBot="1" x14ac:dyDescent="0.3">
      <c r="A6929" s="177"/>
      <c r="B6929" s="175"/>
      <c r="C6929" s="54"/>
      <c r="D6929" s="54"/>
      <c r="E6929" s="65"/>
      <c r="F6929" s="66" t="s">
        <v>416</v>
      </c>
      <c r="G6929" s="66" t="str">
        <f>IF(ISNUMBER(F6929),E6929*F6929,"")</f>
        <v/>
      </c>
      <c r="H6929" s="68"/>
      <c r="I6929" s="30"/>
      <c r="J6929" s="152">
        <v>0</v>
      </c>
    </row>
    <row r="6930" spans="1:10" ht="15.75" hidden="1" thickBot="1" x14ac:dyDescent="0.3">
      <c r="A6930" s="170" t="s">
        <v>6262</v>
      </c>
      <c r="B6930" s="173" t="str">
        <f>INDEX(Orçamentária!A:B,MATCH(Composições!A6930,Orçamentária!A:A,0),2)</f>
        <v>Canopla para Sprinkler de 1/2”, em latão cromado, diâmetro externo de 6,5 cm</v>
      </c>
      <c r="C6930" s="40"/>
      <c r="D6930" s="25" t="s">
        <v>16</v>
      </c>
      <c r="E6930" s="26"/>
      <c r="F6930" s="41" t="s">
        <v>416</v>
      </c>
      <c r="G6930" s="27" t="str">
        <f>IF(ISNUMBER(F6930),E6930*F6930,"")</f>
        <v/>
      </c>
      <c r="H6930" s="28"/>
      <c r="I6930" s="29"/>
      <c r="J6930" s="152">
        <v>0</v>
      </c>
    </row>
    <row r="6931" spans="1:10" ht="15.75" hidden="1" thickBot="1" x14ac:dyDescent="0.3">
      <c r="A6931" s="176"/>
      <c r="B6931" s="174"/>
      <c r="C6931" s="31"/>
      <c r="D6931" s="31"/>
      <c r="E6931" s="32"/>
      <c r="F6931" s="42" t="s">
        <v>416</v>
      </c>
      <c r="G6931" s="30" t="str">
        <f>IF(ISNUMBER(F6931),E6931*F6931,"")</f>
        <v/>
      </c>
      <c r="H6931" s="34"/>
      <c r="I6931" s="30"/>
      <c r="J6931" s="152">
        <v>0</v>
      </c>
    </row>
    <row r="6932" spans="1:10" ht="26.25" hidden="1" thickBot="1" x14ac:dyDescent="0.3">
      <c r="A6932" s="176"/>
      <c r="B6932" s="174"/>
      <c r="C6932" s="35" t="s">
        <v>8045</v>
      </c>
      <c r="D6932" s="35" t="s">
        <v>213</v>
      </c>
      <c r="E6932" s="36">
        <v>1</v>
      </c>
      <c r="F6932" s="30">
        <v>5.4339999999999993</v>
      </c>
      <c r="G6932" s="30">
        <f>IF(ISNUMBER(F6932),E6932*F6932,"")</f>
        <v>5.4339999999999993</v>
      </c>
      <c r="H6932" s="38">
        <f>SUM(G6932:G6932)</f>
        <v>5.4339999999999993</v>
      </c>
      <c r="I6932" s="39"/>
      <c r="J6932" s="152">
        <v>0</v>
      </c>
    </row>
    <row r="6933" spans="1:10" ht="15.75" hidden="1" thickBot="1" x14ac:dyDescent="0.3">
      <c r="A6933" s="177"/>
      <c r="B6933" s="175"/>
      <c r="C6933" s="54"/>
      <c r="D6933" s="54"/>
      <c r="E6933" s="65"/>
      <c r="F6933" s="66" t="s">
        <v>416</v>
      </c>
      <c r="G6933" s="66" t="str">
        <f>IF(ISNUMBER(F6933),E6933*F6933,"")</f>
        <v/>
      </c>
      <c r="H6933" s="68"/>
      <c r="I6933" s="30"/>
      <c r="J6933" s="152">
        <v>0</v>
      </c>
    </row>
    <row r="6934" spans="1:10" ht="15.75" hidden="1" thickBot="1" x14ac:dyDescent="0.3">
      <c r="A6934" s="170" t="s">
        <v>6263</v>
      </c>
      <c r="B6934" s="173" t="str">
        <f>INDEX(Orçamentária!A:B,MATCH(Composições!A6934,Orçamentária!A:A,0),2)</f>
        <v>Sprinkler Pendente 1/2” Cromado 68°C, Fator K80 (5,6)</v>
      </c>
      <c r="C6934" s="40"/>
      <c r="D6934" s="25" t="s">
        <v>16</v>
      </c>
      <c r="E6934" s="26"/>
      <c r="F6934" s="41" t="s">
        <v>416</v>
      </c>
      <c r="G6934" s="27" t="str">
        <f>IF(ISNUMBER(F6934),E6934*F6934,"")</f>
        <v/>
      </c>
      <c r="H6934" s="28"/>
      <c r="I6934" s="29"/>
      <c r="J6934" s="152">
        <v>0</v>
      </c>
    </row>
    <row r="6935" spans="1:10" ht="15.75" hidden="1" thickBot="1" x14ac:dyDescent="0.3">
      <c r="A6935" s="176"/>
      <c r="B6935" s="174"/>
      <c r="C6935" s="31"/>
      <c r="D6935" s="31"/>
      <c r="E6935" s="32"/>
      <c r="F6935" s="42" t="s">
        <v>416</v>
      </c>
      <c r="G6935" s="30" t="str">
        <f>IF(ISNUMBER(F6935),E6935*F6935,"")</f>
        <v/>
      </c>
      <c r="H6935" s="34"/>
      <c r="I6935" s="30"/>
      <c r="J6935" s="152">
        <v>0</v>
      </c>
    </row>
    <row r="6936" spans="1:10" ht="39" hidden="1" thickBot="1" x14ac:dyDescent="0.3">
      <c r="A6936" s="176"/>
      <c r="B6936" s="174"/>
      <c r="C6936" s="35" t="s">
        <v>8376</v>
      </c>
      <c r="D6936" s="35" t="s">
        <v>213</v>
      </c>
      <c r="E6936" s="36">
        <v>1</v>
      </c>
      <c r="F6936" s="30">
        <v>33.981500000000004</v>
      </c>
      <c r="G6936" s="30">
        <f>IF(ISNUMBER(F6936),E6936*F6936,"")</f>
        <v>33.981500000000004</v>
      </c>
      <c r="H6936" s="38">
        <f>SUM(G6936:G6936)</f>
        <v>33.981500000000004</v>
      </c>
      <c r="I6936" s="39"/>
      <c r="J6936" s="152">
        <v>0</v>
      </c>
    </row>
    <row r="6937" spans="1:10" ht="15.75" hidden="1" thickBot="1" x14ac:dyDescent="0.3">
      <c r="A6937" s="177"/>
      <c r="B6937" s="175"/>
      <c r="C6937" s="54"/>
      <c r="D6937" s="54"/>
      <c r="E6937" s="65"/>
      <c r="F6937" s="66" t="s">
        <v>416</v>
      </c>
      <c r="G6937" s="66" t="str">
        <f>IF(ISNUMBER(F6937),E6937*F6937,"")</f>
        <v/>
      </c>
      <c r="H6937" s="68"/>
      <c r="I6937" s="30"/>
      <c r="J6937" s="152">
        <v>0</v>
      </c>
    </row>
    <row r="6938" spans="1:10" ht="15.75" hidden="1" thickBot="1" x14ac:dyDescent="0.3">
      <c r="A6938" s="170" t="s">
        <v>6265</v>
      </c>
      <c r="B6938" s="173" t="str">
        <f>INDEX(Orçamentária!A:B,MATCH(Composições!A6938,Orçamentária!A:A,0),2)</f>
        <v>Cap PVC Soldável 60 mm</v>
      </c>
      <c r="C6938" s="40"/>
      <c r="D6938" s="25" t="s">
        <v>16</v>
      </c>
      <c r="E6938" s="26"/>
      <c r="F6938" s="41" t="s">
        <v>416</v>
      </c>
      <c r="G6938" s="27" t="str">
        <f>IF(ISNUMBER(F6938),E6938*F6938,"")</f>
        <v/>
      </c>
      <c r="H6938" s="28"/>
      <c r="I6938" s="29"/>
      <c r="J6938" s="152">
        <v>0</v>
      </c>
    </row>
    <row r="6939" spans="1:10" ht="15.75" hidden="1" thickBot="1" x14ac:dyDescent="0.3">
      <c r="A6939" s="176"/>
      <c r="B6939" s="174"/>
      <c r="C6939" s="31"/>
      <c r="D6939" s="31"/>
      <c r="E6939" s="32"/>
      <c r="F6939" s="42" t="s">
        <v>416</v>
      </c>
      <c r="G6939" s="30" t="str">
        <f>IF(ISNUMBER(F6939),E6939*F6939,"")</f>
        <v/>
      </c>
      <c r="H6939" s="34"/>
      <c r="I6939" s="30"/>
      <c r="J6939" s="152">
        <v>0</v>
      </c>
    </row>
    <row r="6940" spans="1:10" ht="15.75" hidden="1" thickBot="1" x14ac:dyDescent="0.3">
      <c r="A6940" s="176"/>
      <c r="B6940" s="174"/>
      <c r="C6940" s="35" t="s">
        <v>8054</v>
      </c>
      <c r="D6940" s="35" t="s">
        <v>213</v>
      </c>
      <c r="E6940" s="36">
        <v>1</v>
      </c>
      <c r="F6940" s="30">
        <v>11.798999999999999</v>
      </c>
      <c r="G6940" s="30">
        <f>IF(ISNUMBER(F6940),E6940*F6940,"")</f>
        <v>11.798999999999999</v>
      </c>
      <c r="H6940" s="38">
        <f>SUM(G6940:G6940)</f>
        <v>11.798999999999999</v>
      </c>
      <c r="I6940" s="39"/>
      <c r="J6940" s="152">
        <v>0</v>
      </c>
    </row>
    <row r="6941" spans="1:10" ht="15.75" hidden="1" thickBot="1" x14ac:dyDescent="0.3">
      <c r="A6941" s="177"/>
      <c r="B6941" s="175"/>
      <c r="C6941" s="54"/>
      <c r="D6941" s="54"/>
      <c r="E6941" s="65"/>
      <c r="F6941" s="66" t="s">
        <v>416</v>
      </c>
      <c r="G6941" s="66" t="str">
        <f>IF(ISNUMBER(F6941),E6941*F6941,"")</f>
        <v/>
      </c>
      <c r="H6941" s="68"/>
      <c r="I6941" s="30"/>
      <c r="J6941" s="152">
        <v>0</v>
      </c>
    </row>
    <row r="6942" spans="1:10" ht="15.75" hidden="1" thickBot="1" x14ac:dyDescent="0.3">
      <c r="A6942" s="170" t="s">
        <v>6269</v>
      </c>
      <c r="B6942" s="173" t="str">
        <f>INDEX(Orçamentária!A:B,MATCH(Composições!A6942,Orçamentária!A:A,0),2)</f>
        <v>Tê 90° em cobre 22 mm</v>
      </c>
      <c r="C6942" s="40"/>
      <c r="D6942" s="25" t="s">
        <v>16</v>
      </c>
      <c r="E6942" s="26"/>
      <c r="F6942" s="41" t="s">
        <v>416</v>
      </c>
      <c r="G6942" s="27" t="str">
        <f>IF(ISNUMBER(F6942),E6942*F6942,"")</f>
        <v/>
      </c>
      <c r="H6942" s="28"/>
      <c r="I6942" s="29"/>
      <c r="J6942" s="152">
        <v>0</v>
      </c>
    </row>
    <row r="6943" spans="1:10" ht="15.75" hidden="1" thickBot="1" x14ac:dyDescent="0.3">
      <c r="A6943" s="176"/>
      <c r="B6943" s="174"/>
      <c r="C6943" s="31"/>
      <c r="D6943" s="31"/>
      <c r="E6943" s="32"/>
      <c r="F6943" s="42" t="s">
        <v>416</v>
      </c>
      <c r="G6943" s="30" t="str">
        <f>IF(ISNUMBER(F6943),E6943*F6943,"")</f>
        <v/>
      </c>
      <c r="H6943" s="34"/>
      <c r="I6943" s="30"/>
      <c r="J6943" s="152">
        <v>0</v>
      </c>
    </row>
    <row r="6944" spans="1:10" ht="26.25" hidden="1" thickBot="1" x14ac:dyDescent="0.3">
      <c r="A6944" s="176"/>
      <c r="B6944" s="174"/>
      <c r="C6944" s="35" t="s">
        <v>8395</v>
      </c>
      <c r="D6944" s="35" t="s">
        <v>213</v>
      </c>
      <c r="E6944" s="36">
        <v>1</v>
      </c>
      <c r="F6944" s="30">
        <v>15.874499999999999</v>
      </c>
      <c r="G6944" s="30">
        <f>IF(ISNUMBER(F6944),E6944*F6944,"")</f>
        <v>15.874499999999999</v>
      </c>
      <c r="H6944" s="38">
        <f>SUM(G6944:G6944)</f>
        <v>15.874499999999999</v>
      </c>
      <c r="I6944" s="39"/>
      <c r="J6944" s="152">
        <v>0</v>
      </c>
    </row>
    <row r="6945" spans="1:10" ht="15.75" hidden="1" thickBot="1" x14ac:dyDescent="0.3">
      <c r="A6945" s="177"/>
      <c r="B6945" s="175"/>
      <c r="C6945" s="54"/>
      <c r="D6945" s="54"/>
      <c r="E6945" s="65"/>
      <c r="F6945" s="66" t="s">
        <v>416</v>
      </c>
      <c r="G6945" s="66" t="str">
        <f>IF(ISNUMBER(F6945),E6945*F6945,"")</f>
        <v/>
      </c>
      <c r="H6945" s="68"/>
      <c r="I6945" s="30"/>
      <c r="J6945" s="152">
        <v>0</v>
      </c>
    </row>
    <row r="6946" spans="1:10" ht="15.75" hidden="1" thickBot="1" x14ac:dyDescent="0.3">
      <c r="A6946" s="170" t="s">
        <v>6271</v>
      </c>
      <c r="B6946" s="173" t="str">
        <f>INDEX(Orçamentária!A:B,MATCH(Composições!A6946,Orçamentária!A:A,0),2)</f>
        <v>Conector em cobre ou bronze 22 mm x 3/4” fêmea</v>
      </c>
      <c r="C6946" s="40"/>
      <c r="D6946" s="25" t="s">
        <v>16</v>
      </c>
      <c r="E6946" s="26"/>
      <c r="F6946" s="41" t="s">
        <v>416</v>
      </c>
      <c r="G6946" s="27" t="str">
        <f>IF(ISNUMBER(F6946),E6946*F6946,"")</f>
        <v/>
      </c>
      <c r="H6946" s="28"/>
      <c r="I6946" s="29"/>
      <c r="J6946" s="152">
        <v>0</v>
      </c>
    </row>
    <row r="6947" spans="1:10" ht="15.75" hidden="1" thickBot="1" x14ac:dyDescent="0.3">
      <c r="A6947" s="176"/>
      <c r="B6947" s="174"/>
      <c r="C6947" s="31"/>
      <c r="D6947" s="31"/>
      <c r="E6947" s="32"/>
      <c r="F6947" s="42" t="s">
        <v>416</v>
      </c>
      <c r="G6947" s="30" t="str">
        <f>IF(ISNUMBER(F6947),E6947*F6947,"")</f>
        <v/>
      </c>
      <c r="H6947" s="34"/>
      <c r="I6947" s="30"/>
      <c r="J6947" s="152">
        <v>0</v>
      </c>
    </row>
    <row r="6948" spans="1:10" ht="26.25" hidden="1" thickBot="1" x14ac:dyDescent="0.3">
      <c r="A6948" s="176"/>
      <c r="B6948" s="174"/>
      <c r="C6948" s="35" t="s">
        <v>8082</v>
      </c>
      <c r="D6948" s="35" t="s">
        <v>213</v>
      </c>
      <c r="E6948" s="36">
        <v>1</v>
      </c>
      <c r="F6948" s="30">
        <v>18.534500000000001</v>
      </c>
      <c r="G6948" s="30">
        <f>IF(ISNUMBER(F6948),E6948*F6948,"")</f>
        <v>18.534500000000001</v>
      </c>
      <c r="H6948" s="38">
        <f>SUM(G6948:G6948)</f>
        <v>18.534500000000001</v>
      </c>
      <c r="I6948" s="39"/>
      <c r="J6948" s="152">
        <v>0</v>
      </c>
    </row>
    <row r="6949" spans="1:10" ht="15.75" hidden="1" thickBot="1" x14ac:dyDescent="0.3">
      <c r="A6949" s="177"/>
      <c r="B6949" s="175"/>
      <c r="C6949" s="54"/>
      <c r="D6949" s="54"/>
      <c r="E6949" s="65"/>
      <c r="F6949" s="66" t="s">
        <v>416</v>
      </c>
      <c r="G6949" s="66" t="str">
        <f>IF(ISNUMBER(F6949),E6949*F6949,"")</f>
        <v/>
      </c>
      <c r="H6949" s="68"/>
      <c r="I6949" s="30"/>
      <c r="J6949" s="152">
        <v>0</v>
      </c>
    </row>
    <row r="6950" spans="1:10" ht="15.75" hidden="1" thickBot="1" x14ac:dyDescent="0.3">
      <c r="A6950" s="170" t="s">
        <v>6277</v>
      </c>
      <c r="B6950" s="173" t="str">
        <f>INDEX(Orçamentária!A:B,MATCH(Composições!A6950,Orçamentária!A:A,0),2)</f>
        <v>Curva Ferro Galvanizado 90° Fêmea 2”</v>
      </c>
      <c r="C6950" s="40"/>
      <c r="D6950" s="25" t="s">
        <v>16</v>
      </c>
      <c r="E6950" s="26"/>
      <c r="F6950" s="41" t="s">
        <v>416</v>
      </c>
      <c r="G6950" s="27" t="str">
        <f>IF(ISNUMBER(F6950),E6950*F6950,"")</f>
        <v/>
      </c>
      <c r="H6950" s="28"/>
      <c r="I6950" s="29"/>
      <c r="J6950" s="152">
        <v>0</v>
      </c>
    </row>
    <row r="6951" spans="1:10" ht="15.75" hidden="1" thickBot="1" x14ac:dyDescent="0.3">
      <c r="A6951" s="176"/>
      <c r="B6951" s="174"/>
      <c r="C6951" s="31"/>
      <c r="D6951" s="31"/>
      <c r="E6951" s="32"/>
      <c r="F6951" s="42" t="s">
        <v>416</v>
      </c>
      <c r="G6951" s="30" t="str">
        <f>IF(ISNUMBER(F6951),E6951*F6951,"")</f>
        <v/>
      </c>
      <c r="H6951" s="34"/>
      <c r="I6951" s="30"/>
      <c r="J6951" s="152">
        <v>0</v>
      </c>
    </row>
    <row r="6952" spans="1:10" ht="26.25" hidden="1" thickBot="1" x14ac:dyDescent="0.3">
      <c r="A6952" s="176"/>
      <c r="B6952" s="174"/>
      <c r="C6952" s="35" t="s">
        <v>8117</v>
      </c>
      <c r="D6952" s="35" t="s">
        <v>213</v>
      </c>
      <c r="E6952" s="36">
        <v>1</v>
      </c>
      <c r="F6952" s="30">
        <v>131.63200000000001</v>
      </c>
      <c r="G6952" s="30">
        <f>IF(ISNUMBER(F6952),E6952*F6952,"")</f>
        <v>131.63200000000001</v>
      </c>
      <c r="H6952" s="38">
        <f>SUM(G6952:G6952)</f>
        <v>131.63200000000001</v>
      </c>
      <c r="I6952" s="39"/>
      <c r="J6952" s="152">
        <v>0</v>
      </c>
    </row>
    <row r="6953" spans="1:10" ht="15.75" hidden="1" thickBot="1" x14ac:dyDescent="0.3">
      <c r="A6953" s="177"/>
      <c r="B6953" s="175"/>
      <c r="C6953" s="54"/>
      <c r="D6953" s="54"/>
      <c r="E6953" s="65"/>
      <c r="F6953" s="66" t="s">
        <v>416</v>
      </c>
      <c r="G6953" s="66" t="str">
        <f>IF(ISNUMBER(F6953),E6953*F6953,"")</f>
        <v/>
      </c>
      <c r="H6953" s="68"/>
      <c r="I6953" s="30"/>
      <c r="J6953" s="152">
        <v>0</v>
      </c>
    </row>
    <row r="6954" spans="1:10" ht="15.75" hidden="1" thickBot="1" x14ac:dyDescent="0.3">
      <c r="A6954" s="170" t="s">
        <v>6279</v>
      </c>
      <c r="B6954" s="173" t="str">
        <f>INDEX(Orçamentária!A:B,MATCH(Composições!A6954,Orçamentária!A:A,0),2)</f>
        <v>Curva 45° Longa PVC esgoto ou águas pluviais predial DN 100 mm</v>
      </c>
      <c r="C6954" s="40"/>
      <c r="D6954" s="25" t="s">
        <v>16</v>
      </c>
      <c r="E6954" s="26"/>
      <c r="F6954" s="41" t="s">
        <v>416</v>
      </c>
      <c r="G6954" s="27" t="str">
        <f>IF(ISNUMBER(F6954),E6954*F6954,"")</f>
        <v/>
      </c>
      <c r="H6954" s="28"/>
      <c r="I6954" s="29"/>
      <c r="J6954" s="152">
        <v>0</v>
      </c>
    </row>
    <row r="6955" spans="1:10" ht="15.75" hidden="1" thickBot="1" x14ac:dyDescent="0.3">
      <c r="A6955" s="176"/>
      <c r="B6955" s="174"/>
      <c r="C6955" s="31"/>
      <c r="D6955" s="31"/>
      <c r="E6955" s="32"/>
      <c r="F6955" s="42" t="s">
        <v>416</v>
      </c>
      <c r="G6955" s="30" t="str">
        <f>IF(ISNUMBER(F6955),E6955*F6955,"")</f>
        <v/>
      </c>
      <c r="H6955" s="34"/>
      <c r="I6955" s="30"/>
      <c r="J6955" s="152">
        <v>0</v>
      </c>
    </row>
    <row r="6956" spans="1:10" ht="15.75" hidden="1" thickBot="1" x14ac:dyDescent="0.3">
      <c r="A6956" s="176"/>
      <c r="B6956" s="174"/>
      <c r="C6956" s="35" t="s">
        <v>6582</v>
      </c>
      <c r="D6956" s="46" t="s">
        <v>16</v>
      </c>
      <c r="E6956" s="36">
        <v>1</v>
      </c>
      <c r="F6956" s="30">
        <v>0</v>
      </c>
      <c r="G6956" s="30">
        <f>IF(ISNUMBER(F6956),E6956*F6956,"")</f>
        <v>0</v>
      </c>
      <c r="H6956" s="38">
        <f>SUM(G6956:G6956)</f>
        <v>0</v>
      </c>
      <c r="I6956" s="39"/>
      <c r="J6956" s="152">
        <v>0</v>
      </c>
    </row>
    <row r="6957" spans="1:10" ht="15.75" hidden="1" thickBot="1" x14ac:dyDescent="0.3">
      <c r="A6957" s="177"/>
      <c r="B6957" s="175"/>
      <c r="C6957" s="54"/>
      <c r="D6957" s="54"/>
      <c r="E6957" s="65"/>
      <c r="F6957" s="66" t="s">
        <v>416</v>
      </c>
      <c r="G6957" s="66" t="str">
        <f>IF(ISNUMBER(F6957),E6957*F6957,"")</f>
        <v/>
      </c>
      <c r="H6957" s="68"/>
      <c r="I6957" s="30"/>
      <c r="J6957" s="152">
        <v>0</v>
      </c>
    </row>
    <row r="6958" spans="1:10" ht="15.75" hidden="1" thickBot="1" x14ac:dyDescent="0.3">
      <c r="A6958" s="170" t="s">
        <v>6281</v>
      </c>
      <c r="B6958" s="173" t="str">
        <f>INDEX(Orçamentária!A:B,MATCH(Composições!A6958,Orçamentária!A:A,0),2)</f>
        <v>Curva 90° de aço-carbono galvanizado 3”</v>
      </c>
      <c r="C6958" s="40"/>
      <c r="D6958" s="25" t="s">
        <v>16</v>
      </c>
      <c r="E6958" s="26"/>
      <c r="F6958" s="41" t="s">
        <v>416</v>
      </c>
      <c r="G6958" s="27" t="str">
        <f>IF(ISNUMBER(F6958),E6958*F6958,"")</f>
        <v/>
      </c>
      <c r="H6958" s="28"/>
      <c r="I6958" s="29"/>
      <c r="J6958" s="152">
        <v>0</v>
      </c>
    </row>
    <row r="6959" spans="1:10" ht="15.75" hidden="1" thickBot="1" x14ac:dyDescent="0.3">
      <c r="A6959" s="176"/>
      <c r="B6959" s="174"/>
      <c r="C6959" s="31"/>
      <c r="D6959" s="31"/>
      <c r="E6959" s="32"/>
      <c r="F6959" s="42" t="s">
        <v>416</v>
      </c>
      <c r="G6959" s="30" t="str">
        <f>IF(ISNUMBER(F6959),E6959*F6959,"")</f>
        <v/>
      </c>
      <c r="H6959" s="34"/>
      <c r="I6959" s="30"/>
      <c r="J6959" s="152">
        <v>0</v>
      </c>
    </row>
    <row r="6960" spans="1:10" ht="26.25" hidden="1" thickBot="1" x14ac:dyDescent="0.3">
      <c r="A6960" s="176"/>
      <c r="B6960" s="174"/>
      <c r="C6960" s="35" t="s">
        <v>8118</v>
      </c>
      <c r="D6960" s="35" t="s">
        <v>213</v>
      </c>
      <c r="E6960" s="36">
        <v>1</v>
      </c>
      <c r="F6960" s="30">
        <v>308.35099999999994</v>
      </c>
      <c r="G6960" s="30">
        <f>IF(ISNUMBER(F6960),E6960*F6960,"")</f>
        <v>308.35099999999994</v>
      </c>
      <c r="H6960" s="38">
        <f t="shared" ref="H6960" si="55">SUM(G6960:G6960)</f>
        <v>308.35099999999994</v>
      </c>
      <c r="I6960" s="39"/>
      <c r="J6960" s="152">
        <v>0</v>
      </c>
    </row>
    <row r="6961" spans="1:10" ht="15.75" hidden="1" thickBot="1" x14ac:dyDescent="0.3">
      <c r="A6961" s="177"/>
      <c r="B6961" s="175"/>
      <c r="C6961" s="54"/>
      <c r="D6961" s="54"/>
      <c r="E6961" s="65"/>
      <c r="F6961" s="66" t="s">
        <v>416</v>
      </c>
      <c r="G6961" s="66" t="str">
        <f>IF(ISNUMBER(F6961),E6961*F6961,"")</f>
        <v/>
      </c>
      <c r="H6961" s="68"/>
      <c r="I6961" s="30"/>
      <c r="J6961" s="152">
        <v>0</v>
      </c>
    </row>
    <row r="6962" spans="1:10" ht="15.75" hidden="1" thickBot="1" x14ac:dyDescent="0.3">
      <c r="A6962" s="170" t="s">
        <v>6283</v>
      </c>
      <c r="B6962" s="173" t="str">
        <f>INDEX(Orçamentária!A:B,MATCH(Composições!A6962,Orçamentária!A:A,0),2)</f>
        <v>Curva 90° PVC esgoto DN 100 mm Série R</v>
      </c>
      <c r="C6962" s="40"/>
      <c r="D6962" s="25" t="s">
        <v>16</v>
      </c>
      <c r="E6962" s="26"/>
      <c r="F6962" s="41" t="s">
        <v>416</v>
      </c>
      <c r="G6962" s="27" t="str">
        <f>IF(ISNUMBER(F6962),E6962*F6962,"")</f>
        <v/>
      </c>
      <c r="H6962" s="28"/>
      <c r="I6962" s="29"/>
      <c r="J6962" s="152">
        <v>0</v>
      </c>
    </row>
    <row r="6963" spans="1:10" ht="15.75" hidden="1" thickBot="1" x14ac:dyDescent="0.3">
      <c r="A6963" s="176"/>
      <c r="B6963" s="174"/>
      <c r="C6963" s="31"/>
      <c r="D6963" s="31"/>
      <c r="E6963" s="32"/>
      <c r="F6963" s="42" t="s">
        <v>416</v>
      </c>
      <c r="G6963" s="30" t="str">
        <f>IF(ISNUMBER(F6963),E6963*F6963,"")</f>
        <v/>
      </c>
      <c r="H6963" s="34"/>
      <c r="I6963" s="30"/>
      <c r="J6963" s="152">
        <v>0</v>
      </c>
    </row>
    <row r="6964" spans="1:10" ht="26.25" hidden="1" thickBot="1" x14ac:dyDescent="0.3">
      <c r="A6964" s="176"/>
      <c r="B6964" s="174"/>
      <c r="C6964" s="35" t="s">
        <v>8109</v>
      </c>
      <c r="D6964" s="35" t="s">
        <v>213</v>
      </c>
      <c r="E6964" s="36">
        <v>1</v>
      </c>
      <c r="F6964" s="30">
        <v>34.855499999999999</v>
      </c>
      <c r="G6964" s="30">
        <f>IF(ISNUMBER(F6964),E6964*F6964,"")</f>
        <v>34.855499999999999</v>
      </c>
      <c r="H6964" s="38">
        <f t="shared" ref="H6964" si="56">SUM(G6964:G6964)</f>
        <v>34.855499999999999</v>
      </c>
      <c r="I6964" s="39"/>
      <c r="J6964" s="152">
        <v>0</v>
      </c>
    </row>
    <row r="6965" spans="1:10" ht="15.75" hidden="1" thickBot="1" x14ac:dyDescent="0.3">
      <c r="A6965" s="177"/>
      <c r="B6965" s="175"/>
      <c r="C6965" s="54"/>
      <c r="D6965" s="54"/>
      <c r="E6965" s="65"/>
      <c r="F6965" s="66" t="s">
        <v>416</v>
      </c>
      <c r="G6965" s="66" t="str">
        <f>IF(ISNUMBER(F6965),E6965*F6965,"")</f>
        <v/>
      </c>
      <c r="H6965" s="68"/>
      <c r="I6965" s="30"/>
      <c r="J6965" s="152">
        <v>0</v>
      </c>
    </row>
    <row r="6966" spans="1:10" ht="15.75" hidden="1" thickBot="1" x14ac:dyDescent="0.3">
      <c r="A6966" s="170" t="s">
        <v>6285</v>
      </c>
      <c r="B6966" s="173" t="str">
        <f>INDEX(Orçamentária!A:B,MATCH(Composições!A6966,Orçamentária!A:A,0),2)</f>
        <v>Fita perfurada em aço-carbono - 17 x 0,40 mm - rolo 30 m</v>
      </c>
      <c r="C6966" s="40"/>
      <c r="D6966" s="25" t="s">
        <v>16</v>
      </c>
      <c r="E6966" s="26"/>
      <c r="F6966" s="41" t="s">
        <v>416</v>
      </c>
      <c r="G6966" s="27" t="str">
        <f>IF(ISNUMBER(F6966),E6966*F6966,"")</f>
        <v/>
      </c>
      <c r="H6966" s="28"/>
      <c r="I6966" s="29"/>
      <c r="J6966" s="152">
        <v>0</v>
      </c>
    </row>
    <row r="6967" spans="1:10" ht="15.75" hidden="1" thickBot="1" x14ac:dyDescent="0.3">
      <c r="A6967" s="176"/>
      <c r="B6967" s="174"/>
      <c r="C6967" s="31"/>
      <c r="D6967" s="31"/>
      <c r="E6967" s="32"/>
      <c r="F6967" s="42" t="s">
        <v>416</v>
      </c>
      <c r="G6967" s="30" t="str">
        <f>IF(ISNUMBER(F6967),E6967*F6967,"")</f>
        <v/>
      </c>
      <c r="H6967" s="34"/>
      <c r="I6967" s="30"/>
      <c r="J6967" s="152">
        <v>0</v>
      </c>
    </row>
    <row r="6968" spans="1:10" ht="26.25" hidden="1" thickBot="1" x14ac:dyDescent="0.3">
      <c r="A6968" s="176"/>
      <c r="B6968" s="174"/>
      <c r="C6968" s="35" t="s">
        <v>8170</v>
      </c>
      <c r="D6968" s="35" t="s">
        <v>213</v>
      </c>
      <c r="E6968" s="36">
        <v>1</v>
      </c>
      <c r="F6968" s="30">
        <v>40.47</v>
      </c>
      <c r="G6968" s="30">
        <f>IF(ISNUMBER(F6968),E6968*F6968,"")</f>
        <v>40.47</v>
      </c>
      <c r="H6968" s="38">
        <f t="shared" ref="H6968" si="57">SUM(G6968:G6968)</f>
        <v>40.47</v>
      </c>
      <c r="I6968" s="39"/>
      <c r="J6968" s="152">
        <v>0</v>
      </c>
    </row>
    <row r="6969" spans="1:10" ht="15.75" hidden="1" thickBot="1" x14ac:dyDescent="0.3">
      <c r="A6969" s="177"/>
      <c r="B6969" s="175"/>
      <c r="C6969" s="54"/>
      <c r="D6969" s="54"/>
      <c r="E6969" s="65"/>
      <c r="F6969" s="66" t="s">
        <v>416</v>
      </c>
      <c r="G6969" s="66" t="str">
        <f>IF(ISNUMBER(F6969),E6969*F6969,"")</f>
        <v/>
      </c>
      <c r="H6969" s="68"/>
      <c r="I6969" s="30"/>
      <c r="J6969" s="152">
        <v>0</v>
      </c>
    </row>
    <row r="6970" spans="1:10" ht="15.75" hidden="1" thickBot="1" x14ac:dyDescent="0.3">
      <c r="A6970" s="170" t="s">
        <v>6286</v>
      </c>
      <c r="B6970" s="173" t="str">
        <f>INDEX(Orçamentária!A:B,MATCH(Composições!A6970,Orçamentária!A:A,0),2)</f>
        <v>Flange PVC soldável água fria DN 60 mm</v>
      </c>
      <c r="C6970" s="40"/>
      <c r="D6970" s="25" t="s">
        <v>16</v>
      </c>
      <c r="E6970" s="26"/>
      <c r="F6970" s="41" t="s">
        <v>416</v>
      </c>
      <c r="G6970" s="27" t="str">
        <f>IF(ISNUMBER(F6970),E6970*F6970,"")</f>
        <v/>
      </c>
      <c r="H6970" s="28"/>
      <c r="I6970" s="29"/>
      <c r="J6970" s="152">
        <v>0</v>
      </c>
    </row>
    <row r="6971" spans="1:10" ht="15.75" hidden="1" thickBot="1" x14ac:dyDescent="0.3">
      <c r="A6971" s="176"/>
      <c r="B6971" s="174"/>
      <c r="C6971" s="31"/>
      <c r="D6971" s="31"/>
      <c r="E6971" s="32"/>
      <c r="F6971" s="42" t="s">
        <v>416</v>
      </c>
      <c r="G6971" s="30" t="str">
        <f>IF(ISNUMBER(F6971),E6971*F6971,"")</f>
        <v/>
      </c>
      <c r="H6971" s="34"/>
      <c r="I6971" s="30"/>
      <c r="J6971" s="152">
        <v>0</v>
      </c>
    </row>
    <row r="6972" spans="1:10" ht="26.25" hidden="1" thickBot="1" x14ac:dyDescent="0.3">
      <c r="A6972" s="176"/>
      <c r="B6972" s="174"/>
      <c r="C6972" s="35" t="s">
        <v>7971</v>
      </c>
      <c r="D6972" s="35" t="s">
        <v>213</v>
      </c>
      <c r="E6972" s="36">
        <v>1</v>
      </c>
      <c r="F6972" s="30">
        <v>45.276999999999994</v>
      </c>
      <c r="G6972" s="30">
        <f>IF(ISNUMBER(F6972),E6972*F6972,"")</f>
        <v>45.276999999999994</v>
      </c>
      <c r="H6972" s="38">
        <f t="shared" ref="H6972" si="58">SUM(G6972:G6972)</f>
        <v>45.276999999999994</v>
      </c>
      <c r="I6972" s="39"/>
      <c r="J6972" s="152">
        <v>0</v>
      </c>
    </row>
    <row r="6973" spans="1:10" ht="15.75" hidden="1" thickBot="1" x14ac:dyDescent="0.3">
      <c r="A6973" s="177"/>
      <c r="B6973" s="175"/>
      <c r="C6973" s="54"/>
      <c r="D6973" s="54"/>
      <c r="E6973" s="65"/>
      <c r="F6973" s="66" t="s">
        <v>416</v>
      </c>
      <c r="G6973" s="66" t="str">
        <f>IF(ISNUMBER(F6973),E6973*F6973,"")</f>
        <v/>
      </c>
      <c r="H6973" s="68"/>
      <c r="I6973" s="30"/>
      <c r="J6973" s="152">
        <v>0</v>
      </c>
    </row>
    <row r="6974" spans="1:10" ht="15.75" hidden="1" thickBot="1" x14ac:dyDescent="0.3">
      <c r="A6974" s="170" t="s">
        <v>6287</v>
      </c>
      <c r="B6974" s="173" t="str">
        <f>INDEX(Orçamentária!A:B,MATCH(Composições!A6974,Orçamentária!A:A,0),2)</f>
        <v>Flange PVC soldável água fria DN 25 mm</v>
      </c>
      <c r="C6974" s="40"/>
      <c r="D6974" s="25" t="s">
        <v>16</v>
      </c>
      <c r="E6974" s="26"/>
      <c r="F6974" s="41" t="s">
        <v>416</v>
      </c>
      <c r="G6974" s="27" t="str">
        <f>IF(ISNUMBER(F6974),E6974*F6974,"")</f>
        <v/>
      </c>
      <c r="H6974" s="28"/>
      <c r="I6974" s="29"/>
      <c r="J6974" s="152">
        <v>0</v>
      </c>
    </row>
    <row r="6975" spans="1:10" ht="15.75" hidden="1" thickBot="1" x14ac:dyDescent="0.3">
      <c r="A6975" s="176"/>
      <c r="B6975" s="174"/>
      <c r="C6975" s="31"/>
      <c r="D6975" s="31"/>
      <c r="E6975" s="32"/>
      <c r="F6975" s="42" t="s">
        <v>416</v>
      </c>
      <c r="G6975" s="30" t="str">
        <f>IF(ISNUMBER(F6975),E6975*F6975,"")</f>
        <v/>
      </c>
      <c r="H6975" s="34"/>
      <c r="I6975" s="30"/>
      <c r="J6975" s="152">
        <v>0</v>
      </c>
    </row>
    <row r="6976" spans="1:10" ht="26.25" hidden="1" thickBot="1" x14ac:dyDescent="0.3">
      <c r="A6976" s="176"/>
      <c r="B6976" s="174"/>
      <c r="C6976" s="35" t="s">
        <v>7967</v>
      </c>
      <c r="D6976" s="35" t="s">
        <v>213</v>
      </c>
      <c r="E6976" s="36">
        <v>1</v>
      </c>
      <c r="F6976" s="30">
        <v>12.169499999999999</v>
      </c>
      <c r="G6976" s="30">
        <f>IF(ISNUMBER(F6976),E6976*F6976,"")</f>
        <v>12.169499999999999</v>
      </c>
      <c r="H6976" s="38">
        <f t="shared" ref="H6976" si="59">SUM(G6976:G6976)</f>
        <v>12.169499999999999</v>
      </c>
      <c r="I6976" s="39"/>
      <c r="J6976" s="152">
        <v>0</v>
      </c>
    </row>
    <row r="6977" spans="1:10" ht="15.75" hidden="1" thickBot="1" x14ac:dyDescent="0.3">
      <c r="A6977" s="177"/>
      <c r="B6977" s="175"/>
      <c r="C6977" s="54"/>
      <c r="D6977" s="54"/>
      <c r="E6977" s="65"/>
      <c r="F6977" s="66" t="s">
        <v>416</v>
      </c>
      <c r="G6977" s="66" t="str">
        <f>IF(ISNUMBER(F6977),E6977*F6977,"")</f>
        <v/>
      </c>
      <c r="H6977" s="68"/>
      <c r="I6977" s="30"/>
      <c r="J6977" s="152">
        <v>0</v>
      </c>
    </row>
    <row r="6978" spans="1:10" ht="15.75" hidden="1" thickBot="1" x14ac:dyDescent="0.3">
      <c r="A6978" s="170" t="s">
        <v>6296</v>
      </c>
      <c r="B6978" s="173" t="str">
        <f>INDEX(Orçamentária!A:B,MATCH(Composições!A6978,Orçamentária!A:A,0),2)</f>
        <v>Joelho 45° CPVC 28 mm – Linha Residencial</v>
      </c>
      <c r="C6978" s="40"/>
      <c r="D6978" s="25" t="s">
        <v>16</v>
      </c>
      <c r="E6978" s="26"/>
      <c r="F6978" s="41" t="s">
        <v>416</v>
      </c>
      <c r="G6978" s="27" t="str">
        <f>IF(ISNUMBER(F6978),E6978*F6978,"")</f>
        <v/>
      </c>
      <c r="H6978" s="28"/>
      <c r="I6978" s="29"/>
      <c r="J6978" s="152">
        <v>0</v>
      </c>
    </row>
    <row r="6979" spans="1:10" ht="15.75" hidden="1" thickBot="1" x14ac:dyDescent="0.3">
      <c r="A6979" s="176"/>
      <c r="B6979" s="174"/>
      <c r="C6979" s="31"/>
      <c r="D6979" s="31"/>
      <c r="E6979" s="32"/>
      <c r="F6979" s="42" t="s">
        <v>416</v>
      </c>
      <c r="G6979" s="30" t="str">
        <f>IF(ISNUMBER(F6979),E6979*F6979,"")</f>
        <v/>
      </c>
      <c r="H6979" s="34"/>
      <c r="I6979" s="30"/>
      <c r="J6979" s="152">
        <v>0</v>
      </c>
    </row>
    <row r="6980" spans="1:10" ht="15.75" hidden="1" thickBot="1" x14ac:dyDescent="0.3">
      <c r="A6980" s="176"/>
      <c r="B6980" s="174"/>
      <c r="C6980" s="35" t="s">
        <v>8180</v>
      </c>
      <c r="D6980" s="35" t="s">
        <v>213</v>
      </c>
      <c r="E6980" s="36">
        <v>1</v>
      </c>
      <c r="F6980" s="30">
        <v>5.89</v>
      </c>
      <c r="G6980" s="30">
        <f>IF(ISNUMBER(F6980),E6980*F6980,"")</f>
        <v>5.89</v>
      </c>
      <c r="H6980" s="38">
        <f t="shared" ref="H6980" si="60">SUM(G6980:G6980)</f>
        <v>5.89</v>
      </c>
      <c r="I6980" s="39"/>
      <c r="J6980" s="152">
        <v>0</v>
      </c>
    </row>
    <row r="6981" spans="1:10" ht="15.75" hidden="1" thickBot="1" x14ac:dyDescent="0.3">
      <c r="A6981" s="177"/>
      <c r="B6981" s="175"/>
      <c r="C6981" s="54"/>
      <c r="D6981" s="54"/>
      <c r="E6981" s="65"/>
      <c r="F6981" s="66" t="s">
        <v>416</v>
      </c>
      <c r="G6981" s="66" t="str">
        <f>IF(ISNUMBER(F6981),E6981*F6981,"")</f>
        <v/>
      </c>
      <c r="H6981" s="68"/>
      <c r="I6981" s="30"/>
      <c r="J6981" s="152">
        <v>0</v>
      </c>
    </row>
    <row r="6982" spans="1:10" ht="15.75" hidden="1" thickBot="1" x14ac:dyDescent="0.3">
      <c r="A6982" s="170" t="s">
        <v>6297</v>
      </c>
      <c r="B6982" s="173" t="str">
        <f>INDEX(Orçamentária!A:B,MATCH(Composições!A6982,Orçamentária!A:A,0),2)</f>
        <v>Joelho 45° PVC soldável água fria DN 60 mm</v>
      </c>
      <c r="C6982" s="40"/>
      <c r="D6982" s="25" t="s">
        <v>16</v>
      </c>
      <c r="E6982" s="26"/>
      <c r="F6982" s="41" t="s">
        <v>416</v>
      </c>
      <c r="G6982" s="27" t="str">
        <f>IF(ISNUMBER(F6982),E6982*F6982,"")</f>
        <v/>
      </c>
      <c r="H6982" s="28"/>
      <c r="I6982" s="29"/>
      <c r="J6982" s="152">
        <v>0</v>
      </c>
    </row>
    <row r="6983" spans="1:10" ht="15.75" hidden="1" thickBot="1" x14ac:dyDescent="0.3">
      <c r="A6983" s="176"/>
      <c r="B6983" s="174"/>
      <c r="C6983" s="31"/>
      <c r="D6983" s="31"/>
      <c r="E6983" s="32"/>
      <c r="F6983" s="42" t="s">
        <v>416</v>
      </c>
      <c r="G6983" s="30" t="str">
        <f>IF(ISNUMBER(F6983),E6983*F6983,"")</f>
        <v/>
      </c>
      <c r="H6983" s="34"/>
      <c r="I6983" s="30"/>
      <c r="J6983" s="152">
        <v>0</v>
      </c>
    </row>
    <row r="6984" spans="1:10" ht="26.25" hidden="1" thickBot="1" x14ac:dyDescent="0.3">
      <c r="A6984" s="176"/>
      <c r="B6984" s="174"/>
      <c r="C6984" s="35" t="s">
        <v>8209</v>
      </c>
      <c r="D6984" s="35" t="s">
        <v>213</v>
      </c>
      <c r="E6984" s="36">
        <v>1</v>
      </c>
      <c r="F6984" s="30">
        <v>26.875499999999999</v>
      </c>
      <c r="G6984" s="30">
        <f>IF(ISNUMBER(F6984),E6984*F6984,"")</f>
        <v>26.875499999999999</v>
      </c>
      <c r="H6984" s="38">
        <f t="shared" ref="H6984" si="61">SUM(G6984:G6984)</f>
        <v>26.875499999999999</v>
      </c>
      <c r="I6984" s="39"/>
      <c r="J6984" s="152">
        <v>0</v>
      </c>
    </row>
    <row r="6985" spans="1:10" ht="15.75" hidden="1" thickBot="1" x14ac:dyDescent="0.3">
      <c r="A6985" s="177"/>
      <c r="B6985" s="175"/>
      <c r="C6985" s="54"/>
      <c r="D6985" s="54"/>
      <c r="E6985" s="65"/>
      <c r="F6985" s="66" t="s">
        <v>416</v>
      </c>
      <c r="G6985" s="66" t="str">
        <f>IF(ISNUMBER(F6985),E6985*F6985,"")</f>
        <v/>
      </c>
      <c r="H6985" s="68"/>
      <c r="I6985" s="30"/>
      <c r="J6985" s="152">
        <v>0</v>
      </c>
    </row>
    <row r="6986" spans="1:10" ht="15.75" hidden="1" thickBot="1" x14ac:dyDescent="0.3">
      <c r="A6986" s="170" t="s">
        <v>6298</v>
      </c>
      <c r="B6986" s="173" t="str">
        <f>INDEX(Orçamentária!A:B,MATCH(Composições!A6986,Orçamentária!A:A,0),2)</f>
        <v>Joelho 45° CPVC 22 mm – Linha Residencial</v>
      </c>
      <c r="C6986" s="40"/>
      <c r="D6986" s="25" t="s">
        <v>16</v>
      </c>
      <c r="E6986" s="26"/>
      <c r="F6986" s="41" t="s">
        <v>416</v>
      </c>
      <c r="G6986" s="27" t="str">
        <f>IF(ISNUMBER(F6986),E6986*F6986,"")</f>
        <v/>
      </c>
      <c r="H6986" s="28"/>
      <c r="I6986" s="29"/>
      <c r="J6986" s="152">
        <v>0</v>
      </c>
    </row>
    <row r="6987" spans="1:10" ht="15.75" hidden="1" thickBot="1" x14ac:dyDescent="0.3">
      <c r="A6987" s="176"/>
      <c r="B6987" s="174"/>
      <c r="C6987" s="31"/>
      <c r="D6987" s="31"/>
      <c r="E6987" s="32"/>
      <c r="F6987" s="42" t="s">
        <v>416</v>
      </c>
      <c r="G6987" s="30" t="str">
        <f>IF(ISNUMBER(F6987),E6987*F6987,"")</f>
        <v/>
      </c>
      <c r="H6987" s="34"/>
      <c r="I6987" s="30"/>
      <c r="J6987" s="152">
        <v>0</v>
      </c>
    </row>
    <row r="6988" spans="1:10" ht="15.75" hidden="1" thickBot="1" x14ac:dyDescent="0.3">
      <c r="A6988" s="176"/>
      <c r="B6988" s="174"/>
      <c r="C6988" s="35" t="s">
        <v>8179</v>
      </c>
      <c r="D6988" s="35" t="s">
        <v>213</v>
      </c>
      <c r="E6988" s="36">
        <v>1</v>
      </c>
      <c r="F6988" s="30">
        <v>4.085</v>
      </c>
      <c r="G6988" s="30">
        <f>IF(ISNUMBER(F6988),E6988*F6988,"")</f>
        <v>4.085</v>
      </c>
      <c r="H6988" s="38">
        <f t="shared" ref="H6988" si="62">SUM(G6988:G6988)</f>
        <v>4.085</v>
      </c>
      <c r="I6988" s="39"/>
      <c r="J6988" s="152">
        <v>0</v>
      </c>
    </row>
    <row r="6989" spans="1:10" ht="15.75" hidden="1" thickBot="1" x14ac:dyDescent="0.3">
      <c r="A6989" s="177"/>
      <c r="B6989" s="175"/>
      <c r="C6989" s="54"/>
      <c r="D6989" s="54"/>
      <c r="E6989" s="65"/>
      <c r="F6989" s="66" t="s">
        <v>416</v>
      </c>
      <c r="G6989" s="66" t="str">
        <f>IF(ISNUMBER(F6989),E6989*F6989,"")</f>
        <v/>
      </c>
      <c r="H6989" s="68"/>
      <c r="I6989" s="30"/>
      <c r="J6989" s="152">
        <v>0</v>
      </c>
    </row>
    <row r="6990" spans="1:10" ht="15.75" hidden="1" thickBot="1" x14ac:dyDescent="0.3">
      <c r="A6990" s="170" t="s">
        <v>6299</v>
      </c>
      <c r="B6990" s="173" t="str">
        <f>INDEX(Orçamentária!A:B,MATCH(Composições!A6990,Orçamentária!A:A,0),2)</f>
        <v>Joelho 45° PVC esgoto ou águas pluviais predial DN 50 mm</v>
      </c>
      <c r="C6990" s="40"/>
      <c r="D6990" s="25" t="s">
        <v>16</v>
      </c>
      <c r="E6990" s="26"/>
      <c r="F6990" s="41" t="s">
        <v>416</v>
      </c>
      <c r="G6990" s="27" t="str">
        <f>IF(ISNUMBER(F6990),E6990*F6990,"")</f>
        <v/>
      </c>
      <c r="H6990" s="28"/>
      <c r="I6990" s="29"/>
      <c r="J6990" s="152">
        <v>0</v>
      </c>
    </row>
    <row r="6991" spans="1:10" ht="15.75" hidden="1" thickBot="1" x14ac:dyDescent="0.3">
      <c r="A6991" s="176"/>
      <c r="B6991" s="174"/>
      <c r="C6991" s="31"/>
      <c r="D6991" s="31"/>
      <c r="E6991" s="32"/>
      <c r="F6991" s="42" t="s">
        <v>416</v>
      </c>
      <c r="G6991" s="30" t="str">
        <f>IF(ISNUMBER(F6991),E6991*F6991,"")</f>
        <v/>
      </c>
      <c r="H6991" s="34"/>
      <c r="I6991" s="30"/>
      <c r="J6991" s="152">
        <v>0</v>
      </c>
    </row>
    <row r="6992" spans="1:10" ht="26.25" hidden="1" thickBot="1" x14ac:dyDescent="0.3">
      <c r="A6992" s="176"/>
      <c r="B6992" s="174"/>
      <c r="C6992" s="35" t="s">
        <v>8191</v>
      </c>
      <c r="D6992" s="35" t="s">
        <v>213</v>
      </c>
      <c r="E6992" s="36">
        <v>1</v>
      </c>
      <c r="F6992" s="30">
        <v>3.7239999999999998</v>
      </c>
      <c r="G6992" s="30">
        <f>IF(ISNUMBER(F6992),E6992*F6992,"")</f>
        <v>3.7239999999999998</v>
      </c>
      <c r="H6992" s="38">
        <f t="shared" ref="H6992" si="63">SUM(G6992:G6992)</f>
        <v>3.7239999999999998</v>
      </c>
      <c r="I6992" s="39"/>
      <c r="J6992" s="152">
        <v>0</v>
      </c>
    </row>
    <row r="6993" spans="1:10" ht="15.75" hidden="1" thickBot="1" x14ac:dyDescent="0.3">
      <c r="A6993" s="177"/>
      <c r="B6993" s="175"/>
      <c r="C6993" s="54"/>
      <c r="D6993" s="54"/>
      <c r="E6993" s="65"/>
      <c r="F6993" s="66" t="s">
        <v>416</v>
      </c>
      <c r="G6993" s="66" t="str">
        <f>IF(ISNUMBER(F6993),E6993*F6993,"")</f>
        <v/>
      </c>
      <c r="H6993" s="68"/>
      <c r="I6993" s="30"/>
      <c r="J6993" s="152">
        <v>0</v>
      </c>
    </row>
    <row r="6994" spans="1:10" ht="15.75" hidden="1" thickBot="1" x14ac:dyDescent="0.3">
      <c r="A6994" s="170" t="s">
        <v>6311</v>
      </c>
      <c r="B6994" s="173" t="str">
        <f>INDEX(Orçamentária!A:B,MATCH(Composições!A6994,Orçamentária!A:A,0),2)</f>
        <v>Joelho 90° CPVC 22 mm – Linha Residencial</v>
      </c>
      <c r="C6994" s="40"/>
      <c r="D6994" s="25" t="s">
        <v>16</v>
      </c>
      <c r="E6994" s="26"/>
      <c r="F6994" s="41" t="s">
        <v>416</v>
      </c>
      <c r="G6994" s="27" t="str">
        <f>IF(ISNUMBER(F6994),E6994*F6994,"")</f>
        <v/>
      </c>
      <c r="H6994" s="28"/>
      <c r="I6994" s="29"/>
      <c r="J6994" s="152">
        <v>0</v>
      </c>
    </row>
    <row r="6995" spans="1:10" ht="15.75" hidden="1" thickBot="1" x14ac:dyDescent="0.3">
      <c r="A6995" s="176"/>
      <c r="B6995" s="174"/>
      <c r="C6995" s="31"/>
      <c r="D6995" s="31"/>
      <c r="E6995" s="32"/>
      <c r="F6995" s="42" t="s">
        <v>416</v>
      </c>
      <c r="G6995" s="30" t="str">
        <f>IF(ISNUMBER(F6995),E6995*F6995,"")</f>
        <v/>
      </c>
      <c r="H6995" s="34"/>
      <c r="I6995" s="30"/>
      <c r="J6995" s="152">
        <v>0</v>
      </c>
    </row>
    <row r="6996" spans="1:10" ht="15.75" hidden="1" thickBot="1" x14ac:dyDescent="0.3">
      <c r="A6996" s="176"/>
      <c r="B6996" s="174"/>
      <c r="C6996" s="35" t="s">
        <v>8181</v>
      </c>
      <c r="D6996" s="35" t="s">
        <v>213</v>
      </c>
      <c r="E6996" s="36">
        <v>1</v>
      </c>
      <c r="F6996" s="30">
        <v>2.9830000000000001</v>
      </c>
      <c r="G6996" s="30">
        <f>IF(ISNUMBER(F6996),E6996*F6996,"")</f>
        <v>2.9830000000000001</v>
      </c>
      <c r="H6996" s="38">
        <f t="shared" ref="H6996" si="64">SUM(G6996:G6996)</f>
        <v>2.9830000000000001</v>
      </c>
      <c r="I6996" s="39"/>
      <c r="J6996" s="152">
        <v>0</v>
      </c>
    </row>
    <row r="6997" spans="1:10" ht="15.75" hidden="1" thickBot="1" x14ac:dyDescent="0.3">
      <c r="A6997" s="177"/>
      <c r="B6997" s="175"/>
      <c r="C6997" s="54"/>
      <c r="D6997" s="54"/>
      <c r="E6997" s="65"/>
      <c r="F6997" s="66" t="s">
        <v>416</v>
      </c>
      <c r="G6997" s="66" t="str">
        <f>IF(ISNUMBER(F6997),E6997*F6997,"")</f>
        <v/>
      </c>
      <c r="H6997" s="68"/>
      <c r="I6997" s="30"/>
      <c r="J6997" s="152">
        <v>0</v>
      </c>
    </row>
    <row r="6998" spans="1:10" ht="15.75" hidden="1" thickBot="1" x14ac:dyDescent="0.3">
      <c r="A6998" s="170" t="s">
        <v>6312</v>
      </c>
      <c r="B6998" s="173" t="str">
        <f>INDEX(Orçamentária!A:B,MATCH(Composições!A6998,Orçamentária!A:A,0),2)</f>
        <v>Joelho 90° CPVC 28 mm – Linha Residencial</v>
      </c>
      <c r="C6998" s="40"/>
      <c r="D6998" s="25" t="s">
        <v>16</v>
      </c>
      <c r="E6998" s="26"/>
      <c r="F6998" s="41" t="s">
        <v>416</v>
      </c>
      <c r="G6998" s="27" t="str">
        <f>IF(ISNUMBER(F6998),E6998*F6998,"")</f>
        <v/>
      </c>
      <c r="H6998" s="28"/>
      <c r="I6998" s="29"/>
      <c r="J6998" s="152">
        <v>0</v>
      </c>
    </row>
    <row r="6999" spans="1:10" ht="15.75" hidden="1" thickBot="1" x14ac:dyDescent="0.3">
      <c r="A6999" s="176"/>
      <c r="B6999" s="174"/>
      <c r="C6999" s="31"/>
      <c r="D6999" s="31"/>
      <c r="E6999" s="32"/>
      <c r="F6999" s="42" t="s">
        <v>416</v>
      </c>
      <c r="G6999" s="30" t="str">
        <f>IF(ISNUMBER(F6999),E6999*F6999,"")</f>
        <v/>
      </c>
      <c r="H6999" s="34"/>
      <c r="I6999" s="30"/>
      <c r="J6999" s="152">
        <v>0</v>
      </c>
    </row>
    <row r="7000" spans="1:10" ht="15.75" hidden="1" thickBot="1" x14ac:dyDescent="0.3">
      <c r="A7000" s="176"/>
      <c r="B7000" s="174"/>
      <c r="C7000" s="35" t="s">
        <v>8182</v>
      </c>
      <c r="D7000" s="35" t="s">
        <v>213</v>
      </c>
      <c r="E7000" s="36">
        <v>1</v>
      </c>
      <c r="F7000" s="30">
        <v>6.3459999999999992</v>
      </c>
      <c r="G7000" s="30">
        <f>IF(ISNUMBER(F7000),E7000*F7000,"")</f>
        <v>6.3459999999999992</v>
      </c>
      <c r="H7000" s="38">
        <f t="shared" ref="H7000" si="65">SUM(G7000:G7000)</f>
        <v>6.3459999999999992</v>
      </c>
      <c r="I7000" s="39"/>
      <c r="J7000" s="152">
        <v>0</v>
      </c>
    </row>
    <row r="7001" spans="1:10" ht="15.75" hidden="1" thickBot="1" x14ac:dyDescent="0.3">
      <c r="A7001" s="177"/>
      <c r="B7001" s="175"/>
      <c r="C7001" s="54"/>
      <c r="D7001" s="54"/>
      <c r="E7001" s="65"/>
      <c r="F7001" s="66" t="s">
        <v>416</v>
      </c>
      <c r="G7001" s="66" t="str">
        <f>IF(ISNUMBER(F7001),E7001*F7001,"")</f>
        <v/>
      </c>
      <c r="H7001" s="68"/>
      <c r="I7001" s="30"/>
      <c r="J7001" s="152">
        <v>0</v>
      </c>
    </row>
    <row r="7002" spans="1:10" ht="15.75" hidden="1" thickBot="1" x14ac:dyDescent="0.3">
      <c r="A7002" s="170" t="s">
        <v>6313</v>
      </c>
      <c r="B7002" s="173" t="str">
        <f>INDEX(Orçamentária!A:B,MATCH(Composições!A7002,Orçamentária!A:A,0),2)</f>
        <v>Joelho 90° PVC soldável água fria DN 60 mm</v>
      </c>
      <c r="C7002" s="40"/>
      <c r="D7002" s="25" t="s">
        <v>16</v>
      </c>
      <c r="E7002" s="26"/>
      <c r="F7002" s="41" t="s">
        <v>416</v>
      </c>
      <c r="G7002" s="27" t="str">
        <f>IF(ISNUMBER(F7002),E7002*F7002,"")</f>
        <v/>
      </c>
      <c r="H7002" s="28"/>
      <c r="I7002" s="29"/>
      <c r="J7002" s="152">
        <v>0</v>
      </c>
    </row>
    <row r="7003" spans="1:10" ht="15.75" hidden="1" thickBot="1" x14ac:dyDescent="0.3">
      <c r="A7003" s="176"/>
      <c r="B7003" s="174"/>
      <c r="C7003" s="31"/>
      <c r="D7003" s="31"/>
      <c r="E7003" s="32"/>
      <c r="F7003" s="42" t="s">
        <v>416</v>
      </c>
      <c r="G7003" s="30" t="str">
        <f>IF(ISNUMBER(F7003),E7003*F7003,"")</f>
        <v/>
      </c>
      <c r="H7003" s="34"/>
      <c r="I7003" s="30"/>
      <c r="J7003" s="152">
        <v>0</v>
      </c>
    </row>
    <row r="7004" spans="1:10" ht="26.25" hidden="1" thickBot="1" x14ac:dyDescent="0.3">
      <c r="A7004" s="176"/>
      <c r="B7004" s="174"/>
      <c r="C7004" s="35" t="s">
        <v>8203</v>
      </c>
      <c r="D7004" s="35" t="s">
        <v>213</v>
      </c>
      <c r="E7004" s="36">
        <v>1</v>
      </c>
      <c r="F7004" s="30">
        <v>28.604499999999998</v>
      </c>
      <c r="G7004" s="30">
        <f>IF(ISNUMBER(F7004),E7004*F7004,"")</f>
        <v>28.604499999999998</v>
      </c>
      <c r="H7004" s="38">
        <f t="shared" ref="H7004" si="66">SUM(G7004:G7004)</f>
        <v>28.604499999999998</v>
      </c>
      <c r="I7004" s="39"/>
      <c r="J7004" s="152">
        <v>0</v>
      </c>
    </row>
    <row r="7005" spans="1:10" ht="15.75" hidden="1" thickBot="1" x14ac:dyDescent="0.3">
      <c r="A7005" s="177"/>
      <c r="B7005" s="175"/>
      <c r="C7005" s="54"/>
      <c r="D7005" s="54"/>
      <c r="E7005" s="65"/>
      <c r="F7005" s="66" t="s">
        <v>416</v>
      </c>
      <c r="G7005" s="66" t="str">
        <f>IF(ISNUMBER(F7005),E7005*F7005,"")</f>
        <v/>
      </c>
      <c r="H7005" s="68"/>
      <c r="I7005" s="30"/>
      <c r="J7005" s="152">
        <v>0</v>
      </c>
    </row>
    <row r="7006" spans="1:10" ht="15.75" hidden="1" thickBot="1" x14ac:dyDescent="0.3">
      <c r="A7006" s="170" t="s">
        <v>6314</v>
      </c>
      <c r="B7006" s="173" t="str">
        <f>INDEX(Orçamentária!A:B,MATCH(Composições!A7006,Orçamentária!A:A,0),2)</f>
        <v>Tê 90° PVC soldável água fria DN 60 mm</v>
      </c>
      <c r="C7006" s="40"/>
      <c r="D7006" s="25" t="s">
        <v>16</v>
      </c>
      <c r="E7006" s="26"/>
      <c r="F7006" s="41" t="s">
        <v>416</v>
      </c>
      <c r="G7006" s="27" t="str">
        <f>IF(ISNUMBER(F7006),E7006*F7006,"")</f>
        <v/>
      </c>
      <c r="H7006" s="28"/>
      <c r="I7006" s="29"/>
      <c r="J7006" s="152">
        <v>0</v>
      </c>
    </row>
    <row r="7007" spans="1:10" ht="15.75" hidden="1" thickBot="1" x14ac:dyDescent="0.3">
      <c r="A7007" s="176"/>
      <c r="B7007" s="174"/>
      <c r="C7007" s="31"/>
      <c r="D7007" s="31"/>
      <c r="E7007" s="32"/>
      <c r="F7007" s="42" t="s">
        <v>416</v>
      </c>
      <c r="G7007" s="30" t="str">
        <f>IF(ISNUMBER(F7007),E7007*F7007,"")</f>
        <v/>
      </c>
      <c r="H7007" s="34"/>
      <c r="I7007" s="30"/>
      <c r="J7007" s="152">
        <v>0</v>
      </c>
    </row>
    <row r="7008" spans="1:10" ht="26.25" hidden="1" thickBot="1" x14ac:dyDescent="0.3">
      <c r="A7008" s="176"/>
      <c r="B7008" s="174"/>
      <c r="C7008" s="35" t="s">
        <v>8413</v>
      </c>
      <c r="D7008" s="35" t="s">
        <v>213</v>
      </c>
      <c r="E7008" s="36">
        <v>1</v>
      </c>
      <c r="F7008" s="30">
        <v>30.59</v>
      </c>
      <c r="G7008" s="30">
        <f>IF(ISNUMBER(F7008),E7008*F7008,"")</f>
        <v>30.59</v>
      </c>
      <c r="H7008" s="38">
        <f t="shared" ref="H7008" si="67">SUM(G7008:G7008)</f>
        <v>30.59</v>
      </c>
      <c r="I7008" s="39"/>
      <c r="J7008" s="152">
        <v>0</v>
      </c>
    </row>
    <row r="7009" spans="1:10" ht="15.75" hidden="1" thickBot="1" x14ac:dyDescent="0.3">
      <c r="A7009" s="177"/>
      <c r="B7009" s="175"/>
      <c r="C7009" s="54"/>
      <c r="D7009" s="54"/>
      <c r="E7009" s="65"/>
      <c r="F7009" s="66" t="s">
        <v>416</v>
      </c>
      <c r="G7009" s="66" t="str">
        <f>IF(ISNUMBER(F7009),E7009*F7009,"")</f>
        <v/>
      </c>
      <c r="H7009" s="68"/>
      <c r="I7009" s="30"/>
      <c r="J7009" s="152">
        <v>0</v>
      </c>
    </row>
    <row r="7010" spans="1:10" ht="15.75" hidden="1" thickBot="1" x14ac:dyDescent="0.3">
      <c r="A7010" s="170" t="s">
        <v>6319</v>
      </c>
      <c r="B7010" s="173" t="str">
        <f>INDEX(Orçamentária!A:B,MATCH(Composições!A7010,Orçamentária!A:A,0),2)</f>
        <v>Tubo PEAD corrugado para drenagem – Diâmetro 110 mm</v>
      </c>
      <c r="C7010" s="40"/>
      <c r="D7010" s="25" t="s">
        <v>69</v>
      </c>
      <c r="E7010" s="26"/>
      <c r="F7010" s="41" t="s">
        <v>416</v>
      </c>
      <c r="G7010" s="27" t="str">
        <f>IF(ISNUMBER(F7010),E7010*F7010,"")</f>
        <v/>
      </c>
      <c r="H7010" s="28"/>
      <c r="I7010" s="29"/>
      <c r="J7010" s="152">
        <v>0</v>
      </c>
    </row>
    <row r="7011" spans="1:10" ht="15.75" hidden="1" thickBot="1" x14ac:dyDescent="0.3">
      <c r="A7011" s="176"/>
      <c r="B7011" s="174"/>
      <c r="C7011" s="31"/>
      <c r="D7011" s="31"/>
      <c r="E7011" s="32"/>
      <c r="F7011" s="42" t="s">
        <v>416</v>
      </c>
      <c r="G7011" s="30" t="str">
        <f>IF(ISNUMBER(F7011),E7011*F7011,"")</f>
        <v/>
      </c>
      <c r="H7011" s="34"/>
      <c r="I7011" s="30"/>
      <c r="J7011" s="152">
        <v>0</v>
      </c>
    </row>
    <row r="7012" spans="1:10" ht="39" hidden="1" thickBot="1" x14ac:dyDescent="0.3">
      <c r="A7012" s="176"/>
      <c r="B7012" s="174"/>
      <c r="C7012" s="35" t="s">
        <v>962</v>
      </c>
      <c r="D7012" s="35" t="s">
        <v>385</v>
      </c>
      <c r="E7012" s="36">
        <v>1</v>
      </c>
      <c r="F7012" s="30">
        <v>10.754</v>
      </c>
      <c r="G7012" s="30">
        <f>IF(ISNUMBER(F7012),E7012*F7012,"")</f>
        <v>10.754</v>
      </c>
      <c r="H7012" s="38">
        <f t="shared" ref="H7012" si="68">SUM(G7012:G7012)</f>
        <v>10.754</v>
      </c>
      <c r="I7012" s="39"/>
      <c r="J7012" s="152">
        <v>0</v>
      </c>
    </row>
    <row r="7013" spans="1:10" ht="15.75" hidden="1" thickBot="1" x14ac:dyDescent="0.3">
      <c r="A7013" s="177"/>
      <c r="B7013" s="175"/>
      <c r="C7013" s="54"/>
      <c r="D7013" s="54"/>
      <c r="E7013" s="65"/>
      <c r="F7013" s="66" t="s">
        <v>416</v>
      </c>
      <c r="G7013" s="66" t="str">
        <f>IF(ISNUMBER(F7013),E7013*F7013,"")</f>
        <v/>
      </c>
      <c r="H7013" s="68"/>
      <c r="I7013" s="30"/>
      <c r="J7013" s="152">
        <v>0</v>
      </c>
    </row>
    <row r="7014" spans="1:10" ht="15.75" hidden="1" thickBot="1" x14ac:dyDescent="0.3">
      <c r="A7014" s="170" t="s">
        <v>6320</v>
      </c>
      <c r="B7014" s="173" t="str">
        <f>INDEX(Orçamentária!A:B,MATCH(Composições!A7014,Orçamentária!A:A,0),2)</f>
        <v>Tubo PVC para Calha 88 mm</v>
      </c>
      <c r="C7014" s="40"/>
      <c r="D7014" s="25" t="s">
        <v>69</v>
      </c>
      <c r="E7014" s="26"/>
      <c r="F7014" s="41" t="s">
        <v>416</v>
      </c>
      <c r="G7014" s="27" t="str">
        <f>IF(ISNUMBER(F7014),E7014*F7014,"")</f>
        <v/>
      </c>
      <c r="H7014" s="28"/>
      <c r="I7014" s="29"/>
      <c r="J7014" s="152">
        <v>0</v>
      </c>
    </row>
    <row r="7015" spans="1:10" ht="15.75" hidden="1" thickBot="1" x14ac:dyDescent="0.3">
      <c r="A7015" s="176"/>
      <c r="B7015" s="174"/>
      <c r="C7015" s="31"/>
      <c r="D7015" s="31"/>
      <c r="E7015" s="32"/>
      <c r="F7015" s="42" t="s">
        <v>416</v>
      </c>
      <c r="G7015" s="30" t="str">
        <f>IF(ISNUMBER(F7015),E7015*F7015,"")</f>
        <v/>
      </c>
      <c r="H7015" s="34"/>
      <c r="I7015" s="30"/>
      <c r="J7015" s="152">
        <v>0</v>
      </c>
    </row>
    <row r="7016" spans="1:10" ht="26.25" hidden="1" thickBot="1" x14ac:dyDescent="0.3">
      <c r="A7016" s="176"/>
      <c r="B7016" s="174"/>
      <c r="C7016" s="35" t="s">
        <v>8080</v>
      </c>
      <c r="D7016" s="35" t="s">
        <v>385</v>
      </c>
      <c r="E7016" s="36">
        <v>1</v>
      </c>
      <c r="F7016" s="30">
        <v>43.272499999999994</v>
      </c>
      <c r="G7016" s="30">
        <f>IF(ISNUMBER(F7016),E7016*F7016,"")</f>
        <v>43.272499999999994</v>
      </c>
      <c r="H7016" s="38">
        <f t="shared" ref="H7016" si="69">SUM(G7016:G7016)</f>
        <v>43.272499999999994</v>
      </c>
      <c r="I7016" s="39"/>
      <c r="J7016" s="152">
        <v>0</v>
      </c>
    </row>
    <row r="7017" spans="1:10" ht="15.75" hidden="1" thickBot="1" x14ac:dyDescent="0.3">
      <c r="A7017" s="177"/>
      <c r="B7017" s="175"/>
      <c r="C7017" s="54"/>
      <c r="D7017" s="54"/>
      <c r="E7017" s="65"/>
      <c r="F7017" s="66" t="s">
        <v>416</v>
      </c>
      <c r="G7017" s="66" t="str">
        <f>IF(ISNUMBER(F7017),E7017*F7017,"")</f>
        <v/>
      </c>
      <c r="H7017" s="68"/>
      <c r="I7017" s="30"/>
      <c r="J7017" s="152">
        <v>0</v>
      </c>
    </row>
    <row r="7018" spans="1:10" ht="15.75" hidden="1" thickBot="1" x14ac:dyDescent="0.3">
      <c r="A7018" s="170" t="s">
        <v>6321</v>
      </c>
      <c r="B7018" s="173" t="str">
        <f>INDEX(Orçamentária!A:B,MATCH(Composições!A7018,Orçamentária!A:A,0),2)</f>
        <v>Luva de Correr PVC esgoto ou águas pluviais predial DN 100 mm</v>
      </c>
      <c r="C7018" s="40"/>
      <c r="D7018" s="25" t="s">
        <v>16</v>
      </c>
      <c r="E7018" s="26"/>
      <c r="F7018" s="41" t="s">
        <v>416</v>
      </c>
      <c r="G7018" s="27" t="str">
        <f>IF(ISNUMBER(F7018),E7018*F7018,"")</f>
        <v/>
      </c>
      <c r="H7018" s="28"/>
      <c r="I7018" s="29"/>
      <c r="J7018" s="152">
        <v>0</v>
      </c>
    </row>
    <row r="7019" spans="1:10" ht="15.75" hidden="1" thickBot="1" x14ac:dyDescent="0.3">
      <c r="A7019" s="176"/>
      <c r="B7019" s="174"/>
      <c r="C7019" s="31"/>
      <c r="D7019" s="31"/>
      <c r="E7019" s="32"/>
      <c r="F7019" s="42" t="s">
        <v>416</v>
      </c>
      <c r="G7019" s="30" t="str">
        <f>IF(ISNUMBER(F7019),E7019*F7019,"")</f>
        <v/>
      </c>
      <c r="H7019" s="34"/>
      <c r="I7019" s="30"/>
      <c r="J7019" s="152">
        <v>0</v>
      </c>
    </row>
    <row r="7020" spans="1:10" ht="15.75" hidden="1" thickBot="1" x14ac:dyDescent="0.3">
      <c r="A7020" s="176"/>
      <c r="B7020" s="174"/>
      <c r="C7020" s="35" t="s">
        <v>8248</v>
      </c>
      <c r="D7020" s="35" t="s">
        <v>213</v>
      </c>
      <c r="E7020" s="36">
        <v>1</v>
      </c>
      <c r="F7020" s="30">
        <v>24.0825</v>
      </c>
      <c r="G7020" s="30">
        <f>IF(ISNUMBER(F7020),E7020*F7020,"")</f>
        <v>24.0825</v>
      </c>
      <c r="H7020" s="38">
        <f t="shared" ref="H7020" si="70">SUM(G7020:G7020)</f>
        <v>24.0825</v>
      </c>
      <c r="I7020" s="39"/>
      <c r="J7020" s="152">
        <v>0</v>
      </c>
    </row>
    <row r="7021" spans="1:10" ht="15.75" hidden="1" thickBot="1" x14ac:dyDescent="0.3">
      <c r="A7021" s="177"/>
      <c r="B7021" s="175"/>
      <c r="C7021" s="54"/>
      <c r="D7021" s="54"/>
      <c r="E7021" s="65"/>
      <c r="F7021" s="66" t="s">
        <v>416</v>
      </c>
      <c r="G7021" s="66" t="str">
        <f>IF(ISNUMBER(F7021),E7021*F7021,"")</f>
        <v/>
      </c>
      <c r="H7021" s="68"/>
      <c r="I7021" s="30"/>
      <c r="J7021" s="152">
        <v>0</v>
      </c>
    </row>
    <row r="7022" spans="1:10" ht="15.75" hidden="1" thickBot="1" x14ac:dyDescent="0.3">
      <c r="A7022" s="170" t="s">
        <v>6323</v>
      </c>
      <c r="B7022" s="173" t="str">
        <f>INDEX(Orçamentária!A:B,MATCH(Composições!A7022,Orçamentária!A:A,0),2)</f>
        <v>Luva de transição CPVC 1/2” x 22 mm  – Linha Residencial</v>
      </c>
      <c r="C7022" s="40"/>
      <c r="D7022" s="25" t="s">
        <v>16</v>
      </c>
      <c r="E7022" s="26"/>
      <c r="F7022" s="41" t="s">
        <v>416</v>
      </c>
      <c r="G7022" s="27" t="str">
        <f>IF(ISNUMBER(F7022),E7022*F7022,"")</f>
        <v/>
      </c>
      <c r="H7022" s="28"/>
      <c r="I7022" s="29"/>
      <c r="J7022" s="152">
        <v>0</v>
      </c>
    </row>
    <row r="7023" spans="1:10" ht="15.75" hidden="1" thickBot="1" x14ac:dyDescent="0.3">
      <c r="A7023" s="176"/>
      <c r="B7023" s="174"/>
      <c r="C7023" s="31"/>
      <c r="D7023" s="31"/>
      <c r="E7023" s="32"/>
      <c r="F7023" s="42" t="s">
        <v>416</v>
      </c>
      <c r="G7023" s="30" t="str">
        <f>IF(ISNUMBER(F7023),E7023*F7023,"")</f>
        <v/>
      </c>
      <c r="H7023" s="34"/>
      <c r="I7023" s="30"/>
      <c r="J7023" s="152">
        <v>0</v>
      </c>
    </row>
    <row r="7024" spans="1:10" ht="15.75" hidden="1" thickBot="1" x14ac:dyDescent="0.3">
      <c r="A7024" s="176"/>
      <c r="B7024" s="174"/>
      <c r="C7024" s="35" t="s">
        <v>8252</v>
      </c>
      <c r="D7024" s="35" t="s">
        <v>213</v>
      </c>
      <c r="E7024" s="36">
        <v>1</v>
      </c>
      <c r="F7024" s="30">
        <v>7.7424999999999997</v>
      </c>
      <c r="G7024" s="30">
        <f>IF(ISNUMBER(F7024),E7024*F7024,"")</f>
        <v>7.7424999999999997</v>
      </c>
      <c r="H7024" s="38">
        <f t="shared" ref="H7024" si="71">SUM(G7024:G7024)</f>
        <v>7.7424999999999997</v>
      </c>
      <c r="I7024" s="39"/>
      <c r="J7024" s="152">
        <v>0</v>
      </c>
    </row>
    <row r="7025" spans="1:10" ht="15.75" hidden="1" thickBot="1" x14ac:dyDescent="0.3">
      <c r="A7025" s="177"/>
      <c r="B7025" s="175"/>
      <c r="C7025" s="54"/>
      <c r="D7025" s="54"/>
      <c r="E7025" s="65"/>
      <c r="F7025" s="66" t="s">
        <v>416</v>
      </c>
      <c r="G7025" s="66" t="str">
        <f>IF(ISNUMBER(F7025),E7025*F7025,"")</f>
        <v/>
      </c>
      <c r="H7025" s="68"/>
      <c r="I7025" s="30"/>
      <c r="J7025" s="152">
        <v>0</v>
      </c>
    </row>
    <row r="7026" spans="1:10" ht="15.75" hidden="1" thickBot="1" x14ac:dyDescent="0.3">
      <c r="A7026" s="170" t="s">
        <v>6325</v>
      </c>
      <c r="B7026" s="173" t="str">
        <f>INDEX(Orçamentária!A:B,MATCH(Composições!A7026,Orçamentária!A:A,0),2)</f>
        <v>Luva em aço-carbono galvanizado 2 1/2” - Água Potável e Combate a Incêndio</v>
      </c>
      <c r="C7026" s="40"/>
      <c r="D7026" s="25" t="s">
        <v>16</v>
      </c>
      <c r="E7026" s="26"/>
      <c r="F7026" s="41" t="s">
        <v>416</v>
      </c>
      <c r="G7026" s="27" t="str">
        <f>IF(ISNUMBER(F7026),E7026*F7026,"")</f>
        <v/>
      </c>
      <c r="H7026" s="28"/>
      <c r="I7026" s="29"/>
      <c r="J7026" s="152">
        <v>0</v>
      </c>
    </row>
    <row r="7027" spans="1:10" ht="15.75" hidden="1" thickBot="1" x14ac:dyDescent="0.3">
      <c r="A7027" s="176"/>
      <c r="B7027" s="174"/>
      <c r="C7027" s="31"/>
      <c r="D7027" s="31"/>
      <c r="E7027" s="32"/>
      <c r="F7027" s="42" t="s">
        <v>416</v>
      </c>
      <c r="G7027" s="30" t="str">
        <f>IF(ISNUMBER(F7027),E7027*F7027,"")</f>
        <v/>
      </c>
      <c r="H7027" s="34"/>
      <c r="I7027" s="30"/>
      <c r="J7027" s="152">
        <v>0</v>
      </c>
    </row>
    <row r="7028" spans="1:10" ht="26.25" hidden="1" thickBot="1" x14ac:dyDescent="0.3">
      <c r="A7028" s="176"/>
      <c r="B7028" s="174"/>
      <c r="C7028" s="35" t="s">
        <v>8266</v>
      </c>
      <c r="D7028" s="35" t="s">
        <v>213</v>
      </c>
      <c r="E7028" s="36">
        <v>1</v>
      </c>
      <c r="F7028" s="30">
        <v>10.620999999999999</v>
      </c>
      <c r="G7028" s="30">
        <f>IF(ISNUMBER(F7028),E7028*F7028,"")</f>
        <v>10.620999999999999</v>
      </c>
      <c r="H7028" s="38">
        <f t="shared" ref="H7028" si="72">SUM(G7028:G7028)</f>
        <v>10.620999999999999</v>
      </c>
      <c r="I7028" s="39"/>
      <c r="J7028" s="152">
        <v>0</v>
      </c>
    </row>
    <row r="7029" spans="1:10" ht="15.75" hidden="1" thickBot="1" x14ac:dyDescent="0.3">
      <c r="A7029" s="177"/>
      <c r="B7029" s="175"/>
      <c r="C7029" s="54"/>
      <c r="D7029" s="54"/>
      <c r="E7029" s="65"/>
      <c r="F7029" s="66" t="s">
        <v>416</v>
      </c>
      <c r="G7029" s="66" t="str">
        <f>IF(ISNUMBER(F7029),E7029*F7029,"")</f>
        <v/>
      </c>
      <c r="H7029" s="68"/>
      <c r="I7029" s="30"/>
      <c r="J7029" s="152">
        <v>0</v>
      </c>
    </row>
    <row r="7030" spans="1:10" ht="15.75" hidden="1" thickBot="1" x14ac:dyDescent="0.3">
      <c r="A7030" s="170" t="s">
        <v>6327</v>
      </c>
      <c r="B7030" s="173" t="str">
        <f>INDEX(Orçamentária!A:B,MATCH(Composições!A7030,Orçamentária!A:A,0),2)</f>
        <v>Luva em aço-carbono galvanizado 2” - Água Potável e Combate a Incêndio</v>
      </c>
      <c r="C7030" s="40"/>
      <c r="D7030" s="25" t="s">
        <v>16</v>
      </c>
      <c r="E7030" s="26"/>
      <c r="F7030" s="41" t="s">
        <v>416</v>
      </c>
      <c r="G7030" s="27" t="str">
        <f>IF(ISNUMBER(F7030),E7030*F7030,"")</f>
        <v/>
      </c>
      <c r="H7030" s="28"/>
      <c r="I7030" s="29"/>
      <c r="J7030" s="152">
        <v>0</v>
      </c>
    </row>
    <row r="7031" spans="1:10" ht="15.75" hidden="1" thickBot="1" x14ac:dyDescent="0.3">
      <c r="A7031" s="176"/>
      <c r="B7031" s="174"/>
      <c r="C7031" s="31"/>
      <c r="D7031" s="31"/>
      <c r="E7031" s="32"/>
      <c r="F7031" s="42" t="s">
        <v>416</v>
      </c>
      <c r="G7031" s="30" t="str">
        <f>IF(ISNUMBER(F7031),E7031*F7031,"")</f>
        <v/>
      </c>
      <c r="H7031" s="34"/>
      <c r="I7031" s="30"/>
      <c r="J7031" s="152">
        <v>0</v>
      </c>
    </row>
    <row r="7032" spans="1:10" ht="26.25" hidden="1" thickBot="1" x14ac:dyDescent="0.3">
      <c r="A7032" s="176"/>
      <c r="B7032" s="174"/>
      <c r="C7032" s="35" t="s">
        <v>8265</v>
      </c>
      <c r="D7032" s="35" t="s">
        <v>213</v>
      </c>
      <c r="E7032" s="36">
        <v>1</v>
      </c>
      <c r="F7032" s="30">
        <v>7.2770000000000001</v>
      </c>
      <c r="G7032" s="30">
        <f>IF(ISNUMBER(F7032),E7032*F7032,"")</f>
        <v>7.2770000000000001</v>
      </c>
      <c r="H7032" s="38">
        <f t="shared" ref="H7032" si="73">SUM(G7032:G7032)</f>
        <v>7.2770000000000001</v>
      </c>
      <c r="I7032" s="39"/>
      <c r="J7032" s="152">
        <v>0</v>
      </c>
    </row>
    <row r="7033" spans="1:10" ht="15.75" hidden="1" thickBot="1" x14ac:dyDescent="0.3">
      <c r="A7033" s="177"/>
      <c r="B7033" s="175"/>
      <c r="C7033" s="54"/>
      <c r="D7033" s="54"/>
      <c r="E7033" s="65"/>
      <c r="F7033" s="66" t="s">
        <v>416</v>
      </c>
      <c r="G7033" s="66" t="str">
        <f>IF(ISNUMBER(F7033),E7033*F7033,"")</f>
        <v/>
      </c>
      <c r="H7033" s="68"/>
      <c r="I7033" s="30"/>
      <c r="J7033" s="152">
        <v>0</v>
      </c>
    </row>
    <row r="7034" spans="1:10" ht="15.75" hidden="1" thickBot="1" x14ac:dyDescent="0.3">
      <c r="A7034" s="170" t="s">
        <v>6329</v>
      </c>
      <c r="B7034" s="173" t="str">
        <f>INDEX(Orçamentária!A:B,MATCH(Composições!A7034,Orçamentária!A:A,0),2)</f>
        <v>Luva em aço-carbono galvanizado 3” - Água Potável e Combate a Incêndio</v>
      </c>
      <c r="C7034" s="40"/>
      <c r="D7034" s="25" t="s">
        <v>16</v>
      </c>
      <c r="E7034" s="26"/>
      <c r="F7034" s="41" t="s">
        <v>416</v>
      </c>
      <c r="G7034" s="27" t="str">
        <f>IF(ISNUMBER(F7034),E7034*F7034,"")</f>
        <v/>
      </c>
      <c r="H7034" s="28"/>
      <c r="I7034" s="29"/>
      <c r="J7034" s="152">
        <v>0</v>
      </c>
    </row>
    <row r="7035" spans="1:10" ht="15.75" hidden="1" thickBot="1" x14ac:dyDescent="0.3">
      <c r="A7035" s="176"/>
      <c r="B7035" s="174"/>
      <c r="C7035" s="31"/>
      <c r="D7035" s="31"/>
      <c r="E7035" s="32"/>
      <c r="F7035" s="42" t="s">
        <v>416</v>
      </c>
      <c r="G7035" s="30" t="str">
        <f>IF(ISNUMBER(F7035),E7035*F7035,"")</f>
        <v/>
      </c>
      <c r="H7035" s="34"/>
      <c r="I7035" s="30"/>
      <c r="J7035" s="152">
        <v>0</v>
      </c>
    </row>
    <row r="7036" spans="1:10" ht="26.25" hidden="1" thickBot="1" x14ac:dyDescent="0.3">
      <c r="A7036" s="176"/>
      <c r="B7036" s="174"/>
      <c r="C7036" s="35" t="s">
        <v>8267</v>
      </c>
      <c r="D7036" s="35" t="s">
        <v>213</v>
      </c>
      <c r="E7036" s="36">
        <v>1</v>
      </c>
      <c r="F7036" s="30">
        <v>16.1785</v>
      </c>
      <c r="G7036" s="30">
        <f>IF(ISNUMBER(F7036),E7036*F7036,"")</f>
        <v>16.1785</v>
      </c>
      <c r="H7036" s="38">
        <f t="shared" ref="H7036" si="74">SUM(G7036:G7036)</f>
        <v>16.1785</v>
      </c>
      <c r="I7036" s="39"/>
      <c r="J7036" s="152">
        <v>0</v>
      </c>
    </row>
    <row r="7037" spans="1:10" ht="15.75" hidden="1" thickBot="1" x14ac:dyDescent="0.3">
      <c r="A7037" s="177"/>
      <c r="B7037" s="175"/>
      <c r="C7037" s="54"/>
      <c r="D7037" s="54"/>
      <c r="E7037" s="65"/>
      <c r="F7037" s="66" t="s">
        <v>416</v>
      </c>
      <c r="G7037" s="66" t="str">
        <f>IF(ISNUMBER(F7037),E7037*F7037,"")</f>
        <v/>
      </c>
      <c r="H7037" s="68"/>
      <c r="I7037" s="30"/>
      <c r="J7037" s="152">
        <v>0</v>
      </c>
    </row>
    <row r="7038" spans="1:10" ht="15.75" hidden="1" thickBot="1" x14ac:dyDescent="0.3">
      <c r="A7038" s="170" t="s">
        <v>6331</v>
      </c>
      <c r="B7038" s="173" t="str">
        <f>INDEX(Orçamentária!A:B,MATCH(Composições!A7038,Orçamentária!A:A,0),2)</f>
        <v>Tê 45° (Junção) em aço-carbono galvanizado 2 1/2” – Água Potável e Combate a Incêndio</v>
      </c>
      <c r="C7038" s="40"/>
      <c r="D7038" s="25" t="s">
        <v>16</v>
      </c>
      <c r="E7038" s="26"/>
      <c r="F7038" s="41" t="s">
        <v>416</v>
      </c>
      <c r="G7038" s="27" t="str">
        <f>IF(ISNUMBER(F7038),E7038*F7038,"")</f>
        <v/>
      </c>
      <c r="H7038" s="28"/>
      <c r="I7038" s="29"/>
      <c r="J7038" s="152">
        <v>0</v>
      </c>
    </row>
    <row r="7039" spans="1:10" ht="15.75" hidden="1" thickBot="1" x14ac:dyDescent="0.3">
      <c r="A7039" s="176"/>
      <c r="B7039" s="174"/>
      <c r="C7039" s="31"/>
      <c r="D7039" s="31"/>
      <c r="E7039" s="32"/>
      <c r="F7039" s="42" t="s">
        <v>416</v>
      </c>
      <c r="G7039" s="30" t="str">
        <f>IF(ISNUMBER(F7039),E7039*F7039,"")</f>
        <v/>
      </c>
      <c r="H7039" s="34"/>
      <c r="I7039" s="30"/>
      <c r="J7039" s="152">
        <v>0</v>
      </c>
    </row>
    <row r="7040" spans="1:10" ht="15.75" hidden="1" thickBot="1" x14ac:dyDescent="0.3">
      <c r="A7040" s="176"/>
      <c r="B7040" s="174"/>
      <c r="C7040" s="35" t="s">
        <v>8417</v>
      </c>
      <c r="D7040" s="35" t="s">
        <v>213</v>
      </c>
      <c r="E7040" s="36">
        <v>1</v>
      </c>
      <c r="F7040" s="30">
        <v>257.04149999999998</v>
      </c>
      <c r="G7040" s="30">
        <f>IF(ISNUMBER(F7040),E7040*F7040,"")</f>
        <v>257.04149999999998</v>
      </c>
      <c r="H7040" s="38">
        <f t="shared" ref="H7040" si="75">SUM(G7040:G7040)</f>
        <v>257.04149999999998</v>
      </c>
      <c r="I7040" s="39"/>
      <c r="J7040" s="152">
        <v>0</v>
      </c>
    </row>
    <row r="7041" spans="1:10" ht="15.75" hidden="1" thickBot="1" x14ac:dyDescent="0.3">
      <c r="A7041" s="177"/>
      <c r="B7041" s="175"/>
      <c r="C7041" s="54"/>
      <c r="D7041" s="54"/>
      <c r="E7041" s="65"/>
      <c r="F7041" s="66" t="s">
        <v>416</v>
      </c>
      <c r="G7041" s="66" t="str">
        <f>IF(ISNUMBER(F7041),E7041*F7041,"")</f>
        <v/>
      </c>
      <c r="H7041" s="68"/>
      <c r="I7041" s="30"/>
      <c r="J7041" s="152">
        <v>0</v>
      </c>
    </row>
    <row r="7042" spans="1:10" ht="15.75" hidden="1" thickBot="1" x14ac:dyDescent="0.3">
      <c r="A7042" s="170" t="s">
        <v>6333</v>
      </c>
      <c r="B7042" s="173" t="str">
        <f>INDEX(Orçamentária!A:B,MATCH(Composições!A7042,Orçamentária!A:A,0),2)</f>
        <v>Tê 45° (Junção) em aço-carbono galvanizado 2” – Água Potável e Combate a Incêndio</v>
      </c>
      <c r="C7042" s="40"/>
      <c r="D7042" s="25" t="s">
        <v>16</v>
      </c>
      <c r="E7042" s="26"/>
      <c r="F7042" s="41" t="s">
        <v>416</v>
      </c>
      <c r="G7042" s="27" t="str">
        <f>IF(ISNUMBER(F7042),E7042*F7042,"")</f>
        <v/>
      </c>
      <c r="H7042" s="28"/>
      <c r="I7042" s="29"/>
      <c r="J7042" s="152">
        <v>0</v>
      </c>
    </row>
    <row r="7043" spans="1:10" ht="15.75" hidden="1" thickBot="1" x14ac:dyDescent="0.3">
      <c r="A7043" s="176"/>
      <c r="B7043" s="174"/>
      <c r="C7043" s="31"/>
      <c r="D7043" s="31"/>
      <c r="E7043" s="32"/>
      <c r="F7043" s="42" t="s">
        <v>416</v>
      </c>
      <c r="G7043" s="30" t="str">
        <f>IF(ISNUMBER(F7043),E7043*F7043,"")</f>
        <v/>
      </c>
      <c r="H7043" s="34"/>
      <c r="I7043" s="30"/>
      <c r="J7043" s="152">
        <v>0</v>
      </c>
    </row>
    <row r="7044" spans="1:10" ht="15.75" hidden="1" thickBot="1" x14ac:dyDescent="0.3">
      <c r="A7044" s="176"/>
      <c r="B7044" s="174"/>
      <c r="C7044" s="35" t="s">
        <v>8418</v>
      </c>
      <c r="D7044" s="35" t="s">
        <v>213</v>
      </c>
      <c r="E7044" s="36">
        <v>1</v>
      </c>
      <c r="F7044" s="30">
        <v>137.96849999999998</v>
      </c>
      <c r="G7044" s="30">
        <f>IF(ISNUMBER(F7044),E7044*F7044,"")</f>
        <v>137.96849999999998</v>
      </c>
      <c r="H7044" s="38">
        <f t="shared" ref="H7044" si="76">SUM(G7044:G7044)</f>
        <v>137.96849999999998</v>
      </c>
      <c r="I7044" s="39"/>
      <c r="J7044" s="152">
        <v>0</v>
      </c>
    </row>
    <row r="7045" spans="1:10" ht="15.75" hidden="1" thickBot="1" x14ac:dyDescent="0.3">
      <c r="A7045" s="177"/>
      <c r="B7045" s="175"/>
      <c r="C7045" s="54"/>
      <c r="D7045" s="54"/>
      <c r="E7045" s="65"/>
      <c r="F7045" s="66" t="s">
        <v>416</v>
      </c>
      <c r="G7045" s="66" t="str">
        <f>IF(ISNUMBER(F7045),E7045*F7045,"")</f>
        <v/>
      </c>
      <c r="H7045" s="68"/>
      <c r="I7045" s="30"/>
      <c r="J7045" s="152">
        <v>0</v>
      </c>
    </row>
    <row r="7046" spans="1:10" ht="15.75" hidden="1" thickBot="1" x14ac:dyDescent="0.3">
      <c r="A7046" s="170" t="s">
        <v>6335</v>
      </c>
      <c r="B7046" s="173" t="str">
        <f>INDEX(Orçamentária!A:B,MATCH(Composições!A7046,Orçamentária!A:A,0),2)</f>
        <v>Tê 45° (Junção) em aço-carbono galvanizado 3” – Água Potável e Combate a Incêndio</v>
      </c>
      <c r="C7046" s="40"/>
      <c r="D7046" s="25" t="s">
        <v>16</v>
      </c>
      <c r="E7046" s="26"/>
      <c r="F7046" s="41" t="s">
        <v>416</v>
      </c>
      <c r="G7046" s="27" t="str">
        <f>IF(ISNUMBER(F7046),E7046*F7046,"")</f>
        <v/>
      </c>
      <c r="H7046" s="28"/>
      <c r="I7046" s="29"/>
      <c r="J7046" s="152">
        <v>0</v>
      </c>
    </row>
    <row r="7047" spans="1:10" ht="15.75" hidden="1" thickBot="1" x14ac:dyDescent="0.3">
      <c r="A7047" s="176"/>
      <c r="B7047" s="174"/>
      <c r="C7047" s="31"/>
      <c r="D7047" s="31"/>
      <c r="E7047" s="32"/>
      <c r="F7047" s="42" t="s">
        <v>416</v>
      </c>
      <c r="G7047" s="30" t="str">
        <f>IF(ISNUMBER(F7047),E7047*F7047,"")</f>
        <v/>
      </c>
      <c r="H7047" s="34"/>
      <c r="I7047" s="30"/>
      <c r="J7047" s="152">
        <v>0</v>
      </c>
    </row>
    <row r="7048" spans="1:10" ht="15.75" hidden="1" thickBot="1" x14ac:dyDescent="0.3">
      <c r="A7048" s="176"/>
      <c r="B7048" s="174"/>
      <c r="C7048" s="35" t="s">
        <v>8419</v>
      </c>
      <c r="D7048" s="35" t="s">
        <v>213</v>
      </c>
      <c r="E7048" s="36">
        <v>1</v>
      </c>
      <c r="F7048" s="30">
        <v>406.30549999999999</v>
      </c>
      <c r="G7048" s="30">
        <f>IF(ISNUMBER(F7048),E7048*F7048,"")</f>
        <v>406.30549999999999</v>
      </c>
      <c r="H7048" s="38">
        <f t="shared" ref="H7048" si="77">SUM(G7048:G7048)</f>
        <v>406.30549999999999</v>
      </c>
      <c r="I7048" s="39"/>
      <c r="J7048" s="152">
        <v>0</v>
      </c>
    </row>
    <row r="7049" spans="1:10" ht="15.75" hidden="1" thickBot="1" x14ac:dyDescent="0.3">
      <c r="A7049" s="177"/>
      <c r="B7049" s="175"/>
      <c r="C7049" s="54"/>
      <c r="D7049" s="54"/>
      <c r="E7049" s="65"/>
      <c r="F7049" s="66" t="s">
        <v>416</v>
      </c>
      <c r="G7049" s="66" t="str">
        <f>IF(ISNUMBER(F7049),E7049*F7049,"")</f>
        <v/>
      </c>
      <c r="H7049" s="68"/>
      <c r="I7049" s="30"/>
      <c r="J7049" s="152">
        <v>0</v>
      </c>
    </row>
    <row r="7050" spans="1:10" ht="15.75" hidden="1" thickBot="1" x14ac:dyDescent="0.3">
      <c r="A7050" s="170" t="s">
        <v>6337</v>
      </c>
      <c r="B7050" s="173" t="str">
        <f>INDEX(Orçamentária!A:B,MATCH(Composições!A7050,Orçamentária!A:A,0),2)</f>
        <v>Tê 45° (Junção) PVC esgoto ou águas pluviais predial DN 75 mm</v>
      </c>
      <c r="C7050" s="40"/>
      <c r="D7050" s="25" t="s">
        <v>16</v>
      </c>
      <c r="E7050" s="26"/>
      <c r="F7050" s="41" t="s">
        <v>416</v>
      </c>
      <c r="G7050" s="27" t="str">
        <f>IF(ISNUMBER(F7050),E7050*F7050,"")</f>
        <v/>
      </c>
      <c r="H7050" s="28"/>
      <c r="I7050" s="29"/>
      <c r="J7050" s="152">
        <v>0</v>
      </c>
    </row>
    <row r="7051" spans="1:10" ht="15.75" hidden="1" thickBot="1" x14ac:dyDescent="0.3">
      <c r="A7051" s="176"/>
      <c r="B7051" s="174"/>
      <c r="C7051" s="31"/>
      <c r="D7051" s="31"/>
      <c r="E7051" s="32"/>
      <c r="F7051" s="42" t="s">
        <v>416</v>
      </c>
      <c r="G7051" s="30" t="str">
        <f>IF(ISNUMBER(F7051),E7051*F7051,"")</f>
        <v/>
      </c>
      <c r="H7051" s="34"/>
      <c r="I7051" s="30"/>
      <c r="J7051" s="152">
        <v>0</v>
      </c>
    </row>
    <row r="7052" spans="1:10" ht="26.25" hidden="1" thickBot="1" x14ac:dyDescent="0.3">
      <c r="A7052" s="176"/>
      <c r="B7052" s="174"/>
      <c r="C7052" s="35" t="s">
        <v>8215</v>
      </c>
      <c r="D7052" s="35" t="s">
        <v>213</v>
      </c>
      <c r="E7052" s="36">
        <v>1</v>
      </c>
      <c r="F7052" s="30">
        <v>36.308999999999997</v>
      </c>
      <c r="G7052" s="30">
        <f>IF(ISNUMBER(F7052),E7052*F7052,"")</f>
        <v>36.308999999999997</v>
      </c>
      <c r="H7052" s="38">
        <f t="shared" ref="H7052" si="78">SUM(G7052:G7052)</f>
        <v>36.308999999999997</v>
      </c>
      <c r="I7052" s="39"/>
      <c r="J7052" s="152">
        <v>0</v>
      </c>
    </row>
    <row r="7053" spans="1:10" ht="15.75" hidden="1" thickBot="1" x14ac:dyDescent="0.3">
      <c r="A7053" s="177"/>
      <c r="B7053" s="175"/>
      <c r="C7053" s="54"/>
      <c r="D7053" s="54"/>
      <c r="E7053" s="65"/>
      <c r="F7053" s="66" t="s">
        <v>416</v>
      </c>
      <c r="G7053" s="66" t="str">
        <f>IF(ISNUMBER(F7053),E7053*F7053,"")</f>
        <v/>
      </c>
      <c r="H7053" s="68"/>
      <c r="I7053" s="30"/>
      <c r="J7053" s="152">
        <v>0</v>
      </c>
    </row>
    <row r="7054" spans="1:10" ht="15.75" hidden="1" thickBot="1" x14ac:dyDescent="0.3">
      <c r="A7054" s="170" t="s">
        <v>6338</v>
      </c>
      <c r="B7054" s="173" t="str">
        <f>INDEX(Orçamentária!A:B,MATCH(Composições!A7054,Orçamentária!A:A,0),2)</f>
        <v>União CPVC 22 mm – Linha Residencial</v>
      </c>
      <c r="C7054" s="40"/>
      <c r="D7054" s="25" t="s">
        <v>16</v>
      </c>
      <c r="E7054" s="26"/>
      <c r="F7054" s="41" t="s">
        <v>416</v>
      </c>
      <c r="G7054" s="27" t="str">
        <f>IF(ISNUMBER(F7054),E7054*F7054,"")</f>
        <v/>
      </c>
      <c r="H7054" s="28"/>
      <c r="I7054" s="29"/>
      <c r="J7054" s="152">
        <v>0</v>
      </c>
    </row>
    <row r="7055" spans="1:10" ht="15.75" hidden="1" thickBot="1" x14ac:dyDescent="0.3">
      <c r="A7055" s="176"/>
      <c r="B7055" s="174"/>
      <c r="C7055" s="31"/>
      <c r="D7055" s="31"/>
      <c r="E7055" s="32"/>
      <c r="F7055" s="42" t="s">
        <v>416</v>
      </c>
      <c r="G7055" s="30" t="str">
        <f>IF(ISNUMBER(F7055),E7055*F7055,"")</f>
        <v/>
      </c>
      <c r="H7055" s="34"/>
      <c r="I7055" s="30"/>
      <c r="J7055" s="152">
        <v>0</v>
      </c>
    </row>
    <row r="7056" spans="1:10" ht="15.75" hidden="1" thickBot="1" x14ac:dyDescent="0.3">
      <c r="A7056" s="176"/>
      <c r="B7056" s="174"/>
      <c r="C7056" s="35" t="s">
        <v>8488</v>
      </c>
      <c r="D7056" s="35" t="s">
        <v>213</v>
      </c>
      <c r="E7056" s="36">
        <v>1</v>
      </c>
      <c r="F7056" s="30">
        <v>11.266999999999999</v>
      </c>
      <c r="G7056" s="30">
        <f>IF(ISNUMBER(F7056),E7056*F7056,"")</f>
        <v>11.266999999999999</v>
      </c>
      <c r="H7056" s="38">
        <f t="shared" ref="H7056:H7116" si="79">SUM(G7056:G7056)</f>
        <v>11.266999999999999</v>
      </c>
      <c r="I7056" s="39"/>
      <c r="J7056" s="152">
        <v>0</v>
      </c>
    </row>
    <row r="7057" spans="1:10" ht="15.75" hidden="1" thickBot="1" x14ac:dyDescent="0.3">
      <c r="A7057" s="177"/>
      <c r="B7057" s="175"/>
      <c r="C7057" s="54"/>
      <c r="D7057" s="54"/>
      <c r="E7057" s="65"/>
      <c r="F7057" s="66" t="s">
        <v>416</v>
      </c>
      <c r="G7057" s="66" t="str">
        <f>IF(ISNUMBER(F7057),E7057*F7057,"")</f>
        <v/>
      </c>
      <c r="H7057" s="68"/>
      <c r="I7057" s="30"/>
      <c r="J7057" s="152">
        <v>0</v>
      </c>
    </row>
    <row r="7058" spans="1:10" ht="15.75" hidden="1" thickBot="1" x14ac:dyDescent="0.3">
      <c r="A7058" s="170" t="s">
        <v>6339</v>
      </c>
      <c r="B7058" s="173" t="str">
        <f>INDEX(Orçamentária!A:B,MATCH(Composições!A7058,Orçamentária!A:A,0),2)</f>
        <v>União CPVC 28 mm– Linha Residencial</v>
      </c>
      <c r="C7058" s="40"/>
      <c r="D7058" s="25" t="s">
        <v>16</v>
      </c>
      <c r="E7058" s="26"/>
      <c r="F7058" s="41" t="s">
        <v>416</v>
      </c>
      <c r="G7058" s="27" t="str">
        <f>IF(ISNUMBER(F7058),E7058*F7058,"")</f>
        <v/>
      </c>
      <c r="H7058" s="28"/>
      <c r="I7058" s="29"/>
      <c r="J7058" s="152">
        <v>0</v>
      </c>
    </row>
    <row r="7059" spans="1:10" ht="15.75" hidden="1" thickBot="1" x14ac:dyDescent="0.3">
      <c r="A7059" s="176"/>
      <c r="B7059" s="174"/>
      <c r="C7059" s="31"/>
      <c r="D7059" s="31"/>
      <c r="E7059" s="32"/>
      <c r="F7059" s="42" t="s">
        <v>416</v>
      </c>
      <c r="G7059" s="30" t="str">
        <f>IF(ISNUMBER(F7059),E7059*F7059,"")</f>
        <v/>
      </c>
      <c r="H7059" s="34"/>
      <c r="I7059" s="30"/>
      <c r="J7059" s="152">
        <v>0</v>
      </c>
    </row>
    <row r="7060" spans="1:10" ht="15.75" hidden="1" thickBot="1" x14ac:dyDescent="0.3">
      <c r="A7060" s="176"/>
      <c r="B7060" s="174"/>
      <c r="C7060" s="35" t="s">
        <v>8489</v>
      </c>
      <c r="D7060" s="35" t="s">
        <v>213</v>
      </c>
      <c r="E7060" s="36">
        <v>1</v>
      </c>
      <c r="F7060" s="30">
        <v>15.000499999999999</v>
      </c>
      <c r="G7060" s="30">
        <f>IF(ISNUMBER(F7060),E7060*F7060,"")</f>
        <v>15.000499999999999</v>
      </c>
      <c r="H7060" s="38">
        <f t="shared" si="79"/>
        <v>15.000499999999999</v>
      </c>
      <c r="I7060" s="39"/>
      <c r="J7060" s="152">
        <v>0</v>
      </c>
    </row>
    <row r="7061" spans="1:10" ht="15.75" hidden="1" thickBot="1" x14ac:dyDescent="0.3">
      <c r="A7061" s="177"/>
      <c r="B7061" s="175"/>
      <c r="C7061" s="54"/>
      <c r="D7061" s="54"/>
      <c r="E7061" s="65"/>
      <c r="F7061" s="66" t="s">
        <v>416</v>
      </c>
      <c r="G7061" s="66" t="str">
        <f>IF(ISNUMBER(F7061),E7061*F7061,"")</f>
        <v/>
      </c>
      <c r="H7061" s="68"/>
      <c r="I7061" s="30"/>
      <c r="J7061" s="152">
        <v>0</v>
      </c>
    </row>
    <row r="7062" spans="1:10" ht="15.75" hidden="1" thickBot="1" x14ac:dyDescent="0.3">
      <c r="A7062" s="170" t="s">
        <v>6340</v>
      </c>
      <c r="B7062" s="173" t="str">
        <f>INDEX(Orçamentária!A:B,MATCH(Composições!A7062,Orçamentária!A:A,0),2)</f>
        <v>União com assento cônico aço-carbono galvanizado 1 1/2” – Água Potável e Combate a Incêndio</v>
      </c>
      <c r="C7062" s="40"/>
      <c r="D7062" s="25" t="s">
        <v>16</v>
      </c>
      <c r="E7062" s="26"/>
      <c r="F7062" s="41" t="s">
        <v>416</v>
      </c>
      <c r="G7062" s="27" t="str">
        <f>IF(ISNUMBER(F7062),E7062*F7062,"")</f>
        <v/>
      </c>
      <c r="H7062" s="28"/>
      <c r="I7062" s="29"/>
      <c r="J7062" s="152">
        <v>0</v>
      </c>
    </row>
    <row r="7063" spans="1:10" ht="15.75" hidden="1" thickBot="1" x14ac:dyDescent="0.3">
      <c r="A7063" s="176"/>
      <c r="B7063" s="174"/>
      <c r="C7063" s="31"/>
      <c r="D7063" s="31"/>
      <c r="E7063" s="32"/>
      <c r="F7063" s="42" t="s">
        <v>416</v>
      </c>
      <c r="G7063" s="30" t="str">
        <f>IF(ISNUMBER(F7063),E7063*F7063,"")</f>
        <v/>
      </c>
      <c r="H7063" s="34"/>
      <c r="I7063" s="30"/>
      <c r="J7063" s="152">
        <v>0</v>
      </c>
    </row>
    <row r="7064" spans="1:10" ht="26.25" hidden="1" thickBot="1" x14ac:dyDescent="0.3">
      <c r="A7064" s="176"/>
      <c r="B7064" s="174"/>
      <c r="C7064" s="35" t="s">
        <v>8483</v>
      </c>
      <c r="D7064" s="35" t="s">
        <v>213</v>
      </c>
      <c r="E7064" s="36">
        <v>1</v>
      </c>
      <c r="F7064" s="30">
        <v>68.989000000000004</v>
      </c>
      <c r="G7064" s="30">
        <f>IF(ISNUMBER(F7064),E7064*F7064,"")</f>
        <v>68.989000000000004</v>
      </c>
      <c r="H7064" s="38">
        <f t="shared" si="79"/>
        <v>68.989000000000004</v>
      </c>
      <c r="I7064" s="39"/>
      <c r="J7064" s="152">
        <v>0</v>
      </c>
    </row>
    <row r="7065" spans="1:10" ht="15.75" hidden="1" thickBot="1" x14ac:dyDescent="0.3">
      <c r="A7065" s="177"/>
      <c r="B7065" s="175"/>
      <c r="C7065" s="54"/>
      <c r="D7065" s="54"/>
      <c r="E7065" s="65"/>
      <c r="F7065" s="66" t="s">
        <v>416</v>
      </c>
      <c r="G7065" s="66" t="str">
        <f>IF(ISNUMBER(F7065),E7065*F7065,"")</f>
        <v/>
      </c>
      <c r="H7065" s="68"/>
      <c r="I7065" s="30"/>
      <c r="J7065" s="152">
        <v>0</v>
      </c>
    </row>
    <row r="7066" spans="1:10" ht="15.75" hidden="1" thickBot="1" x14ac:dyDescent="0.3">
      <c r="A7066" s="170" t="s">
        <v>6342</v>
      </c>
      <c r="B7066" s="173" t="str">
        <f>INDEX(Orçamentária!A:B,MATCH(Composições!A7066,Orçamentária!A:A,0),2)</f>
        <v>União com assento cônico aço-carbono galvanizado 1 1/4” – Água Potável e Combate a Incêndio</v>
      </c>
      <c r="C7066" s="40"/>
      <c r="D7066" s="25" t="s">
        <v>16</v>
      </c>
      <c r="E7066" s="26"/>
      <c r="F7066" s="41" t="s">
        <v>416</v>
      </c>
      <c r="G7066" s="27" t="str">
        <f>IF(ISNUMBER(F7066),E7066*F7066,"")</f>
        <v/>
      </c>
      <c r="H7066" s="28"/>
      <c r="I7066" s="29"/>
      <c r="J7066" s="152">
        <v>0</v>
      </c>
    </row>
    <row r="7067" spans="1:10" ht="15.75" hidden="1" thickBot="1" x14ac:dyDescent="0.3">
      <c r="A7067" s="176"/>
      <c r="B7067" s="174"/>
      <c r="C7067" s="31"/>
      <c r="D7067" s="31"/>
      <c r="E7067" s="32"/>
      <c r="F7067" s="42" t="s">
        <v>416</v>
      </c>
      <c r="G7067" s="30" t="str">
        <f>IF(ISNUMBER(F7067),E7067*F7067,"")</f>
        <v/>
      </c>
      <c r="H7067" s="34"/>
      <c r="I7067" s="30"/>
      <c r="J7067" s="152">
        <v>0</v>
      </c>
    </row>
    <row r="7068" spans="1:10" ht="26.25" hidden="1" thickBot="1" x14ac:dyDescent="0.3">
      <c r="A7068" s="176"/>
      <c r="B7068" s="174"/>
      <c r="C7068" s="35" t="s">
        <v>8482</v>
      </c>
      <c r="D7068" s="35" t="s">
        <v>213</v>
      </c>
      <c r="E7068" s="36">
        <v>1</v>
      </c>
      <c r="F7068" s="30">
        <v>92.482499999999987</v>
      </c>
      <c r="G7068" s="30">
        <f>IF(ISNUMBER(F7068),E7068*F7068,"")</f>
        <v>92.482499999999987</v>
      </c>
      <c r="H7068" s="38">
        <f t="shared" si="79"/>
        <v>92.482499999999987</v>
      </c>
      <c r="I7068" s="39"/>
      <c r="J7068" s="152">
        <v>0</v>
      </c>
    </row>
    <row r="7069" spans="1:10" ht="15.75" hidden="1" thickBot="1" x14ac:dyDescent="0.3">
      <c r="A7069" s="177"/>
      <c r="B7069" s="175"/>
      <c r="C7069" s="54"/>
      <c r="D7069" s="54"/>
      <c r="E7069" s="65"/>
      <c r="F7069" s="66" t="s">
        <v>416</v>
      </c>
      <c r="G7069" s="66" t="str">
        <f>IF(ISNUMBER(F7069),E7069*F7069,"")</f>
        <v/>
      </c>
      <c r="H7069" s="68"/>
      <c r="I7069" s="30"/>
      <c r="J7069" s="152">
        <v>0</v>
      </c>
    </row>
    <row r="7070" spans="1:10" ht="15.75" hidden="1" thickBot="1" x14ac:dyDescent="0.3">
      <c r="A7070" s="170" t="s">
        <v>6344</v>
      </c>
      <c r="B7070" s="173" t="str">
        <f>INDEX(Orçamentária!A:B,MATCH(Composições!A7070,Orçamentária!A:A,0),2)</f>
        <v>União com assento cônico aço-carbono galvanizado 2” – Água Potável e Combate a Incêndio</v>
      </c>
      <c r="C7070" s="40"/>
      <c r="D7070" s="25" t="s">
        <v>16</v>
      </c>
      <c r="E7070" s="26"/>
      <c r="F7070" s="41" t="s">
        <v>416</v>
      </c>
      <c r="G7070" s="27" t="str">
        <f>IF(ISNUMBER(F7070),E7070*F7070,"")</f>
        <v/>
      </c>
      <c r="H7070" s="28"/>
      <c r="I7070" s="29"/>
      <c r="J7070" s="152">
        <v>0</v>
      </c>
    </row>
    <row r="7071" spans="1:10" ht="15.75" hidden="1" thickBot="1" x14ac:dyDescent="0.3">
      <c r="A7071" s="176"/>
      <c r="B7071" s="174"/>
      <c r="C7071" s="31"/>
      <c r="D7071" s="31"/>
      <c r="E7071" s="32"/>
      <c r="F7071" s="42" t="s">
        <v>416</v>
      </c>
      <c r="G7071" s="30" t="str">
        <f>IF(ISNUMBER(F7071),E7071*F7071,"")</f>
        <v/>
      </c>
      <c r="H7071" s="34"/>
      <c r="I7071" s="30"/>
      <c r="J7071" s="152">
        <v>0</v>
      </c>
    </row>
    <row r="7072" spans="1:10" ht="26.25" hidden="1" thickBot="1" x14ac:dyDescent="0.3">
      <c r="A7072" s="176"/>
      <c r="B7072" s="174"/>
      <c r="C7072" s="35" t="s">
        <v>8485</v>
      </c>
      <c r="D7072" s="35" t="s">
        <v>213</v>
      </c>
      <c r="E7072" s="36">
        <v>1</v>
      </c>
      <c r="F7072" s="30">
        <v>101.441</v>
      </c>
      <c r="G7072" s="30">
        <f>IF(ISNUMBER(F7072),E7072*F7072,"")</f>
        <v>101.441</v>
      </c>
      <c r="H7072" s="38">
        <f t="shared" si="79"/>
        <v>101.441</v>
      </c>
      <c r="I7072" s="39"/>
      <c r="J7072" s="152">
        <v>0</v>
      </c>
    </row>
    <row r="7073" spans="1:10" ht="15.75" hidden="1" thickBot="1" x14ac:dyDescent="0.3">
      <c r="A7073" s="177"/>
      <c r="B7073" s="175"/>
      <c r="C7073" s="54"/>
      <c r="D7073" s="54"/>
      <c r="E7073" s="65"/>
      <c r="F7073" s="66" t="s">
        <v>416</v>
      </c>
      <c r="G7073" s="66" t="str">
        <f>IF(ISNUMBER(F7073),E7073*F7073,"")</f>
        <v/>
      </c>
      <c r="H7073" s="68"/>
      <c r="I7073" s="30"/>
      <c r="J7073" s="152">
        <v>0</v>
      </c>
    </row>
    <row r="7074" spans="1:10" ht="15.75" hidden="1" thickBot="1" x14ac:dyDescent="0.3">
      <c r="A7074" s="170" t="s">
        <v>6346</v>
      </c>
      <c r="B7074" s="173" t="str">
        <f>INDEX(Orçamentária!A:B,MATCH(Composições!A7074,Orçamentária!A:A,0),2)</f>
        <v>União com assento cônico aço-carbono galvanizado 3” – Água Potável e Combate a Incêndio</v>
      </c>
      <c r="C7074" s="40"/>
      <c r="D7074" s="25" t="s">
        <v>16</v>
      </c>
      <c r="E7074" s="26"/>
      <c r="F7074" s="41" t="s">
        <v>416</v>
      </c>
      <c r="G7074" s="27" t="str">
        <f>IF(ISNUMBER(F7074),E7074*F7074,"")</f>
        <v/>
      </c>
      <c r="H7074" s="28"/>
      <c r="I7074" s="29"/>
      <c r="J7074" s="152">
        <v>0</v>
      </c>
    </row>
    <row r="7075" spans="1:10" ht="15.75" hidden="1" thickBot="1" x14ac:dyDescent="0.3">
      <c r="A7075" s="176"/>
      <c r="B7075" s="174"/>
      <c r="C7075" s="31"/>
      <c r="D7075" s="31"/>
      <c r="E7075" s="32"/>
      <c r="F7075" s="42" t="s">
        <v>416</v>
      </c>
      <c r="G7075" s="30" t="str">
        <f>IF(ISNUMBER(F7075),E7075*F7075,"")</f>
        <v/>
      </c>
      <c r="H7075" s="34"/>
      <c r="I7075" s="30"/>
      <c r="J7075" s="152">
        <v>0</v>
      </c>
    </row>
    <row r="7076" spans="1:10" ht="26.25" hidden="1" thickBot="1" x14ac:dyDescent="0.3">
      <c r="A7076" s="176"/>
      <c r="B7076" s="174"/>
      <c r="C7076" s="35" t="s">
        <v>8486</v>
      </c>
      <c r="D7076" s="35" t="s">
        <v>213</v>
      </c>
      <c r="E7076" s="36">
        <v>1</v>
      </c>
      <c r="F7076" s="30">
        <v>260.01499999999999</v>
      </c>
      <c r="G7076" s="30">
        <f>IF(ISNUMBER(F7076),E7076*F7076,"")</f>
        <v>260.01499999999999</v>
      </c>
      <c r="H7076" s="38">
        <f t="shared" si="79"/>
        <v>260.01499999999999</v>
      </c>
      <c r="I7076" s="39"/>
      <c r="J7076" s="152">
        <v>0</v>
      </c>
    </row>
    <row r="7077" spans="1:10" ht="15.75" hidden="1" thickBot="1" x14ac:dyDescent="0.3">
      <c r="A7077" s="177"/>
      <c r="B7077" s="175"/>
      <c r="C7077" s="54"/>
      <c r="D7077" s="54"/>
      <c r="E7077" s="65"/>
      <c r="F7077" s="66" t="s">
        <v>416</v>
      </c>
      <c r="G7077" s="66" t="str">
        <f>IF(ISNUMBER(F7077),E7077*F7077,"")</f>
        <v/>
      </c>
      <c r="H7077" s="68"/>
      <c r="I7077" s="30"/>
      <c r="J7077" s="152">
        <v>0</v>
      </c>
    </row>
    <row r="7078" spans="1:10" ht="15.75" hidden="1" thickBot="1" x14ac:dyDescent="0.3">
      <c r="A7078" s="170" t="s">
        <v>6348</v>
      </c>
      <c r="B7078" s="173" t="str">
        <f>INDEX(Orçamentária!A:B,MATCH(Composições!A7078,Orçamentária!A:A,0),2)</f>
        <v>União com assento cônico aço-carbono galvanizado 4” – Água Potável e Combate a Incêndio</v>
      </c>
      <c r="C7078" s="40"/>
      <c r="D7078" s="25" t="s">
        <v>16</v>
      </c>
      <c r="E7078" s="26"/>
      <c r="F7078" s="41" t="s">
        <v>416</v>
      </c>
      <c r="G7078" s="27" t="str">
        <f>IF(ISNUMBER(F7078),E7078*F7078,"")</f>
        <v/>
      </c>
      <c r="H7078" s="28"/>
      <c r="I7078" s="29"/>
      <c r="J7078" s="152">
        <v>0</v>
      </c>
    </row>
    <row r="7079" spans="1:10" ht="15.75" hidden="1" thickBot="1" x14ac:dyDescent="0.3">
      <c r="A7079" s="176"/>
      <c r="B7079" s="174"/>
      <c r="C7079" s="31"/>
      <c r="D7079" s="31"/>
      <c r="E7079" s="32"/>
      <c r="F7079" s="42" t="s">
        <v>416</v>
      </c>
      <c r="G7079" s="30" t="str">
        <f>IF(ISNUMBER(F7079),E7079*F7079,"")</f>
        <v/>
      </c>
      <c r="H7079" s="34"/>
      <c r="I7079" s="30"/>
      <c r="J7079" s="152">
        <v>0</v>
      </c>
    </row>
    <row r="7080" spans="1:10" ht="26.25" hidden="1" thickBot="1" x14ac:dyDescent="0.3">
      <c r="A7080" s="176"/>
      <c r="B7080" s="174"/>
      <c r="C7080" s="35" t="s">
        <v>8487</v>
      </c>
      <c r="D7080" s="35" t="s">
        <v>213</v>
      </c>
      <c r="E7080" s="36">
        <v>1</v>
      </c>
      <c r="F7080" s="30">
        <v>365.01850000000002</v>
      </c>
      <c r="G7080" s="30">
        <f>IF(ISNUMBER(F7080),E7080*F7080,"")</f>
        <v>365.01850000000002</v>
      </c>
      <c r="H7080" s="38">
        <f t="shared" si="79"/>
        <v>365.01850000000002</v>
      </c>
      <c r="I7080" s="39"/>
      <c r="J7080" s="152">
        <v>0</v>
      </c>
    </row>
    <row r="7081" spans="1:10" ht="15.75" hidden="1" thickBot="1" x14ac:dyDescent="0.3">
      <c r="A7081" s="177"/>
      <c r="B7081" s="175"/>
      <c r="C7081" s="54"/>
      <c r="D7081" s="54"/>
      <c r="E7081" s="65"/>
      <c r="F7081" s="66" t="s">
        <v>416</v>
      </c>
      <c r="G7081" s="66" t="str">
        <f>IF(ISNUMBER(F7081),E7081*F7081,"")</f>
        <v/>
      </c>
      <c r="H7081" s="68"/>
      <c r="I7081" s="30"/>
      <c r="J7081" s="152">
        <v>0</v>
      </c>
    </row>
    <row r="7082" spans="1:10" ht="15.75" hidden="1" thickBot="1" x14ac:dyDescent="0.3">
      <c r="A7082" s="170" t="s">
        <v>6350</v>
      </c>
      <c r="B7082" s="173" t="str">
        <f>INDEX(Orçamentária!A:B,MATCH(Composições!A7082,Orçamentária!A:A,0),2)</f>
        <v>União com assento cônico aço-carbono galvanizado 1” – Água Potável e Combate a Incêndio</v>
      </c>
      <c r="C7082" s="40"/>
      <c r="D7082" s="25" t="s">
        <v>16</v>
      </c>
      <c r="E7082" s="26"/>
      <c r="F7082" s="41" t="s">
        <v>416</v>
      </c>
      <c r="G7082" s="27" t="str">
        <f>IF(ISNUMBER(F7082),E7082*F7082,"")</f>
        <v/>
      </c>
      <c r="H7082" s="28"/>
      <c r="I7082" s="29"/>
      <c r="J7082" s="152">
        <v>0</v>
      </c>
    </row>
    <row r="7083" spans="1:10" ht="15.75" hidden="1" thickBot="1" x14ac:dyDescent="0.3">
      <c r="A7083" s="176"/>
      <c r="B7083" s="174"/>
      <c r="C7083" s="31"/>
      <c r="D7083" s="31"/>
      <c r="E7083" s="32"/>
      <c r="F7083" s="42" t="s">
        <v>416</v>
      </c>
      <c r="G7083" s="30" t="str">
        <f>IF(ISNUMBER(F7083),E7083*F7083,"")</f>
        <v/>
      </c>
      <c r="H7083" s="34"/>
      <c r="I7083" s="30"/>
      <c r="J7083" s="152">
        <v>0</v>
      </c>
    </row>
    <row r="7084" spans="1:10" ht="26.25" hidden="1" thickBot="1" x14ac:dyDescent="0.3">
      <c r="A7084" s="176"/>
      <c r="B7084" s="174"/>
      <c r="C7084" s="35" t="s">
        <v>1002</v>
      </c>
      <c r="D7084" s="35" t="s">
        <v>213</v>
      </c>
      <c r="E7084" s="36">
        <v>1</v>
      </c>
      <c r="F7084" s="30">
        <v>33.126499999999993</v>
      </c>
      <c r="G7084" s="30">
        <f>IF(ISNUMBER(F7084),E7084*F7084,"")</f>
        <v>33.126499999999993</v>
      </c>
      <c r="H7084" s="38">
        <f t="shared" si="79"/>
        <v>33.126499999999993</v>
      </c>
      <c r="I7084" s="39"/>
      <c r="J7084" s="152">
        <v>0</v>
      </c>
    </row>
    <row r="7085" spans="1:10" ht="15.75" hidden="1" thickBot="1" x14ac:dyDescent="0.3">
      <c r="A7085" s="177"/>
      <c r="B7085" s="175"/>
      <c r="C7085" s="54"/>
      <c r="D7085" s="54"/>
      <c r="E7085" s="65"/>
      <c r="F7085" s="66" t="s">
        <v>416</v>
      </c>
      <c r="G7085" s="66" t="str">
        <f>IF(ISNUMBER(F7085),E7085*F7085,"")</f>
        <v/>
      </c>
      <c r="H7085" s="68"/>
      <c r="I7085" s="30"/>
      <c r="J7085" s="152">
        <v>0</v>
      </c>
    </row>
    <row r="7086" spans="1:10" ht="15.75" hidden="1" thickBot="1" x14ac:dyDescent="0.3">
      <c r="A7086" s="170" t="s">
        <v>6352</v>
      </c>
      <c r="B7086" s="173" t="str">
        <f>INDEX(Orçamentária!A:B,MATCH(Composições!A7086,Orçamentária!A:A,0),2)</f>
        <v>União com assento cônico aço-carbono galvanizado 2 1/2” – Água Potável e Combate a Incêndio</v>
      </c>
      <c r="C7086" s="40"/>
      <c r="D7086" s="25" t="s">
        <v>16</v>
      </c>
      <c r="E7086" s="26"/>
      <c r="F7086" s="41" t="s">
        <v>416</v>
      </c>
      <c r="G7086" s="27" t="str">
        <f>IF(ISNUMBER(F7086),E7086*F7086,"")</f>
        <v/>
      </c>
      <c r="H7086" s="28"/>
      <c r="I7086" s="29"/>
      <c r="J7086" s="152">
        <v>0</v>
      </c>
    </row>
    <row r="7087" spans="1:10" ht="15.75" hidden="1" thickBot="1" x14ac:dyDescent="0.3">
      <c r="A7087" s="176"/>
      <c r="B7087" s="174"/>
      <c r="C7087" s="31"/>
      <c r="D7087" s="31"/>
      <c r="E7087" s="32"/>
      <c r="F7087" s="42" t="s">
        <v>416</v>
      </c>
      <c r="G7087" s="30" t="str">
        <f>IF(ISNUMBER(F7087),E7087*F7087,"")</f>
        <v/>
      </c>
      <c r="H7087" s="34"/>
      <c r="I7087" s="30"/>
      <c r="J7087" s="152">
        <v>0</v>
      </c>
    </row>
    <row r="7088" spans="1:10" ht="26.25" hidden="1" thickBot="1" x14ac:dyDescent="0.3">
      <c r="A7088" s="176"/>
      <c r="B7088" s="174"/>
      <c r="C7088" s="35" t="s">
        <v>8484</v>
      </c>
      <c r="D7088" s="35" t="s">
        <v>213</v>
      </c>
      <c r="E7088" s="36">
        <v>1</v>
      </c>
      <c r="F7088" s="30">
        <v>167.83649999999997</v>
      </c>
      <c r="G7088" s="30">
        <f>IF(ISNUMBER(F7088),E7088*F7088,"")</f>
        <v>167.83649999999997</v>
      </c>
      <c r="H7088" s="38">
        <f t="shared" si="79"/>
        <v>167.83649999999997</v>
      </c>
      <c r="I7088" s="39"/>
      <c r="J7088" s="152">
        <v>0</v>
      </c>
    </row>
    <row r="7089" spans="1:10" ht="15.75" hidden="1" thickBot="1" x14ac:dyDescent="0.3">
      <c r="A7089" s="177"/>
      <c r="B7089" s="175"/>
      <c r="C7089" s="54"/>
      <c r="D7089" s="54"/>
      <c r="E7089" s="65"/>
      <c r="F7089" s="66" t="s">
        <v>416</v>
      </c>
      <c r="G7089" s="66" t="str">
        <f>IF(ISNUMBER(F7089),E7089*F7089,"")</f>
        <v/>
      </c>
      <c r="H7089" s="68"/>
      <c r="I7089" s="30"/>
      <c r="J7089" s="152">
        <v>0</v>
      </c>
    </row>
    <row r="7090" spans="1:10" ht="15.75" hidden="1" thickBot="1" x14ac:dyDescent="0.3">
      <c r="A7090" s="170" t="s">
        <v>6354</v>
      </c>
      <c r="B7090" s="173" t="str">
        <f>INDEX(Orçamentária!A:B,MATCH(Composições!A7090,Orçamentária!A:A,0),2)</f>
        <v>Tê 90° em aço-carbono galvanizado 1 1/2” – Água Potável e Combate a Incêndio</v>
      </c>
      <c r="C7090" s="40"/>
      <c r="D7090" s="25" t="s">
        <v>16</v>
      </c>
      <c r="E7090" s="26"/>
      <c r="F7090" s="41" t="s">
        <v>416</v>
      </c>
      <c r="G7090" s="27" t="str">
        <f>IF(ISNUMBER(F7090),E7090*F7090,"")</f>
        <v/>
      </c>
      <c r="H7090" s="28"/>
      <c r="I7090" s="29"/>
      <c r="J7090" s="152">
        <v>0</v>
      </c>
    </row>
    <row r="7091" spans="1:10" ht="15.75" hidden="1" thickBot="1" x14ac:dyDescent="0.3">
      <c r="A7091" s="176"/>
      <c r="B7091" s="174"/>
      <c r="C7091" s="31"/>
      <c r="D7091" s="31"/>
      <c r="E7091" s="32"/>
      <c r="F7091" s="42" t="s">
        <v>416</v>
      </c>
      <c r="G7091" s="30" t="str">
        <f>IF(ISNUMBER(F7091),E7091*F7091,"")</f>
        <v/>
      </c>
      <c r="H7091" s="34"/>
      <c r="I7091" s="30"/>
      <c r="J7091" s="152">
        <v>0</v>
      </c>
    </row>
    <row r="7092" spans="1:10" ht="15.75" hidden="1" thickBot="1" x14ac:dyDescent="0.3">
      <c r="A7092" s="176"/>
      <c r="B7092" s="174"/>
      <c r="C7092" s="35" t="s">
        <v>8401</v>
      </c>
      <c r="D7092" s="35" t="s">
        <v>213</v>
      </c>
      <c r="E7092" s="36">
        <v>1</v>
      </c>
      <c r="F7092" s="30">
        <v>41.714499999999994</v>
      </c>
      <c r="G7092" s="30">
        <f>IF(ISNUMBER(F7092),E7092*F7092,"")</f>
        <v>41.714499999999994</v>
      </c>
      <c r="H7092" s="38">
        <f t="shared" si="79"/>
        <v>41.714499999999994</v>
      </c>
      <c r="I7092" s="39"/>
      <c r="J7092" s="152">
        <v>0</v>
      </c>
    </row>
    <row r="7093" spans="1:10" ht="15.75" hidden="1" thickBot="1" x14ac:dyDescent="0.3">
      <c r="A7093" s="177"/>
      <c r="B7093" s="175"/>
      <c r="C7093" s="54"/>
      <c r="D7093" s="54"/>
      <c r="E7093" s="65"/>
      <c r="F7093" s="66" t="s">
        <v>416</v>
      </c>
      <c r="G7093" s="66" t="str">
        <f>IF(ISNUMBER(F7093),E7093*F7093,"")</f>
        <v/>
      </c>
      <c r="H7093" s="68"/>
      <c r="I7093" s="30"/>
      <c r="J7093" s="152">
        <v>0</v>
      </c>
    </row>
    <row r="7094" spans="1:10" ht="15.75" hidden="1" thickBot="1" x14ac:dyDescent="0.3">
      <c r="A7094" s="170" t="s">
        <v>6356</v>
      </c>
      <c r="B7094" s="173" t="str">
        <f>INDEX(Orçamentária!A:B,MATCH(Composições!A7094,Orçamentária!A:A,0),2)</f>
        <v>Tê 90° em aço-carbono galvanizado 1/2” – Água Potável e Combate a Incêndio</v>
      </c>
      <c r="C7094" s="40"/>
      <c r="D7094" s="25" t="s">
        <v>16</v>
      </c>
      <c r="E7094" s="26"/>
      <c r="F7094" s="41" t="s">
        <v>416</v>
      </c>
      <c r="G7094" s="27" t="str">
        <f>IF(ISNUMBER(F7094),E7094*F7094,"")</f>
        <v/>
      </c>
      <c r="H7094" s="28"/>
      <c r="I7094" s="29"/>
      <c r="J7094" s="152">
        <v>0</v>
      </c>
    </row>
    <row r="7095" spans="1:10" ht="15.75" hidden="1" thickBot="1" x14ac:dyDescent="0.3">
      <c r="A7095" s="176"/>
      <c r="B7095" s="174"/>
      <c r="C7095" s="31"/>
      <c r="D7095" s="31"/>
      <c r="E7095" s="32"/>
      <c r="F7095" s="42" t="s">
        <v>416</v>
      </c>
      <c r="G7095" s="30" t="str">
        <f>IF(ISNUMBER(F7095),E7095*F7095,"")</f>
        <v/>
      </c>
      <c r="H7095" s="34"/>
      <c r="I7095" s="30"/>
      <c r="J7095" s="152">
        <v>0</v>
      </c>
    </row>
    <row r="7096" spans="1:10" ht="15.75" hidden="1" thickBot="1" x14ac:dyDescent="0.3">
      <c r="A7096" s="176"/>
      <c r="B7096" s="174"/>
      <c r="C7096" s="35" t="s">
        <v>8402</v>
      </c>
      <c r="D7096" s="35" t="s">
        <v>213</v>
      </c>
      <c r="E7096" s="36">
        <v>1</v>
      </c>
      <c r="F7096" s="30">
        <v>9.386000000000001</v>
      </c>
      <c r="G7096" s="30">
        <f>IF(ISNUMBER(F7096),E7096*F7096,"")</f>
        <v>9.386000000000001</v>
      </c>
      <c r="H7096" s="38">
        <f t="shared" si="79"/>
        <v>9.386000000000001</v>
      </c>
      <c r="I7096" s="39"/>
      <c r="J7096" s="152">
        <v>0</v>
      </c>
    </row>
    <row r="7097" spans="1:10" ht="15.75" hidden="1" thickBot="1" x14ac:dyDescent="0.3">
      <c r="A7097" s="177"/>
      <c r="B7097" s="175"/>
      <c r="C7097" s="54"/>
      <c r="D7097" s="54"/>
      <c r="E7097" s="65"/>
      <c r="F7097" s="66" t="s">
        <v>416</v>
      </c>
      <c r="G7097" s="66" t="str">
        <f>IF(ISNUMBER(F7097),E7097*F7097,"")</f>
        <v/>
      </c>
      <c r="H7097" s="68"/>
      <c r="I7097" s="30"/>
      <c r="J7097" s="152">
        <v>0</v>
      </c>
    </row>
    <row r="7098" spans="1:10" ht="15.75" hidden="1" thickBot="1" x14ac:dyDescent="0.3">
      <c r="A7098" s="170" t="s">
        <v>6358</v>
      </c>
      <c r="B7098" s="173" t="str">
        <f>INDEX(Orçamentária!A:B,MATCH(Composições!A7098,Orçamentária!A:A,0),2)</f>
        <v>Tê 90° em aço-carbono galvanizado 2 1/2” – Água Potável e Combate a Incêndio</v>
      </c>
      <c r="C7098" s="40"/>
      <c r="D7098" s="25" t="s">
        <v>16</v>
      </c>
      <c r="E7098" s="26"/>
      <c r="F7098" s="41" t="s">
        <v>416</v>
      </c>
      <c r="G7098" s="27" t="str">
        <f>IF(ISNUMBER(F7098),E7098*F7098,"")</f>
        <v/>
      </c>
      <c r="H7098" s="28"/>
      <c r="I7098" s="29"/>
      <c r="J7098" s="152">
        <v>0</v>
      </c>
    </row>
    <row r="7099" spans="1:10" ht="15.75" hidden="1" thickBot="1" x14ac:dyDescent="0.3">
      <c r="A7099" s="176"/>
      <c r="B7099" s="174"/>
      <c r="C7099" s="31"/>
      <c r="D7099" s="31"/>
      <c r="E7099" s="32"/>
      <c r="F7099" s="42" t="s">
        <v>416</v>
      </c>
      <c r="G7099" s="30" t="str">
        <f>IF(ISNUMBER(F7099),E7099*F7099,"")</f>
        <v/>
      </c>
      <c r="H7099" s="34"/>
      <c r="I7099" s="30"/>
      <c r="J7099" s="152">
        <v>0</v>
      </c>
    </row>
    <row r="7100" spans="1:10" ht="15.75" hidden="1" thickBot="1" x14ac:dyDescent="0.3">
      <c r="A7100" s="176"/>
      <c r="B7100" s="174"/>
      <c r="C7100" s="35" t="s">
        <v>8403</v>
      </c>
      <c r="D7100" s="35" t="s">
        <v>213</v>
      </c>
      <c r="E7100" s="36">
        <v>1</v>
      </c>
      <c r="F7100" s="30">
        <v>125.45699999999999</v>
      </c>
      <c r="G7100" s="30">
        <f>IF(ISNUMBER(F7100),E7100*F7100,"")</f>
        <v>125.45699999999999</v>
      </c>
      <c r="H7100" s="38">
        <f t="shared" si="79"/>
        <v>125.45699999999999</v>
      </c>
      <c r="I7100" s="39"/>
      <c r="J7100" s="152">
        <v>0</v>
      </c>
    </row>
    <row r="7101" spans="1:10" ht="15.75" hidden="1" thickBot="1" x14ac:dyDescent="0.3">
      <c r="A7101" s="177"/>
      <c r="B7101" s="175"/>
      <c r="C7101" s="54"/>
      <c r="D7101" s="54"/>
      <c r="E7101" s="65"/>
      <c r="F7101" s="66" t="s">
        <v>416</v>
      </c>
      <c r="G7101" s="66" t="str">
        <f>IF(ISNUMBER(F7101),E7101*F7101,"")</f>
        <v/>
      </c>
      <c r="H7101" s="68"/>
      <c r="I7101" s="30"/>
      <c r="J7101" s="152">
        <v>0</v>
      </c>
    </row>
    <row r="7102" spans="1:10" ht="15.75" hidden="1" thickBot="1" x14ac:dyDescent="0.3">
      <c r="A7102" s="170" t="s">
        <v>6360</v>
      </c>
      <c r="B7102" s="173" t="str">
        <f>INDEX(Orçamentária!A:B,MATCH(Composições!A7102,Orçamentária!A:A,0),2)</f>
        <v>Tê 90° em aço-carbono galvanizado 2” – Água Potável e Combate a Incêndio</v>
      </c>
      <c r="C7102" s="40"/>
      <c r="D7102" s="25" t="s">
        <v>16</v>
      </c>
      <c r="E7102" s="26"/>
      <c r="F7102" s="41" t="s">
        <v>416</v>
      </c>
      <c r="G7102" s="27" t="str">
        <f>IF(ISNUMBER(F7102),E7102*F7102,"")</f>
        <v/>
      </c>
      <c r="H7102" s="28"/>
      <c r="I7102" s="29"/>
      <c r="J7102" s="152">
        <v>0</v>
      </c>
    </row>
    <row r="7103" spans="1:10" ht="15.75" hidden="1" thickBot="1" x14ac:dyDescent="0.3">
      <c r="A7103" s="176"/>
      <c r="B7103" s="174"/>
      <c r="C7103" s="31"/>
      <c r="D7103" s="31"/>
      <c r="E7103" s="32"/>
      <c r="F7103" s="42" t="s">
        <v>416</v>
      </c>
      <c r="G7103" s="30" t="str">
        <f>IF(ISNUMBER(F7103),E7103*F7103,"")</f>
        <v/>
      </c>
      <c r="H7103" s="34"/>
      <c r="I7103" s="30"/>
      <c r="J7103" s="152">
        <v>0</v>
      </c>
    </row>
    <row r="7104" spans="1:10" ht="15.75" hidden="1" thickBot="1" x14ac:dyDescent="0.3">
      <c r="A7104" s="176"/>
      <c r="B7104" s="174"/>
      <c r="C7104" s="35" t="s">
        <v>8404</v>
      </c>
      <c r="D7104" s="35" t="s">
        <v>213</v>
      </c>
      <c r="E7104" s="36">
        <v>1</v>
      </c>
      <c r="F7104" s="30">
        <v>66.072499999999991</v>
      </c>
      <c r="G7104" s="30">
        <f>IF(ISNUMBER(F7104),E7104*F7104,"")</f>
        <v>66.072499999999991</v>
      </c>
      <c r="H7104" s="38">
        <f t="shared" si="79"/>
        <v>66.072499999999991</v>
      </c>
      <c r="I7104" s="39"/>
      <c r="J7104" s="152">
        <v>0</v>
      </c>
    </row>
    <row r="7105" spans="1:10" ht="15.75" hidden="1" thickBot="1" x14ac:dyDescent="0.3">
      <c r="A7105" s="177"/>
      <c r="B7105" s="175"/>
      <c r="C7105" s="54"/>
      <c r="D7105" s="54"/>
      <c r="E7105" s="65"/>
      <c r="F7105" s="66" t="s">
        <v>416</v>
      </c>
      <c r="G7105" s="66" t="str">
        <f>IF(ISNUMBER(F7105),E7105*F7105,"")</f>
        <v/>
      </c>
      <c r="H7105" s="68"/>
      <c r="I7105" s="30"/>
      <c r="J7105" s="152">
        <v>0</v>
      </c>
    </row>
    <row r="7106" spans="1:10" ht="15.75" hidden="1" thickBot="1" x14ac:dyDescent="0.3">
      <c r="A7106" s="170" t="s">
        <v>6362</v>
      </c>
      <c r="B7106" s="173" t="str">
        <f>INDEX(Orçamentária!A:B,MATCH(Composições!A7106,Orçamentária!A:A,0),2)</f>
        <v>Tê de redução em aço-carbono galvanizado 2” x 1 1/2” – Água Potável e Combate a Incêndio</v>
      </c>
      <c r="C7106" s="40"/>
      <c r="D7106" s="25" t="s">
        <v>16</v>
      </c>
      <c r="E7106" s="26"/>
      <c r="F7106" s="41" t="s">
        <v>416</v>
      </c>
      <c r="G7106" s="27" t="str">
        <f>IF(ISNUMBER(F7106),E7106*F7106,"")</f>
        <v/>
      </c>
      <c r="H7106" s="28"/>
      <c r="I7106" s="29"/>
      <c r="J7106" s="152">
        <v>0</v>
      </c>
    </row>
    <row r="7107" spans="1:10" ht="15.75" hidden="1" thickBot="1" x14ac:dyDescent="0.3">
      <c r="A7107" s="176"/>
      <c r="B7107" s="174"/>
      <c r="C7107" s="31"/>
      <c r="D7107" s="31"/>
      <c r="E7107" s="32"/>
      <c r="F7107" s="42" t="s">
        <v>416</v>
      </c>
      <c r="G7107" s="30" t="str">
        <f>IF(ISNUMBER(F7107),E7107*F7107,"")</f>
        <v/>
      </c>
      <c r="H7107" s="34"/>
      <c r="I7107" s="30"/>
      <c r="J7107" s="152">
        <v>0</v>
      </c>
    </row>
    <row r="7108" spans="1:10" ht="26.25" hidden="1" thickBot="1" x14ac:dyDescent="0.3">
      <c r="A7108" s="176"/>
      <c r="B7108" s="174"/>
      <c r="C7108" s="35" t="s">
        <v>8405</v>
      </c>
      <c r="D7108" s="35" t="s">
        <v>213</v>
      </c>
      <c r="E7108" s="36">
        <v>1</v>
      </c>
      <c r="F7108" s="30">
        <v>73.140499999999989</v>
      </c>
      <c r="G7108" s="30">
        <f>IF(ISNUMBER(F7108),E7108*F7108,"")</f>
        <v>73.140499999999989</v>
      </c>
      <c r="H7108" s="38">
        <f t="shared" si="79"/>
        <v>73.140499999999989</v>
      </c>
      <c r="I7108" s="39"/>
      <c r="J7108" s="152">
        <v>0</v>
      </c>
    </row>
    <row r="7109" spans="1:10" ht="15.75" hidden="1" thickBot="1" x14ac:dyDescent="0.3">
      <c r="A7109" s="177"/>
      <c r="B7109" s="175"/>
      <c r="C7109" s="54"/>
      <c r="D7109" s="54"/>
      <c r="E7109" s="65"/>
      <c r="F7109" s="66" t="s">
        <v>416</v>
      </c>
      <c r="G7109" s="66" t="str">
        <f>IF(ISNUMBER(F7109),E7109*F7109,"")</f>
        <v/>
      </c>
      <c r="H7109" s="68"/>
      <c r="I7109" s="30"/>
      <c r="J7109" s="152">
        <v>0</v>
      </c>
    </row>
    <row r="7110" spans="1:10" ht="15.75" hidden="1" thickBot="1" x14ac:dyDescent="0.3">
      <c r="A7110" s="170" t="s">
        <v>6363</v>
      </c>
      <c r="B7110" s="173" t="str">
        <f>INDEX(Orçamentária!A:B,MATCH(Composições!A7110,Orçamentária!A:A,0),2)</f>
        <v>Tê 90° CPVC 22 mm – Linha Residencial</v>
      </c>
      <c r="C7110" s="40"/>
      <c r="D7110" s="25" t="s">
        <v>16</v>
      </c>
      <c r="E7110" s="26"/>
      <c r="F7110" s="41" t="s">
        <v>416</v>
      </c>
      <c r="G7110" s="27" t="str">
        <f>IF(ISNUMBER(F7110),E7110*F7110,"")</f>
        <v/>
      </c>
      <c r="H7110" s="28"/>
      <c r="I7110" s="29"/>
      <c r="J7110" s="152">
        <v>0</v>
      </c>
    </row>
    <row r="7111" spans="1:10" ht="15.75" hidden="1" thickBot="1" x14ac:dyDescent="0.3">
      <c r="A7111" s="176"/>
      <c r="B7111" s="174"/>
      <c r="C7111" s="31"/>
      <c r="D7111" s="31"/>
      <c r="E7111" s="32"/>
      <c r="F7111" s="42" t="s">
        <v>416</v>
      </c>
      <c r="G7111" s="30" t="str">
        <f>IF(ISNUMBER(F7111),E7111*F7111,"")</f>
        <v/>
      </c>
      <c r="H7111" s="34"/>
      <c r="I7111" s="30"/>
      <c r="J7111" s="152">
        <v>0</v>
      </c>
    </row>
    <row r="7112" spans="1:10" ht="26.25" hidden="1" thickBot="1" x14ac:dyDescent="0.3">
      <c r="A7112" s="176"/>
      <c r="B7112" s="174"/>
      <c r="C7112" s="35" t="s">
        <v>8393</v>
      </c>
      <c r="D7112" s="35" t="s">
        <v>213</v>
      </c>
      <c r="E7112" s="36">
        <v>1</v>
      </c>
      <c r="F7112" s="30">
        <v>3.363</v>
      </c>
      <c r="G7112" s="30">
        <f>IF(ISNUMBER(F7112),E7112*F7112,"")</f>
        <v>3.363</v>
      </c>
      <c r="H7112" s="38">
        <f t="shared" si="79"/>
        <v>3.363</v>
      </c>
      <c r="I7112" s="39"/>
      <c r="J7112" s="152">
        <v>0</v>
      </c>
    </row>
    <row r="7113" spans="1:10" ht="15.75" hidden="1" thickBot="1" x14ac:dyDescent="0.3">
      <c r="A7113" s="177"/>
      <c r="B7113" s="175"/>
      <c r="C7113" s="54"/>
      <c r="D7113" s="54"/>
      <c r="E7113" s="65"/>
      <c r="F7113" s="66" t="s">
        <v>416</v>
      </c>
      <c r="G7113" s="66" t="str">
        <f>IF(ISNUMBER(F7113),E7113*F7113,"")</f>
        <v/>
      </c>
      <c r="H7113" s="68"/>
      <c r="I7113" s="30"/>
      <c r="J7113" s="152">
        <v>0</v>
      </c>
    </row>
    <row r="7114" spans="1:10" ht="15.75" hidden="1" thickBot="1" x14ac:dyDescent="0.3">
      <c r="A7114" s="170" t="s">
        <v>6364</v>
      </c>
      <c r="B7114" s="173" t="str">
        <f>INDEX(Orçamentária!A:B,MATCH(Composições!A7114,Orçamentária!A:A,0),2)</f>
        <v>Tê 90° CPVC 28 mm – Linha Residencial</v>
      </c>
      <c r="C7114" s="40"/>
      <c r="D7114" s="25" t="s">
        <v>16</v>
      </c>
      <c r="E7114" s="26"/>
      <c r="F7114" s="41" t="s">
        <v>416</v>
      </c>
      <c r="G7114" s="27" t="str">
        <f>IF(ISNUMBER(F7114),E7114*F7114,"")</f>
        <v/>
      </c>
      <c r="H7114" s="28"/>
      <c r="I7114" s="29"/>
      <c r="J7114" s="152">
        <v>0</v>
      </c>
    </row>
    <row r="7115" spans="1:10" ht="15.75" hidden="1" thickBot="1" x14ac:dyDescent="0.3">
      <c r="A7115" s="176"/>
      <c r="B7115" s="174"/>
      <c r="C7115" s="31"/>
      <c r="D7115" s="31"/>
      <c r="E7115" s="32"/>
      <c r="F7115" s="42" t="s">
        <v>416</v>
      </c>
      <c r="G7115" s="30" t="str">
        <f>IF(ISNUMBER(F7115),E7115*F7115,"")</f>
        <v/>
      </c>
      <c r="H7115" s="34"/>
      <c r="I7115" s="30"/>
      <c r="J7115" s="152">
        <v>0</v>
      </c>
    </row>
    <row r="7116" spans="1:10" ht="26.25" hidden="1" thickBot="1" x14ac:dyDescent="0.3">
      <c r="A7116" s="176"/>
      <c r="B7116" s="174"/>
      <c r="C7116" s="35" t="s">
        <v>8394</v>
      </c>
      <c r="D7116" s="35" t="s">
        <v>213</v>
      </c>
      <c r="E7116" s="36">
        <v>1</v>
      </c>
      <c r="F7116" s="30">
        <v>6.7449999999999992</v>
      </c>
      <c r="G7116" s="30">
        <f>IF(ISNUMBER(F7116),E7116*F7116,"")</f>
        <v>6.7449999999999992</v>
      </c>
      <c r="H7116" s="38">
        <f t="shared" si="79"/>
        <v>6.7449999999999992</v>
      </c>
      <c r="I7116" s="39"/>
      <c r="J7116" s="152">
        <v>0</v>
      </c>
    </row>
    <row r="7117" spans="1:10" ht="15.75" hidden="1" thickBot="1" x14ac:dyDescent="0.3">
      <c r="A7117" s="177"/>
      <c r="B7117" s="175"/>
      <c r="C7117" s="54"/>
      <c r="D7117" s="54"/>
      <c r="E7117" s="65"/>
      <c r="F7117" s="66" t="s">
        <v>416</v>
      </c>
      <c r="G7117" s="66" t="str">
        <f>IF(ISNUMBER(F7117),E7117*F7117,"")</f>
        <v/>
      </c>
      <c r="H7117" s="68"/>
      <c r="I7117" s="30"/>
      <c r="J7117" s="152">
        <v>0</v>
      </c>
    </row>
    <row r="7118" spans="1:10" ht="15.75" hidden="1" thickBot="1" x14ac:dyDescent="0.3">
      <c r="A7118" s="170" t="s">
        <v>6365</v>
      </c>
      <c r="B7118" s="173" t="str">
        <f>INDEX(Orçamentária!A:B,MATCH(Composições!A7118,Orçamentária!A:A,0),2)</f>
        <v>Luva CPVC 22 mm – Linha Residencial</v>
      </c>
      <c r="C7118" s="40"/>
      <c r="D7118" s="25" t="s">
        <v>16</v>
      </c>
      <c r="E7118" s="26"/>
      <c r="F7118" s="41" t="s">
        <v>416</v>
      </c>
      <c r="G7118" s="27" t="str">
        <f>IF(ISNUMBER(F7118),E7118*F7118,"")</f>
        <v/>
      </c>
      <c r="H7118" s="28"/>
      <c r="I7118" s="29"/>
      <c r="J7118" s="152">
        <v>0</v>
      </c>
    </row>
    <row r="7119" spans="1:10" ht="15.75" hidden="1" thickBot="1" x14ac:dyDescent="0.3">
      <c r="A7119" s="176"/>
      <c r="B7119" s="174"/>
      <c r="C7119" s="31"/>
      <c r="D7119" s="31"/>
      <c r="E7119" s="32"/>
      <c r="F7119" s="42" t="s">
        <v>416</v>
      </c>
      <c r="G7119" s="30" t="str">
        <f>IF(ISNUMBER(F7119),E7119*F7119,"")</f>
        <v/>
      </c>
      <c r="H7119" s="34"/>
      <c r="I7119" s="30"/>
      <c r="J7119" s="152">
        <v>0</v>
      </c>
    </row>
    <row r="7120" spans="1:10" ht="15.75" hidden="1" thickBot="1" x14ac:dyDescent="0.3">
      <c r="A7120" s="176"/>
      <c r="B7120" s="174"/>
      <c r="C7120" s="35" t="s">
        <v>8232</v>
      </c>
      <c r="D7120" s="35" t="s">
        <v>213</v>
      </c>
      <c r="E7120" s="36">
        <v>1</v>
      </c>
      <c r="F7120" s="30">
        <v>1.653</v>
      </c>
      <c r="G7120" s="30">
        <f>IF(ISNUMBER(F7120),E7120*F7120,"")</f>
        <v>1.653</v>
      </c>
      <c r="H7120" s="38">
        <f t="shared" ref="H7120:H7216" si="80">SUM(G7120:G7120)</f>
        <v>1.653</v>
      </c>
      <c r="I7120" s="39"/>
      <c r="J7120" s="152">
        <v>0</v>
      </c>
    </row>
    <row r="7121" spans="1:10" ht="15.75" hidden="1" thickBot="1" x14ac:dyDescent="0.3">
      <c r="A7121" s="177"/>
      <c r="B7121" s="175"/>
      <c r="C7121" s="54"/>
      <c r="D7121" s="54"/>
      <c r="E7121" s="65"/>
      <c r="F7121" s="66" t="s">
        <v>416</v>
      </c>
      <c r="G7121" s="66" t="str">
        <f>IF(ISNUMBER(F7121),E7121*F7121,"")</f>
        <v/>
      </c>
      <c r="H7121" s="68"/>
      <c r="I7121" s="30"/>
      <c r="J7121" s="152">
        <v>0</v>
      </c>
    </row>
    <row r="7122" spans="1:10" ht="15.75" hidden="1" thickBot="1" x14ac:dyDescent="0.3">
      <c r="A7122" s="170" t="s">
        <v>6366</v>
      </c>
      <c r="B7122" s="173" t="str">
        <f>INDEX(Orçamentária!A:B,MATCH(Composições!A7122,Orçamentária!A:A,0),2)</f>
        <v>Luva CPVC 28 mm– Linha Residencial</v>
      </c>
      <c r="C7122" s="40"/>
      <c r="D7122" s="25" t="s">
        <v>16</v>
      </c>
      <c r="E7122" s="26"/>
      <c r="F7122" s="41" t="s">
        <v>416</v>
      </c>
      <c r="G7122" s="27" t="str">
        <f>IF(ISNUMBER(F7122),E7122*F7122,"")</f>
        <v/>
      </c>
      <c r="H7122" s="28"/>
      <c r="I7122" s="29"/>
      <c r="J7122" s="152">
        <v>0</v>
      </c>
    </row>
    <row r="7123" spans="1:10" ht="15.75" hidden="1" thickBot="1" x14ac:dyDescent="0.3">
      <c r="A7123" s="176"/>
      <c r="B7123" s="174"/>
      <c r="C7123" s="31"/>
      <c r="D7123" s="31"/>
      <c r="E7123" s="32"/>
      <c r="F7123" s="42" t="s">
        <v>416</v>
      </c>
      <c r="G7123" s="30" t="str">
        <f>IF(ISNUMBER(F7123),E7123*F7123,"")</f>
        <v/>
      </c>
      <c r="H7123" s="34"/>
      <c r="I7123" s="30"/>
      <c r="J7123" s="152">
        <v>0</v>
      </c>
    </row>
    <row r="7124" spans="1:10" ht="15.75" hidden="1" thickBot="1" x14ac:dyDescent="0.3">
      <c r="A7124" s="176"/>
      <c r="B7124" s="174"/>
      <c r="C7124" s="35" t="s">
        <v>8233</v>
      </c>
      <c r="D7124" s="35" t="s">
        <v>213</v>
      </c>
      <c r="E7124" s="36">
        <v>1</v>
      </c>
      <c r="F7124" s="30">
        <v>3.6859999999999999</v>
      </c>
      <c r="G7124" s="30">
        <f>IF(ISNUMBER(F7124),E7124*F7124,"")</f>
        <v>3.6859999999999999</v>
      </c>
      <c r="H7124" s="38">
        <f t="shared" si="80"/>
        <v>3.6859999999999999</v>
      </c>
      <c r="I7124" s="39"/>
      <c r="J7124" s="152">
        <v>0</v>
      </c>
    </row>
    <row r="7125" spans="1:10" ht="15.75" hidden="1" thickBot="1" x14ac:dyDescent="0.3">
      <c r="A7125" s="177"/>
      <c r="B7125" s="175"/>
      <c r="C7125" s="54"/>
      <c r="D7125" s="54"/>
      <c r="E7125" s="65"/>
      <c r="F7125" s="66" t="s">
        <v>416</v>
      </c>
      <c r="G7125" s="66" t="str">
        <f>IF(ISNUMBER(F7125),E7125*F7125,"")</f>
        <v/>
      </c>
      <c r="H7125" s="68"/>
      <c r="I7125" s="30"/>
      <c r="J7125" s="152">
        <v>0</v>
      </c>
    </row>
    <row r="7126" spans="1:10" ht="15.75" hidden="1" thickBot="1" x14ac:dyDescent="0.3">
      <c r="A7126" s="170" t="s">
        <v>6367</v>
      </c>
      <c r="B7126" s="173" t="str">
        <f>INDEX(Orçamentária!A:B,MATCH(Composições!A7126,Orçamentária!A:A,0),2)</f>
        <v>Luva PVC roscável para água fria 1 1/2”</v>
      </c>
      <c r="C7126" s="40"/>
      <c r="D7126" s="25" t="s">
        <v>16</v>
      </c>
      <c r="E7126" s="26"/>
      <c r="F7126" s="41" t="s">
        <v>416</v>
      </c>
      <c r="G7126" s="27" t="str">
        <f>IF(ISNUMBER(F7126),E7126*F7126,"")</f>
        <v/>
      </c>
      <c r="H7126" s="28"/>
      <c r="I7126" s="29"/>
      <c r="J7126" s="152">
        <v>0</v>
      </c>
    </row>
    <row r="7127" spans="1:10" ht="15.75" hidden="1" thickBot="1" x14ac:dyDescent="0.3">
      <c r="A7127" s="176"/>
      <c r="B7127" s="174"/>
      <c r="C7127" s="31"/>
      <c r="D7127" s="31"/>
      <c r="E7127" s="32"/>
      <c r="F7127" s="42" t="s">
        <v>416</v>
      </c>
      <c r="G7127" s="30" t="str">
        <f>IF(ISNUMBER(F7127),E7127*F7127,"")</f>
        <v/>
      </c>
      <c r="H7127" s="34"/>
      <c r="I7127" s="30"/>
      <c r="J7127" s="152">
        <v>0</v>
      </c>
    </row>
    <row r="7128" spans="1:10" ht="15.75" hidden="1" thickBot="1" x14ac:dyDescent="0.3">
      <c r="A7128" s="176"/>
      <c r="B7128" s="174"/>
      <c r="C7128" s="35" t="s">
        <v>8558</v>
      </c>
      <c r="D7128" s="35" t="s">
        <v>213</v>
      </c>
      <c r="E7128" s="36">
        <v>1</v>
      </c>
      <c r="F7128" s="30">
        <v>11.818</v>
      </c>
      <c r="G7128" s="30">
        <f>IF(ISNUMBER(F7128),E7128*F7128,"")</f>
        <v>11.818</v>
      </c>
      <c r="H7128" s="38">
        <f t="shared" si="80"/>
        <v>11.818</v>
      </c>
      <c r="I7128" s="39"/>
      <c r="J7128" s="152">
        <v>0</v>
      </c>
    </row>
    <row r="7129" spans="1:10" ht="15.75" hidden="1" thickBot="1" x14ac:dyDescent="0.3">
      <c r="A7129" s="177"/>
      <c r="B7129" s="175"/>
      <c r="C7129" s="54"/>
      <c r="D7129" s="54"/>
      <c r="E7129" s="65"/>
      <c r="F7129" s="66" t="s">
        <v>416</v>
      </c>
      <c r="G7129" s="66" t="str">
        <f>IF(ISNUMBER(F7129),E7129*F7129,"")</f>
        <v/>
      </c>
      <c r="H7129" s="68"/>
      <c r="I7129" s="30"/>
      <c r="J7129" s="152">
        <v>0</v>
      </c>
    </row>
    <row r="7130" spans="1:10" ht="15.75" hidden="1" thickBot="1" x14ac:dyDescent="0.3">
      <c r="A7130" s="170" t="s">
        <v>6369</v>
      </c>
      <c r="B7130" s="173" t="str">
        <f>INDEX(Orçamentária!A:B,MATCH(Composições!A7130,Orçamentária!A:A,0),2)</f>
        <v>Luva PVC roscável para água fria 2”</v>
      </c>
      <c r="C7130" s="40"/>
      <c r="D7130" s="25" t="s">
        <v>16</v>
      </c>
      <c r="E7130" s="26"/>
      <c r="F7130" s="41" t="s">
        <v>416</v>
      </c>
      <c r="G7130" s="27" t="str">
        <f>IF(ISNUMBER(F7130),E7130*F7130,"")</f>
        <v/>
      </c>
      <c r="H7130" s="28"/>
      <c r="I7130" s="29"/>
      <c r="J7130" s="152">
        <v>0</v>
      </c>
    </row>
    <row r="7131" spans="1:10" ht="15.75" hidden="1" thickBot="1" x14ac:dyDescent="0.3">
      <c r="A7131" s="176"/>
      <c r="B7131" s="174"/>
      <c r="C7131" s="31"/>
      <c r="D7131" s="31"/>
      <c r="E7131" s="32"/>
      <c r="F7131" s="42" t="s">
        <v>416</v>
      </c>
      <c r="G7131" s="30" t="str">
        <f>IF(ISNUMBER(F7131),E7131*F7131,"")</f>
        <v/>
      </c>
      <c r="H7131" s="34"/>
      <c r="I7131" s="30"/>
      <c r="J7131" s="152">
        <v>0</v>
      </c>
    </row>
    <row r="7132" spans="1:10" ht="15.75" hidden="1" thickBot="1" x14ac:dyDescent="0.3">
      <c r="A7132" s="176"/>
      <c r="B7132" s="174"/>
      <c r="C7132" s="35" t="s">
        <v>6586</v>
      </c>
      <c r="D7132" s="46" t="s">
        <v>16</v>
      </c>
      <c r="E7132" s="36">
        <v>1</v>
      </c>
      <c r="F7132" s="30">
        <v>0</v>
      </c>
      <c r="G7132" s="30">
        <f>IF(ISNUMBER(F7132),E7132*F7132,"")</f>
        <v>0</v>
      </c>
      <c r="H7132" s="38">
        <f t="shared" si="80"/>
        <v>0</v>
      </c>
      <c r="I7132" s="39"/>
      <c r="J7132" s="152">
        <v>0</v>
      </c>
    </row>
    <row r="7133" spans="1:10" ht="15.75" hidden="1" thickBot="1" x14ac:dyDescent="0.3">
      <c r="A7133" s="177"/>
      <c r="B7133" s="175"/>
      <c r="C7133" s="54"/>
      <c r="D7133" s="54"/>
      <c r="E7133" s="65"/>
      <c r="F7133" s="66" t="s">
        <v>416</v>
      </c>
      <c r="G7133" s="66" t="str">
        <f>IF(ISNUMBER(F7133),E7133*F7133,"")</f>
        <v/>
      </c>
      <c r="H7133" s="68"/>
      <c r="I7133" s="30"/>
      <c r="J7133" s="152">
        <v>0</v>
      </c>
    </row>
    <row r="7134" spans="1:10" ht="15.75" hidden="1" thickBot="1" x14ac:dyDescent="0.3">
      <c r="A7134" s="170" t="s">
        <v>6371</v>
      </c>
      <c r="B7134" s="173" t="str">
        <f>INDEX(Orçamentária!A:B,MATCH(Composições!A7134,Orçamentária!A:A,0),2)</f>
        <v>Luva de PVC soldável água fria DN 60 mm</v>
      </c>
      <c r="C7134" s="40"/>
      <c r="D7134" s="25" t="s">
        <v>16</v>
      </c>
      <c r="E7134" s="26"/>
      <c r="F7134" s="41" t="s">
        <v>416</v>
      </c>
      <c r="G7134" s="27" t="str">
        <f>IF(ISNUMBER(F7134),E7134*F7134,"")</f>
        <v/>
      </c>
      <c r="H7134" s="28"/>
      <c r="I7134" s="29"/>
      <c r="J7134" s="152">
        <v>0</v>
      </c>
    </row>
    <row r="7135" spans="1:10" ht="15.75" hidden="1" thickBot="1" x14ac:dyDescent="0.3">
      <c r="A7135" s="176"/>
      <c r="B7135" s="174"/>
      <c r="C7135" s="31"/>
      <c r="D7135" s="31"/>
      <c r="E7135" s="32"/>
      <c r="F7135" s="42" t="s">
        <v>416</v>
      </c>
      <c r="G7135" s="30" t="str">
        <f>IF(ISNUMBER(F7135),E7135*F7135,"")</f>
        <v/>
      </c>
      <c r="H7135" s="34"/>
      <c r="I7135" s="30"/>
      <c r="J7135" s="152">
        <v>0</v>
      </c>
    </row>
    <row r="7136" spans="1:10" ht="15.75" hidden="1" thickBot="1" x14ac:dyDescent="0.3">
      <c r="A7136" s="176"/>
      <c r="B7136" s="174"/>
      <c r="C7136" s="35" t="s">
        <v>8273</v>
      </c>
      <c r="D7136" s="35" t="s">
        <v>213</v>
      </c>
      <c r="E7136" s="36">
        <v>1</v>
      </c>
      <c r="F7136" s="30">
        <v>13.195499999999999</v>
      </c>
      <c r="G7136" s="30">
        <f>IF(ISNUMBER(F7136),E7136*F7136,"")</f>
        <v>13.195499999999999</v>
      </c>
      <c r="H7136" s="38">
        <f t="shared" si="80"/>
        <v>13.195499999999999</v>
      </c>
      <c r="I7136" s="39"/>
      <c r="J7136" s="152">
        <v>0</v>
      </c>
    </row>
    <row r="7137" spans="1:10" ht="15.75" hidden="1" thickBot="1" x14ac:dyDescent="0.3">
      <c r="A7137" s="177"/>
      <c r="B7137" s="175"/>
      <c r="C7137" s="54"/>
      <c r="D7137" s="54"/>
      <c r="E7137" s="65"/>
      <c r="F7137" s="66" t="s">
        <v>416</v>
      </c>
      <c r="G7137" s="66" t="str">
        <f>IF(ISNUMBER(F7137),E7137*F7137,"")</f>
        <v/>
      </c>
      <c r="H7137" s="68"/>
      <c r="I7137" s="30"/>
      <c r="J7137" s="152">
        <v>0</v>
      </c>
    </row>
    <row r="7138" spans="1:10" ht="15.75" hidden="1" thickBot="1" x14ac:dyDescent="0.3">
      <c r="A7138" s="170" t="s">
        <v>6372</v>
      </c>
      <c r="B7138" s="173" t="str">
        <f>INDEX(Orçamentária!A:B,MATCH(Composições!A7138,Orçamentária!A:A,0),2)</f>
        <v>União PVC soldável 60 mm</v>
      </c>
      <c r="C7138" s="40"/>
      <c r="D7138" s="25" t="s">
        <v>16</v>
      </c>
      <c r="E7138" s="26"/>
      <c r="F7138" s="41" t="s">
        <v>416</v>
      </c>
      <c r="G7138" s="27" t="str">
        <f>IF(ISNUMBER(F7138),E7138*F7138,"")</f>
        <v/>
      </c>
      <c r="H7138" s="28"/>
      <c r="I7138" s="29"/>
      <c r="J7138" s="152">
        <v>0</v>
      </c>
    </row>
    <row r="7139" spans="1:10" ht="15.75" hidden="1" thickBot="1" x14ac:dyDescent="0.3">
      <c r="A7139" s="176"/>
      <c r="B7139" s="174"/>
      <c r="C7139" s="31"/>
      <c r="D7139" s="31"/>
      <c r="E7139" s="32"/>
      <c r="F7139" s="42" t="s">
        <v>416</v>
      </c>
      <c r="G7139" s="30" t="str">
        <f>IF(ISNUMBER(F7139),E7139*F7139,"")</f>
        <v/>
      </c>
      <c r="H7139" s="34"/>
      <c r="I7139" s="30"/>
      <c r="J7139" s="152">
        <v>0</v>
      </c>
    </row>
    <row r="7140" spans="1:10" ht="15.75" hidden="1" thickBot="1" x14ac:dyDescent="0.3">
      <c r="A7140" s="176"/>
      <c r="B7140" s="174"/>
      <c r="C7140" s="35" t="s">
        <v>8559</v>
      </c>
      <c r="D7140" s="35" t="s">
        <v>213</v>
      </c>
      <c r="E7140" s="36">
        <v>1</v>
      </c>
      <c r="F7140" s="30">
        <v>71.0505</v>
      </c>
      <c r="G7140" s="30">
        <f>IF(ISNUMBER(F7140),E7140*F7140,"")</f>
        <v>71.0505</v>
      </c>
      <c r="H7140" s="38">
        <f t="shared" si="80"/>
        <v>71.0505</v>
      </c>
      <c r="I7140" s="39"/>
      <c r="J7140" s="152">
        <v>0</v>
      </c>
    </row>
    <row r="7141" spans="1:10" ht="15.75" hidden="1" thickBot="1" x14ac:dyDescent="0.3">
      <c r="A7141" s="177"/>
      <c r="B7141" s="175"/>
      <c r="C7141" s="54"/>
      <c r="D7141" s="54"/>
      <c r="E7141" s="65"/>
      <c r="F7141" s="66" t="s">
        <v>416</v>
      </c>
      <c r="G7141" s="66" t="str">
        <f>IF(ISNUMBER(F7141),E7141*F7141,"")</f>
        <v/>
      </c>
      <c r="H7141" s="68"/>
      <c r="I7141" s="30"/>
      <c r="J7141" s="152">
        <v>0</v>
      </c>
    </row>
    <row r="7142" spans="1:10" ht="15.75" hidden="1" thickBot="1" x14ac:dyDescent="0.3">
      <c r="A7142" s="170" t="s">
        <v>6373</v>
      </c>
      <c r="B7142" s="173" t="str">
        <f>INDEX(Orçamentária!A:B,MATCH(Composições!A7142,Orçamentária!A:A,0),2)</f>
        <v>União PVC soldável 85 mm</v>
      </c>
      <c r="C7142" s="40"/>
      <c r="D7142" s="25" t="s">
        <v>16</v>
      </c>
      <c r="E7142" s="26"/>
      <c r="F7142" s="41" t="s">
        <v>416</v>
      </c>
      <c r="G7142" s="27" t="str">
        <f>IF(ISNUMBER(F7142),E7142*F7142,"")</f>
        <v/>
      </c>
      <c r="H7142" s="28"/>
      <c r="I7142" s="29"/>
      <c r="J7142" s="152">
        <v>0</v>
      </c>
    </row>
    <row r="7143" spans="1:10" ht="15.75" hidden="1" thickBot="1" x14ac:dyDescent="0.3">
      <c r="A7143" s="176"/>
      <c r="B7143" s="174"/>
      <c r="C7143" s="31"/>
      <c r="D7143" s="31"/>
      <c r="E7143" s="32"/>
      <c r="F7143" s="42" t="s">
        <v>416</v>
      </c>
      <c r="G7143" s="30" t="str">
        <f>IF(ISNUMBER(F7143),E7143*F7143,"")</f>
        <v/>
      </c>
      <c r="H7143" s="34"/>
      <c r="I7143" s="30"/>
      <c r="J7143" s="152">
        <v>0</v>
      </c>
    </row>
    <row r="7144" spans="1:10" ht="15.75" hidden="1" thickBot="1" x14ac:dyDescent="0.3">
      <c r="A7144" s="176"/>
      <c r="B7144" s="174"/>
      <c r="C7144" s="35" t="s">
        <v>8560</v>
      </c>
      <c r="D7144" s="35" t="s">
        <v>213</v>
      </c>
      <c r="E7144" s="36">
        <v>1</v>
      </c>
      <c r="F7144" s="30">
        <v>170.83850000000001</v>
      </c>
      <c r="G7144" s="30">
        <f>IF(ISNUMBER(F7144),E7144*F7144,"")</f>
        <v>170.83850000000001</v>
      </c>
      <c r="H7144" s="38">
        <f t="shared" si="80"/>
        <v>170.83850000000001</v>
      </c>
      <c r="I7144" s="39"/>
      <c r="J7144" s="152">
        <v>0</v>
      </c>
    </row>
    <row r="7145" spans="1:10" ht="15.75" hidden="1" thickBot="1" x14ac:dyDescent="0.3">
      <c r="A7145" s="177"/>
      <c r="B7145" s="175"/>
      <c r="C7145" s="54"/>
      <c r="D7145" s="54"/>
      <c r="E7145" s="65"/>
      <c r="F7145" s="66" t="s">
        <v>416</v>
      </c>
      <c r="G7145" s="66" t="str">
        <f>IF(ISNUMBER(F7145),E7145*F7145,"")</f>
        <v/>
      </c>
      <c r="H7145" s="68"/>
      <c r="I7145" s="30"/>
      <c r="J7145" s="152">
        <v>0</v>
      </c>
    </row>
    <row r="7146" spans="1:10" ht="15.75" hidden="1" thickBot="1" x14ac:dyDescent="0.3">
      <c r="A7146" s="170" t="s">
        <v>6439</v>
      </c>
      <c r="B7146" s="173" t="str">
        <f>INDEX(Orçamentária!A:B,MATCH(Composições!A7146,Orçamentária!A:A,0),2)</f>
        <v>Supervisor(a) Técnico(a) - Sistema Hidrossanitário</v>
      </c>
      <c r="C7146" s="40"/>
      <c r="D7146" s="25" t="s">
        <v>2177</v>
      </c>
      <c r="E7146" s="26"/>
      <c r="F7146" s="41" t="s">
        <v>416</v>
      </c>
      <c r="G7146" s="27" t="str">
        <f>IF(ISNUMBER(F7146),E7146*F7146,"")</f>
        <v/>
      </c>
      <c r="H7146" s="28"/>
      <c r="I7146" s="29"/>
      <c r="J7146" s="152">
        <v>0</v>
      </c>
    </row>
    <row r="7147" spans="1:10" ht="15.75" hidden="1" thickBot="1" x14ac:dyDescent="0.3">
      <c r="A7147" s="176"/>
      <c r="B7147" s="174"/>
      <c r="C7147" s="31"/>
      <c r="D7147" s="31"/>
      <c r="E7147" s="32"/>
      <c r="F7147" s="42" t="s">
        <v>416</v>
      </c>
      <c r="G7147" s="33" t="str">
        <f>IF(ISNUMBER(F7147),E7147*F7147,"")</f>
        <v/>
      </c>
      <c r="H7147" s="34"/>
      <c r="I7147" s="30"/>
      <c r="J7147" s="152">
        <v>0</v>
      </c>
    </row>
    <row r="7148" spans="1:10" ht="26.25" hidden="1" thickBot="1" x14ac:dyDescent="0.3">
      <c r="A7148" s="176"/>
      <c r="B7148" s="174"/>
      <c r="C7148" s="35" t="s">
        <v>654</v>
      </c>
      <c r="D7148" s="35" t="s">
        <v>583</v>
      </c>
      <c r="E7148" s="36">
        <f>ROUND(220/(1+110.14%),4)</f>
        <v>104.6921</v>
      </c>
      <c r="F7148" s="30">
        <v>118.2085</v>
      </c>
      <c r="G7148" s="33">
        <f>IF(ISNUMBER(F7148),E7148*F7148,"")</f>
        <v>12375.49610285</v>
      </c>
      <c r="H7148" s="38">
        <f>SUM(G7148:G7148)</f>
        <v>12375.49610285</v>
      </c>
      <c r="I7148" s="39"/>
      <c r="J7148" s="152">
        <v>0</v>
      </c>
    </row>
    <row r="7149" spans="1:10" ht="15.75" hidden="1" thickBot="1" x14ac:dyDescent="0.3">
      <c r="A7149" s="176"/>
      <c r="B7149" s="174"/>
      <c r="C7149" s="35"/>
      <c r="D7149" s="46"/>
      <c r="E7149" s="36"/>
      <c r="F7149" s="30" t="s">
        <v>416</v>
      </c>
      <c r="G7149" s="33" t="str">
        <f>IF(ISNUMBER(F7149),E7149*F7149,"")</f>
        <v/>
      </c>
      <c r="H7149" s="34"/>
      <c r="I7149" s="39"/>
      <c r="J7149" s="152">
        <v>0</v>
      </c>
    </row>
    <row r="7150" spans="1:10" ht="26.25" hidden="1" thickBot="1" x14ac:dyDescent="0.3">
      <c r="A7150" s="176"/>
      <c r="B7150" s="174"/>
      <c r="C7150" s="47" t="s">
        <v>655</v>
      </c>
      <c r="D7150" s="46"/>
      <c r="E7150" s="36"/>
      <c r="F7150" s="30" t="s">
        <v>416</v>
      </c>
      <c r="G7150" s="33" t="str">
        <f>IF(ISNUMBER(F7150),E7150*F7150,"")</f>
        <v/>
      </c>
      <c r="H7150" s="34"/>
      <c r="I7150" s="39"/>
      <c r="J7150" s="152">
        <v>0</v>
      </c>
    </row>
    <row r="7151" spans="1:10" ht="15.75" hidden="1" thickBot="1" x14ac:dyDescent="0.3">
      <c r="A7151" s="177"/>
      <c r="B7151" s="175"/>
      <c r="C7151" s="35"/>
      <c r="D7151" s="35"/>
      <c r="E7151" s="36"/>
      <c r="F7151" s="30" t="s">
        <v>416</v>
      </c>
      <c r="G7151" s="33" t="str">
        <f>IF(ISNUMBER(F7151),E7151*F7151,"")</f>
        <v/>
      </c>
      <c r="H7151" s="34"/>
      <c r="I7151" s="30"/>
      <c r="J7151" s="152">
        <v>0</v>
      </c>
    </row>
    <row r="7152" spans="1:10" ht="15.75" hidden="1" thickBot="1" x14ac:dyDescent="0.3">
      <c r="A7152" s="170" t="s">
        <v>6441</v>
      </c>
      <c r="B7152" s="173" t="str">
        <f>INDEX(Orçamentária!A:B,MATCH(Composições!A7152,Orçamentária!A:A,0),2)</f>
        <v>Supervisor(a) Técnico(a) - Segurança do Trabalho</v>
      </c>
      <c r="C7152" s="40"/>
      <c r="D7152" s="25" t="s">
        <v>2177</v>
      </c>
      <c r="E7152" s="26"/>
      <c r="F7152" s="41" t="s">
        <v>416</v>
      </c>
      <c r="G7152" s="27" t="str">
        <f>IF(ISNUMBER(F7152),E7152*F7152,"")</f>
        <v/>
      </c>
      <c r="H7152" s="28"/>
      <c r="I7152" s="29"/>
      <c r="J7152" s="152">
        <v>0</v>
      </c>
    </row>
    <row r="7153" spans="1:10" ht="15.75" hidden="1" thickBot="1" x14ac:dyDescent="0.3">
      <c r="A7153" s="176"/>
      <c r="B7153" s="174"/>
      <c r="C7153" s="31"/>
      <c r="D7153" s="31"/>
      <c r="E7153" s="32"/>
      <c r="F7153" s="42" t="s">
        <v>416</v>
      </c>
      <c r="G7153" s="33" t="str">
        <f>IF(ISNUMBER(F7153),E7153*F7153,"")</f>
        <v/>
      </c>
      <c r="H7153" s="34"/>
      <c r="I7153" s="30"/>
      <c r="J7153" s="152">
        <v>0</v>
      </c>
    </row>
    <row r="7154" spans="1:10" ht="26.25" hidden="1" thickBot="1" x14ac:dyDescent="0.3">
      <c r="A7154" s="176"/>
      <c r="B7154" s="174"/>
      <c r="C7154" s="35" t="s">
        <v>654</v>
      </c>
      <c r="D7154" s="35" t="s">
        <v>583</v>
      </c>
      <c r="E7154" s="36">
        <f>ROUND(220/(1+110.14%),4)</f>
        <v>104.6921</v>
      </c>
      <c r="F7154" s="30">
        <v>118.2085</v>
      </c>
      <c r="G7154" s="33">
        <f>IF(ISNUMBER(F7154),E7154*F7154,"")</f>
        <v>12375.49610285</v>
      </c>
      <c r="H7154" s="38">
        <f>SUM(G7154:G7154)</f>
        <v>12375.49610285</v>
      </c>
      <c r="I7154" s="39"/>
      <c r="J7154" s="152">
        <v>0</v>
      </c>
    </row>
    <row r="7155" spans="1:10" ht="15.75" hidden="1" thickBot="1" x14ac:dyDescent="0.3">
      <c r="A7155" s="176"/>
      <c r="B7155" s="174"/>
      <c r="C7155" s="35"/>
      <c r="D7155" s="46"/>
      <c r="E7155" s="36"/>
      <c r="F7155" s="30" t="s">
        <v>416</v>
      </c>
      <c r="G7155" s="33" t="str">
        <f>IF(ISNUMBER(F7155),E7155*F7155,"")</f>
        <v/>
      </c>
      <c r="H7155" s="34"/>
      <c r="I7155" s="39"/>
      <c r="J7155" s="152">
        <v>0</v>
      </c>
    </row>
    <row r="7156" spans="1:10" ht="26.25" hidden="1" thickBot="1" x14ac:dyDescent="0.3">
      <c r="A7156" s="176"/>
      <c r="B7156" s="174"/>
      <c r="C7156" s="47" t="s">
        <v>655</v>
      </c>
      <c r="D7156" s="46"/>
      <c r="E7156" s="36"/>
      <c r="F7156" s="30" t="s">
        <v>416</v>
      </c>
      <c r="G7156" s="33" t="str">
        <f>IF(ISNUMBER(F7156),E7156*F7156,"")</f>
        <v/>
      </c>
      <c r="H7156" s="34"/>
      <c r="I7156" s="39"/>
      <c r="J7156" s="152">
        <v>0</v>
      </c>
    </row>
    <row r="7157" spans="1:10" ht="15.75" hidden="1" thickBot="1" x14ac:dyDescent="0.3">
      <c r="A7157" s="177"/>
      <c r="B7157" s="175"/>
      <c r="C7157" s="35"/>
      <c r="D7157" s="35"/>
      <c r="E7157" s="36"/>
      <c r="F7157" s="30" t="s">
        <v>416</v>
      </c>
      <c r="G7157" s="33" t="str">
        <f>IF(ISNUMBER(F7157),E7157*F7157,"")</f>
        <v/>
      </c>
      <c r="H7157" s="34"/>
      <c r="I7157" s="30"/>
      <c r="J7157" s="152">
        <v>0</v>
      </c>
    </row>
    <row r="7158" spans="1:10" ht="15.75" hidden="1" thickBot="1" x14ac:dyDescent="0.3">
      <c r="A7158" s="170" t="s">
        <v>6443</v>
      </c>
      <c r="B7158" s="173" t="str">
        <f>INDEX(Orçamentária!A:B,MATCH(Composições!A7158,Orçamentária!A:A,0),2)</f>
        <v>Encarregado(a) de Manutenção Hidrossanitária</v>
      </c>
      <c r="C7158" s="40"/>
      <c r="D7158" s="25" t="s">
        <v>2177</v>
      </c>
      <c r="E7158" s="26"/>
      <c r="F7158" s="41" t="s">
        <v>416</v>
      </c>
      <c r="G7158" s="27" t="str">
        <f>IF(ISNUMBER(F7158),E7158*F7158,"")</f>
        <v/>
      </c>
      <c r="H7158" s="28"/>
      <c r="I7158" s="29"/>
      <c r="J7158" s="152">
        <v>0</v>
      </c>
    </row>
    <row r="7159" spans="1:10" ht="15.75" hidden="1" thickBot="1" x14ac:dyDescent="0.3">
      <c r="A7159" s="176"/>
      <c r="B7159" s="174"/>
      <c r="C7159" s="31"/>
      <c r="D7159" s="31"/>
      <c r="E7159" s="32"/>
      <c r="F7159" s="42" t="s">
        <v>416</v>
      </c>
      <c r="G7159" s="33" t="str">
        <f>IF(ISNUMBER(F7159),E7159*F7159,"")</f>
        <v/>
      </c>
      <c r="H7159" s="34"/>
      <c r="I7159" s="30"/>
      <c r="J7159" s="152">
        <v>0</v>
      </c>
    </row>
    <row r="7160" spans="1:10" ht="15.75" hidden="1" thickBot="1" x14ac:dyDescent="0.3">
      <c r="A7160" s="176"/>
      <c r="B7160" s="174"/>
      <c r="C7160" s="35" t="s">
        <v>2913</v>
      </c>
      <c r="D7160" s="35" t="s">
        <v>583</v>
      </c>
      <c r="E7160" s="36">
        <f>ROUND(220/(1+110.14%),4)</f>
        <v>104.6921</v>
      </c>
      <c r="F7160" s="30">
        <v>21.916499999999999</v>
      </c>
      <c r="G7160" s="33">
        <f>IF(ISNUMBER(F7160),E7160*F7160,"")</f>
        <v>2294.4844096499996</v>
      </c>
      <c r="H7160" s="38">
        <f>SUM(G7160:G7160)</f>
        <v>2294.4844096499996</v>
      </c>
      <c r="I7160" s="39"/>
      <c r="J7160" s="152">
        <v>0</v>
      </c>
    </row>
    <row r="7161" spans="1:10" ht="15.75" hidden="1" thickBot="1" x14ac:dyDescent="0.3">
      <c r="A7161" s="176"/>
      <c r="B7161" s="174"/>
      <c r="C7161" s="35"/>
      <c r="D7161" s="46"/>
      <c r="E7161" s="36"/>
      <c r="F7161" s="30" t="s">
        <v>416</v>
      </c>
      <c r="G7161" s="33" t="str">
        <f>IF(ISNUMBER(F7161),E7161*F7161,"")</f>
        <v/>
      </c>
      <c r="H7161" s="34"/>
      <c r="I7161" s="39"/>
      <c r="J7161" s="152">
        <v>0</v>
      </c>
    </row>
    <row r="7162" spans="1:10" ht="26.25" hidden="1" thickBot="1" x14ac:dyDescent="0.3">
      <c r="A7162" s="176"/>
      <c r="B7162" s="174"/>
      <c r="C7162" s="47" t="s">
        <v>655</v>
      </c>
      <c r="D7162" s="46"/>
      <c r="E7162" s="36"/>
      <c r="F7162" s="30" t="s">
        <v>416</v>
      </c>
      <c r="G7162" s="33" t="str">
        <f>IF(ISNUMBER(F7162),E7162*F7162,"")</f>
        <v/>
      </c>
      <c r="H7162" s="34"/>
      <c r="I7162" s="39"/>
      <c r="J7162" s="152">
        <v>0</v>
      </c>
    </row>
    <row r="7163" spans="1:10" ht="15.75" hidden="1" thickBot="1" x14ac:dyDescent="0.3">
      <c r="A7163" s="177"/>
      <c r="B7163" s="175"/>
      <c r="C7163" s="35"/>
      <c r="D7163" s="35"/>
      <c r="E7163" s="36"/>
      <c r="F7163" s="30" t="s">
        <v>416</v>
      </c>
      <c r="G7163" s="33" t="str">
        <f>IF(ISNUMBER(F7163),E7163*F7163,"")</f>
        <v/>
      </c>
      <c r="H7163" s="34"/>
      <c r="I7163" s="30"/>
      <c r="J7163" s="152">
        <v>0</v>
      </c>
    </row>
    <row r="7164" spans="1:10" ht="15.75" hidden="1" thickBot="1" x14ac:dyDescent="0.3">
      <c r="A7164" s="170" t="s">
        <v>6445</v>
      </c>
      <c r="B7164" s="173" t="str">
        <f>INDEX(Orçamentária!A:B,MATCH(Composições!A7164,Orçamentária!A:A,0),2)</f>
        <v>Bombeiro(a) Hidráulico(a) Planejador(a) de Manutenção</v>
      </c>
      <c r="C7164" s="40"/>
      <c r="D7164" s="25" t="s">
        <v>2177</v>
      </c>
      <c r="E7164" s="26"/>
      <c r="F7164" s="41" t="s">
        <v>416</v>
      </c>
      <c r="G7164" s="27" t="str">
        <f>IF(ISNUMBER(F7164),E7164*F7164,"")</f>
        <v/>
      </c>
      <c r="H7164" s="28"/>
      <c r="I7164" s="29"/>
      <c r="J7164" s="152">
        <v>0</v>
      </c>
    </row>
    <row r="7165" spans="1:10" ht="15.75" hidden="1" thickBot="1" x14ac:dyDescent="0.3">
      <c r="A7165" s="176"/>
      <c r="B7165" s="174"/>
      <c r="C7165" s="31"/>
      <c r="D7165" s="31"/>
      <c r="E7165" s="32"/>
      <c r="F7165" s="42" t="s">
        <v>416</v>
      </c>
      <c r="G7165" s="33" t="str">
        <f>IF(ISNUMBER(F7165),E7165*F7165,"")</f>
        <v/>
      </c>
      <c r="H7165" s="34"/>
      <c r="I7165" s="30"/>
      <c r="J7165" s="152">
        <v>0</v>
      </c>
    </row>
    <row r="7166" spans="1:10" ht="26.25" hidden="1" thickBot="1" x14ac:dyDescent="0.3">
      <c r="A7166" s="176"/>
      <c r="B7166" s="174"/>
      <c r="C7166" s="35" t="s">
        <v>825</v>
      </c>
      <c r="D7166" s="35" t="s">
        <v>583</v>
      </c>
      <c r="E7166" s="36">
        <f>ROUND(220/(1+110.14%),4)</f>
        <v>104.6921</v>
      </c>
      <c r="F7166" s="30">
        <v>26.799499999999998</v>
      </c>
      <c r="G7166" s="33">
        <f>IF(ISNUMBER(F7166),E7166*F7166,"")</f>
        <v>2805.6959339499999</v>
      </c>
      <c r="H7166" s="38">
        <f>SUM(G7166:G7166)</f>
        <v>2805.6959339499999</v>
      </c>
      <c r="I7166" s="39"/>
      <c r="J7166" s="152">
        <v>0</v>
      </c>
    </row>
    <row r="7167" spans="1:10" ht="15.75" hidden="1" thickBot="1" x14ac:dyDescent="0.3">
      <c r="A7167" s="176"/>
      <c r="B7167" s="174"/>
      <c r="C7167" s="35"/>
      <c r="D7167" s="46"/>
      <c r="E7167" s="36"/>
      <c r="F7167" s="30" t="s">
        <v>416</v>
      </c>
      <c r="G7167" s="33" t="str">
        <f>IF(ISNUMBER(F7167),E7167*F7167,"")</f>
        <v/>
      </c>
      <c r="H7167" s="34"/>
      <c r="I7167" s="39"/>
      <c r="J7167" s="152">
        <v>0</v>
      </c>
    </row>
    <row r="7168" spans="1:10" ht="26.25" hidden="1" thickBot="1" x14ac:dyDescent="0.3">
      <c r="A7168" s="176"/>
      <c r="B7168" s="174"/>
      <c r="C7168" s="47" t="s">
        <v>655</v>
      </c>
      <c r="D7168" s="46"/>
      <c r="E7168" s="36"/>
      <c r="F7168" s="30" t="s">
        <v>416</v>
      </c>
      <c r="G7168" s="33" t="str">
        <f>IF(ISNUMBER(F7168),E7168*F7168,"")</f>
        <v/>
      </c>
      <c r="H7168" s="34"/>
      <c r="I7168" s="39"/>
      <c r="J7168" s="152">
        <v>0</v>
      </c>
    </row>
    <row r="7169" spans="1:10" ht="15.75" hidden="1" thickBot="1" x14ac:dyDescent="0.3">
      <c r="A7169" s="177"/>
      <c r="B7169" s="175"/>
      <c r="C7169" s="35"/>
      <c r="D7169" s="35"/>
      <c r="E7169" s="36"/>
      <c r="F7169" s="30" t="s">
        <v>416</v>
      </c>
      <c r="G7169" s="33" t="str">
        <f>IF(ISNUMBER(F7169),E7169*F7169,"")</f>
        <v/>
      </c>
      <c r="H7169" s="34"/>
      <c r="I7169" s="30"/>
      <c r="J7169" s="152">
        <v>0</v>
      </c>
    </row>
    <row r="7170" spans="1:10" ht="15.75" hidden="1" thickBot="1" x14ac:dyDescent="0.3">
      <c r="A7170" s="170" t="s">
        <v>6447</v>
      </c>
      <c r="B7170" s="173" t="str">
        <f>INDEX(Orçamentária!A:B,MATCH(Composições!A7170,Orçamentária!A:A,0),2)</f>
        <v>Instalador(a) Hidráulico(a)</v>
      </c>
      <c r="C7170" s="40"/>
      <c r="D7170" s="25" t="s">
        <v>2177</v>
      </c>
      <c r="E7170" s="26"/>
      <c r="F7170" s="41" t="s">
        <v>416</v>
      </c>
      <c r="G7170" s="27" t="str">
        <f>IF(ISNUMBER(F7170),E7170*F7170,"")</f>
        <v/>
      </c>
      <c r="H7170" s="28"/>
      <c r="I7170" s="29"/>
      <c r="J7170" s="152">
        <v>0</v>
      </c>
    </row>
    <row r="7171" spans="1:10" ht="15.75" hidden="1" thickBot="1" x14ac:dyDescent="0.3">
      <c r="A7171" s="176"/>
      <c r="B7171" s="174"/>
      <c r="C7171" s="31"/>
      <c r="D7171" s="31"/>
      <c r="E7171" s="32"/>
      <c r="F7171" s="42" t="s">
        <v>416</v>
      </c>
      <c r="G7171" s="33" t="str">
        <f>IF(ISNUMBER(F7171),E7171*F7171,"")</f>
        <v/>
      </c>
      <c r="H7171" s="34"/>
      <c r="I7171" s="30"/>
      <c r="J7171" s="152">
        <v>0</v>
      </c>
    </row>
    <row r="7172" spans="1:10" ht="15.75" hidden="1" thickBot="1" x14ac:dyDescent="0.3">
      <c r="A7172" s="176"/>
      <c r="B7172" s="174"/>
      <c r="C7172" s="35" t="s">
        <v>8176</v>
      </c>
      <c r="D7172" s="35" t="s">
        <v>583</v>
      </c>
      <c r="E7172" s="36">
        <f>ROUND(220/(1+110.14%),4)</f>
        <v>104.6921</v>
      </c>
      <c r="F7172" s="30">
        <v>12.720499999999999</v>
      </c>
      <c r="G7172" s="33">
        <f>IF(ISNUMBER(F7172),E7172*F7172,"")</f>
        <v>1331.7358580499999</v>
      </c>
      <c r="H7172" s="38">
        <f>SUM(G7172:G7172)</f>
        <v>1331.7358580499999</v>
      </c>
      <c r="I7172" s="39"/>
      <c r="J7172" s="152">
        <v>0</v>
      </c>
    </row>
    <row r="7173" spans="1:10" ht="15.75" hidden="1" thickBot="1" x14ac:dyDescent="0.3">
      <c r="A7173" s="176"/>
      <c r="B7173" s="174"/>
      <c r="C7173" s="35"/>
      <c r="D7173" s="46"/>
      <c r="E7173" s="36"/>
      <c r="F7173" s="30" t="s">
        <v>416</v>
      </c>
      <c r="G7173" s="33" t="str">
        <f>IF(ISNUMBER(F7173),E7173*F7173,"")</f>
        <v/>
      </c>
      <c r="H7173" s="34"/>
      <c r="I7173" s="39"/>
      <c r="J7173" s="152">
        <v>0</v>
      </c>
    </row>
    <row r="7174" spans="1:10" ht="26.25" hidden="1" thickBot="1" x14ac:dyDescent="0.3">
      <c r="A7174" s="176"/>
      <c r="B7174" s="174"/>
      <c r="C7174" s="47" t="s">
        <v>655</v>
      </c>
      <c r="D7174" s="46"/>
      <c r="E7174" s="36"/>
      <c r="F7174" s="30" t="s">
        <v>416</v>
      </c>
      <c r="G7174" s="33" t="str">
        <f>IF(ISNUMBER(F7174),E7174*F7174,"")</f>
        <v/>
      </c>
      <c r="H7174" s="34"/>
      <c r="I7174" s="39"/>
      <c r="J7174" s="152">
        <v>0</v>
      </c>
    </row>
    <row r="7175" spans="1:10" ht="15.75" hidden="1" thickBot="1" x14ac:dyDescent="0.3">
      <c r="A7175" s="177"/>
      <c r="B7175" s="175"/>
      <c r="C7175" s="35"/>
      <c r="D7175" s="35"/>
      <c r="E7175" s="36"/>
      <c r="F7175" s="30" t="s">
        <v>416</v>
      </c>
      <c r="G7175" s="33" t="str">
        <f>IF(ISNUMBER(F7175),E7175*F7175,"")</f>
        <v/>
      </c>
      <c r="H7175" s="34"/>
      <c r="I7175" s="30"/>
      <c r="J7175" s="152">
        <v>0</v>
      </c>
    </row>
    <row r="7176" spans="1:10" ht="15.75" hidden="1" thickBot="1" x14ac:dyDescent="0.3">
      <c r="A7176" s="170" t="s">
        <v>6449</v>
      </c>
      <c r="B7176" s="173" t="str">
        <f>INDEX(Orçamentária!A:B,MATCH(Composições!A7176,Orçamentária!A:A,0),2)</f>
        <v>Bombeiro(a) Hidráulico(a) Plantonista (diurno)</v>
      </c>
      <c r="C7176" s="40"/>
      <c r="D7176" s="25" t="s">
        <v>2177</v>
      </c>
      <c r="E7176" s="26"/>
      <c r="F7176" s="41" t="s">
        <v>416</v>
      </c>
      <c r="G7176" s="27" t="str">
        <f>IF(ISNUMBER(F7176),E7176*F7176,"")</f>
        <v/>
      </c>
      <c r="H7176" s="28"/>
      <c r="I7176" s="29"/>
      <c r="J7176" s="152">
        <v>0</v>
      </c>
    </row>
    <row r="7177" spans="1:10" ht="15.75" hidden="1" thickBot="1" x14ac:dyDescent="0.3">
      <c r="A7177" s="176"/>
      <c r="B7177" s="174"/>
      <c r="C7177" s="31"/>
      <c r="D7177" s="31"/>
      <c r="E7177" s="32"/>
      <c r="F7177" s="42" t="s">
        <v>416</v>
      </c>
      <c r="G7177" s="33" t="str">
        <f>IF(ISNUMBER(F7177),E7177*F7177,"")</f>
        <v/>
      </c>
      <c r="H7177" s="34"/>
      <c r="I7177" s="30"/>
      <c r="J7177" s="152">
        <v>0</v>
      </c>
    </row>
    <row r="7178" spans="1:10" ht="26.25" hidden="1" thickBot="1" x14ac:dyDescent="0.3">
      <c r="A7178" s="176"/>
      <c r="B7178" s="174"/>
      <c r="C7178" s="35" t="s">
        <v>825</v>
      </c>
      <c r="D7178" s="35" t="s">
        <v>583</v>
      </c>
      <c r="E7178" s="36">
        <f>ROUND(220/(1+110.14%),4)</f>
        <v>104.6921</v>
      </c>
      <c r="F7178" s="30">
        <v>26.799499999999998</v>
      </c>
      <c r="G7178" s="33">
        <f>IF(ISNUMBER(F7178),E7178*F7178,"")</f>
        <v>2805.6959339499999</v>
      </c>
      <c r="H7178" s="38">
        <f>SUM(G7178:G7178)</f>
        <v>2805.6959339499999</v>
      </c>
      <c r="I7178" s="39"/>
      <c r="J7178" s="152">
        <v>0</v>
      </c>
    </row>
    <row r="7179" spans="1:10" ht="15.75" hidden="1" thickBot="1" x14ac:dyDescent="0.3">
      <c r="A7179" s="176"/>
      <c r="B7179" s="174"/>
      <c r="C7179" s="31"/>
      <c r="D7179" s="46"/>
      <c r="E7179" s="36"/>
      <c r="F7179" s="30" t="s">
        <v>416</v>
      </c>
      <c r="G7179" s="33" t="str">
        <f>IF(ISNUMBER(F7179),E7179*F7179,"")</f>
        <v/>
      </c>
      <c r="H7179" s="34"/>
      <c r="I7179" s="39"/>
      <c r="J7179" s="152">
        <v>0</v>
      </c>
    </row>
    <row r="7180" spans="1:10" ht="26.25" hidden="1" thickBot="1" x14ac:dyDescent="0.3">
      <c r="A7180" s="176"/>
      <c r="B7180" s="174"/>
      <c r="C7180" s="47" t="s">
        <v>655</v>
      </c>
      <c r="D7180" s="46"/>
      <c r="E7180" s="36"/>
      <c r="F7180" s="30" t="s">
        <v>416</v>
      </c>
      <c r="G7180" s="33" t="str">
        <f>IF(ISNUMBER(F7180),E7180*F7180,"")</f>
        <v/>
      </c>
      <c r="H7180" s="34"/>
      <c r="I7180" s="39"/>
      <c r="J7180" s="152">
        <v>0</v>
      </c>
    </row>
    <row r="7181" spans="1:10" ht="15.75" hidden="1" thickBot="1" x14ac:dyDescent="0.3">
      <c r="A7181" s="177"/>
      <c r="B7181" s="175"/>
      <c r="C7181" s="54"/>
      <c r="D7181" s="35"/>
      <c r="E7181" s="36"/>
      <c r="F7181" s="30" t="s">
        <v>416</v>
      </c>
      <c r="G7181" s="33" t="str">
        <f>IF(ISNUMBER(F7181),E7181*F7181,"")</f>
        <v/>
      </c>
      <c r="H7181" s="34"/>
      <c r="I7181" s="30"/>
      <c r="J7181" s="152">
        <v>0</v>
      </c>
    </row>
    <row r="7182" spans="1:10" ht="15.75" hidden="1" thickBot="1" x14ac:dyDescent="0.3">
      <c r="A7182" s="170" t="s">
        <v>6451</v>
      </c>
      <c r="B7182" s="173" t="str">
        <f>INDEX(Orçamentária!A:B,MATCH(Composições!A7182,Orçamentária!A:A,0),2)</f>
        <v>Bombeiro(a) Hidráulico(a) Plantonista (noturno)</v>
      </c>
      <c r="C7182" s="40"/>
      <c r="D7182" s="25" t="s">
        <v>2177</v>
      </c>
      <c r="E7182" s="26"/>
      <c r="F7182" s="41" t="s">
        <v>416</v>
      </c>
      <c r="G7182" s="27" t="str">
        <f>IF(ISNUMBER(F7182),E7182*F7182,"")</f>
        <v/>
      </c>
      <c r="H7182" s="28"/>
      <c r="I7182" s="29"/>
      <c r="J7182" s="152">
        <v>0</v>
      </c>
    </row>
    <row r="7183" spans="1:10" ht="15.75" hidden="1" thickBot="1" x14ac:dyDescent="0.3">
      <c r="A7183" s="176"/>
      <c r="B7183" s="174"/>
      <c r="C7183" s="31"/>
      <c r="D7183" s="31"/>
      <c r="E7183" s="32"/>
      <c r="F7183" s="42" t="s">
        <v>416</v>
      </c>
      <c r="G7183" s="33" t="str">
        <f>IF(ISNUMBER(F7183),E7183*F7183,"")</f>
        <v/>
      </c>
      <c r="H7183" s="34"/>
      <c r="I7183" s="30"/>
      <c r="J7183" s="152">
        <v>0</v>
      </c>
    </row>
    <row r="7184" spans="1:10" ht="26.25" hidden="1" thickBot="1" x14ac:dyDescent="0.3">
      <c r="A7184" s="176"/>
      <c r="B7184" s="174"/>
      <c r="C7184" s="35" t="s">
        <v>825</v>
      </c>
      <c r="D7184" s="35" t="s">
        <v>583</v>
      </c>
      <c r="E7184" s="36">
        <f>ROUND(220/(1+110.14%),4)</f>
        <v>104.6921</v>
      </c>
      <c r="F7184" s="30">
        <v>26.799499999999998</v>
      </c>
      <c r="G7184" s="33">
        <f>IF(ISNUMBER(F7184),E7184*F7184,"")</f>
        <v>2805.6959339499999</v>
      </c>
      <c r="H7184" s="38">
        <f>SUM(G7184:G7184)</f>
        <v>2805.6959339499999</v>
      </c>
      <c r="I7184" s="39"/>
      <c r="J7184" s="152">
        <v>0</v>
      </c>
    </row>
    <row r="7185" spans="1:10" ht="15.75" hidden="1" thickBot="1" x14ac:dyDescent="0.3">
      <c r="A7185" s="176"/>
      <c r="B7185" s="174"/>
      <c r="C7185" s="31"/>
      <c r="D7185" s="46"/>
      <c r="E7185" s="36"/>
      <c r="F7185" s="30" t="s">
        <v>416</v>
      </c>
      <c r="G7185" s="33" t="str">
        <f>IF(ISNUMBER(F7185),E7185*F7185,"")</f>
        <v/>
      </c>
      <c r="H7185" s="34"/>
      <c r="I7185" s="39"/>
      <c r="J7185" s="152">
        <v>0</v>
      </c>
    </row>
    <row r="7186" spans="1:10" ht="26.25" hidden="1" thickBot="1" x14ac:dyDescent="0.3">
      <c r="A7186" s="176"/>
      <c r="B7186" s="174"/>
      <c r="C7186" s="47" t="s">
        <v>655</v>
      </c>
      <c r="D7186" s="46"/>
      <c r="E7186" s="36"/>
      <c r="F7186" s="30" t="s">
        <v>416</v>
      </c>
      <c r="G7186" s="33" t="str">
        <f>IF(ISNUMBER(F7186),E7186*F7186,"")</f>
        <v/>
      </c>
      <c r="H7186" s="34"/>
      <c r="I7186" s="39"/>
      <c r="J7186" s="152">
        <v>0</v>
      </c>
    </row>
    <row r="7187" spans="1:10" ht="15.75" hidden="1" thickBot="1" x14ac:dyDescent="0.3">
      <c r="A7187" s="177"/>
      <c r="B7187" s="175"/>
      <c r="C7187" s="54"/>
      <c r="D7187" s="35"/>
      <c r="E7187" s="36"/>
      <c r="F7187" s="30" t="s">
        <v>416</v>
      </c>
      <c r="G7187" s="33" t="str">
        <f>IF(ISNUMBER(F7187),E7187*F7187,"")</f>
        <v/>
      </c>
      <c r="H7187" s="34"/>
      <c r="I7187" s="30"/>
      <c r="J7187" s="152">
        <v>0</v>
      </c>
    </row>
    <row r="7188" spans="1:10" ht="15.75" hidden="1" thickBot="1" x14ac:dyDescent="0.3">
      <c r="A7188" s="170" t="s">
        <v>6453</v>
      </c>
      <c r="B7188" s="173" t="str">
        <f>INDEX(Orçamentária!A:B,MATCH(Composições!A7188,Orçamentária!A:A,0),2)</f>
        <v>Ajudante de Manutenção Hidrossanitária</v>
      </c>
      <c r="C7188" s="40"/>
      <c r="D7188" s="25" t="s">
        <v>2177</v>
      </c>
      <c r="E7188" s="26"/>
      <c r="F7188" s="41" t="s">
        <v>416</v>
      </c>
      <c r="G7188" s="27" t="str">
        <f>IF(ISNUMBER(F7188),E7188*F7188,"")</f>
        <v/>
      </c>
      <c r="H7188" s="28"/>
      <c r="I7188" s="29"/>
      <c r="J7188" s="152">
        <v>0</v>
      </c>
    </row>
    <row r="7189" spans="1:10" ht="15.75" hidden="1" thickBot="1" x14ac:dyDescent="0.3">
      <c r="A7189" s="176"/>
      <c r="B7189" s="174"/>
      <c r="C7189" s="31"/>
      <c r="D7189" s="31"/>
      <c r="E7189" s="32"/>
      <c r="F7189" s="42" t="s">
        <v>416</v>
      </c>
      <c r="G7189" s="33" t="str">
        <f>IF(ISNUMBER(F7189),E7189*F7189,"")</f>
        <v/>
      </c>
      <c r="H7189" s="34"/>
      <c r="I7189" s="30"/>
      <c r="J7189" s="152">
        <v>0</v>
      </c>
    </row>
    <row r="7190" spans="1:10" ht="26.25" hidden="1" thickBot="1" x14ac:dyDescent="0.3">
      <c r="A7190" s="176"/>
      <c r="B7190" s="174"/>
      <c r="C7190" s="35" t="s">
        <v>824</v>
      </c>
      <c r="D7190" s="35" t="s">
        <v>583</v>
      </c>
      <c r="E7190" s="36">
        <f>ROUND(220/(1+110.14%),4)</f>
        <v>104.6921</v>
      </c>
      <c r="F7190" s="30">
        <v>21.166</v>
      </c>
      <c r="G7190" s="33">
        <f>IF(ISNUMBER(F7190),E7190*F7190,"")</f>
        <v>2215.9129886000001</v>
      </c>
      <c r="H7190" s="38">
        <f>SUM(G7190:G7190)</f>
        <v>2215.9129886000001</v>
      </c>
      <c r="I7190" s="39"/>
      <c r="J7190" s="152">
        <v>0</v>
      </c>
    </row>
    <row r="7191" spans="1:10" ht="15.75" hidden="1" thickBot="1" x14ac:dyDescent="0.3">
      <c r="A7191" s="176"/>
      <c r="B7191" s="174"/>
      <c r="C7191" s="31"/>
      <c r="D7191" s="46"/>
      <c r="E7191" s="36"/>
      <c r="F7191" s="30" t="s">
        <v>416</v>
      </c>
      <c r="G7191" s="33" t="str">
        <f>IF(ISNUMBER(F7191),E7191*F7191,"")</f>
        <v/>
      </c>
      <c r="H7191" s="34"/>
      <c r="I7191" s="39"/>
      <c r="J7191" s="152">
        <v>0</v>
      </c>
    </row>
    <row r="7192" spans="1:10" ht="26.25" hidden="1" thickBot="1" x14ac:dyDescent="0.3">
      <c r="A7192" s="176"/>
      <c r="B7192" s="174"/>
      <c r="C7192" s="47" t="s">
        <v>655</v>
      </c>
      <c r="D7192" s="46"/>
      <c r="E7192" s="36"/>
      <c r="F7192" s="30" t="s">
        <v>416</v>
      </c>
      <c r="G7192" s="33" t="str">
        <f>IF(ISNUMBER(F7192),E7192*F7192,"")</f>
        <v/>
      </c>
      <c r="H7192" s="34"/>
      <c r="I7192" s="39"/>
      <c r="J7192" s="152">
        <v>0</v>
      </c>
    </row>
    <row r="7193" spans="1:10" ht="15.75" hidden="1" thickBot="1" x14ac:dyDescent="0.3">
      <c r="A7193" s="177"/>
      <c r="B7193" s="175"/>
      <c r="C7193" s="54"/>
      <c r="D7193" s="35"/>
      <c r="E7193" s="36"/>
      <c r="F7193" s="30" t="s">
        <v>416</v>
      </c>
      <c r="G7193" s="33" t="str">
        <f>IF(ISNUMBER(F7193),E7193*F7193,"")</f>
        <v/>
      </c>
      <c r="H7193" s="34"/>
      <c r="I7193" s="30"/>
      <c r="J7193" s="152">
        <v>0</v>
      </c>
    </row>
    <row r="7194" spans="1:10" ht="15.75" hidden="1" thickBot="1" x14ac:dyDescent="0.3">
      <c r="A7194" s="170" t="s">
        <v>6455</v>
      </c>
      <c r="B7194" s="173" t="str">
        <f>INDEX(Orçamentária!A:B,MATCH(Composições!A7194,Orçamentária!A:A,0),2)</f>
        <v>Ajudante de Bombeiro(a) Hidráulico(a) Plantonista (diurno)</v>
      </c>
      <c r="C7194" s="40"/>
      <c r="D7194" s="25" t="s">
        <v>2177</v>
      </c>
      <c r="E7194" s="26"/>
      <c r="F7194" s="41" t="s">
        <v>416</v>
      </c>
      <c r="G7194" s="27" t="str">
        <f>IF(ISNUMBER(F7194),E7194*F7194,"")</f>
        <v/>
      </c>
      <c r="H7194" s="28"/>
      <c r="I7194" s="29"/>
      <c r="J7194" s="152">
        <v>0</v>
      </c>
    </row>
    <row r="7195" spans="1:10" ht="15.75" hidden="1" thickBot="1" x14ac:dyDescent="0.3">
      <c r="A7195" s="176"/>
      <c r="B7195" s="174"/>
      <c r="C7195" s="31"/>
      <c r="D7195" s="31"/>
      <c r="E7195" s="32"/>
      <c r="F7195" s="42" t="s">
        <v>416</v>
      </c>
      <c r="G7195" s="33" t="str">
        <f>IF(ISNUMBER(F7195),E7195*F7195,"")</f>
        <v/>
      </c>
      <c r="H7195" s="34"/>
      <c r="I7195" s="30"/>
      <c r="J7195" s="152">
        <v>0</v>
      </c>
    </row>
    <row r="7196" spans="1:10" ht="26.25" hidden="1" thickBot="1" x14ac:dyDescent="0.3">
      <c r="A7196" s="176"/>
      <c r="B7196" s="174"/>
      <c r="C7196" s="35" t="s">
        <v>824</v>
      </c>
      <c r="D7196" s="35" t="s">
        <v>583</v>
      </c>
      <c r="E7196" s="36">
        <f>ROUND(220/(1+110.14%),4)</f>
        <v>104.6921</v>
      </c>
      <c r="F7196" s="30">
        <v>21.166</v>
      </c>
      <c r="G7196" s="33">
        <f>IF(ISNUMBER(F7196),E7196*F7196,"")</f>
        <v>2215.9129886000001</v>
      </c>
      <c r="H7196" s="38">
        <f>SUM(G7196:G7196)</f>
        <v>2215.9129886000001</v>
      </c>
      <c r="I7196" s="39"/>
      <c r="J7196" s="152">
        <v>0</v>
      </c>
    </row>
    <row r="7197" spans="1:10" ht="15.75" hidden="1" thickBot="1" x14ac:dyDescent="0.3">
      <c r="A7197" s="176"/>
      <c r="B7197" s="174"/>
      <c r="C7197" s="31"/>
      <c r="D7197" s="46"/>
      <c r="E7197" s="36"/>
      <c r="F7197" s="30" t="s">
        <v>416</v>
      </c>
      <c r="G7197" s="33" t="str">
        <f>IF(ISNUMBER(F7197),E7197*F7197,"")</f>
        <v/>
      </c>
      <c r="H7197" s="34"/>
      <c r="I7197" s="39"/>
      <c r="J7197" s="152">
        <v>0</v>
      </c>
    </row>
    <row r="7198" spans="1:10" ht="26.25" hidden="1" thickBot="1" x14ac:dyDescent="0.3">
      <c r="A7198" s="176"/>
      <c r="B7198" s="174"/>
      <c r="C7198" s="47" t="s">
        <v>655</v>
      </c>
      <c r="D7198" s="46"/>
      <c r="E7198" s="36"/>
      <c r="F7198" s="30" t="s">
        <v>416</v>
      </c>
      <c r="G7198" s="33" t="str">
        <f>IF(ISNUMBER(F7198),E7198*F7198,"")</f>
        <v/>
      </c>
      <c r="H7198" s="34"/>
      <c r="I7198" s="39"/>
      <c r="J7198" s="152">
        <v>0</v>
      </c>
    </row>
    <row r="7199" spans="1:10" ht="15.75" hidden="1" thickBot="1" x14ac:dyDescent="0.3">
      <c r="A7199" s="177"/>
      <c r="B7199" s="175"/>
      <c r="C7199" s="54"/>
      <c r="D7199" s="35"/>
      <c r="E7199" s="36"/>
      <c r="F7199" s="30" t="s">
        <v>416</v>
      </c>
      <c r="G7199" s="33" t="str">
        <f>IF(ISNUMBER(F7199),E7199*F7199,"")</f>
        <v/>
      </c>
      <c r="H7199" s="34"/>
      <c r="I7199" s="30"/>
      <c r="J7199" s="152">
        <v>0</v>
      </c>
    </row>
    <row r="7200" spans="1:10" ht="15.75" hidden="1" thickBot="1" x14ac:dyDescent="0.3">
      <c r="A7200" s="170" t="s">
        <v>6457</v>
      </c>
      <c r="B7200" s="173" t="str">
        <f>INDEX(Orçamentária!A:B,MATCH(Composições!A7200,Orçamentária!A:A,0),2)</f>
        <v>Ajudante de Bombeiro(a) Hidráulico(a) Plantonista (noturno)</v>
      </c>
      <c r="C7200" s="40"/>
      <c r="D7200" s="25" t="s">
        <v>2177</v>
      </c>
      <c r="E7200" s="26"/>
      <c r="F7200" s="41" t="s">
        <v>416</v>
      </c>
      <c r="G7200" s="27" t="str">
        <f>IF(ISNUMBER(F7200),E7200*F7200,"")</f>
        <v/>
      </c>
      <c r="H7200" s="28"/>
      <c r="I7200" s="29"/>
      <c r="J7200" s="152">
        <v>0</v>
      </c>
    </row>
    <row r="7201" spans="1:10" ht="15.75" hidden="1" thickBot="1" x14ac:dyDescent="0.3">
      <c r="A7201" s="176"/>
      <c r="B7201" s="174"/>
      <c r="C7201" s="31"/>
      <c r="D7201" s="31"/>
      <c r="E7201" s="32"/>
      <c r="F7201" s="42" t="s">
        <v>416</v>
      </c>
      <c r="G7201" s="33" t="str">
        <f>IF(ISNUMBER(F7201),E7201*F7201,"")</f>
        <v/>
      </c>
      <c r="H7201" s="34"/>
      <c r="I7201" s="30"/>
      <c r="J7201" s="152">
        <v>0</v>
      </c>
    </row>
    <row r="7202" spans="1:10" ht="26.25" hidden="1" thickBot="1" x14ac:dyDescent="0.3">
      <c r="A7202" s="176"/>
      <c r="B7202" s="174"/>
      <c r="C7202" s="35" t="s">
        <v>824</v>
      </c>
      <c r="D7202" s="35" t="s">
        <v>583</v>
      </c>
      <c r="E7202" s="36">
        <f>ROUND(220/(1+110.14%),4)</f>
        <v>104.6921</v>
      </c>
      <c r="F7202" s="30">
        <v>21.166</v>
      </c>
      <c r="G7202" s="33">
        <f>IF(ISNUMBER(F7202),E7202*F7202,"")</f>
        <v>2215.9129886000001</v>
      </c>
      <c r="H7202" s="38">
        <f>SUM(G7202:G7202)</f>
        <v>2215.9129886000001</v>
      </c>
      <c r="I7202" s="39"/>
      <c r="J7202" s="152">
        <v>0</v>
      </c>
    </row>
    <row r="7203" spans="1:10" ht="15.75" hidden="1" thickBot="1" x14ac:dyDescent="0.3">
      <c r="A7203" s="176"/>
      <c r="B7203" s="174"/>
      <c r="C7203" s="31"/>
      <c r="D7203" s="46"/>
      <c r="E7203" s="36"/>
      <c r="F7203" s="30" t="s">
        <v>416</v>
      </c>
      <c r="G7203" s="33" t="str">
        <f>IF(ISNUMBER(F7203),E7203*F7203,"")</f>
        <v/>
      </c>
      <c r="H7203" s="34"/>
      <c r="I7203" s="39"/>
      <c r="J7203" s="152">
        <v>0</v>
      </c>
    </row>
    <row r="7204" spans="1:10" ht="26.25" hidden="1" thickBot="1" x14ac:dyDescent="0.3">
      <c r="A7204" s="176"/>
      <c r="B7204" s="174"/>
      <c r="C7204" s="47" t="s">
        <v>655</v>
      </c>
      <c r="D7204" s="46"/>
      <c r="E7204" s="36"/>
      <c r="F7204" s="30" t="s">
        <v>416</v>
      </c>
      <c r="G7204" s="33" t="str">
        <f>IF(ISNUMBER(F7204),E7204*F7204,"")</f>
        <v/>
      </c>
      <c r="H7204" s="34"/>
      <c r="I7204" s="39"/>
      <c r="J7204" s="152">
        <v>0</v>
      </c>
    </row>
    <row r="7205" spans="1:10" ht="15.75" hidden="1" thickBot="1" x14ac:dyDescent="0.3">
      <c r="A7205" s="177"/>
      <c r="B7205" s="175"/>
      <c r="C7205" s="54"/>
      <c r="D7205" s="35"/>
      <c r="E7205" s="36"/>
      <c r="F7205" s="30" t="s">
        <v>416</v>
      </c>
      <c r="G7205" s="33" t="str">
        <f>IF(ISNUMBER(F7205),E7205*F7205,"")</f>
        <v/>
      </c>
      <c r="H7205" s="34"/>
      <c r="I7205" s="30"/>
      <c r="J7205" s="152">
        <v>0</v>
      </c>
    </row>
    <row r="7206" spans="1:10" ht="15.75" hidden="1" thickBot="1" x14ac:dyDescent="0.3">
      <c r="A7206" s="170" t="s">
        <v>6461</v>
      </c>
      <c r="B7206" s="173" t="str">
        <f>INDEX(Orçamentária!A:B,MATCH(Composições!A7206,Orçamentária!A:A,0),2)</f>
        <v>Mangueira de incêndio tipo 2 - engate 2 1/2” - lance 15 m</v>
      </c>
      <c r="C7206" s="40"/>
      <c r="D7206" s="25" t="s">
        <v>16</v>
      </c>
      <c r="E7206" s="26"/>
      <c r="F7206" s="41" t="s">
        <v>416</v>
      </c>
      <c r="G7206" s="27" t="str">
        <f>IF(ISNUMBER(F7206),E7206*F7206,"")</f>
        <v/>
      </c>
      <c r="H7206" s="28"/>
      <c r="I7206" s="29"/>
      <c r="J7206" s="152">
        <v>0</v>
      </c>
    </row>
    <row r="7207" spans="1:10" ht="15.75" hidden="1" thickBot="1" x14ac:dyDescent="0.3">
      <c r="A7207" s="176"/>
      <c r="B7207" s="174"/>
      <c r="C7207" s="31"/>
      <c r="D7207" s="31"/>
      <c r="E7207" s="32"/>
      <c r="F7207" s="42" t="s">
        <v>416</v>
      </c>
      <c r="G7207" s="30" t="str">
        <f>IF(ISNUMBER(F7207),E7207*F7207,"")</f>
        <v/>
      </c>
      <c r="H7207" s="34"/>
      <c r="I7207" s="30"/>
      <c r="J7207" s="152">
        <v>0</v>
      </c>
    </row>
    <row r="7208" spans="1:10" ht="39" hidden="1" thickBot="1" x14ac:dyDescent="0.3">
      <c r="A7208" s="176"/>
      <c r="B7208" s="174"/>
      <c r="C7208" s="35" t="s">
        <v>8284</v>
      </c>
      <c r="D7208" s="35" t="s">
        <v>213</v>
      </c>
      <c r="E7208" s="36">
        <v>1</v>
      </c>
      <c r="F7208" s="30">
        <v>584.62049999999999</v>
      </c>
      <c r="G7208" s="30">
        <f>IF(ISNUMBER(F7208),E7208*F7208,"")</f>
        <v>584.62049999999999</v>
      </c>
      <c r="H7208" s="38">
        <f t="shared" si="80"/>
        <v>584.62049999999999</v>
      </c>
      <c r="I7208" s="39"/>
      <c r="J7208" s="152">
        <v>0</v>
      </c>
    </row>
    <row r="7209" spans="1:10" ht="15.75" hidden="1" thickBot="1" x14ac:dyDescent="0.3">
      <c r="A7209" s="177"/>
      <c r="B7209" s="175"/>
      <c r="C7209" s="54"/>
      <c r="D7209" s="54"/>
      <c r="E7209" s="65"/>
      <c r="F7209" s="66" t="s">
        <v>416</v>
      </c>
      <c r="G7209" s="66" t="str">
        <f>IF(ISNUMBER(F7209),E7209*F7209,"")</f>
        <v/>
      </c>
      <c r="H7209" s="68"/>
      <c r="I7209" s="30"/>
      <c r="J7209" s="152">
        <v>0</v>
      </c>
    </row>
    <row r="7210" spans="1:10" ht="15.75" hidden="1" thickBot="1" x14ac:dyDescent="0.3">
      <c r="A7210" s="170" t="s">
        <v>6462</v>
      </c>
      <c r="B7210" s="173" t="str">
        <f>INDEX(Orçamentária!A:B,MATCH(Composições!A7210,Orçamentária!A:A,0),2)</f>
        <v>Manômetro DN100 (4”) até 150psi - para aferição (NBR 14105-1 classe A1)</v>
      </c>
      <c r="C7210" s="40"/>
      <c r="D7210" s="25" t="s">
        <v>16</v>
      </c>
      <c r="E7210" s="26"/>
      <c r="F7210" s="41" t="s">
        <v>416</v>
      </c>
      <c r="G7210" s="27" t="str">
        <f>IF(ISNUMBER(F7210),E7210*F7210,"")</f>
        <v/>
      </c>
      <c r="H7210" s="28"/>
      <c r="I7210" s="29"/>
      <c r="J7210" s="152">
        <v>0</v>
      </c>
    </row>
    <row r="7211" spans="1:10" ht="15.75" hidden="1" thickBot="1" x14ac:dyDescent="0.3">
      <c r="A7211" s="176"/>
      <c r="B7211" s="174"/>
      <c r="C7211" s="31"/>
      <c r="D7211" s="31"/>
      <c r="E7211" s="32"/>
      <c r="F7211" s="42" t="s">
        <v>416</v>
      </c>
      <c r="G7211" s="30" t="str">
        <f>IF(ISNUMBER(F7211),E7211*F7211,"")</f>
        <v/>
      </c>
      <c r="H7211" s="34"/>
      <c r="I7211" s="30"/>
      <c r="J7211" s="152">
        <v>0</v>
      </c>
    </row>
    <row r="7212" spans="1:10" ht="26.25" hidden="1" thickBot="1" x14ac:dyDescent="0.3">
      <c r="A7212" s="176"/>
      <c r="B7212" s="174"/>
      <c r="C7212" s="35" t="s">
        <v>8286</v>
      </c>
      <c r="D7212" s="35" t="s">
        <v>213</v>
      </c>
      <c r="E7212" s="36">
        <v>1</v>
      </c>
      <c r="F7212" s="30">
        <v>172.62450000000001</v>
      </c>
      <c r="G7212" s="30">
        <f>IF(ISNUMBER(F7212),E7212*F7212,"")</f>
        <v>172.62450000000001</v>
      </c>
      <c r="H7212" s="38">
        <f t="shared" si="80"/>
        <v>172.62450000000001</v>
      </c>
      <c r="I7212" s="39"/>
      <c r="J7212" s="152">
        <v>0</v>
      </c>
    </row>
    <row r="7213" spans="1:10" ht="15.75" hidden="1" thickBot="1" x14ac:dyDescent="0.3">
      <c r="A7213" s="177"/>
      <c r="B7213" s="175"/>
      <c r="C7213" s="54"/>
      <c r="D7213" s="54"/>
      <c r="E7213" s="65"/>
      <c r="F7213" s="66" t="s">
        <v>416</v>
      </c>
      <c r="G7213" s="66" t="str">
        <f>IF(ISNUMBER(F7213),E7213*F7213,"")</f>
        <v/>
      </c>
      <c r="H7213" s="68"/>
      <c r="I7213" s="30"/>
      <c r="J7213" s="152">
        <v>0</v>
      </c>
    </row>
    <row r="7214" spans="1:10" ht="15.75" hidden="1" thickBot="1" x14ac:dyDescent="0.3">
      <c r="A7214" s="170" t="s">
        <v>6489</v>
      </c>
      <c r="B7214" s="173" t="str">
        <f>INDEX(Orçamentária!A:B,MATCH(Composições!A7214,Orçamentária!A:A,0),2)</f>
        <v>Bucha de redução em ferro galvanizado 3” x 2 1/2”</v>
      </c>
      <c r="C7214" s="40"/>
      <c r="D7214" s="25" t="s">
        <v>16</v>
      </c>
      <c r="E7214" s="26"/>
      <c r="F7214" s="41" t="s">
        <v>416</v>
      </c>
      <c r="G7214" s="27" t="str">
        <f>IF(ISNUMBER(F7214),E7214*F7214,"")</f>
        <v/>
      </c>
      <c r="H7214" s="28"/>
      <c r="I7214" s="29"/>
      <c r="J7214" s="152">
        <v>0</v>
      </c>
    </row>
    <row r="7215" spans="1:10" ht="15.75" hidden="1" thickBot="1" x14ac:dyDescent="0.3">
      <c r="A7215" s="176"/>
      <c r="B7215" s="174"/>
      <c r="C7215" s="31"/>
      <c r="D7215" s="31"/>
      <c r="E7215" s="32"/>
      <c r="F7215" s="42" t="s">
        <v>416</v>
      </c>
      <c r="G7215" s="30" t="str">
        <f>IF(ISNUMBER(F7215),E7215*F7215,"")</f>
        <v/>
      </c>
      <c r="H7215" s="34"/>
      <c r="I7215" s="30"/>
      <c r="J7215" s="152">
        <v>0</v>
      </c>
    </row>
    <row r="7216" spans="1:10" ht="26.25" hidden="1" thickBot="1" x14ac:dyDescent="0.3">
      <c r="A7216" s="176"/>
      <c r="B7216" s="174"/>
      <c r="C7216" s="35" t="s">
        <v>8016</v>
      </c>
      <c r="D7216" s="35" t="s">
        <v>213</v>
      </c>
      <c r="E7216" s="36">
        <v>1</v>
      </c>
      <c r="F7216" s="30">
        <v>64.115499999999997</v>
      </c>
      <c r="G7216" s="30">
        <f>IF(ISNUMBER(F7216),E7216*F7216,"")</f>
        <v>64.115499999999997</v>
      </c>
      <c r="H7216" s="38">
        <f t="shared" si="80"/>
        <v>64.115499999999997</v>
      </c>
      <c r="I7216" s="39"/>
      <c r="J7216" s="152">
        <v>0</v>
      </c>
    </row>
    <row r="7217" spans="1:10" ht="15.75" hidden="1" thickBot="1" x14ac:dyDescent="0.3">
      <c r="A7217" s="177"/>
      <c r="B7217" s="175"/>
      <c r="C7217" s="54"/>
      <c r="D7217" s="54"/>
      <c r="E7217" s="65"/>
      <c r="F7217" s="66" t="s">
        <v>416</v>
      </c>
      <c r="G7217" s="66" t="str">
        <f>IF(ISNUMBER(F7217),E7217*F7217,"")</f>
        <v/>
      </c>
      <c r="H7217" s="68"/>
      <c r="I7217" s="30"/>
      <c r="J7217" s="152">
        <v>0</v>
      </c>
    </row>
    <row r="7218" spans="1:10" ht="15.75" hidden="1" thickBot="1" x14ac:dyDescent="0.3">
      <c r="A7218" s="170" t="s">
        <v>6490</v>
      </c>
      <c r="B7218" s="173" t="str">
        <f>INDEX(Orçamentária!A:B,MATCH(Composições!A7218,Orçamentária!A:A,0),2)</f>
        <v>Tubo de aço-carbono galvanizado 1 1/2” – Água Potável e Combate a Incêndio</v>
      </c>
      <c r="C7218" s="40"/>
      <c r="D7218" s="25" t="s">
        <v>69</v>
      </c>
      <c r="E7218" s="26"/>
      <c r="F7218" s="41" t="s">
        <v>416</v>
      </c>
      <c r="G7218" s="27" t="str">
        <f>IF(ISNUMBER(F7218),E7218*F7218,"")</f>
        <v/>
      </c>
      <c r="H7218" s="28"/>
      <c r="I7218" s="29"/>
      <c r="J7218" s="152">
        <v>0</v>
      </c>
    </row>
    <row r="7219" spans="1:10" ht="15.75" hidden="1" thickBot="1" x14ac:dyDescent="0.3">
      <c r="A7219" s="176"/>
      <c r="B7219" s="174"/>
      <c r="C7219" s="31"/>
      <c r="D7219" s="31"/>
      <c r="E7219" s="32"/>
      <c r="F7219" s="42" t="s">
        <v>416</v>
      </c>
      <c r="G7219" s="30" t="str">
        <f>IF(ISNUMBER(F7219),E7219*F7219,"")</f>
        <v/>
      </c>
      <c r="H7219" s="34"/>
      <c r="I7219" s="30"/>
      <c r="J7219" s="152">
        <v>0</v>
      </c>
    </row>
    <row r="7220" spans="1:10" ht="26.25" hidden="1" thickBot="1" x14ac:dyDescent="0.3">
      <c r="A7220" s="176"/>
      <c r="B7220" s="174"/>
      <c r="C7220" s="35" t="s">
        <v>8561</v>
      </c>
      <c r="D7220" s="35" t="s">
        <v>385</v>
      </c>
      <c r="E7220" s="36">
        <v>1</v>
      </c>
      <c r="F7220" s="30">
        <v>54.786499999999997</v>
      </c>
      <c r="G7220" s="30">
        <f>IF(ISNUMBER(F7220),E7220*F7220,"")</f>
        <v>54.786499999999997</v>
      </c>
      <c r="H7220" s="38">
        <f t="shared" ref="H7220" si="81">SUM(G7220:G7220)</f>
        <v>54.786499999999997</v>
      </c>
      <c r="I7220" s="39"/>
      <c r="J7220" s="152">
        <v>0</v>
      </c>
    </row>
    <row r="7221" spans="1:10" ht="15.75" hidden="1" thickBot="1" x14ac:dyDescent="0.3">
      <c r="A7221" s="177"/>
      <c r="B7221" s="175"/>
      <c r="C7221" s="54"/>
      <c r="D7221" s="54"/>
      <c r="E7221" s="65"/>
      <c r="F7221" s="66" t="s">
        <v>416</v>
      </c>
      <c r="G7221" s="66" t="str">
        <f>IF(ISNUMBER(F7221),E7221*F7221,"")</f>
        <v/>
      </c>
      <c r="H7221" s="68"/>
      <c r="I7221" s="30"/>
      <c r="J7221" s="152">
        <v>0</v>
      </c>
    </row>
    <row r="7222" spans="1:10" ht="15.75" thickBot="1" x14ac:dyDescent="0.3">
      <c r="A7222" s="170" t="s">
        <v>6508</v>
      </c>
      <c r="B7222" s="173" t="str">
        <f>INDEX(Orçamentária!A:B,MATCH(Composições!A7222,Orçamentária!A:A,0),2)</f>
        <v>Grelha para retorno quadrada 225 x 225 mm</v>
      </c>
      <c r="C7222" s="40"/>
      <c r="D7222" s="25" t="s">
        <v>16</v>
      </c>
      <c r="E7222" s="26"/>
      <c r="F7222" s="41" t="s">
        <v>416</v>
      </c>
      <c r="G7222" s="27" t="str">
        <f>IF(ISNUMBER(F7222),E7222*F7222,"")</f>
        <v/>
      </c>
      <c r="H7222" s="28"/>
      <c r="I7222" s="29"/>
      <c r="J7222" s="152">
        <v>1</v>
      </c>
    </row>
    <row r="7223" spans="1:10" x14ac:dyDescent="0.25">
      <c r="A7223" s="176"/>
      <c r="B7223" s="174"/>
      <c r="C7223" s="31"/>
      <c r="D7223" s="31"/>
      <c r="E7223" s="32"/>
      <c r="F7223" s="42" t="s">
        <v>416</v>
      </c>
      <c r="G7223" s="30" t="str">
        <f>IF(ISNUMBER(F7223),E7223*F7223,"")</f>
        <v/>
      </c>
      <c r="H7223" s="34"/>
      <c r="I7223" s="30"/>
      <c r="J7223" s="152">
        <v>1</v>
      </c>
    </row>
    <row r="7224" spans="1:10" ht="25.5" x14ac:dyDescent="0.25">
      <c r="A7224" s="176"/>
      <c r="B7224" s="174"/>
      <c r="C7224" s="35" t="s">
        <v>2901</v>
      </c>
      <c r="D7224" s="35" t="s">
        <v>583</v>
      </c>
      <c r="E7224" s="36">
        <v>3.5</v>
      </c>
      <c r="F7224" s="30">
        <v>23.160999999999998</v>
      </c>
      <c r="G7224" s="33">
        <f>IF(ISNUMBER(F7224),E7224*F7224,"")</f>
        <v>81.063499999999991</v>
      </c>
      <c r="H7224" s="38">
        <f>SUM(G7224:G7226)</f>
        <v>399.52749999999997</v>
      </c>
      <c r="I7224" s="39"/>
      <c r="J7224" s="152">
        <v>1</v>
      </c>
    </row>
    <row r="7225" spans="1:10" ht="25.5" x14ac:dyDescent="0.25">
      <c r="A7225" s="176"/>
      <c r="B7225" s="174"/>
      <c r="C7225" s="35" t="s">
        <v>462</v>
      </c>
      <c r="D7225" s="35" t="s">
        <v>583</v>
      </c>
      <c r="E7225" s="36">
        <v>3.5</v>
      </c>
      <c r="F7225" s="30">
        <v>29.183999999999997</v>
      </c>
      <c r="G7225" s="33">
        <f>IF(ISNUMBER(F7225),E7225*F7225,"")</f>
        <v>102.14399999999999</v>
      </c>
      <c r="H7225" s="34"/>
      <c r="I7225" s="30"/>
      <c r="J7225" s="152">
        <v>1</v>
      </c>
    </row>
    <row r="7226" spans="1:10" x14ac:dyDescent="0.25">
      <c r="A7226" s="176"/>
      <c r="B7226" s="174"/>
      <c r="C7226" s="35" t="s">
        <v>6605</v>
      </c>
      <c r="D7226" s="35" t="s">
        <v>107</v>
      </c>
      <c r="E7226" s="36">
        <v>1</v>
      </c>
      <c r="F7226" s="33">
        <v>216.32</v>
      </c>
      <c r="G7226" s="33">
        <f>IF(ISNUMBER(F7226),E7226*F7226,"")</f>
        <v>216.32</v>
      </c>
      <c r="H7226" s="34"/>
      <c r="I7226" s="30"/>
      <c r="J7226" s="152">
        <v>1</v>
      </c>
    </row>
    <row r="7227" spans="1:10" ht="15.75" thickBot="1" x14ac:dyDescent="0.3">
      <c r="A7227" s="177"/>
      <c r="B7227" s="175"/>
      <c r="C7227" s="35"/>
      <c r="D7227" s="35"/>
      <c r="E7227" s="36"/>
      <c r="F7227" s="30" t="s">
        <v>416</v>
      </c>
      <c r="G7227" s="30" t="str">
        <f>IF(ISNUMBER(F7227),E7227*F7227,"")</f>
        <v/>
      </c>
      <c r="H7227" s="34"/>
      <c r="I7227" s="30"/>
      <c r="J7227" s="152">
        <v>1</v>
      </c>
    </row>
    <row r="7228" spans="1:10" ht="15.75" hidden="1" thickBot="1" x14ac:dyDescent="0.3">
      <c r="A7228" s="170" t="s">
        <v>6512</v>
      </c>
      <c r="B7228" s="173" t="str">
        <f>INDEX(Orçamentária!A:B,MATCH(Composições!A7228,Orçamentária!A:A,0),2)</f>
        <v>Instalação de quadros elétricos ou de telecomunicações</v>
      </c>
      <c r="C7228" s="40"/>
      <c r="D7228" s="25" t="s">
        <v>16</v>
      </c>
      <c r="E7228" s="26"/>
      <c r="F7228" s="48" t="s">
        <v>416</v>
      </c>
      <c r="G7228" s="27" t="str">
        <f>IF(ISNUMBER(F7228),E7228*F7228,"")</f>
        <v/>
      </c>
      <c r="H7228" s="28"/>
      <c r="I7228" s="29"/>
      <c r="J7228" s="152">
        <v>0</v>
      </c>
    </row>
    <row r="7229" spans="1:10" ht="15.75" hidden="1" thickBot="1" x14ac:dyDescent="0.3">
      <c r="A7229" s="171"/>
      <c r="B7229" s="174"/>
      <c r="C7229" s="31"/>
      <c r="D7229" s="31"/>
      <c r="E7229" s="32"/>
      <c r="F7229" s="53" t="s">
        <v>416</v>
      </c>
      <c r="G7229" s="53" t="str">
        <f>IF(ISNUMBER(F7229),E7229*F7229,"")</f>
        <v/>
      </c>
      <c r="H7229" s="72"/>
      <c r="I7229" s="73"/>
      <c r="J7229" s="152">
        <v>0</v>
      </c>
    </row>
    <row r="7230" spans="1:10" ht="39" hidden="1" thickBot="1" x14ac:dyDescent="0.3">
      <c r="A7230" s="171"/>
      <c r="B7230" s="174"/>
      <c r="C7230" s="35" t="s">
        <v>2897</v>
      </c>
      <c r="D7230" s="46" t="s">
        <v>87</v>
      </c>
      <c r="E7230" s="36">
        <v>1.9199999999999998E-2</v>
      </c>
      <c r="F7230" s="30">
        <v>838.58271563799997</v>
      </c>
      <c r="G7230" s="53">
        <f>IF(ISNUMBER(F7230),E7230*F7230,"")</f>
        <v>16.100788140249598</v>
      </c>
      <c r="H7230" s="38">
        <f>SUM(G7230:G7232)</f>
        <v>47.417608440249602</v>
      </c>
      <c r="I7230" s="39"/>
      <c r="J7230" s="152">
        <v>0</v>
      </c>
    </row>
    <row r="7231" spans="1:10" ht="15.75" hidden="1" thickBot="1" x14ac:dyDescent="0.3">
      <c r="A7231" s="171"/>
      <c r="B7231" s="174"/>
      <c r="C7231" s="35" t="s">
        <v>1017</v>
      </c>
      <c r="D7231" s="35" t="s">
        <v>583</v>
      </c>
      <c r="E7231" s="36">
        <v>0.63370000000000004</v>
      </c>
      <c r="F7231" s="30">
        <v>21.584</v>
      </c>
      <c r="G7231" s="53">
        <f>IF(ISNUMBER(F7231),E7231*F7231,"")</f>
        <v>13.677780800000001</v>
      </c>
      <c r="H7231" s="43"/>
      <c r="I7231" s="39"/>
      <c r="J7231" s="152">
        <v>0</v>
      </c>
    </row>
    <row r="7232" spans="1:10" ht="15.75" hidden="1" thickBot="1" x14ac:dyDescent="0.3">
      <c r="A7232" s="171"/>
      <c r="B7232" s="174"/>
      <c r="C7232" s="35" t="s">
        <v>1018</v>
      </c>
      <c r="D7232" s="35" t="s">
        <v>583</v>
      </c>
      <c r="E7232" s="36">
        <v>0.63370000000000004</v>
      </c>
      <c r="F7232" s="30">
        <v>27.835000000000001</v>
      </c>
      <c r="G7232" s="53">
        <f>IF(ISNUMBER(F7232),E7232*F7232,"")</f>
        <v>17.639039500000003</v>
      </c>
      <c r="H7232" s="43"/>
      <c r="I7232" s="39"/>
      <c r="J7232" s="152">
        <v>0</v>
      </c>
    </row>
    <row r="7233" spans="1:10" ht="15.75" hidden="1" thickBot="1" x14ac:dyDescent="0.3">
      <c r="A7233" s="172"/>
      <c r="B7233" s="175"/>
      <c r="C7233" s="35"/>
      <c r="D7233" s="35"/>
      <c r="E7233" s="36"/>
      <c r="F7233" s="30" t="s">
        <v>416</v>
      </c>
      <c r="G7233" s="53"/>
      <c r="H7233" s="43"/>
      <c r="I7233" s="39"/>
      <c r="J7233" s="152">
        <v>0</v>
      </c>
    </row>
    <row r="7234" spans="1:10" ht="15.75" hidden="1" thickBot="1" x14ac:dyDescent="0.3">
      <c r="A7234" s="170" t="s">
        <v>6513</v>
      </c>
      <c r="B7234" s="173" t="str">
        <f>INDEX(Orçamentária!A:B,MATCH(Composições!A7234,Orçamentária!A:A,0),2)</f>
        <v>Condulete de alumínio de 3"</v>
      </c>
      <c r="C7234" s="40"/>
      <c r="D7234" s="25" t="s">
        <v>16</v>
      </c>
      <c r="E7234" s="26"/>
      <c r="F7234" s="48" t="s">
        <v>416</v>
      </c>
      <c r="G7234" s="27" t="str">
        <f>IF(ISNUMBER(F7234),E7234*F7234,"")</f>
        <v/>
      </c>
      <c r="H7234" s="28"/>
      <c r="I7234" s="29"/>
      <c r="J7234" s="152">
        <v>0</v>
      </c>
    </row>
    <row r="7235" spans="1:10" ht="15.75" hidden="1" thickBot="1" x14ac:dyDescent="0.3">
      <c r="A7235" s="171"/>
      <c r="B7235" s="174"/>
      <c r="C7235" s="31"/>
      <c r="D7235" s="31"/>
      <c r="E7235" s="32"/>
      <c r="F7235" s="53" t="s">
        <v>416</v>
      </c>
      <c r="G7235" s="53" t="str">
        <f>IF(ISNUMBER(F7235),E7235*F7235,"")</f>
        <v/>
      </c>
      <c r="H7235" s="72"/>
      <c r="I7235" s="73"/>
      <c r="J7235" s="152">
        <v>0</v>
      </c>
    </row>
    <row r="7236" spans="1:10" ht="26.25" hidden="1" thickBot="1" x14ac:dyDescent="0.3">
      <c r="A7236" s="171"/>
      <c r="B7236" s="174"/>
      <c r="C7236" s="35" t="s">
        <v>8075</v>
      </c>
      <c r="D7236" s="35" t="s">
        <v>213</v>
      </c>
      <c r="E7236" s="36">
        <v>1</v>
      </c>
      <c r="F7236" s="30">
        <v>99.189499999999995</v>
      </c>
      <c r="G7236" s="53">
        <f>IF(ISNUMBER(F7236),E7236*F7236,"")</f>
        <v>99.189499999999995</v>
      </c>
      <c r="H7236" s="38">
        <f>SUM(G7236:G7239)</f>
        <v>125.2379699</v>
      </c>
      <c r="I7236" s="39"/>
      <c r="J7236" s="152">
        <v>0</v>
      </c>
    </row>
    <row r="7237" spans="1:10" ht="39" hidden="1" thickBot="1" x14ac:dyDescent="0.3">
      <c r="A7237" s="171"/>
      <c r="B7237" s="174"/>
      <c r="C7237" s="35" t="s">
        <v>8010</v>
      </c>
      <c r="D7237" s="35" t="s">
        <v>213</v>
      </c>
      <c r="E7237" s="36">
        <v>2</v>
      </c>
      <c r="F7237" s="33">
        <v>0.3705</v>
      </c>
      <c r="G7237" s="33">
        <f>IF(ISNUMBER(F7237),E7237*F7237,"")</f>
        <v>0.74099999999999999</v>
      </c>
      <c r="H7237" s="34"/>
      <c r="I7237" s="30"/>
      <c r="J7237" s="152">
        <v>0</v>
      </c>
    </row>
    <row r="7238" spans="1:10" ht="15.75" hidden="1" thickBot="1" x14ac:dyDescent="0.3">
      <c r="A7238" s="171"/>
      <c r="B7238" s="174"/>
      <c r="C7238" s="35" t="s">
        <v>1017</v>
      </c>
      <c r="D7238" s="35" t="s">
        <v>583</v>
      </c>
      <c r="E7238" s="36">
        <v>0.5121</v>
      </c>
      <c r="F7238" s="30">
        <v>21.584</v>
      </c>
      <c r="G7238" s="53">
        <f>IF(ISNUMBER(F7238),E7238*F7238,"")</f>
        <v>11.0531664</v>
      </c>
      <c r="H7238" s="43"/>
      <c r="I7238" s="39"/>
      <c r="J7238" s="152">
        <v>0</v>
      </c>
    </row>
    <row r="7239" spans="1:10" ht="15.75" hidden="1" thickBot="1" x14ac:dyDescent="0.3">
      <c r="A7239" s="171"/>
      <c r="B7239" s="174"/>
      <c r="C7239" s="35" t="s">
        <v>1018</v>
      </c>
      <c r="D7239" s="35" t="s">
        <v>583</v>
      </c>
      <c r="E7239" s="36">
        <v>0.5121</v>
      </c>
      <c r="F7239" s="30">
        <v>27.835000000000001</v>
      </c>
      <c r="G7239" s="53">
        <f>IF(ISNUMBER(F7239),E7239*F7239,"")</f>
        <v>14.254303500000001</v>
      </c>
      <c r="H7239" s="43"/>
      <c r="I7239" s="39"/>
      <c r="J7239" s="152">
        <v>0</v>
      </c>
    </row>
    <row r="7240" spans="1:10" ht="15.75" hidden="1" thickBot="1" x14ac:dyDescent="0.3">
      <c r="A7240" s="172"/>
      <c r="B7240" s="175"/>
      <c r="C7240" s="54"/>
      <c r="D7240" s="155"/>
      <c r="E7240" s="65"/>
      <c r="F7240" s="75" t="s">
        <v>416</v>
      </c>
      <c r="G7240" s="75" t="str">
        <f>IF(ISNUMBER(F7240),E7240*F7240,"")</f>
        <v/>
      </c>
      <c r="H7240" s="76"/>
      <c r="I7240" s="73"/>
      <c r="J7240" s="152">
        <v>0</v>
      </c>
    </row>
    <row r="7241" spans="1:10" ht="15.75" hidden="1" thickBot="1" x14ac:dyDescent="0.3">
      <c r="A7241" s="170" t="s">
        <v>6540</v>
      </c>
      <c r="B7241" s="173" t="str">
        <f>INDEX(Orçamentária!A:B,MATCH(Composições!A7241,Orçamentária!A:A,0),2)</f>
        <v>Fluido de arrefecimento diluído para motor MTU 16V4000</v>
      </c>
      <c r="C7241" s="40"/>
      <c r="D7241" s="25" t="s">
        <v>6633</v>
      </c>
      <c r="E7241" s="26"/>
      <c r="F7241" s="41" t="s">
        <v>416</v>
      </c>
      <c r="G7241" s="27" t="str">
        <f>IF(ISNUMBER(F7241),E7241*F7241,"")</f>
        <v/>
      </c>
      <c r="H7241" s="28"/>
      <c r="I7241" s="29"/>
      <c r="J7241" s="152">
        <v>0</v>
      </c>
    </row>
    <row r="7242" spans="1:10" ht="15.75" hidden="1" thickBot="1" x14ac:dyDescent="0.3">
      <c r="A7242" s="176"/>
      <c r="B7242" s="174"/>
      <c r="C7242" s="31"/>
      <c r="D7242" s="31"/>
      <c r="E7242" s="32"/>
      <c r="F7242" s="42" t="s">
        <v>416</v>
      </c>
      <c r="G7242" s="30" t="str">
        <f>IF(ISNUMBER(F7242),E7242*F7242,"")</f>
        <v/>
      </c>
      <c r="H7242" s="34"/>
      <c r="I7242" s="30"/>
      <c r="J7242" s="152">
        <v>0</v>
      </c>
    </row>
    <row r="7243" spans="1:10" ht="15.75" hidden="1" thickBot="1" x14ac:dyDescent="0.3">
      <c r="A7243" s="176"/>
      <c r="B7243" s="174"/>
      <c r="C7243" s="35" t="s">
        <v>6811</v>
      </c>
      <c r="D7243" s="35" t="s">
        <v>75</v>
      </c>
      <c r="E7243" s="36">
        <v>0.91</v>
      </c>
      <c r="F7243" s="30" t="s">
        <v>416</v>
      </c>
      <c r="G7243" s="30" t="str">
        <f>IF(ISNUMBER(F7243),E7243*F7243,"")</f>
        <v/>
      </c>
      <c r="H7243" s="38">
        <f>SUM(G7243:G7244)</f>
        <v>0</v>
      </c>
      <c r="I7243" s="39"/>
      <c r="J7243" s="152">
        <v>0</v>
      </c>
    </row>
    <row r="7244" spans="1:10" ht="15.75" hidden="1" thickBot="1" x14ac:dyDescent="0.3">
      <c r="A7244" s="176"/>
      <c r="B7244" s="174"/>
      <c r="C7244" s="35" t="s">
        <v>6632</v>
      </c>
      <c r="D7244" s="35" t="s">
        <v>75</v>
      </c>
      <c r="E7244" s="36">
        <v>0.09</v>
      </c>
      <c r="F7244" s="30" t="s">
        <v>416</v>
      </c>
      <c r="G7244" s="30" t="str">
        <f>IF(ISNUMBER(F7244),E7244*F7244,"")</f>
        <v/>
      </c>
      <c r="H7244" s="34"/>
      <c r="I7244" s="39"/>
      <c r="J7244" s="152">
        <v>0</v>
      </c>
    </row>
    <row r="7245" spans="1:10" ht="15.75" hidden="1" thickBot="1" x14ac:dyDescent="0.3">
      <c r="A7245" s="177"/>
      <c r="B7245" s="175"/>
      <c r="C7245" s="35"/>
      <c r="D7245" s="54"/>
      <c r="E7245" s="65"/>
      <c r="F7245" s="66" t="s">
        <v>416</v>
      </c>
      <c r="G7245" s="66" t="str">
        <f>IF(ISNUMBER(F7245),E7245*F7245,"")</f>
        <v/>
      </c>
      <c r="H7245" s="68"/>
      <c r="I7245" s="30"/>
      <c r="J7245" s="152">
        <v>0</v>
      </c>
    </row>
    <row r="7246" spans="1:10" ht="15.75" hidden="1" thickBot="1" x14ac:dyDescent="0.3">
      <c r="A7246" s="170" t="s">
        <v>6548</v>
      </c>
      <c r="B7246" s="173" t="str">
        <f>INDEX(Orçamentária!A:B,MATCH(Composições!A7246,Orçamentária!A:A,0),2)</f>
        <v>Fluido de arrefecimento diluído para motor Cummins NTA 855</v>
      </c>
      <c r="C7246" s="40"/>
      <c r="D7246" s="25" t="s">
        <v>6633</v>
      </c>
      <c r="E7246" s="26"/>
      <c r="F7246" s="41" t="s">
        <v>416</v>
      </c>
      <c r="G7246" s="27" t="str">
        <f>IF(ISNUMBER(F7246),E7246*F7246,"")</f>
        <v/>
      </c>
      <c r="H7246" s="28"/>
      <c r="I7246" s="29"/>
      <c r="J7246" s="152">
        <v>0</v>
      </c>
    </row>
    <row r="7247" spans="1:10" ht="15.75" hidden="1" thickBot="1" x14ac:dyDescent="0.3">
      <c r="A7247" s="176"/>
      <c r="B7247" s="174"/>
      <c r="C7247" s="31"/>
      <c r="D7247" s="31"/>
      <c r="E7247" s="32"/>
      <c r="F7247" s="42" t="s">
        <v>416</v>
      </c>
      <c r="G7247" s="30" t="str">
        <f>IF(ISNUMBER(F7247),E7247*F7247,"")</f>
        <v/>
      </c>
      <c r="H7247" s="34"/>
      <c r="I7247" s="30"/>
      <c r="J7247" s="152">
        <v>0</v>
      </c>
    </row>
    <row r="7248" spans="1:10" ht="15.75" hidden="1" thickBot="1" x14ac:dyDescent="0.3">
      <c r="A7248" s="176"/>
      <c r="B7248" s="174"/>
      <c r="C7248" s="35" t="s">
        <v>6811</v>
      </c>
      <c r="D7248" s="35" t="s">
        <v>75</v>
      </c>
      <c r="E7248" s="36">
        <v>0.96</v>
      </c>
      <c r="F7248" s="30" t="s">
        <v>416</v>
      </c>
      <c r="G7248" s="30" t="str">
        <f>IF(ISNUMBER(F7248),E7248*F7248,"")</f>
        <v/>
      </c>
      <c r="H7248" s="38">
        <f>SUM(G7248:G7249)</f>
        <v>0</v>
      </c>
      <c r="I7248" s="39"/>
      <c r="J7248" s="152">
        <v>0</v>
      </c>
    </row>
    <row r="7249" spans="1:10" ht="15.75" hidden="1" thickBot="1" x14ac:dyDescent="0.3">
      <c r="A7249" s="176"/>
      <c r="B7249" s="174"/>
      <c r="C7249" s="35" t="s">
        <v>6641</v>
      </c>
      <c r="D7249" s="35" t="s">
        <v>75</v>
      </c>
      <c r="E7249" s="36">
        <v>0.04</v>
      </c>
      <c r="F7249" s="30" t="s">
        <v>416</v>
      </c>
      <c r="G7249" s="30" t="str">
        <f>IF(ISNUMBER(F7249),E7249*F7249,"")</f>
        <v/>
      </c>
      <c r="H7249" s="34"/>
      <c r="I7249" s="39"/>
      <c r="J7249" s="152">
        <v>0</v>
      </c>
    </row>
    <row r="7250" spans="1:10" ht="15.75" hidden="1" thickBot="1" x14ac:dyDescent="0.3">
      <c r="A7250" s="177"/>
      <c r="B7250" s="175"/>
      <c r="C7250" s="35"/>
      <c r="D7250" s="54"/>
      <c r="E7250" s="65"/>
      <c r="F7250" s="66" t="s">
        <v>416</v>
      </c>
      <c r="G7250" s="66" t="str">
        <f>IF(ISNUMBER(F7250),E7250*F7250,"")</f>
        <v/>
      </c>
      <c r="H7250" s="68"/>
      <c r="I7250" s="30"/>
      <c r="J7250" s="152">
        <v>0</v>
      </c>
    </row>
    <row r="7251" spans="1:10" ht="15.75" hidden="1" thickBot="1" x14ac:dyDescent="0.3">
      <c r="A7251" s="170" t="s">
        <v>6561</v>
      </c>
      <c r="B7251" s="173" t="str">
        <f>INDEX(Orçamentária!A:B,MATCH(Composições!A7251,Orçamentária!A:A,0),2)</f>
        <v>Fluido de arrefecimento diluído para motor Mercedes-Benz OM 447 LA</v>
      </c>
      <c r="C7251" s="40"/>
      <c r="D7251" s="25" t="s">
        <v>6633</v>
      </c>
      <c r="E7251" s="26"/>
      <c r="F7251" s="41" t="s">
        <v>416</v>
      </c>
      <c r="G7251" s="27" t="str">
        <f>IF(ISNUMBER(F7251),E7251*F7251,"")</f>
        <v/>
      </c>
      <c r="H7251" s="28"/>
      <c r="I7251" s="29"/>
      <c r="J7251" s="152">
        <v>0</v>
      </c>
    </row>
    <row r="7252" spans="1:10" ht="15.75" hidden="1" thickBot="1" x14ac:dyDescent="0.3">
      <c r="A7252" s="176"/>
      <c r="B7252" s="174"/>
      <c r="C7252" s="31"/>
      <c r="D7252" s="31"/>
      <c r="E7252" s="32"/>
      <c r="F7252" s="42" t="s">
        <v>416</v>
      </c>
      <c r="G7252" s="33" t="str">
        <f>IF(ISNUMBER(F7252),E7252*F7252,"")</f>
        <v/>
      </c>
      <c r="H7252" s="34"/>
      <c r="I7252" s="30"/>
      <c r="J7252" s="152">
        <v>0</v>
      </c>
    </row>
    <row r="7253" spans="1:10" ht="15.75" hidden="1" thickBot="1" x14ac:dyDescent="0.3">
      <c r="A7253" s="176"/>
      <c r="B7253" s="174"/>
      <c r="C7253" s="35" t="s">
        <v>6811</v>
      </c>
      <c r="D7253" s="35" t="s">
        <v>75</v>
      </c>
      <c r="E7253" s="36">
        <v>0.5</v>
      </c>
      <c r="F7253" s="30" t="s">
        <v>416</v>
      </c>
      <c r="G7253" s="33" t="str">
        <f>IF(ISNUMBER(F7253),E7253*F7253,"")</f>
        <v/>
      </c>
      <c r="H7253" s="38">
        <f>SUM(G7253:G7254)</f>
        <v>0</v>
      </c>
      <c r="I7253" s="39"/>
      <c r="J7253" s="152">
        <v>0</v>
      </c>
    </row>
    <row r="7254" spans="1:10" ht="15.75" hidden="1" thickBot="1" x14ac:dyDescent="0.3">
      <c r="A7254" s="176"/>
      <c r="B7254" s="174"/>
      <c r="C7254" s="35" t="s">
        <v>6654</v>
      </c>
      <c r="D7254" s="35" t="s">
        <v>75</v>
      </c>
      <c r="E7254" s="36">
        <v>0.5</v>
      </c>
      <c r="F7254" s="30" t="s">
        <v>416</v>
      </c>
      <c r="G7254" s="30" t="str">
        <f>IF(ISNUMBER(F7254),E7254*F7254,"")</f>
        <v/>
      </c>
      <c r="H7254" s="34"/>
      <c r="I7254" s="39"/>
      <c r="J7254" s="152">
        <v>0</v>
      </c>
    </row>
    <row r="7255" spans="1:10" ht="15.75" hidden="1" thickBot="1" x14ac:dyDescent="0.3">
      <c r="A7255" s="177"/>
      <c r="B7255" s="175"/>
      <c r="C7255" s="54"/>
      <c r="D7255" s="35"/>
      <c r="E7255" s="36"/>
      <c r="F7255" s="30" t="s">
        <v>416</v>
      </c>
      <c r="G7255" s="33" t="str">
        <f>IF(ISNUMBER(F7255),E7255*F7255,"")</f>
        <v/>
      </c>
      <c r="H7255" s="34"/>
      <c r="I7255" s="30"/>
      <c r="J7255" s="152">
        <v>0</v>
      </c>
    </row>
    <row r="7256" spans="1:10" ht="15.75" hidden="1" thickBot="1" x14ac:dyDescent="0.3">
      <c r="A7256" s="170" t="s">
        <v>6678</v>
      </c>
      <c r="B7256" s="173" t="str">
        <f>INDEX(Orçamentária!A:B,MATCH(Composições!A7256,Orçamentária!A:A,0),2)</f>
        <v>Cotovelo BSP 1 1/2” para filtro de óleo diesel</v>
      </c>
      <c r="C7256" s="40"/>
      <c r="D7256" s="25" t="s">
        <v>16</v>
      </c>
      <c r="E7256" s="26"/>
      <c r="F7256" s="41" t="s">
        <v>416</v>
      </c>
      <c r="G7256" s="27" t="str">
        <f>IF(ISNUMBER(F7256),E7256*F7256,"")</f>
        <v/>
      </c>
      <c r="H7256" s="28"/>
      <c r="I7256" s="29"/>
      <c r="J7256" s="152">
        <v>0</v>
      </c>
    </row>
    <row r="7257" spans="1:10" ht="15.75" hidden="1" thickBot="1" x14ac:dyDescent="0.3">
      <c r="A7257" s="176"/>
      <c r="B7257" s="174"/>
      <c r="C7257" s="31"/>
      <c r="D7257" s="31"/>
      <c r="E7257" s="32"/>
      <c r="F7257" s="42" t="s">
        <v>416</v>
      </c>
      <c r="G7257" s="30" t="str">
        <f>IF(ISNUMBER(F7257),E7257*F7257,"")</f>
        <v/>
      </c>
      <c r="H7257" s="34"/>
      <c r="I7257" s="30"/>
      <c r="J7257" s="152">
        <v>0</v>
      </c>
    </row>
    <row r="7258" spans="1:10" ht="26.25" hidden="1" thickBot="1" x14ac:dyDescent="0.3">
      <c r="A7258" s="176"/>
      <c r="B7258" s="174"/>
      <c r="C7258" s="35" t="s">
        <v>8101</v>
      </c>
      <c r="D7258" s="35" t="s">
        <v>213</v>
      </c>
      <c r="E7258" s="36">
        <v>1</v>
      </c>
      <c r="F7258" s="30">
        <v>40.403500000000001</v>
      </c>
      <c r="G7258" s="30">
        <f>IF(ISNUMBER(F7258),E7258*F7258,"")</f>
        <v>40.403500000000001</v>
      </c>
      <c r="H7258" s="38">
        <f t="shared" ref="H7258" si="82">SUM(G7258:G7258)</f>
        <v>40.403500000000001</v>
      </c>
      <c r="I7258" s="39"/>
      <c r="J7258" s="152">
        <v>0</v>
      </c>
    </row>
    <row r="7259" spans="1:10" ht="15.75" hidden="1" thickBot="1" x14ac:dyDescent="0.3">
      <c r="A7259" s="177"/>
      <c r="B7259" s="175"/>
      <c r="C7259" s="54"/>
      <c r="D7259" s="54"/>
      <c r="E7259" s="65"/>
      <c r="F7259" s="66" t="s">
        <v>416</v>
      </c>
      <c r="G7259" s="66" t="str">
        <f>IF(ISNUMBER(F7259),E7259*F7259,"")</f>
        <v/>
      </c>
      <c r="H7259" s="68"/>
      <c r="I7259" s="30"/>
      <c r="J7259" s="152">
        <v>0</v>
      </c>
    </row>
    <row r="7260" spans="1:10" ht="15.75" hidden="1" thickBot="1" x14ac:dyDescent="0.3">
      <c r="A7260" s="170" t="s">
        <v>6684</v>
      </c>
      <c r="B7260" s="173" t="str">
        <f>INDEX(Orçamentária!A:B,MATCH(Composições!A7260,Orçamentária!A:A,0),2)</f>
        <v>União BSP 1 1/2” para filtro de óleo diesel</v>
      </c>
      <c r="C7260" s="40"/>
      <c r="D7260" s="25" t="s">
        <v>16</v>
      </c>
      <c r="E7260" s="26"/>
      <c r="F7260" s="41" t="s">
        <v>416</v>
      </c>
      <c r="G7260" s="27" t="str">
        <f>IF(ISNUMBER(F7260),E7260*F7260,"")</f>
        <v/>
      </c>
      <c r="H7260" s="28"/>
      <c r="I7260" s="29"/>
      <c r="J7260" s="152">
        <v>0</v>
      </c>
    </row>
    <row r="7261" spans="1:10" ht="15.75" hidden="1" thickBot="1" x14ac:dyDescent="0.3">
      <c r="A7261" s="176"/>
      <c r="B7261" s="174"/>
      <c r="C7261" s="31"/>
      <c r="D7261" s="31"/>
      <c r="E7261" s="32"/>
      <c r="F7261" s="42" t="s">
        <v>416</v>
      </c>
      <c r="G7261" s="30" t="str">
        <f>IF(ISNUMBER(F7261),E7261*F7261,"")</f>
        <v/>
      </c>
      <c r="H7261" s="34"/>
      <c r="I7261" s="30"/>
      <c r="J7261" s="152">
        <v>0</v>
      </c>
    </row>
    <row r="7262" spans="1:10" ht="26.25" hidden="1" thickBot="1" x14ac:dyDescent="0.3">
      <c r="A7262" s="176"/>
      <c r="B7262" s="174"/>
      <c r="C7262" s="35" t="s">
        <v>8483</v>
      </c>
      <c r="D7262" s="35" t="s">
        <v>213</v>
      </c>
      <c r="E7262" s="36">
        <v>1</v>
      </c>
      <c r="F7262" s="30">
        <v>68.989000000000004</v>
      </c>
      <c r="G7262" s="30">
        <f>IF(ISNUMBER(F7262),E7262*F7262,"")</f>
        <v>68.989000000000004</v>
      </c>
      <c r="H7262" s="38">
        <f t="shared" ref="H7262" si="83">SUM(G7262:G7262)</f>
        <v>68.989000000000004</v>
      </c>
      <c r="I7262" s="39"/>
      <c r="J7262" s="152">
        <v>0</v>
      </c>
    </row>
    <row r="7263" spans="1:10" ht="15.75" hidden="1" thickBot="1" x14ac:dyDescent="0.3">
      <c r="A7263" s="177"/>
      <c r="B7263" s="175"/>
      <c r="C7263" s="54"/>
      <c r="D7263" s="54"/>
      <c r="E7263" s="65"/>
      <c r="F7263" s="66" t="s">
        <v>416</v>
      </c>
      <c r="G7263" s="66" t="str">
        <f>IF(ISNUMBER(F7263),E7263*F7263,"")</f>
        <v/>
      </c>
      <c r="H7263" s="68"/>
      <c r="I7263" s="30"/>
      <c r="J7263" s="152">
        <v>0</v>
      </c>
    </row>
    <row r="7264" spans="1:10" ht="15.75" hidden="1" thickBot="1" x14ac:dyDescent="0.3">
      <c r="A7264" s="170" t="s">
        <v>6686</v>
      </c>
      <c r="B7264" s="173" t="str">
        <f>INDEX(Orçamentária!A:B,MATCH(Composições!A7264,Orçamentária!A:A,0),2)</f>
        <v>Tubo de aço-carbono 1 1/2” - Filtro de óleo diesel</v>
      </c>
      <c r="C7264" s="40"/>
      <c r="D7264" s="25" t="s">
        <v>69</v>
      </c>
      <c r="E7264" s="26"/>
      <c r="F7264" s="41" t="s">
        <v>416</v>
      </c>
      <c r="G7264" s="27" t="str">
        <f>IF(ISNUMBER(F7264),E7264*F7264,"")</f>
        <v/>
      </c>
      <c r="H7264" s="28"/>
      <c r="I7264" s="29"/>
      <c r="J7264" s="152">
        <v>0</v>
      </c>
    </row>
    <row r="7265" spans="1:10" ht="15.75" hidden="1" thickBot="1" x14ac:dyDescent="0.3">
      <c r="A7265" s="176"/>
      <c r="B7265" s="174"/>
      <c r="C7265" s="31"/>
      <c r="D7265" s="31"/>
      <c r="E7265" s="32"/>
      <c r="F7265" s="42" t="s">
        <v>416</v>
      </c>
      <c r="G7265" s="33" t="str">
        <f>IF(ISNUMBER(F7265),E7265*F7265,"")</f>
        <v/>
      </c>
      <c r="H7265" s="34"/>
      <c r="I7265" s="30"/>
      <c r="J7265" s="152">
        <v>0</v>
      </c>
    </row>
    <row r="7266" spans="1:10" ht="26.25" hidden="1" thickBot="1" x14ac:dyDescent="0.3">
      <c r="A7266" s="176"/>
      <c r="B7266" s="174"/>
      <c r="C7266" s="35" t="s">
        <v>8561</v>
      </c>
      <c r="D7266" s="35" t="s">
        <v>385</v>
      </c>
      <c r="E7266" s="36">
        <v>1</v>
      </c>
      <c r="F7266" s="30">
        <v>54.786499999999997</v>
      </c>
      <c r="G7266" s="33">
        <f>IF(ISNUMBER(F7266),E7266*F7266,"")</f>
        <v>54.786499999999997</v>
      </c>
      <c r="H7266" s="38">
        <f>SUM(G7266:G7266)</f>
        <v>54.786499999999997</v>
      </c>
      <c r="I7266" s="39"/>
      <c r="J7266" s="152">
        <v>0</v>
      </c>
    </row>
    <row r="7267" spans="1:10" ht="15.75" hidden="1" thickBot="1" x14ac:dyDescent="0.3">
      <c r="A7267" s="177"/>
      <c r="B7267" s="175"/>
      <c r="C7267" s="54"/>
      <c r="D7267" s="35"/>
      <c r="E7267" s="36"/>
      <c r="F7267" s="30" t="s">
        <v>416</v>
      </c>
      <c r="G7267" s="33" t="str">
        <f>IF(ISNUMBER(F7267),E7267*F7267,"")</f>
        <v/>
      </c>
      <c r="H7267" s="34"/>
      <c r="I7267" s="30"/>
      <c r="J7267" s="152">
        <v>0</v>
      </c>
    </row>
    <row r="7268" spans="1:10" ht="15.75" hidden="1" thickBot="1" x14ac:dyDescent="0.3">
      <c r="A7268" s="170" t="s">
        <v>6698</v>
      </c>
      <c r="B7268" s="173" t="str">
        <f>INDEX(Orçamentária!A:B,MATCH(Composições!A7268,Orçamentária!A:A,0),2)</f>
        <v>Bloco vazado de concreto simples com 02 furos (19x19x39 - Classe A)</v>
      </c>
      <c r="C7268" s="40"/>
      <c r="D7268" s="25" t="s">
        <v>16</v>
      </c>
      <c r="E7268" s="26"/>
      <c r="F7268" s="41" t="s">
        <v>416</v>
      </c>
      <c r="G7268" s="27" t="str">
        <f>IF(ISNUMBER(F7268),E7268*F7268,"")</f>
        <v/>
      </c>
      <c r="H7268" s="28"/>
      <c r="I7268" s="29"/>
      <c r="J7268" s="152">
        <v>0</v>
      </c>
    </row>
    <row r="7269" spans="1:10" ht="15.75" hidden="1" thickBot="1" x14ac:dyDescent="0.3">
      <c r="A7269" s="176"/>
      <c r="B7269" s="174"/>
      <c r="C7269" s="31"/>
      <c r="D7269" s="31"/>
      <c r="E7269" s="32"/>
      <c r="F7269" s="42" t="s">
        <v>416</v>
      </c>
      <c r="G7269" s="30" t="str">
        <f>IF(ISNUMBER(F7269),E7269*F7269,"")</f>
        <v/>
      </c>
      <c r="H7269" s="34"/>
      <c r="I7269" s="30"/>
      <c r="J7269" s="152">
        <v>0</v>
      </c>
    </row>
    <row r="7270" spans="1:10" ht="26.25" hidden="1" thickBot="1" x14ac:dyDescent="0.3">
      <c r="A7270" s="176"/>
      <c r="B7270" s="174"/>
      <c r="C7270" s="35" t="s">
        <v>8004</v>
      </c>
      <c r="D7270" s="35" t="s">
        <v>213</v>
      </c>
      <c r="E7270" s="36">
        <v>1</v>
      </c>
      <c r="F7270" s="30">
        <v>5.8425000000000002</v>
      </c>
      <c r="G7270" s="30">
        <f>IF(ISNUMBER(F7270),E7270*F7270,"")</f>
        <v>5.8425000000000002</v>
      </c>
      <c r="H7270" s="38">
        <f t="shared" ref="H7270" si="84">SUM(G7270:G7270)</f>
        <v>5.8425000000000002</v>
      </c>
      <c r="I7270" s="39"/>
      <c r="J7270" s="152">
        <v>0</v>
      </c>
    </row>
    <row r="7271" spans="1:10" ht="15.75" hidden="1" thickBot="1" x14ac:dyDescent="0.3">
      <c r="A7271" s="177"/>
      <c r="B7271" s="175"/>
      <c r="C7271" s="54"/>
      <c r="D7271" s="54"/>
      <c r="E7271" s="65"/>
      <c r="F7271" s="66" t="s">
        <v>416</v>
      </c>
      <c r="G7271" s="66" t="str">
        <f>IF(ISNUMBER(F7271),E7271*F7271,"")</f>
        <v/>
      </c>
      <c r="H7271" s="68"/>
      <c r="I7271" s="30"/>
      <c r="J7271" s="152">
        <v>0</v>
      </c>
    </row>
    <row r="7272" spans="1:10" ht="15.75" hidden="1" thickBot="1" x14ac:dyDescent="0.3">
      <c r="A7272" s="170" t="s">
        <v>6700</v>
      </c>
      <c r="B7272" s="173" t="str">
        <f>INDEX(Orçamentária!A:B,MATCH(Composições!A7272,Orçamentária!A:A,0),2)</f>
        <v>Bloco vazado de concreto simples tipo canaleta (19x19x39 - Classe A)</v>
      </c>
      <c r="C7272" s="40"/>
      <c r="D7272" s="25" t="s">
        <v>16</v>
      </c>
      <c r="E7272" s="26"/>
      <c r="F7272" s="41" t="s">
        <v>416</v>
      </c>
      <c r="G7272" s="27" t="str">
        <f>IF(ISNUMBER(F7272),E7272*F7272,"")</f>
        <v/>
      </c>
      <c r="H7272" s="28"/>
      <c r="I7272" s="29"/>
      <c r="J7272" s="152">
        <v>0</v>
      </c>
    </row>
    <row r="7273" spans="1:10" ht="15.75" hidden="1" thickBot="1" x14ac:dyDescent="0.3">
      <c r="A7273" s="176"/>
      <c r="B7273" s="174"/>
      <c r="C7273" s="31"/>
      <c r="D7273" s="31"/>
      <c r="E7273" s="32"/>
      <c r="F7273" s="42" t="s">
        <v>416</v>
      </c>
      <c r="G7273" s="30" t="str">
        <f>IF(ISNUMBER(F7273),E7273*F7273,"")</f>
        <v/>
      </c>
      <c r="H7273" s="34"/>
      <c r="I7273" s="30"/>
      <c r="J7273" s="152">
        <v>0</v>
      </c>
    </row>
    <row r="7274" spans="1:10" ht="15.75" hidden="1" thickBot="1" x14ac:dyDescent="0.3">
      <c r="A7274" s="176"/>
      <c r="B7274" s="174"/>
      <c r="C7274" s="35" t="s">
        <v>6718</v>
      </c>
      <c r="D7274" s="35" t="s">
        <v>16</v>
      </c>
      <c r="E7274" s="36">
        <v>1</v>
      </c>
      <c r="F7274" s="30">
        <v>0</v>
      </c>
      <c r="G7274" s="30">
        <f>IF(ISNUMBER(F7274),E7274*F7274,"")</f>
        <v>0</v>
      </c>
      <c r="H7274" s="38">
        <f t="shared" ref="H7274" si="85">SUM(G7274:G7274)</f>
        <v>0</v>
      </c>
      <c r="I7274" s="39"/>
      <c r="J7274" s="152">
        <v>0</v>
      </c>
    </row>
    <row r="7275" spans="1:10" ht="15.75" hidden="1" thickBot="1" x14ac:dyDescent="0.3">
      <c r="A7275" s="177"/>
      <c r="B7275" s="175"/>
      <c r="C7275" s="54"/>
      <c r="D7275" s="54"/>
      <c r="E7275" s="65"/>
      <c r="F7275" s="66" t="s">
        <v>416</v>
      </c>
      <c r="G7275" s="66" t="str">
        <f>IF(ISNUMBER(F7275),E7275*F7275,"")</f>
        <v/>
      </c>
      <c r="H7275" s="68"/>
      <c r="I7275" s="30"/>
      <c r="J7275" s="152">
        <v>0</v>
      </c>
    </row>
    <row r="7276" spans="1:10" ht="15.75" hidden="1" thickBot="1" x14ac:dyDescent="0.3">
      <c r="A7276" s="170" t="s">
        <v>6704</v>
      </c>
      <c r="B7276" s="173" t="str">
        <f>INDEX(Orçamentária!A:B,MATCH(Composições!A7276,Orçamentária!A:A,0),2)</f>
        <v>Bloco vazado de concreto simples tipo compensador A (19x19x9 - Classe C)</v>
      </c>
      <c r="C7276" s="40"/>
      <c r="D7276" s="25" t="s">
        <v>16</v>
      </c>
      <c r="E7276" s="26"/>
      <c r="F7276" s="41" t="s">
        <v>416</v>
      </c>
      <c r="G7276" s="27" t="str">
        <f>IF(ISNUMBER(F7276),E7276*F7276,"")</f>
        <v/>
      </c>
      <c r="H7276" s="28"/>
      <c r="I7276" s="29"/>
      <c r="J7276" s="152">
        <v>0</v>
      </c>
    </row>
    <row r="7277" spans="1:10" ht="15.75" hidden="1" thickBot="1" x14ac:dyDescent="0.3">
      <c r="A7277" s="176"/>
      <c r="B7277" s="174"/>
      <c r="C7277" s="31"/>
      <c r="D7277" s="31"/>
      <c r="E7277" s="32"/>
      <c r="F7277" s="42" t="s">
        <v>416</v>
      </c>
      <c r="G7277" s="33" t="str">
        <f>IF(ISNUMBER(F7277),E7277*F7277,"")</f>
        <v/>
      </c>
      <c r="H7277" s="34"/>
      <c r="I7277" s="30"/>
      <c r="J7277" s="152">
        <v>0</v>
      </c>
    </row>
    <row r="7278" spans="1:10" ht="26.25" hidden="1" thickBot="1" x14ac:dyDescent="0.3">
      <c r="A7278" s="176"/>
      <c r="B7278" s="174"/>
      <c r="C7278" s="35" t="s">
        <v>8294</v>
      </c>
      <c r="D7278" s="35" t="s">
        <v>213</v>
      </c>
      <c r="E7278" s="36">
        <v>1</v>
      </c>
      <c r="F7278" s="30">
        <v>1.7669999999999999</v>
      </c>
      <c r="G7278" s="33">
        <f>IF(ISNUMBER(F7278),E7278*F7278,"")</f>
        <v>1.7669999999999999</v>
      </c>
      <c r="H7278" s="38">
        <f>SUM(G7278:G7278)</f>
        <v>1.7669999999999999</v>
      </c>
      <c r="I7278" s="39"/>
      <c r="J7278" s="152">
        <v>0</v>
      </c>
    </row>
    <row r="7279" spans="1:10" ht="15.75" hidden="1" thickBot="1" x14ac:dyDescent="0.3">
      <c r="A7279" s="177"/>
      <c r="B7279" s="175"/>
      <c r="C7279" s="35"/>
      <c r="D7279" s="35"/>
      <c r="E7279" s="36"/>
      <c r="F7279" s="30" t="s">
        <v>416</v>
      </c>
      <c r="G7279" s="33" t="str">
        <f>IF(ISNUMBER(F7279),E7279*F7279,"")</f>
        <v/>
      </c>
      <c r="H7279" s="34"/>
      <c r="I7279" s="30"/>
      <c r="J7279" s="152">
        <v>0</v>
      </c>
    </row>
    <row r="7280" spans="1:10" ht="15.75" hidden="1" thickBot="1" x14ac:dyDescent="0.3">
      <c r="A7280" s="170" t="s">
        <v>6708</v>
      </c>
      <c r="B7280" s="173" t="str">
        <f>INDEX(Orçamentária!A:B,MATCH(Composições!A7280,Orçamentária!A:A,0),2)</f>
        <v>Graute industrializado, 50 MPa ≤ fck ≤ 60 Mpa</v>
      </c>
      <c r="C7280" s="40"/>
      <c r="D7280" s="25" t="s">
        <v>6716</v>
      </c>
      <c r="E7280" s="26"/>
      <c r="F7280" s="41" t="s">
        <v>416</v>
      </c>
      <c r="G7280" s="27" t="str">
        <f>IF(ISNUMBER(F7280),E7280*F7280,"")</f>
        <v/>
      </c>
      <c r="H7280" s="28"/>
      <c r="I7280" s="29"/>
      <c r="J7280" s="152">
        <v>0</v>
      </c>
    </row>
    <row r="7281" spans="1:10" ht="15.75" hidden="1" thickBot="1" x14ac:dyDescent="0.3">
      <c r="A7281" s="176"/>
      <c r="B7281" s="174"/>
      <c r="C7281" s="31"/>
      <c r="D7281" s="31"/>
      <c r="E7281" s="32"/>
      <c r="F7281" s="42" t="s">
        <v>416</v>
      </c>
      <c r="G7281" s="33" t="str">
        <f>IF(ISNUMBER(F7281),E7281*F7281,"")</f>
        <v/>
      </c>
      <c r="H7281" s="34"/>
      <c r="I7281" s="30"/>
      <c r="J7281" s="152">
        <v>0</v>
      </c>
    </row>
    <row r="7282" spans="1:10" ht="15.75" hidden="1" thickBot="1" x14ac:dyDescent="0.3">
      <c r="A7282" s="176"/>
      <c r="B7282" s="174"/>
      <c r="C7282" s="35" t="s">
        <v>806</v>
      </c>
      <c r="D7282" s="35" t="s">
        <v>773</v>
      </c>
      <c r="E7282" s="36">
        <v>25</v>
      </c>
      <c r="F7282" s="30">
        <v>1.9379999999999999</v>
      </c>
      <c r="G7282" s="33">
        <f>IF(ISNUMBER(F7282),E7282*F7282,"")</f>
        <v>48.449999999999996</v>
      </c>
      <c r="H7282" s="38">
        <f>SUM(G7282:G7282)</f>
        <v>48.449999999999996</v>
      </c>
      <c r="I7282" s="39"/>
      <c r="J7282" s="152">
        <v>0</v>
      </c>
    </row>
    <row r="7283" spans="1:10" ht="15.75" hidden="1" thickBot="1" x14ac:dyDescent="0.3">
      <c r="A7283" s="177"/>
      <c r="B7283" s="175"/>
      <c r="C7283" s="35"/>
      <c r="D7283" s="35"/>
      <c r="E7283" s="36"/>
      <c r="F7283" s="30" t="s">
        <v>416</v>
      </c>
      <c r="G7283" s="33" t="str">
        <f>IF(ISNUMBER(F7283),E7283*F7283,"")</f>
        <v/>
      </c>
      <c r="H7283" s="34"/>
      <c r="I7283" s="30"/>
      <c r="J7283" s="152">
        <v>0</v>
      </c>
    </row>
    <row r="7284" spans="1:10" ht="15.75" hidden="1" thickBot="1" x14ac:dyDescent="0.3">
      <c r="A7284" s="170" t="s">
        <v>6710</v>
      </c>
      <c r="B7284" s="173" t="str">
        <f>INDEX(Orçamentária!A:B,MATCH(Composições!A7284,Orçamentária!A:A,0),2)</f>
        <v>Tela metálica para reboco</v>
      </c>
      <c r="C7284" s="40"/>
      <c r="D7284" s="25" t="s">
        <v>70</v>
      </c>
      <c r="E7284" s="26"/>
      <c r="F7284" s="41" t="s">
        <v>416</v>
      </c>
      <c r="G7284" s="27" t="str">
        <f>IF(ISNUMBER(F7284),E7284*F7284,"")</f>
        <v/>
      </c>
      <c r="H7284" s="28"/>
      <c r="I7284" s="29"/>
      <c r="J7284" s="152">
        <v>0</v>
      </c>
    </row>
    <row r="7285" spans="1:10" ht="15.75" hidden="1" thickBot="1" x14ac:dyDescent="0.3">
      <c r="A7285" s="176"/>
      <c r="B7285" s="174"/>
      <c r="C7285" s="31"/>
      <c r="D7285" s="31"/>
      <c r="E7285" s="32"/>
      <c r="F7285" s="42" t="s">
        <v>416</v>
      </c>
      <c r="G7285" s="33" t="str">
        <f>IF(ISNUMBER(F7285),E7285*F7285,"")</f>
        <v/>
      </c>
      <c r="H7285" s="34"/>
      <c r="I7285" s="30"/>
      <c r="J7285" s="152">
        <v>0</v>
      </c>
    </row>
    <row r="7286" spans="1:10" ht="26.25" hidden="1" thickBot="1" x14ac:dyDescent="0.3">
      <c r="A7286" s="176"/>
      <c r="B7286" s="174"/>
      <c r="C7286" s="35" t="s">
        <v>8424</v>
      </c>
      <c r="D7286" s="35" t="s">
        <v>861</v>
      </c>
      <c r="E7286" s="36">
        <v>1</v>
      </c>
      <c r="F7286" s="30">
        <v>17.546499999999998</v>
      </c>
      <c r="G7286" s="33">
        <f>IF(ISNUMBER(F7286),E7286*F7286,"")</f>
        <v>17.546499999999998</v>
      </c>
      <c r="H7286" s="38">
        <f>SUM(G7286:G7286)</f>
        <v>17.546499999999998</v>
      </c>
      <c r="I7286" s="39"/>
      <c r="J7286" s="152">
        <v>0</v>
      </c>
    </row>
    <row r="7287" spans="1:10" ht="15.75" hidden="1" thickBot="1" x14ac:dyDescent="0.3">
      <c r="A7287" s="177"/>
      <c r="B7287" s="175"/>
      <c r="C7287" s="35"/>
      <c r="D7287" s="35"/>
      <c r="E7287" s="36"/>
      <c r="F7287" s="30" t="s">
        <v>416</v>
      </c>
      <c r="G7287" s="33" t="str">
        <f>IF(ISNUMBER(F7287),E7287*F7287,"")</f>
        <v/>
      </c>
      <c r="H7287" s="34"/>
      <c r="I7287" s="30"/>
      <c r="J7287" s="152">
        <v>0</v>
      </c>
    </row>
    <row r="7288" spans="1:10" ht="15.75" hidden="1" thickBot="1" x14ac:dyDescent="0.3">
      <c r="A7288" s="170" t="s">
        <v>6712</v>
      </c>
      <c r="B7288" s="173" t="str">
        <f>INDEX(Orçamentária!A:B,MATCH(Composições!A7288,Orçamentária!A:A,0),2)</f>
        <v>Vergalhão Ca-60 Diâmetro 4,2 mm</v>
      </c>
      <c r="C7288" s="40"/>
      <c r="D7288" s="25" t="s">
        <v>69</v>
      </c>
      <c r="E7288" s="26"/>
      <c r="F7288" s="41" t="s">
        <v>416</v>
      </c>
      <c r="G7288" s="27" t="str">
        <f>IF(ISNUMBER(F7288),E7288*F7288,"")</f>
        <v/>
      </c>
      <c r="H7288" s="28"/>
      <c r="I7288" s="29"/>
      <c r="J7288" s="152">
        <v>0</v>
      </c>
    </row>
    <row r="7289" spans="1:10" ht="15.75" hidden="1" thickBot="1" x14ac:dyDescent="0.3">
      <c r="A7289" s="176"/>
      <c r="B7289" s="174"/>
      <c r="C7289" s="31"/>
      <c r="D7289" s="31"/>
      <c r="E7289" s="32"/>
      <c r="F7289" s="42" t="s">
        <v>416</v>
      </c>
      <c r="G7289" s="33" t="str">
        <f>IF(ISNUMBER(F7289),E7289*F7289,"")</f>
        <v/>
      </c>
      <c r="H7289" s="34"/>
      <c r="I7289" s="30"/>
      <c r="J7289" s="152">
        <v>0</v>
      </c>
    </row>
    <row r="7290" spans="1:10" ht="15.75" hidden="1" thickBot="1" x14ac:dyDescent="0.3">
      <c r="A7290" s="176"/>
      <c r="B7290" s="174"/>
      <c r="C7290" s="35" t="s">
        <v>1277</v>
      </c>
      <c r="D7290" s="35" t="s">
        <v>773</v>
      </c>
      <c r="E7290" s="36">
        <v>0.109</v>
      </c>
      <c r="F7290" s="30">
        <v>8.9205000000000005</v>
      </c>
      <c r="G7290" s="33">
        <f>IF(ISNUMBER(F7290),E7290*F7290,"")</f>
        <v>0.9723345000000001</v>
      </c>
      <c r="H7290" s="38">
        <f>SUM(G7290:G7290)</f>
        <v>0.9723345000000001</v>
      </c>
      <c r="I7290" s="39"/>
      <c r="J7290" s="152">
        <v>0</v>
      </c>
    </row>
    <row r="7291" spans="1:10" ht="15.75" hidden="1" thickBot="1" x14ac:dyDescent="0.3">
      <c r="A7291" s="177"/>
      <c r="B7291" s="175"/>
      <c r="C7291" s="35"/>
      <c r="D7291" s="35"/>
      <c r="E7291" s="36"/>
      <c r="F7291" s="30" t="s">
        <v>416</v>
      </c>
      <c r="G7291" s="33" t="str">
        <f>IF(ISNUMBER(F7291),E7291*F7291,"")</f>
        <v/>
      </c>
      <c r="H7291" s="34"/>
      <c r="I7291" s="30"/>
      <c r="J7291" s="152">
        <v>0</v>
      </c>
    </row>
    <row r="7292" spans="1:10" ht="15.75" hidden="1" thickBot="1" x14ac:dyDescent="0.3">
      <c r="A7292" s="170" t="s">
        <v>6714</v>
      </c>
      <c r="B7292" s="173" t="str">
        <f>INDEX(Orçamentária!A:B,MATCH(Composições!A7292,Orçamentária!A:A,0),2)</f>
        <v>Vermiculita Expandida</v>
      </c>
      <c r="C7292" s="40"/>
      <c r="D7292" s="25" t="s">
        <v>6717</v>
      </c>
      <c r="E7292" s="26"/>
      <c r="F7292" s="41" t="s">
        <v>416</v>
      </c>
      <c r="G7292" s="27" t="str">
        <f>IF(ISNUMBER(F7292),E7292*F7292,"")</f>
        <v/>
      </c>
      <c r="H7292" s="28"/>
      <c r="I7292" s="29"/>
      <c r="J7292" s="152">
        <v>0</v>
      </c>
    </row>
    <row r="7293" spans="1:10" ht="15.75" hidden="1" thickBot="1" x14ac:dyDescent="0.3">
      <c r="A7293" s="176"/>
      <c r="B7293" s="174"/>
      <c r="C7293" s="31"/>
      <c r="D7293" s="31"/>
      <c r="E7293" s="32"/>
      <c r="F7293" s="42" t="s">
        <v>416</v>
      </c>
      <c r="G7293" s="33" t="str">
        <f>IF(ISNUMBER(F7293),E7293*F7293,"")</f>
        <v/>
      </c>
      <c r="H7293" s="34"/>
      <c r="I7293" s="30"/>
      <c r="J7293" s="152">
        <v>0</v>
      </c>
    </row>
    <row r="7294" spans="1:10" ht="15.75" hidden="1" thickBot="1" x14ac:dyDescent="0.3">
      <c r="A7294" s="176"/>
      <c r="B7294" s="174"/>
      <c r="C7294" s="35" t="s">
        <v>6719</v>
      </c>
      <c r="D7294" s="35" t="s">
        <v>80</v>
      </c>
      <c r="E7294" s="36">
        <v>0.1</v>
      </c>
      <c r="F7294" s="30">
        <v>0</v>
      </c>
      <c r="G7294" s="33">
        <f>IF(ISNUMBER(F7294),E7294*F7294,"")</f>
        <v>0</v>
      </c>
      <c r="H7294" s="38">
        <f>SUM(G7294:G7294)</f>
        <v>0</v>
      </c>
      <c r="I7294" s="39"/>
      <c r="J7294" s="152">
        <v>0</v>
      </c>
    </row>
    <row r="7295" spans="1:10" ht="15.75" hidden="1" thickBot="1" x14ac:dyDescent="0.3">
      <c r="A7295" s="177"/>
      <c r="B7295" s="175"/>
      <c r="C7295" s="54"/>
      <c r="D7295" s="54"/>
      <c r="E7295" s="65"/>
      <c r="F7295" s="66" t="s">
        <v>416</v>
      </c>
      <c r="G7295" s="67" t="str">
        <f>IF(ISNUMBER(F7295),E7295*F7295,"")</f>
        <v/>
      </c>
      <c r="H7295" s="68"/>
      <c r="I7295" s="30"/>
      <c r="J7295" s="152">
        <v>0</v>
      </c>
    </row>
    <row r="7296" spans="1:10" ht="15.75" hidden="1" thickBot="1" x14ac:dyDescent="0.3">
      <c r="A7296" s="170" t="s">
        <v>6723</v>
      </c>
      <c r="B7296" s="173" t="str">
        <f>INDEX(Orçamentária!A:B,MATCH(Composições!A7296,Orçamentária!A:A,0),2)</f>
        <v>Conector Macho 26 mm  x 3/4” para tubo PEX para gás - GLP</v>
      </c>
      <c r="C7296" s="40"/>
      <c r="D7296" s="25" t="s">
        <v>16</v>
      </c>
      <c r="E7296" s="26"/>
      <c r="F7296" s="41" t="s">
        <v>416</v>
      </c>
      <c r="G7296" s="27" t="str">
        <f>IF(ISNUMBER(F7296),E7296*F7296,"")</f>
        <v/>
      </c>
      <c r="H7296" s="28"/>
      <c r="I7296" s="29"/>
      <c r="J7296" s="152">
        <v>0</v>
      </c>
    </row>
    <row r="7297" spans="1:10" ht="15.75" hidden="1" thickBot="1" x14ac:dyDescent="0.3">
      <c r="A7297" s="176"/>
      <c r="B7297" s="174"/>
      <c r="C7297" s="31"/>
      <c r="D7297" s="31"/>
      <c r="E7297" s="32"/>
      <c r="F7297" s="42" t="s">
        <v>416</v>
      </c>
      <c r="G7297" s="33" t="str">
        <f>IF(ISNUMBER(F7297),E7297*F7297,"")</f>
        <v/>
      </c>
      <c r="H7297" s="34"/>
      <c r="I7297" s="30"/>
      <c r="J7297" s="152">
        <v>0</v>
      </c>
    </row>
    <row r="7298" spans="1:10" ht="15.75" hidden="1" thickBot="1" x14ac:dyDescent="0.3">
      <c r="A7298" s="176"/>
      <c r="B7298" s="174"/>
      <c r="C7298" s="35" t="s">
        <v>6804</v>
      </c>
      <c r="D7298" s="35" t="s">
        <v>16</v>
      </c>
      <c r="E7298" s="36">
        <v>1</v>
      </c>
      <c r="F7298" s="30">
        <v>0</v>
      </c>
      <c r="G7298" s="33">
        <f>IF(ISNUMBER(F7298),E7298*F7298,"")</f>
        <v>0</v>
      </c>
      <c r="H7298" s="38">
        <f>SUM(G7298:G7298)</f>
        <v>0</v>
      </c>
      <c r="I7298" s="39"/>
      <c r="J7298" s="152">
        <v>0</v>
      </c>
    </row>
    <row r="7299" spans="1:10" ht="15.75" hidden="1" thickBot="1" x14ac:dyDescent="0.3">
      <c r="A7299" s="177"/>
      <c r="B7299" s="175"/>
      <c r="C7299" s="54"/>
      <c r="D7299" s="54"/>
      <c r="E7299" s="65"/>
      <c r="F7299" s="66" t="s">
        <v>416</v>
      </c>
      <c r="G7299" s="67" t="str">
        <f>IF(ISNUMBER(F7299),E7299*F7299,"")</f>
        <v/>
      </c>
      <c r="H7299" s="68"/>
      <c r="I7299" s="30"/>
      <c r="J7299" s="152">
        <v>0</v>
      </c>
    </row>
    <row r="7300" spans="1:10" ht="15.75" hidden="1" thickBot="1" x14ac:dyDescent="0.3">
      <c r="A7300" s="170" t="s">
        <v>6727</v>
      </c>
      <c r="B7300" s="173" t="str">
        <f>INDEX(Orçamentária!A:B,MATCH(Composições!A7300,Orçamentária!A:A,0),2)</f>
        <v>Redução 26 mm x 20mm para tubo PEX para gás – GLP</v>
      </c>
      <c r="C7300" s="40"/>
      <c r="D7300" s="25" t="s">
        <v>16</v>
      </c>
      <c r="E7300" s="26"/>
      <c r="F7300" s="41" t="s">
        <v>416</v>
      </c>
      <c r="G7300" s="27" t="str">
        <f>IF(ISNUMBER(F7300),E7300*F7300,"")</f>
        <v/>
      </c>
      <c r="H7300" s="28"/>
      <c r="I7300" s="29"/>
      <c r="J7300" s="152">
        <v>0</v>
      </c>
    </row>
    <row r="7301" spans="1:10" ht="15.75" hidden="1" thickBot="1" x14ac:dyDescent="0.3">
      <c r="A7301" s="176"/>
      <c r="B7301" s="174"/>
      <c r="C7301" s="31"/>
      <c r="D7301" s="31"/>
      <c r="E7301" s="32"/>
      <c r="F7301" s="42" t="s">
        <v>416</v>
      </c>
      <c r="G7301" s="33" t="str">
        <f>IF(ISNUMBER(F7301),E7301*F7301,"")</f>
        <v/>
      </c>
      <c r="H7301" s="34"/>
      <c r="I7301" s="30"/>
      <c r="J7301" s="152">
        <v>0</v>
      </c>
    </row>
    <row r="7302" spans="1:10" ht="15.75" hidden="1" thickBot="1" x14ac:dyDescent="0.3">
      <c r="A7302" s="176"/>
      <c r="B7302" s="174"/>
      <c r="C7302" s="35" t="s">
        <v>6805</v>
      </c>
      <c r="D7302" s="35" t="s">
        <v>16</v>
      </c>
      <c r="E7302" s="36">
        <v>1</v>
      </c>
      <c r="F7302" s="30">
        <v>0</v>
      </c>
      <c r="G7302" s="33">
        <f>IF(ISNUMBER(F7302),E7302*F7302,"")</f>
        <v>0</v>
      </c>
      <c r="H7302" s="38">
        <f>SUM(G7302:G7302)</f>
        <v>0</v>
      </c>
      <c r="I7302" s="39"/>
      <c r="J7302" s="152">
        <v>0</v>
      </c>
    </row>
    <row r="7303" spans="1:10" ht="15.75" hidden="1" thickBot="1" x14ac:dyDescent="0.3">
      <c r="A7303" s="177"/>
      <c r="B7303" s="175"/>
      <c r="C7303" s="54"/>
      <c r="D7303" s="54"/>
      <c r="E7303" s="65"/>
      <c r="F7303" s="66" t="s">
        <v>416</v>
      </c>
      <c r="G7303" s="67" t="str">
        <f>IF(ISNUMBER(F7303),E7303*F7303,"")</f>
        <v/>
      </c>
      <c r="H7303" s="68"/>
      <c r="I7303" s="30"/>
      <c r="J7303" s="152">
        <v>0</v>
      </c>
    </row>
    <row r="7304" spans="1:10" ht="15.75" hidden="1" thickBot="1" x14ac:dyDescent="0.3">
      <c r="A7304" s="170" t="s">
        <v>6728</v>
      </c>
      <c r="B7304" s="173" t="str">
        <f>INDEX(Orçamentária!A:B,MATCH(Composições!A7304,Orçamentária!A:A,0),2)</f>
        <v>Tê Fêmea 26 mm x 3/4” para tubo PEX para gás - GLP</v>
      </c>
      <c r="C7304" s="40"/>
      <c r="D7304" s="25" t="s">
        <v>16</v>
      </c>
      <c r="E7304" s="26"/>
      <c r="F7304" s="41" t="s">
        <v>416</v>
      </c>
      <c r="G7304" s="27" t="str">
        <f>IF(ISNUMBER(F7304),E7304*F7304,"")</f>
        <v/>
      </c>
      <c r="H7304" s="28"/>
      <c r="I7304" s="29"/>
      <c r="J7304" s="152">
        <v>0</v>
      </c>
    </row>
    <row r="7305" spans="1:10" ht="15.75" hidden="1" thickBot="1" x14ac:dyDescent="0.3">
      <c r="A7305" s="176"/>
      <c r="B7305" s="174"/>
      <c r="C7305" s="31"/>
      <c r="D7305" s="31"/>
      <c r="E7305" s="32"/>
      <c r="F7305" s="42" t="s">
        <v>416</v>
      </c>
      <c r="G7305" s="33" t="str">
        <f>IF(ISNUMBER(F7305),E7305*F7305,"")</f>
        <v/>
      </c>
      <c r="H7305" s="34"/>
      <c r="I7305" s="30"/>
      <c r="J7305" s="152">
        <v>0</v>
      </c>
    </row>
    <row r="7306" spans="1:10" ht="15.75" hidden="1" thickBot="1" x14ac:dyDescent="0.3">
      <c r="A7306" s="176"/>
      <c r="B7306" s="174"/>
      <c r="C7306" s="35" t="s">
        <v>6806</v>
      </c>
      <c r="D7306" s="35" t="s">
        <v>16</v>
      </c>
      <c r="E7306" s="36">
        <v>1</v>
      </c>
      <c r="F7306" s="30">
        <v>0</v>
      </c>
      <c r="G7306" s="33">
        <f>IF(ISNUMBER(F7306),E7306*F7306,"")</f>
        <v>0</v>
      </c>
      <c r="H7306" s="38">
        <f>SUM(G7306:G7306)</f>
        <v>0</v>
      </c>
      <c r="I7306" s="39"/>
      <c r="J7306" s="152">
        <v>0</v>
      </c>
    </row>
    <row r="7307" spans="1:10" ht="15.75" hidden="1" thickBot="1" x14ac:dyDescent="0.3">
      <c r="A7307" s="177"/>
      <c r="B7307" s="175"/>
      <c r="C7307" s="54"/>
      <c r="D7307" s="54"/>
      <c r="E7307" s="65"/>
      <c r="F7307" s="66" t="s">
        <v>416</v>
      </c>
      <c r="G7307" s="67" t="str">
        <f>IF(ISNUMBER(F7307),E7307*F7307,"")</f>
        <v/>
      </c>
      <c r="H7307" s="68"/>
      <c r="I7307" s="30"/>
      <c r="J7307" s="152">
        <v>0</v>
      </c>
    </row>
    <row r="7308" spans="1:10" ht="15.75" hidden="1" thickBot="1" x14ac:dyDescent="0.3">
      <c r="A7308" s="170" t="s">
        <v>6729</v>
      </c>
      <c r="B7308" s="173" t="str">
        <f>INDEX(Orçamentária!A:B,MATCH(Composições!A7308,Orçamentária!A:A,0),2)</f>
        <v>Tubo de sistema PEX multicamada flexível 20 mm para gás</v>
      </c>
      <c r="C7308" s="40"/>
      <c r="D7308" s="25" t="s">
        <v>69</v>
      </c>
      <c r="E7308" s="26"/>
      <c r="F7308" s="41" t="s">
        <v>416</v>
      </c>
      <c r="G7308" s="27" t="str">
        <f>IF(ISNUMBER(F7308),E7308*F7308,"")</f>
        <v/>
      </c>
      <c r="H7308" s="28"/>
      <c r="I7308" s="29"/>
      <c r="J7308" s="152">
        <v>0</v>
      </c>
    </row>
    <row r="7309" spans="1:10" ht="15.75" hidden="1" thickBot="1" x14ac:dyDescent="0.3">
      <c r="A7309" s="176"/>
      <c r="B7309" s="174"/>
      <c r="C7309" s="31"/>
      <c r="D7309" s="31"/>
      <c r="E7309" s="32"/>
      <c r="F7309" s="42" t="s">
        <v>416</v>
      </c>
      <c r="G7309" s="33" t="str">
        <f>IF(ISNUMBER(F7309),E7309*F7309,"")</f>
        <v/>
      </c>
      <c r="H7309" s="34"/>
      <c r="I7309" s="30"/>
      <c r="J7309" s="152">
        <v>0</v>
      </c>
    </row>
    <row r="7310" spans="1:10" ht="26.25" hidden="1" thickBot="1" x14ac:dyDescent="0.3">
      <c r="A7310" s="176"/>
      <c r="B7310" s="174"/>
      <c r="C7310" s="35" t="s">
        <v>2951</v>
      </c>
      <c r="D7310" s="35" t="s">
        <v>385</v>
      </c>
      <c r="E7310" s="36">
        <v>1</v>
      </c>
      <c r="F7310" s="30">
        <v>17.166499999999999</v>
      </c>
      <c r="G7310" s="33">
        <f>IF(ISNUMBER(F7310),E7310*F7310,"")</f>
        <v>17.166499999999999</v>
      </c>
      <c r="H7310" s="38">
        <f>SUM(G7310:G7310)</f>
        <v>17.166499999999999</v>
      </c>
      <c r="I7310" s="39"/>
      <c r="J7310" s="152">
        <v>0</v>
      </c>
    </row>
    <row r="7311" spans="1:10" ht="15.75" hidden="1" thickBot="1" x14ac:dyDescent="0.3">
      <c r="A7311" s="177"/>
      <c r="B7311" s="175"/>
      <c r="C7311" s="54"/>
      <c r="D7311" s="54"/>
      <c r="E7311" s="65"/>
      <c r="F7311" s="66" t="s">
        <v>416</v>
      </c>
      <c r="G7311" s="67" t="str">
        <f>IF(ISNUMBER(F7311),E7311*F7311,"")</f>
        <v/>
      </c>
      <c r="H7311" s="68"/>
      <c r="I7311" s="30"/>
      <c r="J7311" s="152">
        <v>0</v>
      </c>
    </row>
    <row r="7312" spans="1:10" ht="15.75" hidden="1" thickBot="1" x14ac:dyDescent="0.3">
      <c r="A7312" s="170" t="s">
        <v>6734</v>
      </c>
      <c r="B7312" s="173" t="str">
        <f>INDEX(Orçamentária!A:B,MATCH(Composições!A7312,Orçamentária!A:A,0),2)</f>
        <v>Tubo de sistema PEX multicamada flexível 26 mm para gás</v>
      </c>
      <c r="C7312" s="40"/>
      <c r="D7312" s="25" t="s">
        <v>69</v>
      </c>
      <c r="E7312" s="26"/>
      <c r="F7312" s="41" t="s">
        <v>416</v>
      </c>
      <c r="G7312" s="27" t="str">
        <f>IF(ISNUMBER(F7312),E7312*F7312,"")</f>
        <v/>
      </c>
      <c r="H7312" s="28"/>
      <c r="I7312" s="29"/>
      <c r="J7312" s="152">
        <v>0</v>
      </c>
    </row>
    <row r="7313" spans="1:10" ht="15.75" hidden="1" thickBot="1" x14ac:dyDescent="0.3">
      <c r="A7313" s="176"/>
      <c r="B7313" s="174"/>
      <c r="C7313" s="31"/>
      <c r="D7313" s="31"/>
      <c r="E7313" s="32"/>
      <c r="F7313" s="42" t="s">
        <v>416</v>
      </c>
      <c r="G7313" s="33" t="str">
        <f>IF(ISNUMBER(F7313),E7313*F7313,"")</f>
        <v/>
      </c>
      <c r="H7313" s="34"/>
      <c r="I7313" s="30"/>
      <c r="J7313" s="152">
        <v>0</v>
      </c>
    </row>
    <row r="7314" spans="1:10" ht="26.25" hidden="1" thickBot="1" x14ac:dyDescent="0.3">
      <c r="A7314" s="176"/>
      <c r="B7314" s="174"/>
      <c r="C7314" s="35" t="s">
        <v>2950</v>
      </c>
      <c r="D7314" s="35" t="s">
        <v>385</v>
      </c>
      <c r="E7314" s="36">
        <v>1</v>
      </c>
      <c r="F7314" s="30">
        <v>23.778500000000001</v>
      </c>
      <c r="G7314" s="33">
        <f>IF(ISNUMBER(F7314),E7314*F7314,"")</f>
        <v>23.778500000000001</v>
      </c>
      <c r="H7314" s="38">
        <f>SUM(G7314:G7314)</f>
        <v>23.778500000000001</v>
      </c>
      <c r="I7314" s="39"/>
      <c r="J7314" s="152">
        <v>0</v>
      </c>
    </row>
    <row r="7315" spans="1:10" ht="15.75" hidden="1" thickBot="1" x14ac:dyDescent="0.3">
      <c r="A7315" s="177"/>
      <c r="B7315" s="175"/>
      <c r="C7315" s="54"/>
      <c r="D7315" s="54"/>
      <c r="E7315" s="65"/>
      <c r="F7315" s="66" t="s">
        <v>416</v>
      </c>
      <c r="G7315" s="67" t="str">
        <f>IF(ISNUMBER(F7315),E7315*F7315,"")</f>
        <v/>
      </c>
      <c r="H7315" s="68"/>
      <c r="I7315" s="30"/>
      <c r="J7315" s="152">
        <v>0</v>
      </c>
    </row>
    <row r="7316" spans="1:10" ht="15.75" hidden="1" thickBot="1" x14ac:dyDescent="0.3">
      <c r="A7316" s="170" t="s">
        <v>6737</v>
      </c>
      <c r="B7316" s="173" t="str">
        <f>INDEX(Orçamentária!A:B,MATCH(Composições!A7316,Orçamentária!A:A,0),2)</f>
        <v>Pastilha de porcelana (2 x 2 cm) – Fornecimento e instalação</v>
      </c>
      <c r="C7316" s="40"/>
      <c r="D7316" s="25" t="s">
        <v>70</v>
      </c>
      <c r="E7316" s="26"/>
      <c r="F7316" s="48" t="s">
        <v>416</v>
      </c>
      <c r="G7316" s="27" t="str">
        <f>IF(ISNUMBER(F7316),E7316*F7316,"")</f>
        <v/>
      </c>
      <c r="H7316" s="28"/>
      <c r="I7316" s="29"/>
      <c r="J7316" s="152">
        <v>0</v>
      </c>
    </row>
    <row r="7317" spans="1:10" ht="15.75" hidden="1" thickBot="1" x14ac:dyDescent="0.3">
      <c r="A7317" s="171"/>
      <c r="B7317" s="174"/>
      <c r="C7317" s="31"/>
      <c r="D7317" s="31"/>
      <c r="E7317" s="32"/>
      <c r="F7317" s="53" t="s">
        <v>416</v>
      </c>
      <c r="G7317" s="53" t="str">
        <f>IF(ISNUMBER(F7317),E7317*F7317,"")</f>
        <v/>
      </c>
      <c r="H7317" s="72"/>
      <c r="I7317" s="73"/>
      <c r="J7317" s="152">
        <v>0</v>
      </c>
    </row>
    <row r="7318" spans="1:10" ht="39" hidden="1" thickBot="1" x14ac:dyDescent="0.3">
      <c r="A7318" s="171"/>
      <c r="B7318" s="174"/>
      <c r="C7318" s="35" t="s">
        <v>8562</v>
      </c>
      <c r="D7318" s="35" t="s">
        <v>861</v>
      </c>
      <c r="E7318" s="36">
        <v>1.1599999999999999</v>
      </c>
      <c r="F7318" s="30">
        <v>188.0145</v>
      </c>
      <c r="G7318" s="53">
        <f>IF(ISNUMBER(F7318),E7318*F7318,"")</f>
        <v>218.09681999999998</v>
      </c>
      <c r="H7318" s="38">
        <f>SUM(G7318:G7321)</f>
        <v>286.49976499999997</v>
      </c>
      <c r="I7318" s="39"/>
      <c r="J7318" s="152">
        <v>0</v>
      </c>
    </row>
    <row r="7319" spans="1:10" ht="15.75" hidden="1" thickBot="1" x14ac:dyDescent="0.3">
      <c r="A7319" s="171"/>
      <c r="B7319" s="174"/>
      <c r="C7319" s="35" t="s">
        <v>7988</v>
      </c>
      <c r="D7319" s="35" t="s">
        <v>773</v>
      </c>
      <c r="E7319" s="36">
        <v>9.84</v>
      </c>
      <c r="F7319" s="33">
        <v>2.0710000000000002</v>
      </c>
      <c r="G7319" s="33">
        <f>IF(ISNUMBER(F7319),E7319*F7319,"")</f>
        <v>20.378640000000001</v>
      </c>
      <c r="H7319" s="34"/>
      <c r="I7319" s="30"/>
      <c r="J7319" s="152">
        <v>0</v>
      </c>
    </row>
    <row r="7320" spans="1:10" ht="15.75" hidden="1" thickBot="1" x14ac:dyDescent="0.3">
      <c r="A7320" s="171"/>
      <c r="B7320" s="174"/>
      <c r="C7320" s="35" t="s">
        <v>1079</v>
      </c>
      <c r="D7320" s="35" t="s">
        <v>583</v>
      </c>
      <c r="E7320" s="36">
        <v>1.29</v>
      </c>
      <c r="F7320" s="30">
        <v>27.036999999999999</v>
      </c>
      <c r="G7320" s="53">
        <f>IF(ISNUMBER(F7320),E7320*F7320,"")</f>
        <v>34.87773</v>
      </c>
      <c r="H7320" s="43"/>
      <c r="I7320" s="39"/>
      <c r="J7320" s="152">
        <v>0</v>
      </c>
    </row>
    <row r="7321" spans="1:10" ht="15.75" hidden="1" thickBot="1" x14ac:dyDescent="0.3">
      <c r="A7321" s="171"/>
      <c r="B7321" s="174"/>
      <c r="C7321" s="35" t="s">
        <v>584</v>
      </c>
      <c r="D7321" s="35" t="s">
        <v>583</v>
      </c>
      <c r="E7321" s="36">
        <v>0.65</v>
      </c>
      <c r="F7321" s="30">
        <v>20.225499999999997</v>
      </c>
      <c r="G7321" s="53">
        <f>IF(ISNUMBER(F7321),E7321*F7321,"")</f>
        <v>13.146574999999999</v>
      </c>
      <c r="H7321" s="43"/>
      <c r="I7321" s="39"/>
      <c r="J7321" s="152">
        <v>0</v>
      </c>
    </row>
    <row r="7322" spans="1:10" ht="15.75" hidden="1" thickBot="1" x14ac:dyDescent="0.3">
      <c r="A7322" s="172"/>
      <c r="B7322" s="175"/>
      <c r="C7322" s="54"/>
      <c r="D7322" s="155"/>
      <c r="E7322" s="65"/>
      <c r="F7322" s="75" t="s">
        <v>416</v>
      </c>
      <c r="G7322" s="75" t="str">
        <f>IF(ISNUMBER(F7322),E7322*F7322,"")</f>
        <v/>
      </c>
      <c r="H7322" s="76"/>
      <c r="I7322" s="73"/>
      <c r="J7322" s="152">
        <v>0</v>
      </c>
    </row>
    <row r="7323" spans="1:10" ht="15.75" thickBot="1" x14ac:dyDescent="0.3">
      <c r="A7323" s="170" t="s">
        <v>6740</v>
      </c>
      <c r="B7323" s="173" t="str">
        <f>INDEX(Orçamentária!A:B,MATCH(Composições!A7323,Orçamentária!A:A,0),2)</f>
        <v>Eletroduto de PEAD de 4"</v>
      </c>
      <c r="C7323" s="40"/>
      <c r="D7323" s="25" t="s">
        <v>69</v>
      </c>
      <c r="E7323" s="26"/>
      <c r="F7323" s="48" t="s">
        <v>416</v>
      </c>
      <c r="G7323" s="27" t="str">
        <f>IF(ISNUMBER(F7323),E7323*F7323,"")</f>
        <v/>
      </c>
      <c r="H7323" s="28"/>
      <c r="I7323" s="29"/>
      <c r="J7323" s="152">
        <v>110</v>
      </c>
    </row>
    <row r="7324" spans="1:10" x14ac:dyDescent="0.25">
      <c r="A7324" s="171"/>
      <c r="B7324" s="174"/>
      <c r="C7324" s="31"/>
      <c r="D7324" s="31"/>
      <c r="E7324" s="32"/>
      <c r="F7324" s="53" t="s">
        <v>416</v>
      </c>
      <c r="G7324" s="53" t="str">
        <f>IF(ISNUMBER(F7324),E7324*F7324,"")</f>
        <v/>
      </c>
      <c r="H7324" s="72"/>
      <c r="I7324" s="73"/>
      <c r="J7324" s="152">
        <v>110</v>
      </c>
    </row>
    <row r="7325" spans="1:10" ht="38.25" x14ac:dyDescent="0.25">
      <c r="A7325" s="171"/>
      <c r="B7325" s="174"/>
      <c r="C7325" s="35" t="s">
        <v>8153</v>
      </c>
      <c r="D7325" s="35" t="s">
        <v>385</v>
      </c>
      <c r="E7325" s="36">
        <v>1.1000000000000001</v>
      </c>
      <c r="F7325" s="30">
        <v>10.715999999999999</v>
      </c>
      <c r="G7325" s="53">
        <f>IF(ISNUMBER(F7325),E7325*F7325,"")</f>
        <v>11.787599999999999</v>
      </c>
      <c r="H7325" s="38">
        <f>SUM(G7325:G7327)</f>
        <v>20.292609899999999</v>
      </c>
      <c r="I7325" s="39"/>
      <c r="J7325" s="152">
        <v>110</v>
      </c>
    </row>
    <row r="7326" spans="1:10" x14ac:dyDescent="0.25">
      <c r="A7326" s="171"/>
      <c r="B7326" s="174"/>
      <c r="C7326" s="35" t="s">
        <v>1017</v>
      </c>
      <c r="D7326" s="35" t="s">
        <v>583</v>
      </c>
      <c r="E7326" s="36">
        <v>0.1721</v>
      </c>
      <c r="F7326" s="33">
        <v>21.584</v>
      </c>
      <c r="G7326" s="33">
        <f>IF(ISNUMBER(F7326),E7326*F7326,"")</f>
        <v>3.7146064000000001</v>
      </c>
      <c r="H7326" s="34"/>
      <c r="I7326" s="30"/>
      <c r="J7326" s="152">
        <v>110</v>
      </c>
    </row>
    <row r="7327" spans="1:10" x14ac:dyDescent="0.25">
      <c r="A7327" s="171"/>
      <c r="B7327" s="174"/>
      <c r="C7327" s="35" t="s">
        <v>1018</v>
      </c>
      <c r="D7327" s="35" t="s">
        <v>583</v>
      </c>
      <c r="E7327" s="36">
        <v>0.1721</v>
      </c>
      <c r="F7327" s="30">
        <v>27.835000000000001</v>
      </c>
      <c r="G7327" s="53">
        <f>IF(ISNUMBER(F7327),E7327*F7327,"")</f>
        <v>4.7904035</v>
      </c>
      <c r="H7327" s="43"/>
      <c r="I7327" s="39"/>
      <c r="J7327" s="152">
        <v>110</v>
      </c>
    </row>
    <row r="7328" spans="1:10" ht="15.75" thickBot="1" x14ac:dyDescent="0.3">
      <c r="A7328" s="172"/>
      <c r="B7328" s="175"/>
      <c r="C7328" s="54"/>
      <c r="D7328" s="155"/>
      <c r="E7328" s="65"/>
      <c r="F7328" s="75" t="s">
        <v>416</v>
      </c>
      <c r="G7328" s="75" t="str">
        <f>IF(ISNUMBER(F7328),E7328*F7328,"")</f>
        <v/>
      </c>
      <c r="H7328" s="76"/>
      <c r="I7328" s="73"/>
      <c r="J7328" s="152">
        <v>110</v>
      </c>
    </row>
    <row r="7329" spans="1:10" ht="15.75" hidden="1" thickBot="1" x14ac:dyDescent="0.3">
      <c r="A7329" s="170" t="s">
        <v>6744</v>
      </c>
      <c r="B7329" s="173" t="str">
        <f>INDEX(Orçamentária!A:B,MATCH(Composições!A7329,Orçamentária!A:A,0),2)</f>
        <v>Poste de Concreto Circular L = 12 m</v>
      </c>
      <c r="C7329" s="40"/>
      <c r="D7329" s="25" t="s">
        <v>16</v>
      </c>
      <c r="E7329" s="26"/>
      <c r="F7329" s="48" t="s">
        <v>416</v>
      </c>
      <c r="G7329" s="27" t="str">
        <f>IF(ISNUMBER(F7329),E7329*F7329,"")</f>
        <v/>
      </c>
      <c r="H7329" s="28"/>
      <c r="I7329" s="29"/>
      <c r="J7329" s="152">
        <v>0</v>
      </c>
    </row>
    <row r="7330" spans="1:10" ht="15.75" hidden="1" thickBot="1" x14ac:dyDescent="0.3">
      <c r="A7330" s="171"/>
      <c r="B7330" s="174"/>
      <c r="C7330" s="31"/>
      <c r="D7330" s="31"/>
      <c r="E7330" s="32"/>
      <c r="F7330" s="53" t="s">
        <v>416</v>
      </c>
      <c r="G7330" s="53" t="str">
        <f>IF(ISNUMBER(F7330),E7330*F7330,"")</f>
        <v/>
      </c>
      <c r="H7330" s="72"/>
      <c r="I7330" s="73"/>
      <c r="J7330" s="152">
        <v>0</v>
      </c>
    </row>
    <row r="7331" spans="1:10" ht="15.75" hidden="1" thickBot="1" x14ac:dyDescent="0.3">
      <c r="A7331" s="171"/>
      <c r="B7331" s="174"/>
      <c r="C7331" s="35" t="s">
        <v>8027</v>
      </c>
      <c r="D7331" s="35" t="s">
        <v>385</v>
      </c>
      <c r="E7331" s="36">
        <v>9</v>
      </c>
      <c r="F7331" s="30">
        <v>37.809999999999995</v>
      </c>
      <c r="G7331" s="53">
        <f>IF(ISNUMBER(F7331),E7331*F7331,"")</f>
        <v>340.28999999999996</v>
      </c>
      <c r="H7331" s="38">
        <f>SUM(G7331:G7335)</f>
        <v>1844.5500674999998</v>
      </c>
      <c r="I7331" s="39"/>
      <c r="J7331" s="152">
        <v>0</v>
      </c>
    </row>
    <row r="7332" spans="1:10" ht="51.75" hidden="1" thickBot="1" x14ac:dyDescent="0.3">
      <c r="A7332" s="171"/>
      <c r="B7332" s="174"/>
      <c r="C7332" s="35" t="s">
        <v>2864</v>
      </c>
      <c r="D7332" s="35" t="s">
        <v>813</v>
      </c>
      <c r="E7332" s="36">
        <v>7.6999999999999999E-2</v>
      </c>
      <c r="F7332" s="33">
        <v>252.10149999999999</v>
      </c>
      <c r="G7332" s="33">
        <f>IF(ISNUMBER(F7332),E7332*F7332,"")</f>
        <v>19.411815499999999</v>
      </c>
      <c r="H7332" s="34"/>
      <c r="I7332" s="30"/>
      <c r="J7332" s="152">
        <v>0</v>
      </c>
    </row>
    <row r="7333" spans="1:10" ht="15.75" hidden="1" thickBot="1" x14ac:dyDescent="0.3">
      <c r="A7333" s="171"/>
      <c r="B7333" s="174"/>
      <c r="C7333" s="35" t="s">
        <v>1017</v>
      </c>
      <c r="D7333" s="35" t="s">
        <v>583</v>
      </c>
      <c r="E7333" s="36">
        <v>1.2330000000000001</v>
      </c>
      <c r="F7333" s="30">
        <v>21.584</v>
      </c>
      <c r="G7333" s="53">
        <f>IF(ISNUMBER(F7333),E7333*F7333,"")</f>
        <v>26.613072000000003</v>
      </c>
      <c r="H7333" s="43"/>
      <c r="I7333" s="39"/>
      <c r="J7333" s="152">
        <v>0</v>
      </c>
    </row>
    <row r="7334" spans="1:10" ht="15.75" hidden="1" thickBot="1" x14ac:dyDescent="0.3">
      <c r="A7334" s="171"/>
      <c r="B7334" s="174"/>
      <c r="C7334" s="35" t="s">
        <v>1018</v>
      </c>
      <c r="D7334" s="35" t="s">
        <v>583</v>
      </c>
      <c r="E7334" s="36">
        <v>4.008</v>
      </c>
      <c r="F7334" s="30">
        <v>27.835000000000001</v>
      </c>
      <c r="G7334" s="53">
        <f>IF(ISNUMBER(F7334),E7334*F7334,"")</f>
        <v>111.56268</v>
      </c>
      <c r="H7334" s="43"/>
      <c r="I7334" s="39"/>
      <c r="J7334" s="152">
        <v>0</v>
      </c>
    </row>
    <row r="7335" spans="1:10" ht="26.25" hidden="1" thickBot="1" x14ac:dyDescent="0.3">
      <c r="A7335" s="171"/>
      <c r="B7335" s="174"/>
      <c r="C7335" s="35" t="s">
        <v>8336</v>
      </c>
      <c r="D7335" s="35" t="s">
        <v>213</v>
      </c>
      <c r="E7335" s="36">
        <v>1</v>
      </c>
      <c r="F7335" s="30">
        <v>1346.6724999999999</v>
      </c>
      <c r="G7335" s="53">
        <f>IF(ISNUMBER(F7335),E7335*F7335,"")</f>
        <v>1346.6724999999999</v>
      </c>
      <c r="H7335" s="43"/>
      <c r="I7335" s="39"/>
      <c r="J7335" s="152">
        <v>0</v>
      </c>
    </row>
    <row r="7336" spans="1:10" ht="15.75" hidden="1" thickBot="1" x14ac:dyDescent="0.3">
      <c r="A7336" s="172"/>
      <c r="B7336" s="175"/>
      <c r="C7336" s="54"/>
      <c r="D7336" s="155"/>
      <c r="E7336" s="65"/>
      <c r="F7336" s="75" t="s">
        <v>416</v>
      </c>
      <c r="G7336" s="75" t="str">
        <f>IF(ISNUMBER(F7336),E7336*F7336,"")</f>
        <v/>
      </c>
      <c r="H7336" s="76"/>
      <c r="I7336" s="73"/>
      <c r="J7336" s="152">
        <v>0</v>
      </c>
    </row>
    <row r="7337" spans="1:10" ht="15.75" hidden="1" thickBot="1" x14ac:dyDescent="0.3">
      <c r="A7337" s="170" t="s">
        <v>6745</v>
      </c>
      <c r="B7337" s="173" t="str">
        <f>INDEX(Orçamentária!A:B,MATCH(Composições!A7337,Orçamentária!A:A,0),2)</f>
        <v>Poste de Concreto Circular L = 9 m</v>
      </c>
      <c r="C7337" s="40"/>
      <c r="D7337" s="25" t="s">
        <v>16</v>
      </c>
      <c r="E7337" s="26"/>
      <c r="F7337" s="48" t="s">
        <v>416</v>
      </c>
      <c r="G7337" s="27" t="str">
        <f>IF(ISNUMBER(F7337),E7337*F7337,"")</f>
        <v/>
      </c>
      <c r="H7337" s="28"/>
      <c r="I7337" s="29"/>
      <c r="J7337" s="152">
        <v>0</v>
      </c>
    </row>
    <row r="7338" spans="1:10" ht="15.75" hidden="1" thickBot="1" x14ac:dyDescent="0.3">
      <c r="A7338" s="171"/>
      <c r="B7338" s="174"/>
      <c r="C7338" s="31"/>
      <c r="D7338" s="31"/>
      <c r="E7338" s="32"/>
      <c r="F7338" s="53" t="s">
        <v>416</v>
      </c>
      <c r="G7338" s="53" t="str">
        <f>IF(ISNUMBER(F7338),E7338*F7338,"")</f>
        <v/>
      </c>
      <c r="H7338" s="72"/>
      <c r="I7338" s="73"/>
      <c r="J7338" s="152">
        <v>0</v>
      </c>
    </row>
    <row r="7339" spans="1:10" ht="15.75" hidden="1" thickBot="1" x14ac:dyDescent="0.3">
      <c r="A7339" s="171"/>
      <c r="B7339" s="174"/>
      <c r="C7339" s="35" t="s">
        <v>8027</v>
      </c>
      <c r="D7339" s="35" t="s">
        <v>385</v>
      </c>
      <c r="E7339" s="36">
        <v>12</v>
      </c>
      <c r="F7339" s="30">
        <v>37.809999999999995</v>
      </c>
      <c r="G7339" s="53">
        <f>IF(ISNUMBER(F7339),E7339*F7339,"")</f>
        <v>453.71999999999991</v>
      </c>
      <c r="H7339" s="38">
        <f>SUM(G7339:G7343)</f>
        <v>1568.8636394999999</v>
      </c>
      <c r="I7339" s="39"/>
      <c r="J7339" s="152">
        <v>0</v>
      </c>
    </row>
    <row r="7340" spans="1:10" ht="51.75" hidden="1" thickBot="1" x14ac:dyDescent="0.3">
      <c r="A7340" s="171"/>
      <c r="B7340" s="174"/>
      <c r="C7340" s="35" t="s">
        <v>2864</v>
      </c>
      <c r="D7340" s="35" t="s">
        <v>813</v>
      </c>
      <c r="E7340" s="36">
        <v>9.9000000000000005E-2</v>
      </c>
      <c r="F7340" s="33">
        <v>252.10149999999999</v>
      </c>
      <c r="G7340" s="33">
        <f>IF(ISNUMBER(F7340),E7340*F7340,"")</f>
        <v>24.9580485</v>
      </c>
      <c r="H7340" s="34"/>
      <c r="I7340" s="30"/>
      <c r="J7340" s="152">
        <v>0</v>
      </c>
    </row>
    <row r="7341" spans="1:10" ht="15.75" hidden="1" thickBot="1" x14ac:dyDescent="0.3">
      <c r="A7341" s="171"/>
      <c r="B7341" s="174"/>
      <c r="C7341" s="35" t="s">
        <v>1017</v>
      </c>
      <c r="D7341" s="35" t="s">
        <v>583</v>
      </c>
      <c r="E7341" s="36">
        <v>2.234</v>
      </c>
      <c r="F7341" s="30">
        <v>21.584</v>
      </c>
      <c r="G7341" s="53">
        <f>IF(ISNUMBER(F7341),E7341*F7341,"")</f>
        <v>48.218655999999996</v>
      </c>
      <c r="H7341" s="43"/>
      <c r="I7341" s="39"/>
      <c r="J7341" s="152">
        <v>0</v>
      </c>
    </row>
    <row r="7342" spans="1:10" ht="15.75" hidden="1" thickBot="1" x14ac:dyDescent="0.3">
      <c r="A7342" s="171"/>
      <c r="B7342" s="174"/>
      <c r="C7342" s="35" t="s">
        <v>1018</v>
      </c>
      <c r="D7342" s="35" t="s">
        <v>583</v>
      </c>
      <c r="E7342" s="36">
        <v>7.2610000000000001</v>
      </c>
      <c r="F7342" s="30">
        <v>27.835000000000001</v>
      </c>
      <c r="G7342" s="53">
        <f>IF(ISNUMBER(F7342),E7342*F7342,"")</f>
        <v>202.10993500000001</v>
      </c>
      <c r="H7342" s="43"/>
      <c r="I7342" s="39"/>
      <c r="J7342" s="152">
        <v>0</v>
      </c>
    </row>
    <row r="7343" spans="1:10" ht="26.25" hidden="1" thickBot="1" x14ac:dyDescent="0.3">
      <c r="A7343" s="171"/>
      <c r="B7343" s="174"/>
      <c r="C7343" s="35" t="s">
        <v>8337</v>
      </c>
      <c r="D7343" s="35" t="s">
        <v>213</v>
      </c>
      <c r="E7343" s="36">
        <v>1</v>
      </c>
      <c r="F7343" s="30">
        <v>839.85699999999986</v>
      </c>
      <c r="G7343" s="53">
        <f>IF(ISNUMBER(F7343),E7343*F7343,"")</f>
        <v>839.85699999999986</v>
      </c>
      <c r="H7343" s="43"/>
      <c r="I7343" s="39"/>
      <c r="J7343" s="152">
        <v>0</v>
      </c>
    </row>
    <row r="7344" spans="1:10" ht="15.75" hidden="1" thickBot="1" x14ac:dyDescent="0.3">
      <c r="A7344" s="172"/>
      <c r="B7344" s="175"/>
      <c r="C7344" s="54"/>
      <c r="D7344" s="155"/>
      <c r="E7344" s="65"/>
      <c r="F7344" s="75" t="s">
        <v>416</v>
      </c>
      <c r="G7344" s="75" t="str">
        <f>IF(ISNUMBER(F7344),E7344*F7344,"")</f>
        <v/>
      </c>
      <c r="H7344" s="76"/>
      <c r="I7344" s="73"/>
      <c r="J7344" s="152">
        <v>0</v>
      </c>
    </row>
    <row r="7345" spans="1:10" ht="15.75" hidden="1" thickBot="1" x14ac:dyDescent="0.3">
      <c r="A7345" s="170" t="s">
        <v>6746</v>
      </c>
      <c r="B7345" s="173" t="str">
        <f>INDEX(Orçamentária!A:B,MATCH(Composições!A7345,Orçamentária!A:A,0),2)</f>
        <v>Suporte para luminária de poste triplo</v>
      </c>
      <c r="C7345" s="40"/>
      <c r="D7345" s="25" t="s">
        <v>16</v>
      </c>
      <c r="E7345" s="26"/>
      <c r="F7345" s="48" t="s">
        <v>416</v>
      </c>
      <c r="G7345" s="27" t="str">
        <f>IF(ISNUMBER(F7345),E7345*F7345,"")</f>
        <v/>
      </c>
      <c r="H7345" s="28"/>
      <c r="I7345" s="29"/>
      <c r="J7345" s="152">
        <v>0</v>
      </c>
    </row>
    <row r="7346" spans="1:10" ht="15.75" hidden="1" thickBot="1" x14ac:dyDescent="0.3">
      <c r="A7346" s="171"/>
      <c r="B7346" s="174"/>
      <c r="C7346" s="31"/>
      <c r="D7346" s="31"/>
      <c r="E7346" s="32"/>
      <c r="F7346" s="53" t="s">
        <v>416</v>
      </c>
      <c r="G7346" s="53" t="str">
        <f>IF(ISNUMBER(F7346),E7346*F7346,"")</f>
        <v/>
      </c>
      <c r="H7346" s="72"/>
      <c r="I7346" s="73"/>
      <c r="J7346" s="152">
        <v>0</v>
      </c>
    </row>
    <row r="7347" spans="1:10" ht="26.25" hidden="1" thickBot="1" x14ac:dyDescent="0.3">
      <c r="A7347" s="171"/>
      <c r="B7347" s="174"/>
      <c r="C7347" s="35" t="s">
        <v>6934</v>
      </c>
      <c r="D7347" s="35" t="s">
        <v>16</v>
      </c>
      <c r="E7347" s="36">
        <v>1</v>
      </c>
      <c r="F7347" s="30">
        <v>0</v>
      </c>
      <c r="G7347" s="53">
        <f>IF(ISNUMBER(F7347),E7347*F7347,"")</f>
        <v>0</v>
      </c>
      <c r="H7347" s="38">
        <f>SUM(G7347:G7349)</f>
        <v>12.354749999999999</v>
      </c>
      <c r="I7347" s="39"/>
      <c r="J7347" s="152">
        <v>0</v>
      </c>
    </row>
    <row r="7348" spans="1:10" ht="15.75" hidden="1" thickBot="1" x14ac:dyDescent="0.3">
      <c r="A7348" s="171"/>
      <c r="B7348" s="174"/>
      <c r="C7348" s="35" t="s">
        <v>1017</v>
      </c>
      <c r="D7348" s="35" t="s">
        <v>583</v>
      </c>
      <c r="E7348" s="36">
        <v>0.25</v>
      </c>
      <c r="F7348" s="33">
        <v>21.584</v>
      </c>
      <c r="G7348" s="33">
        <f>IF(ISNUMBER(F7348),E7348*F7348,"")</f>
        <v>5.3959999999999999</v>
      </c>
      <c r="H7348" s="34"/>
      <c r="I7348" s="30"/>
      <c r="J7348" s="152">
        <v>0</v>
      </c>
    </row>
    <row r="7349" spans="1:10" ht="15.75" hidden="1" thickBot="1" x14ac:dyDescent="0.3">
      <c r="A7349" s="171"/>
      <c r="B7349" s="174"/>
      <c r="C7349" s="35" t="s">
        <v>1018</v>
      </c>
      <c r="D7349" s="35" t="s">
        <v>583</v>
      </c>
      <c r="E7349" s="36">
        <v>0.25</v>
      </c>
      <c r="F7349" s="30">
        <v>27.835000000000001</v>
      </c>
      <c r="G7349" s="53">
        <f>IF(ISNUMBER(F7349),E7349*F7349,"")</f>
        <v>6.9587500000000002</v>
      </c>
      <c r="H7349" s="43"/>
      <c r="I7349" s="39"/>
      <c r="J7349" s="152">
        <v>0</v>
      </c>
    </row>
    <row r="7350" spans="1:10" ht="15.75" hidden="1" thickBot="1" x14ac:dyDescent="0.3">
      <c r="A7350" s="172"/>
      <c r="B7350" s="175"/>
      <c r="C7350" s="54"/>
      <c r="D7350" s="155"/>
      <c r="E7350" s="65"/>
      <c r="F7350" s="75" t="s">
        <v>416</v>
      </c>
      <c r="G7350" s="75" t="str">
        <f>IF(ISNUMBER(F7350),E7350*F7350,"")</f>
        <v/>
      </c>
      <c r="H7350" s="76"/>
      <c r="I7350" s="73"/>
      <c r="J7350" s="152">
        <v>0</v>
      </c>
    </row>
    <row r="7351" spans="1:10" ht="15.75" hidden="1" thickBot="1" x14ac:dyDescent="0.3">
      <c r="A7351" s="170" t="s">
        <v>6747</v>
      </c>
      <c r="B7351" s="173" t="str">
        <f>INDEX(Orçamentária!A:B,MATCH(Composições!A7351,Orçamentária!A:A,0),2)</f>
        <v>Remoção de poste de iluminação</v>
      </c>
      <c r="C7351" s="40"/>
      <c r="D7351" s="25" t="s">
        <v>16</v>
      </c>
      <c r="E7351" s="26"/>
      <c r="F7351" s="48" t="s">
        <v>416</v>
      </c>
      <c r="G7351" s="27" t="str">
        <f>IF(ISNUMBER(F7351),E7351*F7351,"")</f>
        <v/>
      </c>
      <c r="H7351" s="28"/>
      <c r="I7351" s="29"/>
      <c r="J7351" s="152">
        <v>0</v>
      </c>
    </row>
    <row r="7352" spans="1:10" ht="15.75" hidden="1" thickBot="1" x14ac:dyDescent="0.3">
      <c r="A7352" s="171"/>
      <c r="B7352" s="174"/>
      <c r="C7352" s="31"/>
      <c r="D7352" s="31"/>
      <c r="E7352" s="32"/>
      <c r="F7352" s="53" t="s">
        <v>416</v>
      </c>
      <c r="G7352" s="53" t="str">
        <f>IF(ISNUMBER(F7352),E7352*F7352,"")</f>
        <v/>
      </c>
      <c r="H7352" s="72"/>
      <c r="I7352" s="73"/>
      <c r="J7352" s="152">
        <v>0</v>
      </c>
    </row>
    <row r="7353" spans="1:10" ht="15.75" hidden="1" thickBot="1" x14ac:dyDescent="0.3">
      <c r="A7353" s="171"/>
      <c r="B7353" s="174"/>
      <c r="C7353" s="35" t="s">
        <v>1017</v>
      </c>
      <c r="D7353" s="35" t="s">
        <v>583</v>
      </c>
      <c r="E7353" s="36">
        <v>5</v>
      </c>
      <c r="F7353" s="33">
        <v>21.584</v>
      </c>
      <c r="G7353" s="53">
        <f>IF(ISNUMBER(F7353),E7353*F7353,"")</f>
        <v>107.92</v>
      </c>
      <c r="H7353" s="38">
        <f>SUM(G7353:G7354)</f>
        <v>247.09500000000003</v>
      </c>
      <c r="I7353" s="39"/>
      <c r="J7353" s="152">
        <v>0</v>
      </c>
    </row>
    <row r="7354" spans="1:10" ht="15.75" hidden="1" thickBot="1" x14ac:dyDescent="0.3">
      <c r="A7354" s="171"/>
      <c r="B7354" s="174"/>
      <c r="C7354" s="35" t="s">
        <v>1018</v>
      </c>
      <c r="D7354" s="35" t="s">
        <v>583</v>
      </c>
      <c r="E7354" s="36">
        <v>5</v>
      </c>
      <c r="F7354" s="30">
        <v>27.835000000000001</v>
      </c>
      <c r="G7354" s="33">
        <f>IF(ISNUMBER(F7354),E7354*F7354,"")</f>
        <v>139.17500000000001</v>
      </c>
      <c r="H7354" s="34"/>
      <c r="I7354" s="30"/>
      <c r="J7354" s="152">
        <v>0</v>
      </c>
    </row>
    <row r="7355" spans="1:10" ht="15.75" hidden="1" thickBot="1" x14ac:dyDescent="0.3">
      <c r="A7355" s="172"/>
      <c r="B7355" s="175"/>
      <c r="C7355" s="54"/>
      <c r="D7355" s="155"/>
      <c r="E7355" s="65"/>
      <c r="F7355" s="75" t="s">
        <v>416</v>
      </c>
      <c r="G7355" s="75" t="str">
        <f>IF(ISNUMBER(F7355),E7355*F7355,"")</f>
        <v/>
      </c>
      <c r="H7355" s="76"/>
      <c r="I7355" s="73"/>
      <c r="J7355" s="152">
        <v>0</v>
      </c>
    </row>
    <row r="7356" spans="1:10" ht="15.75" hidden="1" thickBot="1" x14ac:dyDescent="0.3">
      <c r="A7356" s="170" t="s">
        <v>6748</v>
      </c>
      <c r="B7356" s="173" t="str">
        <f>INDEX(Orçamentária!A:B,MATCH(Composições!A7356,Orçamentária!A:A,0),2)</f>
        <v>Remoção de braço de iluminação</v>
      </c>
      <c r="C7356" s="40"/>
      <c r="D7356" s="25" t="s">
        <v>16</v>
      </c>
      <c r="E7356" s="26"/>
      <c r="F7356" s="48" t="s">
        <v>416</v>
      </c>
      <c r="G7356" s="27" t="str">
        <f>IF(ISNUMBER(F7356),E7356*F7356,"")</f>
        <v/>
      </c>
      <c r="H7356" s="28"/>
      <c r="I7356" s="29"/>
      <c r="J7356" s="152">
        <v>0</v>
      </c>
    </row>
    <row r="7357" spans="1:10" ht="15.75" hidden="1" thickBot="1" x14ac:dyDescent="0.3">
      <c r="A7357" s="171"/>
      <c r="B7357" s="174"/>
      <c r="C7357" s="31"/>
      <c r="D7357" s="31"/>
      <c r="E7357" s="32"/>
      <c r="F7357" s="53" t="s">
        <v>416</v>
      </c>
      <c r="G7357" s="53" t="str">
        <f>IF(ISNUMBER(F7357),E7357*F7357,"")</f>
        <v/>
      </c>
      <c r="H7357" s="72"/>
      <c r="I7357" s="73"/>
      <c r="J7357" s="152">
        <v>0</v>
      </c>
    </row>
    <row r="7358" spans="1:10" ht="15.75" hidden="1" thickBot="1" x14ac:dyDescent="0.3">
      <c r="A7358" s="171"/>
      <c r="B7358" s="174"/>
      <c r="C7358" s="35" t="s">
        <v>1017</v>
      </c>
      <c r="D7358" s="35" t="s">
        <v>583</v>
      </c>
      <c r="E7358" s="36">
        <v>0.8</v>
      </c>
      <c r="F7358" s="33">
        <v>21.584</v>
      </c>
      <c r="G7358" s="53">
        <f>IF(ISNUMBER(F7358),E7358*F7358,"")</f>
        <v>17.267199999999999</v>
      </c>
      <c r="H7358" s="38">
        <f>SUM(G7358:G7359)</f>
        <v>39.535200000000003</v>
      </c>
      <c r="I7358" s="39"/>
      <c r="J7358" s="152">
        <v>0</v>
      </c>
    </row>
    <row r="7359" spans="1:10" ht="15.75" hidden="1" thickBot="1" x14ac:dyDescent="0.3">
      <c r="A7359" s="171"/>
      <c r="B7359" s="174"/>
      <c r="C7359" s="35" t="s">
        <v>1018</v>
      </c>
      <c r="D7359" s="35" t="s">
        <v>583</v>
      </c>
      <c r="E7359" s="36">
        <v>0.8</v>
      </c>
      <c r="F7359" s="30">
        <v>27.835000000000001</v>
      </c>
      <c r="G7359" s="33">
        <f>IF(ISNUMBER(F7359),E7359*F7359,"")</f>
        <v>22.268000000000001</v>
      </c>
      <c r="H7359" s="34"/>
      <c r="I7359" s="30"/>
      <c r="J7359" s="152">
        <v>0</v>
      </c>
    </row>
    <row r="7360" spans="1:10" ht="15.75" hidden="1" thickBot="1" x14ac:dyDescent="0.3">
      <c r="A7360" s="172"/>
      <c r="B7360" s="175"/>
      <c r="C7360" s="54"/>
      <c r="D7360" s="155"/>
      <c r="E7360" s="65"/>
      <c r="F7360" s="75" t="s">
        <v>416</v>
      </c>
      <c r="G7360" s="75" t="str">
        <f>IF(ISNUMBER(F7360),E7360*F7360,"")</f>
        <v/>
      </c>
      <c r="H7360" s="76"/>
      <c r="I7360" s="73"/>
      <c r="J7360" s="152">
        <v>0</v>
      </c>
    </row>
    <row r="7361" spans="1:10" ht="15.75" hidden="1" thickBot="1" x14ac:dyDescent="0.3">
      <c r="A7361" s="170" t="s">
        <v>6749</v>
      </c>
      <c r="B7361" s="173" t="str">
        <f>INDEX(Orçamentária!A:B,MATCH(Composições!A7361,Orçamentária!A:A,0),2)</f>
        <v>Cabo 3x10 mm²</v>
      </c>
      <c r="C7361" s="40"/>
      <c r="D7361" s="25" t="s">
        <v>69</v>
      </c>
      <c r="E7361" s="26"/>
      <c r="F7361" s="41" t="s">
        <v>416</v>
      </c>
      <c r="G7361" s="27" t="str">
        <f>IF(ISNUMBER(F7361),E7361*F7361,"")</f>
        <v/>
      </c>
      <c r="H7361" s="28"/>
      <c r="I7361" s="29"/>
      <c r="J7361" s="152">
        <v>0</v>
      </c>
    </row>
    <row r="7362" spans="1:10" ht="15.75" hidden="1" thickBot="1" x14ac:dyDescent="0.3">
      <c r="A7362" s="176"/>
      <c r="B7362" s="174"/>
      <c r="C7362" s="31"/>
      <c r="D7362" s="31"/>
      <c r="E7362" s="32"/>
      <c r="F7362" s="42" t="s">
        <v>416</v>
      </c>
      <c r="G7362" s="30" t="str">
        <f>IF(ISNUMBER(F7362),E7362*F7362,"")</f>
        <v/>
      </c>
      <c r="H7362" s="34"/>
      <c r="I7362" s="30"/>
      <c r="J7362" s="152">
        <v>0</v>
      </c>
    </row>
    <row r="7363" spans="1:10" ht="15.75" hidden="1" thickBot="1" x14ac:dyDescent="0.3">
      <c r="A7363" s="176"/>
      <c r="B7363" s="174"/>
      <c r="C7363" s="35" t="s">
        <v>1017</v>
      </c>
      <c r="D7363" s="35" t="s">
        <v>583</v>
      </c>
      <c r="E7363" s="36">
        <v>6.08E-2</v>
      </c>
      <c r="F7363" s="30">
        <v>21.584</v>
      </c>
      <c r="G7363" s="33">
        <f>IF(ISNUMBER(F7363),E7363*F7363,"")</f>
        <v>1.3123072</v>
      </c>
      <c r="H7363" s="38">
        <f>SUM(G7363:G7366)</f>
        <v>3.0399012000000005</v>
      </c>
      <c r="I7363" s="39"/>
      <c r="J7363" s="152">
        <v>0</v>
      </c>
    </row>
    <row r="7364" spans="1:10" ht="15.75" hidden="1" thickBot="1" x14ac:dyDescent="0.3">
      <c r="A7364" s="176"/>
      <c r="B7364" s="174"/>
      <c r="C7364" s="35" t="s">
        <v>1018</v>
      </c>
      <c r="D7364" s="35" t="s">
        <v>583</v>
      </c>
      <c r="E7364" s="36">
        <v>6.08E-2</v>
      </c>
      <c r="F7364" s="30">
        <v>27.835000000000001</v>
      </c>
      <c r="G7364" s="33">
        <f>IF(ISNUMBER(F7364),E7364*F7364,"")</f>
        <v>1.6923680000000001</v>
      </c>
      <c r="H7364" s="34"/>
      <c r="I7364" s="30"/>
      <c r="J7364" s="152">
        <v>0</v>
      </c>
    </row>
    <row r="7365" spans="1:10" ht="26.25" hidden="1" thickBot="1" x14ac:dyDescent="0.3">
      <c r="A7365" s="176"/>
      <c r="B7365" s="174"/>
      <c r="C7365" s="35" t="s">
        <v>6935</v>
      </c>
      <c r="D7365" s="35" t="s">
        <v>69</v>
      </c>
      <c r="E7365" s="36">
        <v>1.0149999999999999</v>
      </c>
      <c r="F7365" s="33" t="s">
        <v>416</v>
      </c>
      <c r="G7365" s="33" t="str">
        <f>IF(ISNUMBER(F7365),E7365*F7365,"")</f>
        <v/>
      </c>
      <c r="H7365" s="34"/>
      <c r="I7365" s="30"/>
      <c r="J7365" s="152">
        <v>0</v>
      </c>
    </row>
    <row r="7366" spans="1:10" ht="26.25" hidden="1" thickBot="1" x14ac:dyDescent="0.3">
      <c r="A7366" s="176"/>
      <c r="B7366" s="174"/>
      <c r="C7366" s="35" t="s">
        <v>8169</v>
      </c>
      <c r="D7366" s="35" t="s">
        <v>213</v>
      </c>
      <c r="E7366" s="36">
        <v>8.9999999999999993E-3</v>
      </c>
      <c r="F7366" s="33">
        <v>3.9139999999999997</v>
      </c>
      <c r="G7366" s="33">
        <f>IF(ISNUMBER(F7366),E7366*F7366,"")</f>
        <v>3.5225999999999993E-2</v>
      </c>
      <c r="H7366" s="34"/>
      <c r="I7366" s="30"/>
      <c r="J7366" s="152">
        <v>0</v>
      </c>
    </row>
    <row r="7367" spans="1:10" ht="15.75" hidden="1" thickBot="1" x14ac:dyDescent="0.3">
      <c r="A7367" s="177"/>
      <c r="B7367" s="175"/>
      <c r="C7367" s="35"/>
      <c r="D7367" s="35"/>
      <c r="E7367" s="36"/>
      <c r="F7367" s="30" t="s">
        <v>416</v>
      </c>
      <c r="G7367" s="30" t="str">
        <f>IF(ISNUMBER(F7367),E7367*F7367,"")</f>
        <v/>
      </c>
      <c r="H7367" s="34"/>
      <c r="I7367" s="30"/>
      <c r="J7367" s="152">
        <v>0</v>
      </c>
    </row>
    <row r="7368" spans="1:10" ht="15.75" hidden="1" thickBot="1" x14ac:dyDescent="0.3">
      <c r="A7368" s="170" t="s">
        <v>6750</v>
      </c>
      <c r="B7368" s="173" t="str">
        <f>INDEX(Orçamentária!A:B,MATCH(Composições!A7368,Orçamentária!A:A,0),2)</f>
        <v>Quadro elétrico tipo PTTA/TTA para uso ao tempo</v>
      </c>
      <c r="C7368" s="40"/>
      <c r="D7368" s="25" t="s">
        <v>16</v>
      </c>
      <c r="E7368" s="26"/>
      <c r="F7368" s="41" t="s">
        <v>416</v>
      </c>
      <c r="G7368" s="27" t="str">
        <f>IF(ISNUMBER(F7368),E7368*F7368,"")</f>
        <v/>
      </c>
      <c r="H7368" s="28"/>
      <c r="I7368" s="29"/>
      <c r="J7368" s="152">
        <v>0</v>
      </c>
    </row>
    <row r="7369" spans="1:10" ht="15.75" hidden="1" thickBot="1" x14ac:dyDescent="0.3">
      <c r="A7369" s="176"/>
      <c r="B7369" s="174"/>
      <c r="C7369" s="31"/>
      <c r="D7369" s="31"/>
      <c r="E7369" s="32"/>
      <c r="F7369" s="42" t="s">
        <v>416</v>
      </c>
      <c r="G7369" s="30" t="str">
        <f>IF(ISNUMBER(F7369),E7369*F7369,"")</f>
        <v/>
      </c>
      <c r="H7369" s="34"/>
      <c r="I7369" s="30"/>
      <c r="J7369" s="152">
        <v>0</v>
      </c>
    </row>
    <row r="7370" spans="1:10" ht="39" hidden="1" thickBot="1" x14ac:dyDescent="0.3">
      <c r="A7370" s="176"/>
      <c r="B7370" s="174"/>
      <c r="C7370" s="35" t="s">
        <v>6938</v>
      </c>
      <c r="D7370" s="46" t="s">
        <v>16</v>
      </c>
      <c r="E7370" s="36">
        <v>1</v>
      </c>
      <c r="F7370" s="33" t="s">
        <v>416</v>
      </c>
      <c r="G7370" s="30" t="str">
        <f>IF(ISNUMBER(F7370),E7370*F7370,"")</f>
        <v/>
      </c>
      <c r="H7370" s="38">
        <f>SUM(G7370:G7373)</f>
        <v>47.417608440249602</v>
      </c>
      <c r="I7370" s="39"/>
      <c r="J7370" s="152">
        <v>0</v>
      </c>
    </row>
    <row r="7371" spans="1:10" ht="39" hidden="1" thickBot="1" x14ac:dyDescent="0.3">
      <c r="A7371" s="176"/>
      <c r="B7371" s="174"/>
      <c r="C7371" s="35" t="s">
        <v>2897</v>
      </c>
      <c r="D7371" s="46" t="s">
        <v>87</v>
      </c>
      <c r="E7371" s="36">
        <v>1.9199999999999998E-2</v>
      </c>
      <c r="F7371" s="30">
        <v>838.58271563799997</v>
      </c>
      <c r="G7371" s="30">
        <f>IF(ISNUMBER(F7371),E7371*F7371,"")</f>
        <v>16.100788140249598</v>
      </c>
      <c r="H7371" s="34"/>
      <c r="I7371" s="30"/>
      <c r="J7371" s="152">
        <v>0</v>
      </c>
    </row>
    <row r="7372" spans="1:10" ht="15.75" hidden="1" thickBot="1" x14ac:dyDescent="0.3">
      <c r="A7372" s="176"/>
      <c r="B7372" s="174"/>
      <c r="C7372" s="35" t="s">
        <v>1017</v>
      </c>
      <c r="D7372" s="35" t="s">
        <v>583</v>
      </c>
      <c r="E7372" s="36">
        <v>0.63370000000000004</v>
      </c>
      <c r="F7372" s="30">
        <v>21.584</v>
      </c>
      <c r="G7372" s="30">
        <f>IF(ISNUMBER(F7372),E7372*F7372,"")</f>
        <v>13.677780800000001</v>
      </c>
      <c r="H7372" s="34"/>
      <c r="I7372" s="30"/>
      <c r="J7372" s="152">
        <v>0</v>
      </c>
    </row>
    <row r="7373" spans="1:10" ht="15.75" hidden="1" thickBot="1" x14ac:dyDescent="0.3">
      <c r="A7373" s="176"/>
      <c r="B7373" s="174"/>
      <c r="C7373" s="35" t="s">
        <v>1018</v>
      </c>
      <c r="D7373" s="35" t="s">
        <v>583</v>
      </c>
      <c r="E7373" s="36">
        <v>0.63370000000000004</v>
      </c>
      <c r="F7373" s="30">
        <v>27.835000000000001</v>
      </c>
      <c r="G7373" s="33">
        <f>IF(ISNUMBER(F7373),E7373*F7373,"")</f>
        <v>17.639039500000003</v>
      </c>
      <c r="H7373" s="34"/>
      <c r="I7373" s="30"/>
      <c r="J7373" s="152">
        <v>0</v>
      </c>
    </row>
    <row r="7374" spans="1:10" ht="15.75" hidden="1" thickBot="1" x14ac:dyDescent="0.3">
      <c r="A7374" s="176"/>
      <c r="B7374" s="175"/>
      <c r="C7374" s="35"/>
      <c r="D7374" s="35"/>
      <c r="E7374" s="36"/>
      <c r="F7374" s="30" t="s">
        <v>416</v>
      </c>
      <c r="G7374" s="30" t="str">
        <f>IF(ISNUMBER(F7374),E7374*F7374,"")</f>
        <v/>
      </c>
      <c r="H7374" s="34"/>
      <c r="I7374" s="30"/>
      <c r="J7374" s="152">
        <v>0</v>
      </c>
    </row>
    <row r="7375" spans="1:10" ht="15.75" hidden="1" thickBot="1" x14ac:dyDescent="0.3">
      <c r="A7375" s="170" t="s">
        <v>6751</v>
      </c>
      <c r="B7375" s="173" t="str">
        <f>INDEX(Orçamentária!A:B,MATCH(Composições!A7375,Orçamentária!A:A,0),2)</f>
        <v>Luminária LED para poste 230 W</v>
      </c>
      <c r="C7375" s="40"/>
      <c r="D7375" s="25" t="s">
        <v>16</v>
      </c>
      <c r="E7375" s="26"/>
      <c r="F7375" s="41" t="s">
        <v>416</v>
      </c>
      <c r="G7375" s="27" t="str">
        <f>IF(ISNUMBER(F7375),E7375*F7375,"")</f>
        <v/>
      </c>
      <c r="H7375" s="28"/>
      <c r="I7375" s="29"/>
      <c r="J7375" s="152">
        <v>0</v>
      </c>
    </row>
    <row r="7376" spans="1:10" ht="15.75" hidden="1" thickBot="1" x14ac:dyDescent="0.3">
      <c r="A7376" s="176"/>
      <c r="B7376" s="174"/>
      <c r="C7376" s="31"/>
      <c r="D7376" s="31"/>
      <c r="E7376" s="32"/>
      <c r="F7376" s="42" t="s">
        <v>416</v>
      </c>
      <c r="G7376" s="30" t="str">
        <f>IF(ISNUMBER(F7376),E7376*F7376,"")</f>
        <v/>
      </c>
      <c r="H7376" s="34"/>
      <c r="I7376" s="30"/>
      <c r="J7376" s="152">
        <v>0</v>
      </c>
    </row>
    <row r="7377" spans="1:10" ht="51.75" hidden="1" thickBot="1" x14ac:dyDescent="0.3">
      <c r="A7377" s="176"/>
      <c r="B7377" s="174"/>
      <c r="C7377" s="35" t="s">
        <v>2864</v>
      </c>
      <c r="D7377" s="35" t="s">
        <v>813</v>
      </c>
      <c r="E7377" s="36">
        <v>0.23880000000000001</v>
      </c>
      <c r="F7377" s="33">
        <v>252.10149999999999</v>
      </c>
      <c r="G7377" s="30">
        <f>IF(ISNUMBER(F7377),E7377*F7377,"")</f>
        <v>60.201838199999997</v>
      </c>
      <c r="H7377" s="38">
        <f>SUM(G7377:G7381)</f>
        <v>852.66679809999994</v>
      </c>
      <c r="I7377" s="39"/>
      <c r="J7377" s="152">
        <v>0</v>
      </c>
    </row>
    <row r="7378" spans="1:10" ht="26.25" hidden="1" thickBot="1" x14ac:dyDescent="0.3">
      <c r="A7378" s="176"/>
      <c r="B7378" s="174"/>
      <c r="C7378" s="35" t="s">
        <v>8169</v>
      </c>
      <c r="D7378" s="35" t="s">
        <v>213</v>
      </c>
      <c r="E7378" s="36">
        <v>1.4E-2</v>
      </c>
      <c r="F7378" s="30">
        <v>3.9139999999999997</v>
      </c>
      <c r="G7378" s="30">
        <f>IF(ISNUMBER(F7378),E7378*F7378,"")</f>
        <v>5.4795999999999997E-2</v>
      </c>
      <c r="H7378" s="34"/>
      <c r="I7378" s="30"/>
      <c r="J7378" s="152">
        <v>0</v>
      </c>
    </row>
    <row r="7379" spans="1:10" ht="26.25" hidden="1" thickBot="1" x14ac:dyDescent="0.3">
      <c r="A7379" s="176"/>
      <c r="B7379" s="174"/>
      <c r="C7379" s="35" t="s">
        <v>8229</v>
      </c>
      <c r="D7379" s="35" t="s">
        <v>213</v>
      </c>
      <c r="E7379" s="36">
        <v>1</v>
      </c>
      <c r="F7379" s="30">
        <v>780.64350000000002</v>
      </c>
      <c r="G7379" s="30">
        <f>IF(ISNUMBER(F7379),E7379*F7379,"")</f>
        <v>780.64350000000002</v>
      </c>
      <c r="H7379" s="34"/>
      <c r="I7379" s="30"/>
      <c r="J7379" s="152">
        <v>0</v>
      </c>
    </row>
    <row r="7380" spans="1:10" ht="15.75" hidden="1" thickBot="1" x14ac:dyDescent="0.3">
      <c r="A7380" s="176"/>
      <c r="B7380" s="174"/>
      <c r="C7380" s="35" t="s">
        <v>1017</v>
      </c>
      <c r="D7380" s="35" t="s">
        <v>583</v>
      </c>
      <c r="E7380" s="36">
        <v>0.23810000000000001</v>
      </c>
      <c r="F7380" s="30">
        <v>21.584</v>
      </c>
      <c r="G7380" s="30">
        <f>IF(ISNUMBER(F7380),E7380*F7380,"")</f>
        <v>5.1391504000000001</v>
      </c>
      <c r="H7380" s="34"/>
      <c r="I7380" s="30"/>
      <c r="J7380" s="152">
        <v>0</v>
      </c>
    </row>
    <row r="7381" spans="1:10" ht="15.75" hidden="1" thickBot="1" x14ac:dyDescent="0.3">
      <c r="A7381" s="176"/>
      <c r="B7381" s="174"/>
      <c r="C7381" s="35" t="s">
        <v>1018</v>
      </c>
      <c r="D7381" s="35" t="s">
        <v>583</v>
      </c>
      <c r="E7381" s="36">
        <v>0.23810000000000001</v>
      </c>
      <c r="F7381" s="30">
        <v>27.835000000000001</v>
      </c>
      <c r="G7381" s="33">
        <f>IF(ISNUMBER(F7381),E7381*F7381,"")</f>
        <v>6.6275135000000001</v>
      </c>
      <c r="H7381" s="34"/>
      <c r="I7381" s="30"/>
      <c r="J7381" s="152">
        <v>0</v>
      </c>
    </row>
    <row r="7382" spans="1:10" ht="15.75" hidden="1" thickBot="1" x14ac:dyDescent="0.3">
      <c r="A7382" s="176"/>
      <c r="B7382" s="175"/>
      <c r="C7382" s="35"/>
      <c r="D7382" s="35"/>
      <c r="E7382" s="36"/>
      <c r="F7382" s="30" t="s">
        <v>416</v>
      </c>
      <c r="G7382" s="30" t="str">
        <f>IF(ISNUMBER(F7382),E7382*F7382,"")</f>
        <v/>
      </c>
      <c r="H7382" s="34"/>
      <c r="I7382" s="30"/>
      <c r="J7382" s="152">
        <v>0</v>
      </c>
    </row>
    <row r="7383" spans="1:10" ht="15.75" hidden="1" thickBot="1" x14ac:dyDescent="0.3">
      <c r="A7383" s="170" t="s">
        <v>6752</v>
      </c>
      <c r="B7383" s="173" t="str">
        <f>INDEX(Orçamentária!A:B,MATCH(Composições!A7383,Orçamentária!A:A,0),2)</f>
        <v>Eletroduto PEAD 1 1/2”(40mm)</v>
      </c>
      <c r="C7383" s="40"/>
      <c r="D7383" s="25" t="s">
        <v>69</v>
      </c>
      <c r="E7383" s="26"/>
      <c r="F7383" s="48" t="s">
        <v>416</v>
      </c>
      <c r="G7383" s="27" t="str">
        <f>IF(ISNUMBER(F7383),E7383*F7383,"")</f>
        <v/>
      </c>
      <c r="H7383" s="28"/>
      <c r="I7383" s="29"/>
      <c r="J7383" s="152">
        <v>0</v>
      </c>
    </row>
    <row r="7384" spans="1:10" ht="15.75" hidden="1" thickBot="1" x14ac:dyDescent="0.3">
      <c r="A7384" s="171"/>
      <c r="B7384" s="174"/>
      <c r="C7384" s="31"/>
      <c r="D7384" s="31"/>
      <c r="E7384" s="32"/>
      <c r="F7384" s="53" t="s">
        <v>416</v>
      </c>
      <c r="G7384" s="53" t="str">
        <f>IF(ISNUMBER(F7384),E7384*F7384,"")</f>
        <v/>
      </c>
      <c r="H7384" s="72"/>
      <c r="I7384" s="73"/>
      <c r="J7384" s="152">
        <v>0</v>
      </c>
    </row>
    <row r="7385" spans="1:10" ht="39" hidden="1" thickBot="1" x14ac:dyDescent="0.3">
      <c r="A7385" s="171"/>
      <c r="B7385" s="174"/>
      <c r="C7385" s="35" t="s">
        <v>8151</v>
      </c>
      <c r="D7385" s="35" t="s">
        <v>385</v>
      </c>
      <c r="E7385" s="36">
        <v>1.1000000000000001</v>
      </c>
      <c r="F7385" s="30">
        <v>3.8189999999999995</v>
      </c>
      <c r="G7385" s="53">
        <f>IF(ISNUMBER(F7385),E7385*F7385,"")</f>
        <v>4.2008999999999999</v>
      </c>
      <c r="H7385" s="38">
        <f>SUM(G7385:G7387)</f>
        <v>7.5218567999999992</v>
      </c>
      <c r="I7385" s="39"/>
      <c r="J7385" s="152">
        <v>0</v>
      </c>
    </row>
    <row r="7386" spans="1:10" ht="15.75" hidden="1" thickBot="1" x14ac:dyDescent="0.3">
      <c r="A7386" s="171"/>
      <c r="B7386" s="174"/>
      <c r="C7386" s="35" t="s">
        <v>1017</v>
      </c>
      <c r="D7386" s="35" t="s">
        <v>583</v>
      </c>
      <c r="E7386" s="36">
        <v>6.7199999999999996E-2</v>
      </c>
      <c r="F7386" s="33">
        <v>21.584</v>
      </c>
      <c r="G7386" s="33">
        <f>IF(ISNUMBER(F7386),E7386*F7386,"")</f>
        <v>1.4504447999999999</v>
      </c>
      <c r="H7386" s="34"/>
      <c r="I7386" s="30"/>
      <c r="J7386" s="152">
        <v>0</v>
      </c>
    </row>
    <row r="7387" spans="1:10" ht="15.75" hidden="1" thickBot="1" x14ac:dyDescent="0.3">
      <c r="A7387" s="171"/>
      <c r="B7387" s="174"/>
      <c r="C7387" s="35" t="s">
        <v>1018</v>
      </c>
      <c r="D7387" s="35" t="s">
        <v>583</v>
      </c>
      <c r="E7387" s="36">
        <v>6.7199999999999996E-2</v>
      </c>
      <c r="F7387" s="30">
        <v>27.835000000000001</v>
      </c>
      <c r="G7387" s="53">
        <f>IF(ISNUMBER(F7387),E7387*F7387,"")</f>
        <v>1.870512</v>
      </c>
      <c r="H7387" s="43"/>
      <c r="I7387" s="39"/>
      <c r="J7387" s="152">
        <v>0</v>
      </c>
    </row>
    <row r="7388" spans="1:10" ht="15.75" hidden="1" thickBot="1" x14ac:dyDescent="0.3">
      <c r="A7388" s="172"/>
      <c r="B7388" s="175"/>
      <c r="C7388" s="54"/>
      <c r="D7388" s="155"/>
      <c r="E7388" s="65"/>
      <c r="F7388" s="75" t="s">
        <v>416</v>
      </c>
      <c r="G7388" s="75" t="str">
        <f>IF(ISNUMBER(F7388),E7388*F7388,"")</f>
        <v/>
      </c>
      <c r="H7388" s="76"/>
      <c r="I7388" s="73"/>
      <c r="J7388" s="152">
        <v>0</v>
      </c>
    </row>
    <row r="7389" spans="1:10" ht="15.75" thickBot="1" x14ac:dyDescent="0.3">
      <c r="A7389" s="170" t="s">
        <v>6753</v>
      </c>
      <c r="B7389" s="173" t="str">
        <f>INDEX(Orçamentária!A:B,MATCH(Composições!A7389,Orçamentária!A:A,0),2)</f>
        <v>Cabo 3x6 mm²</v>
      </c>
      <c r="C7389" s="40"/>
      <c r="D7389" s="25" t="s">
        <v>69</v>
      </c>
      <c r="E7389" s="26"/>
      <c r="F7389" s="41" t="s">
        <v>416</v>
      </c>
      <c r="G7389" s="27" t="str">
        <f>IF(ISNUMBER(F7389),E7389*F7389,"")</f>
        <v/>
      </c>
      <c r="H7389" s="28"/>
      <c r="I7389" s="29"/>
      <c r="J7389" s="152">
        <v>40</v>
      </c>
    </row>
    <row r="7390" spans="1:10" x14ac:dyDescent="0.25">
      <c r="A7390" s="176"/>
      <c r="B7390" s="174"/>
      <c r="C7390" s="31"/>
      <c r="D7390" s="31"/>
      <c r="E7390" s="32"/>
      <c r="F7390" s="42" t="s">
        <v>416</v>
      </c>
      <c r="G7390" s="30" t="str">
        <f>IF(ISNUMBER(F7390),E7390*F7390,"")</f>
        <v/>
      </c>
      <c r="H7390" s="34"/>
      <c r="I7390" s="30"/>
      <c r="J7390" s="152">
        <v>40</v>
      </c>
    </row>
    <row r="7391" spans="1:10" x14ac:dyDescent="0.25">
      <c r="A7391" s="176"/>
      <c r="B7391" s="174"/>
      <c r="C7391" s="35" t="s">
        <v>1017</v>
      </c>
      <c r="D7391" s="35" t="s">
        <v>583</v>
      </c>
      <c r="E7391" s="36">
        <v>1.2999999999999999E-2</v>
      </c>
      <c r="F7391" s="30">
        <v>21.584</v>
      </c>
      <c r="G7391" s="33">
        <f>IF(ISNUMBER(F7391),E7391*F7391,"")</f>
        <v>0.28059200000000001</v>
      </c>
      <c r="H7391" s="38">
        <f>SUM(G7391:G7394)</f>
        <v>19.557846999999999</v>
      </c>
      <c r="I7391" s="39"/>
      <c r="J7391" s="152">
        <v>40</v>
      </c>
    </row>
    <row r="7392" spans="1:10" x14ac:dyDescent="0.25">
      <c r="A7392" s="176"/>
      <c r="B7392" s="174"/>
      <c r="C7392" s="35" t="s">
        <v>1018</v>
      </c>
      <c r="D7392" s="35" t="s">
        <v>583</v>
      </c>
      <c r="E7392" s="36">
        <v>1.2999999999999999E-2</v>
      </c>
      <c r="F7392" s="30">
        <v>27.835000000000001</v>
      </c>
      <c r="G7392" s="33">
        <f>IF(ISNUMBER(F7392),E7392*F7392,"")</f>
        <v>0.36185499999999998</v>
      </c>
      <c r="H7392" s="34"/>
      <c r="I7392" s="30"/>
      <c r="J7392" s="152">
        <v>40</v>
      </c>
    </row>
    <row r="7393" spans="1:10" ht="25.5" x14ac:dyDescent="0.25">
      <c r="A7393" s="176"/>
      <c r="B7393" s="174"/>
      <c r="C7393" s="35" t="s">
        <v>6944</v>
      </c>
      <c r="D7393" s="35" t="s">
        <v>69</v>
      </c>
      <c r="E7393" s="36">
        <v>1.0269999999999999</v>
      </c>
      <c r="F7393" s="33">
        <v>18.38</v>
      </c>
      <c r="G7393" s="33">
        <f>IF(ISNUMBER(F7393),E7393*F7393,"")</f>
        <v>18.876259999999998</v>
      </c>
      <c r="H7393" s="34"/>
      <c r="I7393" s="30"/>
      <c r="J7393" s="152">
        <v>40</v>
      </c>
    </row>
    <row r="7394" spans="1:10" ht="25.5" x14ac:dyDescent="0.25">
      <c r="A7394" s="176"/>
      <c r="B7394" s="174"/>
      <c r="C7394" s="35" t="s">
        <v>8169</v>
      </c>
      <c r="D7394" s="35" t="s">
        <v>213</v>
      </c>
      <c r="E7394" s="36">
        <v>0.01</v>
      </c>
      <c r="F7394" s="33">
        <v>3.9139999999999997</v>
      </c>
      <c r="G7394" s="33">
        <f>IF(ISNUMBER(F7394),E7394*F7394,"")</f>
        <v>3.9140000000000001E-2</v>
      </c>
      <c r="H7394" s="34"/>
      <c r="I7394" s="30"/>
      <c r="J7394" s="152">
        <v>40</v>
      </c>
    </row>
    <row r="7395" spans="1:10" ht="15.75" thickBot="1" x14ac:dyDescent="0.3">
      <c r="A7395" s="177"/>
      <c r="B7395" s="175"/>
      <c r="C7395" s="35"/>
      <c r="D7395" s="35"/>
      <c r="E7395" s="36"/>
      <c r="F7395" s="30" t="s">
        <v>416</v>
      </c>
      <c r="G7395" s="30" t="str">
        <f>IF(ISNUMBER(F7395),E7395*F7395,"")</f>
        <v/>
      </c>
      <c r="H7395" s="34"/>
      <c r="I7395" s="30"/>
      <c r="J7395" s="152">
        <v>40</v>
      </c>
    </row>
    <row r="7396" spans="1:10" ht="15.75" hidden="1" thickBot="1" x14ac:dyDescent="0.3">
      <c r="A7396" s="170" t="s">
        <v>6754</v>
      </c>
      <c r="B7396" s="173" t="str">
        <f>INDEX(Orçamentária!A:B,MATCH(Composições!A7396,Orçamentária!A:A,0),2)</f>
        <v>Eletroduto de aço galvanizado a fogo de 1”</v>
      </c>
      <c r="C7396" s="40"/>
      <c r="D7396" s="25" t="s">
        <v>69</v>
      </c>
      <c r="E7396" s="26"/>
      <c r="F7396" s="41" t="s">
        <v>416</v>
      </c>
      <c r="G7396" s="27" t="str">
        <f>IF(ISNUMBER(F7396),E7396*F7396,"")</f>
        <v/>
      </c>
      <c r="H7396" s="28"/>
      <c r="I7396" s="29"/>
      <c r="J7396" s="152">
        <v>0</v>
      </c>
    </row>
    <row r="7397" spans="1:10" ht="15.75" hidden="1" thickBot="1" x14ac:dyDescent="0.3">
      <c r="A7397" s="176"/>
      <c r="B7397" s="174"/>
      <c r="C7397" s="31"/>
      <c r="D7397" s="31"/>
      <c r="E7397" s="32"/>
      <c r="F7397" s="42" t="s">
        <v>416</v>
      </c>
      <c r="G7397" s="30" t="str">
        <f>IF(ISNUMBER(F7397),E7397*F7397,"")</f>
        <v/>
      </c>
      <c r="H7397" s="34"/>
      <c r="I7397" s="30"/>
      <c r="J7397" s="152">
        <v>0</v>
      </c>
    </row>
    <row r="7398" spans="1:10" ht="15.75" hidden="1" thickBot="1" x14ac:dyDescent="0.3">
      <c r="A7398" s="176"/>
      <c r="B7398" s="174"/>
      <c r="C7398" s="35" t="s">
        <v>6936</v>
      </c>
      <c r="D7398" s="35" t="s">
        <v>69</v>
      </c>
      <c r="E7398" s="36">
        <v>1.05</v>
      </c>
      <c r="F7398" s="30">
        <v>0</v>
      </c>
      <c r="G7398" s="33">
        <f>IF(ISNUMBER(F7398),E7398*F7398,"")</f>
        <v>0</v>
      </c>
      <c r="H7398" s="38">
        <f>SUM(G7398:G7400)</f>
        <v>24.709499999999998</v>
      </c>
      <c r="I7398" s="39"/>
      <c r="J7398" s="152">
        <v>0</v>
      </c>
    </row>
    <row r="7399" spans="1:10" ht="15.75" hidden="1" thickBot="1" x14ac:dyDescent="0.3">
      <c r="A7399" s="176"/>
      <c r="B7399" s="174"/>
      <c r="C7399" s="35" t="s">
        <v>1017</v>
      </c>
      <c r="D7399" s="35" t="s">
        <v>583</v>
      </c>
      <c r="E7399" s="36">
        <v>0.5</v>
      </c>
      <c r="F7399" s="30">
        <v>21.584</v>
      </c>
      <c r="G7399" s="33">
        <f>IF(ISNUMBER(F7399),E7399*F7399,"")</f>
        <v>10.792</v>
      </c>
      <c r="H7399" s="34"/>
      <c r="I7399" s="30"/>
      <c r="J7399" s="152">
        <v>0</v>
      </c>
    </row>
    <row r="7400" spans="1:10" ht="15.75" hidden="1" thickBot="1" x14ac:dyDescent="0.3">
      <c r="A7400" s="176"/>
      <c r="B7400" s="174"/>
      <c r="C7400" s="35" t="s">
        <v>1018</v>
      </c>
      <c r="D7400" s="35" t="s">
        <v>583</v>
      </c>
      <c r="E7400" s="36">
        <v>0.5</v>
      </c>
      <c r="F7400" s="30">
        <v>27.835000000000001</v>
      </c>
      <c r="G7400" s="33">
        <f>IF(ISNUMBER(F7400),E7400*F7400,"")</f>
        <v>13.9175</v>
      </c>
      <c r="H7400" s="34"/>
      <c r="I7400" s="30"/>
      <c r="J7400" s="152">
        <v>0</v>
      </c>
    </row>
    <row r="7401" spans="1:10" ht="15.75" hidden="1" thickBot="1" x14ac:dyDescent="0.3">
      <c r="A7401" s="177"/>
      <c r="B7401" s="175"/>
      <c r="C7401" s="35"/>
      <c r="D7401" s="35"/>
      <c r="E7401" s="36"/>
      <c r="F7401" s="30" t="s">
        <v>416</v>
      </c>
      <c r="G7401" s="30" t="str">
        <f>IF(ISNUMBER(F7401),E7401*F7401,"")</f>
        <v/>
      </c>
      <c r="H7401" s="34"/>
      <c r="I7401" s="30"/>
      <c r="J7401" s="152">
        <v>0</v>
      </c>
    </row>
    <row r="7402" spans="1:10" ht="15.75" hidden="1" thickBot="1" x14ac:dyDescent="0.3">
      <c r="A7402" s="170" t="s">
        <v>6755</v>
      </c>
      <c r="B7402" s="173" t="str">
        <f>INDEX(Orçamentária!A:B,MATCH(Composições!A7402,Orçamentária!A:A,0),2)</f>
        <v>Eletroduto de aço galvanizado a fogo de 1 1/2”</v>
      </c>
      <c r="C7402" s="40"/>
      <c r="D7402" s="25" t="s">
        <v>69</v>
      </c>
      <c r="E7402" s="26"/>
      <c r="F7402" s="41" t="s">
        <v>416</v>
      </c>
      <c r="G7402" s="27" t="str">
        <f>IF(ISNUMBER(F7402),E7402*F7402,"")</f>
        <v/>
      </c>
      <c r="H7402" s="28"/>
      <c r="I7402" s="29"/>
      <c r="J7402" s="152">
        <v>0</v>
      </c>
    </row>
    <row r="7403" spans="1:10" ht="15.75" hidden="1" thickBot="1" x14ac:dyDescent="0.3">
      <c r="A7403" s="176"/>
      <c r="B7403" s="174"/>
      <c r="C7403" s="31"/>
      <c r="D7403" s="31"/>
      <c r="E7403" s="32"/>
      <c r="F7403" s="42" t="s">
        <v>416</v>
      </c>
      <c r="G7403" s="30" t="str">
        <f>IF(ISNUMBER(F7403),E7403*F7403,"")</f>
        <v/>
      </c>
      <c r="H7403" s="34"/>
      <c r="I7403" s="30"/>
      <c r="J7403" s="152">
        <v>0</v>
      </c>
    </row>
    <row r="7404" spans="1:10" ht="15.75" hidden="1" thickBot="1" x14ac:dyDescent="0.3">
      <c r="A7404" s="176"/>
      <c r="B7404" s="174"/>
      <c r="C7404" s="35" t="s">
        <v>6937</v>
      </c>
      <c r="D7404" s="35" t="s">
        <v>69</v>
      </c>
      <c r="E7404" s="36">
        <v>1.05</v>
      </c>
      <c r="F7404" s="30">
        <v>0</v>
      </c>
      <c r="G7404" s="33">
        <f>IF(ISNUMBER(F7404),E7404*F7404,"")</f>
        <v>0</v>
      </c>
      <c r="H7404" s="38">
        <f>SUM(G7404:G7406)</f>
        <v>37.064250000000001</v>
      </c>
      <c r="I7404" s="39"/>
      <c r="J7404" s="152">
        <v>0</v>
      </c>
    </row>
    <row r="7405" spans="1:10" ht="15.75" hidden="1" thickBot="1" x14ac:dyDescent="0.3">
      <c r="A7405" s="176"/>
      <c r="B7405" s="174"/>
      <c r="C7405" s="35" t="s">
        <v>1018</v>
      </c>
      <c r="D7405" s="35" t="s">
        <v>583</v>
      </c>
      <c r="E7405" s="36">
        <v>0.75</v>
      </c>
      <c r="F7405" s="30">
        <v>27.835000000000001</v>
      </c>
      <c r="G7405" s="33">
        <f>IF(ISNUMBER(F7405),E7405*F7405,"")</f>
        <v>20.876249999999999</v>
      </c>
      <c r="H7405" s="34"/>
      <c r="I7405" s="30"/>
      <c r="J7405" s="152">
        <v>0</v>
      </c>
    </row>
    <row r="7406" spans="1:10" ht="15.75" hidden="1" thickBot="1" x14ac:dyDescent="0.3">
      <c r="A7406" s="176"/>
      <c r="B7406" s="174"/>
      <c r="C7406" s="35" t="s">
        <v>1017</v>
      </c>
      <c r="D7406" s="35" t="s">
        <v>583</v>
      </c>
      <c r="E7406" s="36">
        <v>0.75</v>
      </c>
      <c r="F7406" s="30">
        <v>21.584</v>
      </c>
      <c r="G7406" s="33">
        <f>IF(ISNUMBER(F7406),E7406*F7406,"")</f>
        <v>16.187999999999999</v>
      </c>
      <c r="H7406" s="34"/>
      <c r="I7406" s="30"/>
      <c r="J7406" s="152">
        <v>0</v>
      </c>
    </row>
    <row r="7407" spans="1:10" ht="15.75" hidden="1" thickBot="1" x14ac:dyDescent="0.3">
      <c r="A7407" s="177"/>
      <c r="B7407" s="175"/>
      <c r="C7407" s="35"/>
      <c r="D7407" s="35"/>
      <c r="E7407" s="36"/>
      <c r="F7407" s="30" t="s">
        <v>416</v>
      </c>
      <c r="G7407" s="30" t="str">
        <f>IF(ISNUMBER(F7407),E7407*F7407,"")</f>
        <v/>
      </c>
      <c r="H7407" s="34"/>
      <c r="I7407" s="30"/>
      <c r="J7407" s="152">
        <v>0</v>
      </c>
    </row>
    <row r="7408" spans="1:10" ht="15.75" hidden="1" thickBot="1" x14ac:dyDescent="0.3">
      <c r="A7408" s="170" t="s">
        <v>6756</v>
      </c>
      <c r="B7408" s="173" t="str">
        <f>INDEX(Orçamentária!A:B,MATCH(Composições!A7408,Orçamentária!A:A,0),2)</f>
        <v>Eletroduto de aço galvanizado a fogo de 2”</v>
      </c>
      <c r="C7408" s="40"/>
      <c r="D7408" s="25" t="s">
        <v>69</v>
      </c>
      <c r="E7408" s="26"/>
      <c r="F7408" s="41" t="s">
        <v>416</v>
      </c>
      <c r="G7408" s="27" t="str">
        <f>IF(ISNUMBER(F7408),E7408*F7408,"")</f>
        <v/>
      </c>
      <c r="H7408" s="28"/>
      <c r="I7408" s="29"/>
      <c r="J7408" s="152">
        <v>0</v>
      </c>
    </row>
    <row r="7409" spans="1:10" ht="15.75" hidden="1" thickBot="1" x14ac:dyDescent="0.3">
      <c r="A7409" s="176"/>
      <c r="B7409" s="174"/>
      <c r="C7409" s="31"/>
      <c r="D7409" s="31"/>
      <c r="E7409" s="32"/>
      <c r="F7409" s="42" t="s">
        <v>416</v>
      </c>
      <c r="G7409" s="30" t="str">
        <f>IF(ISNUMBER(F7409),E7409*F7409,"")</f>
        <v/>
      </c>
      <c r="H7409" s="34"/>
      <c r="I7409" s="30"/>
      <c r="J7409" s="152">
        <v>0</v>
      </c>
    </row>
    <row r="7410" spans="1:10" ht="15.75" hidden="1" thickBot="1" x14ac:dyDescent="0.3">
      <c r="A7410" s="176"/>
      <c r="B7410" s="174"/>
      <c r="C7410" s="35" t="s">
        <v>6943</v>
      </c>
      <c r="D7410" s="35" t="s">
        <v>69</v>
      </c>
      <c r="E7410" s="36">
        <v>1.05</v>
      </c>
      <c r="F7410" s="30">
        <v>0</v>
      </c>
      <c r="G7410" s="33">
        <f>IF(ISNUMBER(F7410),E7410*F7410,"")</f>
        <v>0</v>
      </c>
      <c r="H7410" s="38">
        <f>SUM(G7410:G7412)</f>
        <v>37.064250000000001</v>
      </c>
      <c r="I7410" s="39"/>
      <c r="J7410" s="152">
        <v>0</v>
      </c>
    </row>
    <row r="7411" spans="1:10" ht="15.75" hidden="1" thickBot="1" x14ac:dyDescent="0.3">
      <c r="A7411" s="176"/>
      <c r="B7411" s="174"/>
      <c r="C7411" s="35" t="s">
        <v>1018</v>
      </c>
      <c r="D7411" s="35" t="s">
        <v>583</v>
      </c>
      <c r="E7411" s="36">
        <v>0.75</v>
      </c>
      <c r="F7411" s="30">
        <v>27.835000000000001</v>
      </c>
      <c r="G7411" s="33">
        <f>IF(ISNUMBER(F7411),E7411*F7411,"")</f>
        <v>20.876249999999999</v>
      </c>
      <c r="H7411" s="34"/>
      <c r="I7411" s="30"/>
      <c r="J7411" s="152">
        <v>0</v>
      </c>
    </row>
    <row r="7412" spans="1:10" ht="15.75" hidden="1" thickBot="1" x14ac:dyDescent="0.3">
      <c r="A7412" s="176"/>
      <c r="B7412" s="174"/>
      <c r="C7412" s="35" t="s">
        <v>1017</v>
      </c>
      <c r="D7412" s="35" t="s">
        <v>583</v>
      </c>
      <c r="E7412" s="36">
        <v>0.75</v>
      </c>
      <c r="F7412" s="30">
        <v>21.584</v>
      </c>
      <c r="G7412" s="33">
        <f>IF(ISNUMBER(F7412),E7412*F7412,"")</f>
        <v>16.187999999999999</v>
      </c>
      <c r="H7412" s="34"/>
      <c r="I7412" s="30"/>
      <c r="J7412" s="152">
        <v>0</v>
      </c>
    </row>
    <row r="7413" spans="1:10" ht="15.75" hidden="1" thickBot="1" x14ac:dyDescent="0.3">
      <c r="A7413" s="177"/>
      <c r="B7413" s="175"/>
      <c r="C7413" s="35"/>
      <c r="D7413" s="35"/>
      <c r="E7413" s="36"/>
      <c r="F7413" s="30" t="s">
        <v>416</v>
      </c>
      <c r="G7413" s="30" t="str">
        <f>IF(ISNUMBER(F7413),E7413*F7413,"")</f>
        <v/>
      </c>
      <c r="H7413" s="34"/>
      <c r="I7413" s="30"/>
      <c r="J7413" s="152">
        <v>0</v>
      </c>
    </row>
    <row r="7414" spans="1:10" ht="15.75" hidden="1" thickBot="1" x14ac:dyDescent="0.3">
      <c r="A7414" s="170" t="s">
        <v>6757</v>
      </c>
      <c r="B7414" s="173" t="str">
        <f>INDEX(Orçamentária!A:B,MATCH(Composições!A7414,Orçamentária!A:A,0),2)</f>
        <v>Eletroduto de aço galvanizado a fogo de 3”</v>
      </c>
      <c r="C7414" s="40"/>
      <c r="D7414" s="25" t="s">
        <v>69</v>
      </c>
      <c r="E7414" s="26"/>
      <c r="F7414" s="41" t="s">
        <v>416</v>
      </c>
      <c r="G7414" s="27" t="str">
        <f>IF(ISNUMBER(F7414),E7414*F7414,"")</f>
        <v/>
      </c>
      <c r="H7414" s="28"/>
      <c r="I7414" s="29"/>
      <c r="J7414" s="152">
        <v>0</v>
      </c>
    </row>
    <row r="7415" spans="1:10" ht="15.75" hidden="1" thickBot="1" x14ac:dyDescent="0.3">
      <c r="A7415" s="176"/>
      <c r="B7415" s="174"/>
      <c r="C7415" s="31"/>
      <c r="D7415" s="31"/>
      <c r="E7415" s="32"/>
      <c r="F7415" s="42" t="s">
        <v>416</v>
      </c>
      <c r="G7415" s="30" t="str">
        <f>IF(ISNUMBER(F7415),E7415*F7415,"")</f>
        <v/>
      </c>
      <c r="H7415" s="34"/>
      <c r="I7415" s="30"/>
      <c r="J7415" s="152">
        <v>0</v>
      </c>
    </row>
    <row r="7416" spans="1:10" ht="15.75" hidden="1" thickBot="1" x14ac:dyDescent="0.3">
      <c r="A7416" s="176"/>
      <c r="B7416" s="174"/>
      <c r="C7416" s="35" t="s">
        <v>6942</v>
      </c>
      <c r="D7416" s="35" t="s">
        <v>69</v>
      </c>
      <c r="E7416" s="36">
        <v>1.05</v>
      </c>
      <c r="F7416" s="30">
        <v>0</v>
      </c>
      <c r="G7416" s="33">
        <f>IF(ISNUMBER(F7416),E7416*F7416,"")</f>
        <v>0</v>
      </c>
      <c r="H7416" s="38">
        <f>SUM(G7416:G7418)</f>
        <v>49.418999999999997</v>
      </c>
      <c r="I7416" s="39"/>
      <c r="J7416" s="152">
        <v>0</v>
      </c>
    </row>
    <row r="7417" spans="1:10" ht="15.75" hidden="1" thickBot="1" x14ac:dyDescent="0.3">
      <c r="A7417" s="176"/>
      <c r="B7417" s="174"/>
      <c r="C7417" s="35" t="s">
        <v>1018</v>
      </c>
      <c r="D7417" s="35" t="s">
        <v>583</v>
      </c>
      <c r="E7417" s="36">
        <v>1</v>
      </c>
      <c r="F7417" s="30">
        <v>27.835000000000001</v>
      </c>
      <c r="G7417" s="33">
        <f>IF(ISNUMBER(F7417),E7417*F7417,"")</f>
        <v>27.835000000000001</v>
      </c>
      <c r="H7417" s="34"/>
      <c r="I7417" s="30"/>
      <c r="J7417" s="152">
        <v>0</v>
      </c>
    </row>
    <row r="7418" spans="1:10" ht="15.75" hidden="1" thickBot="1" x14ac:dyDescent="0.3">
      <c r="A7418" s="176"/>
      <c r="B7418" s="174"/>
      <c r="C7418" s="35" t="s">
        <v>1017</v>
      </c>
      <c r="D7418" s="35" t="s">
        <v>583</v>
      </c>
      <c r="E7418" s="36">
        <v>1</v>
      </c>
      <c r="F7418" s="30">
        <v>21.584</v>
      </c>
      <c r="G7418" s="33">
        <f>IF(ISNUMBER(F7418),E7418*F7418,"")</f>
        <v>21.584</v>
      </c>
      <c r="H7418" s="34"/>
      <c r="I7418" s="30"/>
      <c r="J7418" s="152">
        <v>0</v>
      </c>
    </row>
    <row r="7419" spans="1:10" ht="15.75" hidden="1" thickBot="1" x14ac:dyDescent="0.3">
      <c r="A7419" s="177"/>
      <c r="B7419" s="175"/>
      <c r="C7419" s="35"/>
      <c r="D7419" s="35"/>
      <c r="E7419" s="36"/>
      <c r="F7419" s="30" t="s">
        <v>416</v>
      </c>
      <c r="G7419" s="30" t="str">
        <f>IF(ISNUMBER(F7419),E7419*F7419,"")</f>
        <v/>
      </c>
      <c r="H7419" s="34"/>
      <c r="I7419" s="30"/>
      <c r="J7419" s="152">
        <v>0</v>
      </c>
    </row>
    <row r="7420" spans="1:10" ht="15.75" hidden="1" thickBot="1" x14ac:dyDescent="0.3">
      <c r="A7420" s="170" t="s">
        <v>6758</v>
      </c>
      <c r="B7420" s="173" t="str">
        <f>INDEX(Orçamentária!A:B,MATCH(Composições!A7420,Orçamentária!A:A,0),2)</f>
        <v>Projeto Executivo de Iluminação Viária</v>
      </c>
      <c r="C7420" s="40"/>
      <c r="D7420" s="25" t="s">
        <v>16</v>
      </c>
      <c r="E7420" s="26"/>
      <c r="F7420" s="41" t="s">
        <v>416</v>
      </c>
      <c r="G7420" s="27" t="str">
        <f>IF(ISNUMBER(F7420),E7420*F7420,"")</f>
        <v/>
      </c>
      <c r="H7420" s="28"/>
      <c r="I7420" s="29"/>
      <c r="J7420" s="152">
        <v>0</v>
      </c>
    </row>
    <row r="7421" spans="1:10" ht="15.75" hidden="1" thickBot="1" x14ac:dyDescent="0.3">
      <c r="A7421" s="176"/>
      <c r="B7421" s="174"/>
      <c r="C7421" s="31"/>
      <c r="D7421" s="31"/>
      <c r="E7421" s="32"/>
      <c r="F7421" s="42" t="s">
        <v>416</v>
      </c>
      <c r="G7421" s="30" t="str">
        <f>IF(ISNUMBER(F7421),E7421*F7421,"")</f>
        <v/>
      </c>
      <c r="H7421" s="34"/>
      <c r="I7421" s="30"/>
      <c r="J7421" s="152">
        <v>0</v>
      </c>
    </row>
    <row r="7422" spans="1:10" ht="15.75" hidden="1" thickBot="1" x14ac:dyDescent="0.3">
      <c r="A7422" s="176"/>
      <c r="B7422" s="174"/>
      <c r="C7422" s="35" t="s">
        <v>2917</v>
      </c>
      <c r="D7422" s="35" t="s">
        <v>583</v>
      </c>
      <c r="E7422" s="36">
        <v>40</v>
      </c>
      <c r="F7422" s="33">
        <v>124.203</v>
      </c>
      <c r="G7422" s="30">
        <f>IF(ISNUMBER(F7422),E7422*F7422,"")</f>
        <v>4968.12</v>
      </c>
      <c r="H7422" s="38">
        <f>SUM(G7422:G7423)</f>
        <v>5604.62</v>
      </c>
      <c r="I7422" s="39"/>
      <c r="J7422" s="152">
        <v>0</v>
      </c>
    </row>
    <row r="7423" spans="1:10" ht="15.75" hidden="1" thickBot="1" x14ac:dyDescent="0.3">
      <c r="A7423" s="176"/>
      <c r="B7423" s="174"/>
      <c r="C7423" s="35" t="s">
        <v>2912</v>
      </c>
      <c r="D7423" s="35" t="s">
        <v>583</v>
      </c>
      <c r="E7423" s="36">
        <v>40</v>
      </c>
      <c r="F7423" s="30">
        <v>15.9125</v>
      </c>
      <c r="G7423" s="33">
        <f>IF(ISNUMBER(F7423),E7423*F7423,"")</f>
        <v>636.5</v>
      </c>
      <c r="H7423" s="34"/>
      <c r="I7423" s="30"/>
      <c r="J7423" s="152">
        <v>0</v>
      </c>
    </row>
    <row r="7424" spans="1:10" ht="15.75" hidden="1" thickBot="1" x14ac:dyDescent="0.3">
      <c r="A7424" s="176"/>
      <c r="B7424" s="175"/>
      <c r="C7424" s="35"/>
      <c r="D7424" s="35"/>
      <c r="E7424" s="36"/>
      <c r="F7424" s="30" t="s">
        <v>416</v>
      </c>
      <c r="G7424" s="30" t="str">
        <f>IF(ISNUMBER(F7424),E7424*F7424,"")</f>
        <v/>
      </c>
      <c r="H7424" s="34"/>
      <c r="I7424" s="30"/>
      <c r="J7424" s="152">
        <v>0</v>
      </c>
    </row>
    <row r="7425" spans="1:10" ht="15.75" hidden="1" thickBot="1" x14ac:dyDescent="0.3">
      <c r="A7425" s="170" t="s">
        <v>6759</v>
      </c>
      <c r="B7425" s="173" t="str">
        <f>INDEX(Orçamentária!A:B,MATCH(Composições!A7425,Orçamentária!A:A,0),2)</f>
        <v>Luminária LED para poste 150 W</v>
      </c>
      <c r="C7425" s="40"/>
      <c r="D7425" s="25" t="s">
        <v>16</v>
      </c>
      <c r="E7425" s="26"/>
      <c r="F7425" s="41" t="s">
        <v>416</v>
      </c>
      <c r="G7425" s="27" t="str">
        <f>IF(ISNUMBER(F7425),E7425*F7425,"")</f>
        <v/>
      </c>
      <c r="H7425" s="28"/>
      <c r="I7425" s="29"/>
      <c r="J7425" s="152">
        <v>0</v>
      </c>
    </row>
    <row r="7426" spans="1:10" ht="15.75" hidden="1" thickBot="1" x14ac:dyDescent="0.3">
      <c r="A7426" s="176"/>
      <c r="B7426" s="174"/>
      <c r="C7426" s="31"/>
      <c r="D7426" s="31"/>
      <c r="E7426" s="32"/>
      <c r="F7426" s="42" t="s">
        <v>416</v>
      </c>
      <c r="G7426" s="30" t="str">
        <f>IF(ISNUMBER(F7426),E7426*F7426,"")</f>
        <v/>
      </c>
      <c r="H7426" s="34"/>
      <c r="I7426" s="30"/>
      <c r="J7426" s="152">
        <v>0</v>
      </c>
    </row>
    <row r="7427" spans="1:10" ht="51.75" hidden="1" thickBot="1" x14ac:dyDescent="0.3">
      <c r="A7427" s="176"/>
      <c r="B7427" s="174"/>
      <c r="C7427" s="35" t="s">
        <v>2864</v>
      </c>
      <c r="D7427" s="35" t="s">
        <v>813</v>
      </c>
      <c r="E7427" s="36">
        <v>0.23880000000000001</v>
      </c>
      <c r="F7427" s="33">
        <v>252.10149999999999</v>
      </c>
      <c r="G7427" s="30">
        <f>IF(ISNUMBER(F7427),E7427*F7427,"")</f>
        <v>60.201838199999997</v>
      </c>
      <c r="H7427" s="38">
        <f>SUM(G7427:G7431)</f>
        <v>744.08179809999979</v>
      </c>
      <c r="I7427" s="39"/>
      <c r="J7427" s="152">
        <v>0</v>
      </c>
    </row>
    <row r="7428" spans="1:10" ht="26.25" hidden="1" thickBot="1" x14ac:dyDescent="0.3">
      <c r="A7428" s="176"/>
      <c r="B7428" s="174"/>
      <c r="C7428" s="35" t="s">
        <v>8169</v>
      </c>
      <c r="D7428" s="35" t="s">
        <v>213</v>
      </c>
      <c r="E7428" s="36">
        <v>1.4E-2</v>
      </c>
      <c r="F7428" s="30">
        <v>3.9139999999999997</v>
      </c>
      <c r="G7428" s="30">
        <f>IF(ISNUMBER(F7428),E7428*F7428,"")</f>
        <v>5.4795999999999997E-2</v>
      </c>
      <c r="H7428" s="34"/>
      <c r="I7428" s="30"/>
      <c r="J7428" s="152">
        <v>0</v>
      </c>
    </row>
    <row r="7429" spans="1:10" ht="26.25" hidden="1" thickBot="1" x14ac:dyDescent="0.3">
      <c r="A7429" s="176"/>
      <c r="B7429" s="174"/>
      <c r="C7429" s="35" t="s">
        <v>8228</v>
      </c>
      <c r="D7429" s="35" t="s">
        <v>213</v>
      </c>
      <c r="E7429" s="36">
        <v>1</v>
      </c>
      <c r="F7429" s="30">
        <v>672.05849999999987</v>
      </c>
      <c r="G7429" s="30">
        <f>IF(ISNUMBER(F7429),E7429*F7429,"")</f>
        <v>672.05849999999987</v>
      </c>
      <c r="H7429" s="34"/>
      <c r="I7429" s="30"/>
      <c r="J7429" s="152">
        <v>0</v>
      </c>
    </row>
    <row r="7430" spans="1:10" ht="15.75" hidden="1" thickBot="1" x14ac:dyDescent="0.3">
      <c r="A7430" s="176"/>
      <c r="B7430" s="174"/>
      <c r="C7430" s="35" t="s">
        <v>1017</v>
      </c>
      <c r="D7430" s="35" t="s">
        <v>583</v>
      </c>
      <c r="E7430" s="36">
        <v>0.23810000000000001</v>
      </c>
      <c r="F7430" s="30">
        <v>21.584</v>
      </c>
      <c r="G7430" s="30">
        <f>IF(ISNUMBER(F7430),E7430*F7430,"")</f>
        <v>5.1391504000000001</v>
      </c>
      <c r="H7430" s="34"/>
      <c r="I7430" s="30"/>
      <c r="J7430" s="152">
        <v>0</v>
      </c>
    </row>
    <row r="7431" spans="1:10" ht="15.75" hidden="1" thickBot="1" x14ac:dyDescent="0.3">
      <c r="A7431" s="176"/>
      <c r="B7431" s="174"/>
      <c r="C7431" s="35" t="s">
        <v>1018</v>
      </c>
      <c r="D7431" s="35" t="s">
        <v>583</v>
      </c>
      <c r="E7431" s="36">
        <v>0.23810000000000001</v>
      </c>
      <c r="F7431" s="30">
        <v>27.835000000000001</v>
      </c>
      <c r="G7431" s="33">
        <f>IF(ISNUMBER(F7431),E7431*F7431,"")</f>
        <v>6.6275135000000001</v>
      </c>
      <c r="H7431" s="34"/>
      <c r="I7431" s="30"/>
      <c r="J7431" s="152">
        <v>0</v>
      </c>
    </row>
    <row r="7432" spans="1:10" ht="15.75" hidden="1" thickBot="1" x14ac:dyDescent="0.3">
      <c r="A7432" s="176"/>
      <c r="B7432" s="175"/>
      <c r="C7432" s="35"/>
      <c r="D7432" s="35"/>
      <c r="E7432" s="36"/>
      <c r="F7432" s="30" t="s">
        <v>416</v>
      </c>
      <c r="G7432" s="30" t="str">
        <f>IF(ISNUMBER(F7432),E7432*F7432,"")</f>
        <v/>
      </c>
      <c r="H7432" s="34"/>
      <c r="I7432" s="30"/>
      <c r="J7432" s="152">
        <v>0</v>
      </c>
    </row>
    <row r="7433" spans="1:10" ht="15.75" hidden="1" thickBot="1" x14ac:dyDescent="0.3">
      <c r="A7433" s="170" t="s">
        <v>6760</v>
      </c>
      <c r="B7433" s="173" t="str">
        <f>INDEX(Orçamentária!A:B,MATCH(Composições!A7433,Orçamentária!A:A,0),2)</f>
        <v>Suporte para luminária de poste quádruplo</v>
      </c>
      <c r="C7433" s="40"/>
      <c r="D7433" s="25" t="s">
        <v>16</v>
      </c>
      <c r="E7433" s="26"/>
      <c r="F7433" s="48" t="s">
        <v>416</v>
      </c>
      <c r="G7433" s="27" t="str">
        <f>IF(ISNUMBER(F7433),E7433*F7433,"")</f>
        <v/>
      </c>
      <c r="H7433" s="28"/>
      <c r="I7433" s="29"/>
      <c r="J7433" s="152">
        <v>0</v>
      </c>
    </row>
    <row r="7434" spans="1:10" ht="15.75" hidden="1" thickBot="1" x14ac:dyDescent="0.3">
      <c r="A7434" s="176"/>
      <c r="B7434" s="174"/>
      <c r="C7434" s="31"/>
      <c r="D7434" s="31"/>
      <c r="E7434" s="32"/>
      <c r="F7434" s="53" t="s">
        <v>416</v>
      </c>
      <c r="G7434" s="53" t="str">
        <f>IF(ISNUMBER(F7434),E7434*F7434,"")</f>
        <v/>
      </c>
      <c r="H7434" s="72"/>
      <c r="I7434" s="30"/>
      <c r="J7434" s="152">
        <v>0</v>
      </c>
    </row>
    <row r="7435" spans="1:10" ht="26.25" hidden="1" thickBot="1" x14ac:dyDescent="0.3">
      <c r="A7435" s="176"/>
      <c r="B7435" s="174"/>
      <c r="C7435" s="35" t="s">
        <v>6946</v>
      </c>
      <c r="D7435" s="35" t="s">
        <v>16</v>
      </c>
      <c r="E7435" s="36">
        <v>1</v>
      </c>
      <c r="F7435" s="30">
        <v>0</v>
      </c>
      <c r="G7435" s="53">
        <f>IF(ISNUMBER(F7435),E7435*F7435,"")</f>
        <v>0</v>
      </c>
      <c r="H7435" s="38">
        <f>SUM(G7435:G7437)</f>
        <v>12.354749999999999</v>
      </c>
      <c r="I7435" s="39"/>
      <c r="J7435" s="152">
        <v>0</v>
      </c>
    </row>
    <row r="7436" spans="1:10" ht="15.75" hidden="1" thickBot="1" x14ac:dyDescent="0.3">
      <c r="A7436" s="176"/>
      <c r="B7436" s="174"/>
      <c r="C7436" s="35" t="s">
        <v>1017</v>
      </c>
      <c r="D7436" s="35" t="s">
        <v>583</v>
      </c>
      <c r="E7436" s="36">
        <v>0.25</v>
      </c>
      <c r="F7436" s="33">
        <v>21.584</v>
      </c>
      <c r="G7436" s="33">
        <f>IF(ISNUMBER(F7436),E7436*F7436,"")</f>
        <v>5.3959999999999999</v>
      </c>
      <c r="H7436" s="34"/>
      <c r="I7436" s="30"/>
      <c r="J7436" s="152">
        <v>0</v>
      </c>
    </row>
    <row r="7437" spans="1:10" ht="15.75" hidden="1" thickBot="1" x14ac:dyDescent="0.3">
      <c r="A7437" s="176"/>
      <c r="B7437" s="174"/>
      <c r="C7437" s="35" t="s">
        <v>1018</v>
      </c>
      <c r="D7437" s="35" t="s">
        <v>583</v>
      </c>
      <c r="E7437" s="36">
        <v>0.25</v>
      </c>
      <c r="F7437" s="30">
        <v>27.835000000000001</v>
      </c>
      <c r="G7437" s="53">
        <f>IF(ISNUMBER(F7437),E7437*F7437,"")</f>
        <v>6.9587500000000002</v>
      </c>
      <c r="H7437" s="43"/>
      <c r="I7437" s="30"/>
      <c r="J7437" s="152">
        <v>0</v>
      </c>
    </row>
    <row r="7438" spans="1:10" ht="15.75" hidden="1" thickBot="1" x14ac:dyDescent="0.3">
      <c r="A7438" s="176"/>
      <c r="B7438" s="175"/>
      <c r="C7438" s="35"/>
      <c r="D7438" s="35"/>
      <c r="E7438" s="36"/>
      <c r="F7438" s="30" t="s">
        <v>416</v>
      </c>
      <c r="G7438" s="30" t="str">
        <f>IF(ISNUMBER(F7438),E7438*F7438,"")</f>
        <v/>
      </c>
      <c r="H7438" s="34"/>
      <c r="I7438" s="30"/>
      <c r="J7438" s="152">
        <v>0</v>
      </c>
    </row>
    <row r="7439" spans="1:10" ht="15.75" hidden="1" thickBot="1" x14ac:dyDescent="0.3">
      <c r="A7439" s="170" t="s">
        <v>6761</v>
      </c>
      <c r="B7439" s="173" t="str">
        <f>INDEX(Orçamentária!A:B,MATCH(Composições!A7439,Orçamentária!A:A,0),2)</f>
        <v>Braço para iluminação</v>
      </c>
      <c r="C7439" s="40"/>
      <c r="D7439" s="25" t="s">
        <v>16</v>
      </c>
      <c r="E7439" s="26"/>
      <c r="F7439" s="41" t="s">
        <v>416</v>
      </c>
      <c r="G7439" s="27" t="str">
        <f>IF(ISNUMBER(F7439),E7439*F7439,"")</f>
        <v/>
      </c>
      <c r="H7439" s="28"/>
      <c r="I7439" s="29"/>
      <c r="J7439" s="152">
        <v>0</v>
      </c>
    </row>
    <row r="7440" spans="1:10" ht="15.75" hidden="1" thickBot="1" x14ac:dyDescent="0.3">
      <c r="A7440" s="176"/>
      <c r="B7440" s="174"/>
      <c r="C7440" s="31"/>
      <c r="D7440" s="31"/>
      <c r="E7440" s="32"/>
      <c r="F7440" s="42" t="s">
        <v>416</v>
      </c>
      <c r="G7440" s="30" t="str">
        <f>IF(ISNUMBER(F7440),E7440*F7440,"")</f>
        <v/>
      </c>
      <c r="H7440" s="34"/>
      <c r="I7440" s="30"/>
      <c r="J7440" s="152">
        <v>0</v>
      </c>
    </row>
    <row r="7441" spans="1:10" ht="15.75" hidden="1" thickBot="1" x14ac:dyDescent="0.3">
      <c r="A7441" s="176"/>
      <c r="B7441" s="174"/>
      <c r="C7441" s="35" t="s">
        <v>8009</v>
      </c>
      <c r="D7441" s="35" t="s">
        <v>213</v>
      </c>
      <c r="E7441" s="36">
        <v>1</v>
      </c>
      <c r="F7441" s="33">
        <v>38.475000000000001</v>
      </c>
      <c r="G7441" s="30">
        <f>IF(ISNUMBER(F7441),E7441*F7441,"")</f>
        <v>38.475000000000001</v>
      </c>
      <c r="H7441" s="38">
        <f>SUM(G7441:G7444)</f>
        <v>131.93582519999998</v>
      </c>
      <c r="I7441" s="39"/>
      <c r="J7441" s="152">
        <v>0</v>
      </c>
    </row>
    <row r="7442" spans="1:10" ht="51.75" hidden="1" thickBot="1" x14ac:dyDescent="0.3">
      <c r="A7442" s="176"/>
      <c r="B7442" s="174"/>
      <c r="C7442" s="35" t="s">
        <v>2864</v>
      </c>
      <c r="D7442" s="35" t="s">
        <v>813</v>
      </c>
      <c r="E7442" s="36">
        <v>0.23880000000000001</v>
      </c>
      <c r="F7442" s="30">
        <v>252.10149999999999</v>
      </c>
      <c r="G7442" s="30">
        <f>IF(ISNUMBER(F7442),E7442*F7442,"")</f>
        <v>60.201838199999997</v>
      </c>
      <c r="H7442" s="34"/>
      <c r="I7442" s="30"/>
      <c r="J7442" s="152">
        <v>0</v>
      </c>
    </row>
    <row r="7443" spans="1:10" ht="15.75" hidden="1" thickBot="1" x14ac:dyDescent="0.3">
      <c r="A7443" s="176"/>
      <c r="B7443" s="174"/>
      <c r="C7443" s="35" t="s">
        <v>1017</v>
      </c>
      <c r="D7443" s="35" t="s">
        <v>583</v>
      </c>
      <c r="E7443" s="36">
        <v>0.67300000000000004</v>
      </c>
      <c r="F7443" s="30">
        <v>21.584</v>
      </c>
      <c r="G7443" s="30">
        <f>IF(ISNUMBER(F7443),E7443*F7443,"")</f>
        <v>14.526032000000001</v>
      </c>
      <c r="H7443" s="34"/>
      <c r="I7443" s="30"/>
      <c r="J7443" s="152">
        <v>0</v>
      </c>
    </row>
    <row r="7444" spans="1:10" ht="15.75" hidden="1" thickBot="1" x14ac:dyDescent="0.3">
      <c r="A7444" s="176"/>
      <c r="B7444" s="174"/>
      <c r="C7444" s="35" t="s">
        <v>1018</v>
      </c>
      <c r="D7444" s="35" t="s">
        <v>583</v>
      </c>
      <c r="E7444" s="36">
        <v>0.67300000000000004</v>
      </c>
      <c r="F7444" s="30">
        <v>27.835000000000001</v>
      </c>
      <c r="G7444" s="30">
        <f>IF(ISNUMBER(F7444),E7444*F7444,"")</f>
        <v>18.732955</v>
      </c>
      <c r="H7444" s="34"/>
      <c r="I7444" s="30"/>
      <c r="J7444" s="152">
        <v>0</v>
      </c>
    </row>
    <row r="7445" spans="1:10" ht="15.75" hidden="1" thickBot="1" x14ac:dyDescent="0.3">
      <c r="A7445" s="177"/>
      <c r="B7445" s="175"/>
      <c r="C7445" s="54"/>
      <c r="D7445" s="54"/>
      <c r="E7445" s="65"/>
      <c r="F7445" s="66" t="s">
        <v>416</v>
      </c>
      <c r="G7445" s="66" t="str">
        <f>IF(ISNUMBER(F7445),E7445*F7445,"")</f>
        <v/>
      </c>
      <c r="H7445" s="68"/>
      <c r="I7445" s="30"/>
      <c r="J7445" s="152">
        <v>0</v>
      </c>
    </row>
    <row r="7446" spans="1:10" ht="15.75" hidden="1" thickBot="1" x14ac:dyDescent="0.3">
      <c r="A7446" s="170" t="s">
        <v>6762</v>
      </c>
      <c r="B7446" s="173" t="str">
        <f>INDEX(Orçamentária!A:B,MATCH(Composições!A7446,Orçamentária!A:A,0),2)</f>
        <v>Quadro elétrico TTA (18 disjuntores terminais)</v>
      </c>
      <c r="C7446" s="40"/>
      <c r="D7446" s="25" t="s">
        <v>16</v>
      </c>
      <c r="E7446" s="26"/>
      <c r="F7446" s="41" t="s">
        <v>416</v>
      </c>
      <c r="G7446" s="27" t="str">
        <f>IF(ISNUMBER(F7446),E7446*F7446,"")</f>
        <v/>
      </c>
      <c r="H7446" s="28"/>
      <c r="I7446" s="29"/>
      <c r="J7446" s="152">
        <v>0</v>
      </c>
    </row>
    <row r="7447" spans="1:10" ht="15.75" hidden="1" thickBot="1" x14ac:dyDescent="0.3">
      <c r="A7447" s="176"/>
      <c r="B7447" s="174"/>
      <c r="C7447" s="31"/>
      <c r="D7447" s="31"/>
      <c r="E7447" s="32"/>
      <c r="F7447" s="42" t="s">
        <v>416</v>
      </c>
      <c r="G7447" s="30" t="str">
        <f>IF(ISNUMBER(F7447),E7447*F7447,"")</f>
        <v/>
      </c>
      <c r="H7447" s="34"/>
      <c r="I7447" s="30"/>
      <c r="J7447" s="152">
        <v>0</v>
      </c>
    </row>
    <row r="7448" spans="1:10" ht="39" hidden="1" thickBot="1" x14ac:dyDescent="0.3">
      <c r="A7448" s="176"/>
      <c r="B7448" s="174"/>
      <c r="C7448" s="35" t="s">
        <v>6952</v>
      </c>
      <c r="D7448" s="46" t="s">
        <v>16</v>
      </c>
      <c r="E7448" s="36">
        <v>1</v>
      </c>
      <c r="F7448" s="33" t="s">
        <v>416</v>
      </c>
      <c r="G7448" s="30" t="str">
        <f>IF(ISNUMBER(F7448),E7448*F7448,"")</f>
        <v/>
      </c>
      <c r="H7448" s="38">
        <f>SUM(G7448:G7451)</f>
        <v>47.417608440249602</v>
      </c>
      <c r="I7448" s="39"/>
      <c r="J7448" s="152">
        <v>0</v>
      </c>
    </row>
    <row r="7449" spans="1:10" ht="39" hidden="1" thickBot="1" x14ac:dyDescent="0.3">
      <c r="A7449" s="176"/>
      <c r="B7449" s="174"/>
      <c r="C7449" s="35" t="s">
        <v>2897</v>
      </c>
      <c r="D7449" s="46" t="s">
        <v>87</v>
      </c>
      <c r="E7449" s="36">
        <v>1.9199999999999998E-2</v>
      </c>
      <c r="F7449" s="30">
        <v>838.58271563799997</v>
      </c>
      <c r="G7449" s="30">
        <f>IF(ISNUMBER(F7449),E7449*F7449,"")</f>
        <v>16.100788140249598</v>
      </c>
      <c r="H7449" s="34"/>
      <c r="I7449" s="30"/>
      <c r="J7449" s="152">
        <v>0</v>
      </c>
    </row>
    <row r="7450" spans="1:10" ht="15.75" hidden="1" thickBot="1" x14ac:dyDescent="0.3">
      <c r="A7450" s="176"/>
      <c r="B7450" s="174"/>
      <c r="C7450" s="35" t="s">
        <v>1017</v>
      </c>
      <c r="D7450" s="35" t="s">
        <v>583</v>
      </c>
      <c r="E7450" s="36">
        <v>0.63370000000000004</v>
      </c>
      <c r="F7450" s="30">
        <v>21.584</v>
      </c>
      <c r="G7450" s="30">
        <f>IF(ISNUMBER(F7450),E7450*F7450,"")</f>
        <v>13.677780800000001</v>
      </c>
      <c r="H7450" s="34"/>
      <c r="I7450" s="30"/>
      <c r="J7450" s="152">
        <v>0</v>
      </c>
    </row>
    <row r="7451" spans="1:10" ht="15.75" hidden="1" thickBot="1" x14ac:dyDescent="0.3">
      <c r="A7451" s="176"/>
      <c r="B7451" s="174"/>
      <c r="C7451" s="35" t="s">
        <v>1018</v>
      </c>
      <c r="D7451" s="35" t="s">
        <v>583</v>
      </c>
      <c r="E7451" s="36">
        <v>0.63370000000000004</v>
      </c>
      <c r="F7451" s="30">
        <v>27.835000000000001</v>
      </c>
      <c r="G7451" s="33">
        <f>IF(ISNUMBER(F7451),E7451*F7451,"")</f>
        <v>17.639039500000003</v>
      </c>
      <c r="H7451" s="34"/>
      <c r="I7451" s="30"/>
      <c r="J7451" s="152">
        <v>0</v>
      </c>
    </row>
    <row r="7452" spans="1:10" ht="15.75" hidden="1" thickBot="1" x14ac:dyDescent="0.3">
      <c r="A7452" s="176"/>
      <c r="B7452" s="175"/>
      <c r="C7452" s="35"/>
      <c r="D7452" s="35"/>
      <c r="E7452" s="36"/>
      <c r="F7452" s="30" t="s">
        <v>416</v>
      </c>
      <c r="G7452" s="30" t="str">
        <f>IF(ISNUMBER(F7452),E7452*F7452,"")</f>
        <v/>
      </c>
      <c r="H7452" s="34"/>
      <c r="I7452" s="30"/>
      <c r="J7452" s="152">
        <v>0</v>
      </c>
    </row>
    <row r="7453" spans="1:10" ht="15.75" hidden="1" thickBot="1" x14ac:dyDescent="0.3">
      <c r="A7453" s="170" t="s">
        <v>6763</v>
      </c>
      <c r="B7453" s="173" t="str">
        <f>INDEX(Orçamentária!A:B,MATCH(Composições!A7453,Orçamentária!A:A,0),2)</f>
        <v>Condulete de alumínio de 3/4’’</v>
      </c>
      <c r="C7453" s="40"/>
      <c r="D7453" s="25" t="s">
        <v>16</v>
      </c>
      <c r="E7453" s="26"/>
      <c r="F7453" s="48" t="s">
        <v>416</v>
      </c>
      <c r="G7453" s="27" t="str">
        <f>IF(ISNUMBER(F7453),E7453*F7453,"")</f>
        <v/>
      </c>
      <c r="H7453" s="28"/>
      <c r="I7453" s="29"/>
      <c r="J7453" s="152">
        <v>0</v>
      </c>
    </row>
    <row r="7454" spans="1:10" ht="15.75" hidden="1" thickBot="1" x14ac:dyDescent="0.3">
      <c r="A7454" s="171"/>
      <c r="B7454" s="174"/>
      <c r="C7454" s="31"/>
      <c r="D7454" s="31"/>
      <c r="E7454" s="32"/>
      <c r="F7454" s="53" t="s">
        <v>416</v>
      </c>
      <c r="G7454" s="53" t="str">
        <f>IF(ISNUMBER(F7454),E7454*F7454,"")</f>
        <v/>
      </c>
      <c r="H7454" s="72"/>
      <c r="I7454" s="73"/>
      <c r="J7454" s="152">
        <v>0</v>
      </c>
    </row>
    <row r="7455" spans="1:10" ht="26.25" hidden="1" thickBot="1" x14ac:dyDescent="0.3">
      <c r="A7455" s="171"/>
      <c r="B7455" s="174"/>
      <c r="C7455" s="35" t="s">
        <v>8079</v>
      </c>
      <c r="D7455" s="35" t="s">
        <v>213</v>
      </c>
      <c r="E7455" s="36">
        <v>1</v>
      </c>
      <c r="F7455" s="30">
        <v>13.993499999999999</v>
      </c>
      <c r="G7455" s="53">
        <f>IF(ISNUMBER(F7455),E7455*F7455,"")</f>
        <v>13.993499999999999</v>
      </c>
      <c r="H7455" s="38">
        <f>SUM(G7455:G7458)</f>
        <v>40.041969899999998</v>
      </c>
      <c r="I7455" s="39"/>
      <c r="J7455" s="152">
        <v>0</v>
      </c>
    </row>
    <row r="7456" spans="1:10" ht="39" hidden="1" thickBot="1" x14ac:dyDescent="0.3">
      <c r="A7456" s="171"/>
      <c r="B7456" s="174"/>
      <c r="C7456" s="35" t="s">
        <v>8010</v>
      </c>
      <c r="D7456" s="35" t="s">
        <v>213</v>
      </c>
      <c r="E7456" s="36">
        <v>2</v>
      </c>
      <c r="F7456" s="33">
        <v>0.3705</v>
      </c>
      <c r="G7456" s="33">
        <f>IF(ISNUMBER(F7456),E7456*F7456,"")</f>
        <v>0.74099999999999999</v>
      </c>
      <c r="H7456" s="34"/>
      <c r="I7456" s="30"/>
      <c r="J7456" s="152">
        <v>0</v>
      </c>
    </row>
    <row r="7457" spans="1:10" ht="15.75" hidden="1" thickBot="1" x14ac:dyDescent="0.3">
      <c r="A7457" s="171"/>
      <c r="B7457" s="174"/>
      <c r="C7457" s="35" t="s">
        <v>1017</v>
      </c>
      <c r="D7457" s="35" t="s">
        <v>583</v>
      </c>
      <c r="E7457" s="36">
        <v>0.5121</v>
      </c>
      <c r="F7457" s="30">
        <v>21.584</v>
      </c>
      <c r="G7457" s="53">
        <f>IF(ISNUMBER(F7457),E7457*F7457,"")</f>
        <v>11.0531664</v>
      </c>
      <c r="H7457" s="43"/>
      <c r="I7457" s="39"/>
      <c r="J7457" s="152">
        <v>0</v>
      </c>
    </row>
    <row r="7458" spans="1:10" ht="15.75" hidden="1" thickBot="1" x14ac:dyDescent="0.3">
      <c r="A7458" s="171"/>
      <c r="B7458" s="174"/>
      <c r="C7458" s="35" t="s">
        <v>1018</v>
      </c>
      <c r="D7458" s="35" t="s">
        <v>583</v>
      </c>
      <c r="E7458" s="36">
        <v>0.5121</v>
      </c>
      <c r="F7458" s="30">
        <v>27.835000000000001</v>
      </c>
      <c r="G7458" s="53">
        <f>IF(ISNUMBER(F7458),E7458*F7458,"")</f>
        <v>14.254303500000001</v>
      </c>
      <c r="H7458" s="43"/>
      <c r="I7458" s="39"/>
      <c r="J7458" s="152">
        <v>0</v>
      </c>
    </row>
    <row r="7459" spans="1:10" ht="15.75" hidden="1" thickBot="1" x14ac:dyDescent="0.3">
      <c r="A7459" s="172"/>
      <c r="B7459" s="175"/>
      <c r="C7459" s="54"/>
      <c r="D7459" s="155"/>
      <c r="E7459" s="65"/>
      <c r="F7459" s="75" t="s">
        <v>416</v>
      </c>
      <c r="G7459" s="75" t="str">
        <f>IF(ISNUMBER(F7459),E7459*F7459,"")</f>
        <v/>
      </c>
      <c r="H7459" s="76"/>
      <c r="I7459" s="73"/>
      <c r="J7459" s="152">
        <v>0</v>
      </c>
    </row>
    <row r="7460" spans="1:10" ht="15.75" hidden="1" thickBot="1" x14ac:dyDescent="0.3">
      <c r="A7460" s="170" t="s">
        <v>6764</v>
      </c>
      <c r="B7460" s="173" t="str">
        <f>INDEX(Orçamentária!A:B,MATCH(Composições!A7460,Orçamentária!A:A,0),2)</f>
        <v>Condulete de alumínio de 2’’</v>
      </c>
      <c r="C7460" s="40"/>
      <c r="D7460" s="25" t="s">
        <v>16</v>
      </c>
      <c r="E7460" s="26"/>
      <c r="F7460" s="48" t="s">
        <v>416</v>
      </c>
      <c r="G7460" s="27" t="str">
        <f>IF(ISNUMBER(F7460),E7460*F7460,"")</f>
        <v/>
      </c>
      <c r="H7460" s="28"/>
      <c r="I7460" s="29"/>
      <c r="J7460" s="152">
        <v>0</v>
      </c>
    </row>
    <row r="7461" spans="1:10" ht="15.75" hidden="1" thickBot="1" x14ac:dyDescent="0.3">
      <c r="A7461" s="171"/>
      <c r="B7461" s="174"/>
      <c r="C7461" s="31"/>
      <c r="D7461" s="31"/>
      <c r="E7461" s="32"/>
      <c r="F7461" s="53" t="s">
        <v>416</v>
      </c>
      <c r="G7461" s="53" t="str">
        <f>IF(ISNUMBER(F7461),E7461*F7461,"")</f>
        <v/>
      </c>
      <c r="H7461" s="72"/>
      <c r="I7461" s="73"/>
      <c r="J7461" s="152">
        <v>0</v>
      </c>
    </row>
    <row r="7462" spans="1:10" ht="26.25" hidden="1" thickBot="1" x14ac:dyDescent="0.3">
      <c r="A7462" s="171"/>
      <c r="B7462" s="174"/>
      <c r="C7462" s="35" t="s">
        <v>8077</v>
      </c>
      <c r="D7462" s="35" t="s">
        <v>213</v>
      </c>
      <c r="E7462" s="36">
        <v>1</v>
      </c>
      <c r="F7462" s="30">
        <v>45.713999999999999</v>
      </c>
      <c r="G7462" s="53">
        <f>IF(ISNUMBER(F7462),E7462*F7462,"")</f>
        <v>45.713999999999999</v>
      </c>
      <c r="H7462" s="38">
        <f>SUM(G7462:G7465)</f>
        <v>71.762469899999999</v>
      </c>
      <c r="I7462" s="39"/>
      <c r="J7462" s="152">
        <v>0</v>
      </c>
    </row>
    <row r="7463" spans="1:10" ht="39" hidden="1" thickBot="1" x14ac:dyDescent="0.3">
      <c r="A7463" s="171"/>
      <c r="B7463" s="174"/>
      <c r="C7463" s="35" t="s">
        <v>8010</v>
      </c>
      <c r="D7463" s="35" t="s">
        <v>213</v>
      </c>
      <c r="E7463" s="36">
        <v>2</v>
      </c>
      <c r="F7463" s="33">
        <v>0.3705</v>
      </c>
      <c r="G7463" s="33">
        <f>IF(ISNUMBER(F7463),E7463*F7463,"")</f>
        <v>0.74099999999999999</v>
      </c>
      <c r="H7463" s="34"/>
      <c r="I7463" s="30"/>
      <c r="J7463" s="152">
        <v>0</v>
      </c>
    </row>
    <row r="7464" spans="1:10" ht="15.75" hidden="1" thickBot="1" x14ac:dyDescent="0.3">
      <c r="A7464" s="171"/>
      <c r="B7464" s="174"/>
      <c r="C7464" s="35" t="s">
        <v>1017</v>
      </c>
      <c r="D7464" s="35" t="s">
        <v>583</v>
      </c>
      <c r="E7464" s="36">
        <v>0.5121</v>
      </c>
      <c r="F7464" s="30">
        <v>21.584</v>
      </c>
      <c r="G7464" s="53">
        <f>IF(ISNUMBER(F7464),E7464*F7464,"")</f>
        <v>11.0531664</v>
      </c>
      <c r="H7464" s="43"/>
      <c r="I7464" s="39"/>
      <c r="J7464" s="152">
        <v>0</v>
      </c>
    </row>
    <row r="7465" spans="1:10" ht="15.75" hidden="1" thickBot="1" x14ac:dyDescent="0.3">
      <c r="A7465" s="171"/>
      <c r="B7465" s="174"/>
      <c r="C7465" s="35" t="s">
        <v>1018</v>
      </c>
      <c r="D7465" s="35" t="s">
        <v>583</v>
      </c>
      <c r="E7465" s="36">
        <v>0.5121</v>
      </c>
      <c r="F7465" s="30">
        <v>27.835000000000001</v>
      </c>
      <c r="G7465" s="53">
        <f>IF(ISNUMBER(F7465),E7465*F7465,"")</f>
        <v>14.254303500000001</v>
      </c>
      <c r="H7465" s="43"/>
      <c r="I7465" s="39"/>
      <c r="J7465" s="152">
        <v>0</v>
      </c>
    </row>
    <row r="7466" spans="1:10" ht="15.75" hidden="1" thickBot="1" x14ac:dyDescent="0.3">
      <c r="A7466" s="172"/>
      <c r="B7466" s="175"/>
      <c r="C7466" s="54"/>
      <c r="D7466" s="155"/>
      <c r="E7466" s="65"/>
      <c r="F7466" s="75" t="s">
        <v>416</v>
      </c>
      <c r="G7466" s="75" t="str">
        <f>IF(ISNUMBER(F7466),E7466*F7466,"")</f>
        <v/>
      </c>
      <c r="H7466" s="76"/>
      <c r="I7466" s="73"/>
      <c r="J7466" s="152">
        <v>0</v>
      </c>
    </row>
    <row r="7467" spans="1:10" ht="15.75" hidden="1" thickBot="1" x14ac:dyDescent="0.3">
      <c r="A7467" s="170" t="s">
        <v>6766</v>
      </c>
      <c r="B7467" s="173" t="str">
        <f>INDEX(Orçamentária!A:B,MATCH(Composições!A7467,Orçamentária!A:A,0),2)</f>
        <v>Cerâmica para revestimento de PAREDES de superfícies internas</v>
      </c>
      <c r="C7467" s="40"/>
      <c r="D7467" s="25" t="s">
        <v>70</v>
      </c>
      <c r="E7467" s="26"/>
      <c r="F7467" s="48" t="s">
        <v>416</v>
      </c>
      <c r="G7467" s="27" t="str">
        <f>IF(ISNUMBER(F7467),E7467*F7467,"")</f>
        <v/>
      </c>
      <c r="H7467" s="28"/>
      <c r="I7467" s="29"/>
      <c r="J7467" s="152">
        <v>0</v>
      </c>
    </row>
    <row r="7468" spans="1:10" ht="15.75" hidden="1" thickBot="1" x14ac:dyDescent="0.3">
      <c r="A7468" s="171"/>
      <c r="B7468" s="174"/>
      <c r="C7468" s="31"/>
      <c r="D7468" s="31"/>
      <c r="E7468" s="32"/>
      <c r="F7468" s="53" t="s">
        <v>416</v>
      </c>
      <c r="G7468" s="53" t="str">
        <f>IF(ISNUMBER(F7468),E7468*F7468,"")</f>
        <v/>
      </c>
      <c r="H7468" s="72"/>
      <c r="I7468" s="73"/>
      <c r="J7468" s="152">
        <v>0</v>
      </c>
    </row>
    <row r="7469" spans="1:10" ht="51.75" hidden="1" thickBot="1" x14ac:dyDescent="0.3">
      <c r="A7469" s="171"/>
      <c r="B7469" s="174"/>
      <c r="C7469" s="35" t="s">
        <v>6953</v>
      </c>
      <c r="D7469" s="35" t="s">
        <v>70</v>
      </c>
      <c r="E7469" s="36">
        <v>1.08</v>
      </c>
      <c r="F7469" s="53" t="s">
        <v>416</v>
      </c>
      <c r="G7469" s="53" t="str">
        <f>IF(ISNUMBER(F7469),E7469*F7469,"")</f>
        <v/>
      </c>
      <c r="H7469" s="38">
        <f>SUM(G7469:G7473)</f>
        <v>32.594309999999993</v>
      </c>
      <c r="I7469" s="39"/>
      <c r="J7469" s="152">
        <v>0</v>
      </c>
    </row>
    <row r="7470" spans="1:10" ht="15.75" hidden="1" thickBot="1" x14ac:dyDescent="0.3">
      <c r="A7470" s="171"/>
      <c r="B7470" s="174"/>
      <c r="C7470" s="35" t="s">
        <v>7986</v>
      </c>
      <c r="D7470" s="35" t="s">
        <v>773</v>
      </c>
      <c r="E7470" s="36">
        <v>6.14</v>
      </c>
      <c r="F7470" s="53">
        <v>1.0924999999999998</v>
      </c>
      <c r="G7470" s="53">
        <f>IF(ISNUMBER(F7470),E7470*F7470,"")</f>
        <v>6.7079499999999985</v>
      </c>
      <c r="H7470" s="72"/>
      <c r="I7470" s="73"/>
      <c r="J7470" s="152">
        <v>0</v>
      </c>
    </row>
    <row r="7471" spans="1:10" ht="15.75" hidden="1" thickBot="1" x14ac:dyDescent="0.3">
      <c r="A7471" s="171"/>
      <c r="B7471" s="174"/>
      <c r="C7471" s="35" t="s">
        <v>8367</v>
      </c>
      <c r="D7471" s="35" t="s">
        <v>773</v>
      </c>
      <c r="E7471" s="36">
        <v>0.22</v>
      </c>
      <c r="F7471" s="53">
        <v>3.4579999999999997</v>
      </c>
      <c r="G7471" s="53">
        <f>IF(ISNUMBER(F7471),E7471*F7471,"")</f>
        <v>0.76075999999999999</v>
      </c>
      <c r="H7471" s="72"/>
      <c r="I7471" s="73"/>
      <c r="J7471" s="152">
        <v>0</v>
      </c>
    </row>
    <row r="7472" spans="1:10" ht="15.75" hidden="1" thickBot="1" x14ac:dyDescent="0.3">
      <c r="A7472" s="171"/>
      <c r="B7472" s="174"/>
      <c r="C7472" s="35" t="s">
        <v>1079</v>
      </c>
      <c r="D7472" s="35" t="s">
        <v>583</v>
      </c>
      <c r="E7472" s="36">
        <v>0.66</v>
      </c>
      <c r="F7472" s="53">
        <v>27.036999999999999</v>
      </c>
      <c r="G7472" s="53">
        <f>IF(ISNUMBER(F7472),E7472*F7472,"")</f>
        <v>17.84442</v>
      </c>
      <c r="H7472" s="72"/>
      <c r="I7472" s="73"/>
      <c r="J7472" s="152">
        <v>0</v>
      </c>
    </row>
    <row r="7473" spans="1:10" ht="15.75" hidden="1" thickBot="1" x14ac:dyDescent="0.3">
      <c r="A7473" s="171"/>
      <c r="B7473" s="174"/>
      <c r="C7473" s="35" t="s">
        <v>584</v>
      </c>
      <c r="D7473" s="35" t="s">
        <v>583</v>
      </c>
      <c r="E7473" s="36">
        <v>0.36</v>
      </c>
      <c r="F7473" s="53">
        <v>20.225499999999997</v>
      </c>
      <c r="G7473" s="53">
        <f>IF(ISNUMBER(F7473),E7473*F7473,"")</f>
        <v>7.2811799999999982</v>
      </c>
      <c r="H7473" s="72"/>
      <c r="I7473" s="73"/>
      <c r="J7473" s="152">
        <v>0</v>
      </c>
    </row>
    <row r="7474" spans="1:10" ht="15.75" hidden="1" thickBot="1" x14ac:dyDescent="0.3">
      <c r="A7474" s="172"/>
      <c r="B7474" s="175"/>
      <c r="C7474" s="54"/>
      <c r="D7474" s="155"/>
      <c r="E7474" s="65"/>
      <c r="F7474" s="75" t="s">
        <v>416</v>
      </c>
      <c r="G7474" s="75" t="str">
        <f>IF(ISNUMBER(F7474),E7474*F7474,"")</f>
        <v/>
      </c>
      <c r="H7474" s="76"/>
      <c r="I7474" s="73"/>
      <c r="J7474" s="152">
        <v>0</v>
      </c>
    </row>
    <row r="7475" spans="1:10" ht="15.75" hidden="1" thickBot="1" x14ac:dyDescent="0.3">
      <c r="A7475" s="170" t="s">
        <v>6767</v>
      </c>
      <c r="B7475" s="173" t="str">
        <f>INDEX(Orçamentária!A:B,MATCH(Composições!A7475,Orçamentária!A:A,0),2)</f>
        <v>Cerâmica para revestimento de pisos de superfícies internas</v>
      </c>
      <c r="C7475" s="40"/>
      <c r="D7475" s="25" t="s">
        <v>70</v>
      </c>
      <c r="E7475" s="26"/>
      <c r="F7475" s="48" t="s">
        <v>416</v>
      </c>
      <c r="G7475" s="27" t="str">
        <f>IF(ISNUMBER(F7475),E7475*F7475,"")</f>
        <v/>
      </c>
      <c r="H7475" s="28"/>
      <c r="I7475" s="29"/>
      <c r="J7475" s="152">
        <v>0</v>
      </c>
    </row>
    <row r="7476" spans="1:10" ht="15.75" hidden="1" thickBot="1" x14ac:dyDescent="0.3">
      <c r="A7476" s="171"/>
      <c r="B7476" s="174"/>
      <c r="C7476" s="31"/>
      <c r="D7476" s="31"/>
      <c r="E7476" s="32"/>
      <c r="F7476" s="53" t="s">
        <v>416</v>
      </c>
      <c r="G7476" s="53" t="str">
        <f>IF(ISNUMBER(F7476),E7476*F7476,"")</f>
        <v/>
      </c>
      <c r="H7476" s="72"/>
      <c r="I7476" s="73"/>
      <c r="J7476" s="152">
        <v>0</v>
      </c>
    </row>
    <row r="7477" spans="1:10" ht="26.25" hidden="1" thickBot="1" x14ac:dyDescent="0.3">
      <c r="A7477" s="171"/>
      <c r="B7477" s="174"/>
      <c r="C7477" s="35" t="s">
        <v>6954</v>
      </c>
      <c r="D7477" s="35" t="s">
        <v>70</v>
      </c>
      <c r="E7477" s="36">
        <v>1.08</v>
      </c>
      <c r="F7477" s="53" t="s">
        <v>416</v>
      </c>
      <c r="G7477" s="53" t="str">
        <f>IF(ISNUMBER(F7477),E7477*F7477,"")</f>
        <v/>
      </c>
      <c r="H7477" s="38">
        <f>SUM(G7477:G7481)</f>
        <v>32.594309999999993</v>
      </c>
      <c r="I7477" s="39"/>
      <c r="J7477" s="152">
        <v>0</v>
      </c>
    </row>
    <row r="7478" spans="1:10" ht="15.75" hidden="1" thickBot="1" x14ac:dyDescent="0.3">
      <c r="A7478" s="171"/>
      <c r="B7478" s="174"/>
      <c r="C7478" s="35" t="s">
        <v>7986</v>
      </c>
      <c r="D7478" s="35" t="s">
        <v>773</v>
      </c>
      <c r="E7478" s="36">
        <v>6.14</v>
      </c>
      <c r="F7478" s="53">
        <v>1.0924999999999998</v>
      </c>
      <c r="G7478" s="53">
        <f>IF(ISNUMBER(F7478),E7478*F7478,"")</f>
        <v>6.7079499999999985</v>
      </c>
      <c r="H7478" s="72"/>
      <c r="I7478" s="73"/>
      <c r="J7478" s="152">
        <v>0</v>
      </c>
    </row>
    <row r="7479" spans="1:10" ht="15.75" hidden="1" thickBot="1" x14ac:dyDescent="0.3">
      <c r="A7479" s="171"/>
      <c r="B7479" s="174"/>
      <c r="C7479" s="35" t="s">
        <v>8367</v>
      </c>
      <c r="D7479" s="35" t="s">
        <v>773</v>
      </c>
      <c r="E7479" s="36">
        <v>0.22</v>
      </c>
      <c r="F7479" s="53">
        <v>3.4579999999999997</v>
      </c>
      <c r="G7479" s="53">
        <f>IF(ISNUMBER(F7479),E7479*F7479,"")</f>
        <v>0.76075999999999999</v>
      </c>
      <c r="H7479" s="72"/>
      <c r="I7479" s="73"/>
      <c r="J7479" s="152">
        <v>0</v>
      </c>
    </row>
    <row r="7480" spans="1:10" ht="15.75" hidden="1" thickBot="1" x14ac:dyDescent="0.3">
      <c r="A7480" s="171"/>
      <c r="B7480" s="174"/>
      <c r="C7480" s="35" t="s">
        <v>1079</v>
      </c>
      <c r="D7480" s="35" t="s">
        <v>583</v>
      </c>
      <c r="E7480" s="36">
        <v>0.66</v>
      </c>
      <c r="F7480" s="53">
        <v>27.036999999999999</v>
      </c>
      <c r="G7480" s="53">
        <f>IF(ISNUMBER(F7480),E7480*F7480,"")</f>
        <v>17.84442</v>
      </c>
      <c r="H7480" s="72"/>
      <c r="I7480" s="73"/>
      <c r="J7480" s="152">
        <v>0</v>
      </c>
    </row>
    <row r="7481" spans="1:10" ht="15.75" hidden="1" thickBot="1" x14ac:dyDescent="0.3">
      <c r="A7481" s="171"/>
      <c r="B7481" s="174"/>
      <c r="C7481" s="35" t="s">
        <v>584</v>
      </c>
      <c r="D7481" s="35" t="s">
        <v>583</v>
      </c>
      <c r="E7481" s="36">
        <v>0.36</v>
      </c>
      <c r="F7481" s="53">
        <v>20.225499999999997</v>
      </c>
      <c r="G7481" s="53">
        <f>IF(ISNUMBER(F7481),E7481*F7481,"")</f>
        <v>7.2811799999999982</v>
      </c>
      <c r="H7481" s="72"/>
      <c r="I7481" s="73"/>
      <c r="J7481" s="152">
        <v>0</v>
      </c>
    </row>
    <row r="7482" spans="1:10" ht="15.75" hidden="1" thickBot="1" x14ac:dyDescent="0.3">
      <c r="A7482" s="172"/>
      <c r="B7482" s="175"/>
      <c r="C7482" s="54"/>
      <c r="D7482" s="155"/>
      <c r="E7482" s="65"/>
      <c r="F7482" s="75" t="s">
        <v>416</v>
      </c>
      <c r="G7482" s="75" t="str">
        <f>IF(ISNUMBER(F7482),E7482*F7482,"")</f>
        <v/>
      </c>
      <c r="H7482" s="76"/>
      <c r="I7482" s="73"/>
      <c r="J7482" s="152">
        <v>0</v>
      </c>
    </row>
    <row r="7483" spans="1:10" ht="15.75" hidden="1" thickBot="1" x14ac:dyDescent="0.3">
      <c r="A7483" s="170" t="s">
        <v>6768</v>
      </c>
      <c r="B7483" s="173" t="str">
        <f>INDEX(Orçamentária!A:B,MATCH(Composições!A7483,Orçamentária!A:A,0),2)</f>
        <v>Cerâmica de linha industrial para revestimento de PISOS E PAREDES de superfícies internas e externas</v>
      </c>
      <c r="C7483" s="40"/>
      <c r="D7483" s="25" t="s">
        <v>70</v>
      </c>
      <c r="E7483" s="26"/>
      <c r="F7483" s="48" t="s">
        <v>416</v>
      </c>
      <c r="G7483" s="27" t="str">
        <f>IF(ISNUMBER(F7483),E7483*F7483,"")</f>
        <v/>
      </c>
      <c r="H7483" s="28"/>
      <c r="I7483" s="29"/>
      <c r="J7483" s="152">
        <v>0</v>
      </c>
    </row>
    <row r="7484" spans="1:10" ht="15.75" hidden="1" thickBot="1" x14ac:dyDescent="0.3">
      <c r="A7484" s="171"/>
      <c r="B7484" s="174"/>
      <c r="C7484" s="31"/>
      <c r="D7484" s="31"/>
      <c r="E7484" s="32"/>
      <c r="F7484" s="53" t="s">
        <v>416</v>
      </c>
      <c r="G7484" s="53" t="str">
        <f>IF(ISNUMBER(F7484),E7484*F7484,"")</f>
        <v/>
      </c>
      <c r="H7484" s="72"/>
      <c r="I7484" s="73"/>
      <c r="J7484" s="152">
        <v>0</v>
      </c>
    </row>
    <row r="7485" spans="1:10" ht="26.25" hidden="1" thickBot="1" x14ac:dyDescent="0.3">
      <c r="A7485" s="171"/>
      <c r="B7485" s="174"/>
      <c r="C7485" s="35" t="s">
        <v>6955</v>
      </c>
      <c r="D7485" s="35" t="s">
        <v>70</v>
      </c>
      <c r="E7485" s="36">
        <v>1.08</v>
      </c>
      <c r="F7485" s="53" t="s">
        <v>416</v>
      </c>
      <c r="G7485" s="53" t="str">
        <f>IF(ISNUMBER(F7485),E7485*F7485,"")</f>
        <v/>
      </c>
      <c r="H7485" s="38">
        <f>SUM(G7485:G7489)</f>
        <v>32.594309999999993</v>
      </c>
      <c r="I7485" s="39"/>
      <c r="J7485" s="152">
        <v>0</v>
      </c>
    </row>
    <row r="7486" spans="1:10" ht="15.75" hidden="1" thickBot="1" x14ac:dyDescent="0.3">
      <c r="A7486" s="171"/>
      <c r="B7486" s="174"/>
      <c r="C7486" s="35" t="s">
        <v>7986</v>
      </c>
      <c r="D7486" s="35" t="s">
        <v>773</v>
      </c>
      <c r="E7486" s="36">
        <v>6.14</v>
      </c>
      <c r="F7486" s="53">
        <v>1.0924999999999998</v>
      </c>
      <c r="G7486" s="53">
        <f>IF(ISNUMBER(F7486),E7486*F7486,"")</f>
        <v>6.7079499999999985</v>
      </c>
      <c r="H7486" s="72"/>
      <c r="I7486" s="73"/>
      <c r="J7486" s="152">
        <v>0</v>
      </c>
    </row>
    <row r="7487" spans="1:10" ht="15.75" hidden="1" thickBot="1" x14ac:dyDescent="0.3">
      <c r="A7487" s="171"/>
      <c r="B7487" s="174"/>
      <c r="C7487" s="35" t="s">
        <v>8367</v>
      </c>
      <c r="D7487" s="35" t="s">
        <v>773</v>
      </c>
      <c r="E7487" s="36">
        <v>0.22</v>
      </c>
      <c r="F7487" s="53">
        <v>3.4579999999999997</v>
      </c>
      <c r="G7487" s="53">
        <f>IF(ISNUMBER(F7487),E7487*F7487,"")</f>
        <v>0.76075999999999999</v>
      </c>
      <c r="H7487" s="72"/>
      <c r="I7487" s="73"/>
      <c r="J7487" s="152">
        <v>0</v>
      </c>
    </row>
    <row r="7488" spans="1:10" ht="15.75" hidden="1" thickBot="1" x14ac:dyDescent="0.3">
      <c r="A7488" s="171"/>
      <c r="B7488" s="174"/>
      <c r="C7488" s="35" t="s">
        <v>1079</v>
      </c>
      <c r="D7488" s="35" t="s">
        <v>583</v>
      </c>
      <c r="E7488" s="36">
        <v>0.66</v>
      </c>
      <c r="F7488" s="53">
        <v>27.036999999999999</v>
      </c>
      <c r="G7488" s="53">
        <f>IF(ISNUMBER(F7488),E7488*F7488,"")</f>
        <v>17.84442</v>
      </c>
      <c r="H7488" s="72"/>
      <c r="I7488" s="73"/>
      <c r="J7488" s="152">
        <v>0</v>
      </c>
    </row>
    <row r="7489" spans="1:10" ht="15.75" hidden="1" thickBot="1" x14ac:dyDescent="0.3">
      <c r="A7489" s="171"/>
      <c r="B7489" s="174"/>
      <c r="C7489" s="35" t="s">
        <v>584</v>
      </c>
      <c r="D7489" s="35" t="s">
        <v>583</v>
      </c>
      <c r="E7489" s="36">
        <v>0.36</v>
      </c>
      <c r="F7489" s="53">
        <v>20.225499999999997</v>
      </c>
      <c r="G7489" s="53">
        <f>IF(ISNUMBER(F7489),E7489*F7489,"")</f>
        <v>7.2811799999999982</v>
      </c>
      <c r="H7489" s="72"/>
      <c r="I7489" s="73"/>
      <c r="J7489" s="152">
        <v>0</v>
      </c>
    </row>
    <row r="7490" spans="1:10" ht="15.75" hidden="1" thickBot="1" x14ac:dyDescent="0.3">
      <c r="A7490" s="172"/>
      <c r="B7490" s="175"/>
      <c r="C7490" s="54"/>
      <c r="D7490" s="155"/>
      <c r="E7490" s="65"/>
      <c r="F7490" s="75" t="s">
        <v>416</v>
      </c>
      <c r="G7490" s="75" t="str">
        <f>IF(ISNUMBER(F7490),E7490*F7490,"")</f>
        <v/>
      </c>
      <c r="H7490" s="76"/>
      <c r="I7490" s="73"/>
      <c r="J7490" s="152">
        <v>0</v>
      </c>
    </row>
    <row r="7491" spans="1:10" ht="15.75" hidden="1" thickBot="1" x14ac:dyDescent="0.3">
      <c r="A7491" s="170" t="s">
        <v>6778</v>
      </c>
      <c r="B7491" s="173" t="str">
        <f>INDEX(Orçamentária!A:B,MATCH(Composições!A7491,Orçamentária!A:A,0),2)</f>
        <v>Grelha de Captação de Ar Externo com Damper e Filtro</v>
      </c>
      <c r="C7491" s="40"/>
      <c r="D7491" s="25" t="s">
        <v>16</v>
      </c>
      <c r="E7491" s="26"/>
      <c r="F7491" s="167" t="s">
        <v>416</v>
      </c>
      <c r="G7491" s="27" t="str">
        <f>IF(ISNUMBER(F7491),E7491*F7491,"")</f>
        <v/>
      </c>
      <c r="H7491" s="28"/>
      <c r="I7491" s="29"/>
      <c r="J7491" s="152">
        <v>0</v>
      </c>
    </row>
    <row r="7492" spans="1:10" ht="15.75" hidden="1" thickBot="1" x14ac:dyDescent="0.3">
      <c r="A7492" s="176"/>
      <c r="B7492" s="174"/>
      <c r="C7492" s="31"/>
      <c r="D7492" s="31"/>
      <c r="E7492" s="32"/>
      <c r="F7492" s="168" t="s">
        <v>416</v>
      </c>
      <c r="G7492" s="162" t="str">
        <f>IF(ISNUMBER(F7492),E7492*F7492,"")</f>
        <v/>
      </c>
      <c r="H7492" s="164"/>
      <c r="I7492" s="162"/>
      <c r="J7492" s="152">
        <v>0</v>
      </c>
    </row>
    <row r="7493" spans="1:10" ht="26.25" hidden="1" thickBot="1" x14ac:dyDescent="0.3">
      <c r="A7493" s="176"/>
      <c r="B7493" s="174"/>
      <c r="C7493" s="35" t="s">
        <v>2901</v>
      </c>
      <c r="D7493" s="35" t="s">
        <v>583</v>
      </c>
      <c r="E7493" s="36">
        <v>3.5</v>
      </c>
      <c r="F7493" s="162">
        <v>23.160999999999998</v>
      </c>
      <c r="G7493" s="163">
        <f>IF(ISNUMBER(F7493),E7493*F7493,"")</f>
        <v>81.063499999999991</v>
      </c>
      <c r="H7493" s="38">
        <f>SUM(G7493:G7498)</f>
        <v>183.20749999999998</v>
      </c>
      <c r="I7493" s="166"/>
      <c r="J7493" s="152">
        <v>0</v>
      </c>
    </row>
    <row r="7494" spans="1:10" ht="26.25" hidden="1" thickBot="1" x14ac:dyDescent="0.3">
      <c r="A7494" s="176"/>
      <c r="B7494" s="174"/>
      <c r="C7494" s="35" t="s">
        <v>462</v>
      </c>
      <c r="D7494" s="35" t="s">
        <v>583</v>
      </c>
      <c r="E7494" s="36">
        <v>3.5</v>
      </c>
      <c r="F7494" s="162">
        <v>29.183999999999997</v>
      </c>
      <c r="G7494" s="163">
        <f>IF(ISNUMBER(F7494),E7494*F7494,"")</f>
        <v>102.14399999999999</v>
      </c>
      <c r="H7494" s="164"/>
      <c r="I7494" s="162"/>
      <c r="J7494" s="152">
        <v>0</v>
      </c>
    </row>
    <row r="7495" spans="1:10" ht="15.75" hidden="1" thickBot="1" x14ac:dyDescent="0.3">
      <c r="A7495" s="176"/>
      <c r="B7495" s="174"/>
      <c r="C7495" s="35" t="s">
        <v>7083</v>
      </c>
      <c r="D7495" s="35" t="s">
        <v>107</v>
      </c>
      <c r="E7495" s="36">
        <v>1</v>
      </c>
      <c r="F7495" s="163" t="s">
        <v>416</v>
      </c>
      <c r="G7495" s="163" t="str">
        <f>IF(ISNUMBER(F7495),E7495*F7495,"")</f>
        <v/>
      </c>
      <c r="H7495" s="164"/>
      <c r="I7495" s="162"/>
      <c r="J7495" s="152">
        <v>0</v>
      </c>
    </row>
    <row r="7496" spans="1:10" ht="15.75" hidden="1" thickBot="1" x14ac:dyDescent="0.3">
      <c r="A7496" s="176"/>
      <c r="B7496" s="174"/>
      <c r="C7496" s="35" t="s">
        <v>7084</v>
      </c>
      <c r="D7496" s="35" t="s">
        <v>107</v>
      </c>
      <c r="E7496" s="36">
        <v>1</v>
      </c>
      <c r="F7496" s="163" t="s">
        <v>416</v>
      </c>
      <c r="G7496" s="163" t="str">
        <f>IF(ISNUMBER(F7496),E7496*F7496,"")</f>
        <v/>
      </c>
      <c r="H7496" s="164"/>
      <c r="I7496" s="162"/>
      <c r="J7496" s="152">
        <v>0</v>
      </c>
    </row>
    <row r="7497" spans="1:10" ht="15.75" hidden="1" thickBot="1" x14ac:dyDescent="0.3">
      <c r="A7497" s="176"/>
      <c r="B7497" s="174"/>
      <c r="C7497" s="35" t="s">
        <v>7085</v>
      </c>
      <c r="D7497" s="35" t="s">
        <v>107</v>
      </c>
      <c r="E7497" s="36">
        <v>1</v>
      </c>
      <c r="F7497" s="163" t="s">
        <v>416</v>
      </c>
      <c r="G7497" s="163" t="str">
        <f>IF(ISNUMBER(F7497),E7497*F7497,"")</f>
        <v/>
      </c>
      <c r="H7497" s="164"/>
      <c r="I7497" s="162"/>
      <c r="J7497" s="152">
        <v>0</v>
      </c>
    </row>
    <row r="7498" spans="1:10" ht="15.75" hidden="1" thickBot="1" x14ac:dyDescent="0.3">
      <c r="A7498" s="176"/>
      <c r="B7498" s="174"/>
      <c r="C7498" s="35" t="s">
        <v>7086</v>
      </c>
      <c r="D7498" s="35" t="s">
        <v>107</v>
      </c>
      <c r="E7498" s="36">
        <v>1</v>
      </c>
      <c r="F7498" s="163" t="s">
        <v>416</v>
      </c>
      <c r="G7498" s="163" t="str">
        <f>IF(ISNUMBER(F7498),E7498*F7498,"")</f>
        <v/>
      </c>
      <c r="H7498" s="164"/>
      <c r="I7498" s="162"/>
      <c r="J7498" s="152">
        <v>0</v>
      </c>
    </row>
    <row r="7499" spans="1:10" ht="15.75" hidden="1" thickBot="1" x14ac:dyDescent="0.3">
      <c r="A7499" s="177"/>
      <c r="B7499" s="175"/>
      <c r="C7499" s="35"/>
      <c r="D7499" s="35"/>
      <c r="E7499" s="36"/>
      <c r="F7499" s="162" t="s">
        <v>416</v>
      </c>
      <c r="G7499" s="162" t="str">
        <f>IF(ISNUMBER(F7499),E7499*F7499,"")</f>
        <v/>
      </c>
      <c r="H7499" s="164"/>
      <c r="I7499" s="162"/>
      <c r="J7499" s="152">
        <v>0</v>
      </c>
    </row>
    <row r="7500" spans="1:10" ht="15.75" hidden="1" thickBot="1" x14ac:dyDescent="0.3">
      <c r="A7500" s="170" t="s">
        <v>6779</v>
      </c>
      <c r="B7500" s="173" t="str">
        <f>INDEX(Orçamentária!A:B,MATCH(Composições!A7500,Orçamentária!A:A,0),2)</f>
        <v>Grelha de retorno com aletas horizontais 1225 x 525 mm</v>
      </c>
      <c r="C7500" s="40"/>
      <c r="D7500" s="25" t="s">
        <v>16</v>
      </c>
      <c r="E7500" s="26"/>
      <c r="F7500" s="167" t="s">
        <v>416</v>
      </c>
      <c r="G7500" s="27" t="str">
        <f>IF(ISNUMBER(F7500),E7500*F7500,"")</f>
        <v/>
      </c>
      <c r="H7500" s="28"/>
      <c r="I7500" s="29"/>
      <c r="J7500" s="152">
        <v>0</v>
      </c>
    </row>
    <row r="7501" spans="1:10" ht="15.75" hidden="1" thickBot="1" x14ac:dyDescent="0.3">
      <c r="A7501" s="176"/>
      <c r="B7501" s="174"/>
      <c r="C7501" s="31"/>
      <c r="D7501" s="31"/>
      <c r="E7501" s="32"/>
      <c r="F7501" s="168" t="s">
        <v>416</v>
      </c>
      <c r="G7501" s="162" t="str">
        <f>IF(ISNUMBER(F7501),E7501*F7501,"")</f>
        <v/>
      </c>
      <c r="H7501" s="164"/>
      <c r="I7501" s="162"/>
      <c r="J7501" s="152">
        <v>0</v>
      </c>
    </row>
    <row r="7502" spans="1:10" ht="26.25" hidden="1" thickBot="1" x14ac:dyDescent="0.3">
      <c r="A7502" s="176"/>
      <c r="B7502" s="174"/>
      <c r="C7502" s="35" t="s">
        <v>2901</v>
      </c>
      <c r="D7502" s="35" t="s">
        <v>583</v>
      </c>
      <c r="E7502" s="36">
        <v>3.5</v>
      </c>
      <c r="F7502" s="162">
        <v>23.160999999999998</v>
      </c>
      <c r="G7502" s="163">
        <f>IF(ISNUMBER(F7502),E7502*F7502,"")</f>
        <v>81.063499999999991</v>
      </c>
      <c r="H7502" s="165">
        <f>SUM(G7502:G7504)</f>
        <v>183.20749999999998</v>
      </c>
      <c r="I7502" s="166"/>
      <c r="J7502" s="152">
        <v>0</v>
      </c>
    </row>
    <row r="7503" spans="1:10" ht="26.25" hidden="1" thickBot="1" x14ac:dyDescent="0.3">
      <c r="A7503" s="176"/>
      <c r="B7503" s="174"/>
      <c r="C7503" s="35" t="s">
        <v>462</v>
      </c>
      <c r="D7503" s="35" t="s">
        <v>583</v>
      </c>
      <c r="E7503" s="36">
        <v>3.5</v>
      </c>
      <c r="F7503" s="162">
        <v>29.183999999999997</v>
      </c>
      <c r="G7503" s="163">
        <f>IF(ISNUMBER(F7503),E7503*F7503,"")</f>
        <v>102.14399999999999</v>
      </c>
      <c r="H7503" s="164"/>
      <c r="I7503" s="162"/>
      <c r="J7503" s="152">
        <v>0</v>
      </c>
    </row>
    <row r="7504" spans="1:10" ht="15.75" hidden="1" thickBot="1" x14ac:dyDescent="0.3">
      <c r="A7504" s="176"/>
      <c r="B7504" s="174"/>
      <c r="C7504" s="35" t="s">
        <v>7087</v>
      </c>
      <c r="D7504" s="35" t="s">
        <v>107</v>
      </c>
      <c r="E7504" s="36">
        <v>1</v>
      </c>
      <c r="F7504" s="163" t="s">
        <v>416</v>
      </c>
      <c r="G7504" s="163" t="str">
        <f>IF(ISNUMBER(F7504),E7504*F7504,"")</f>
        <v/>
      </c>
      <c r="H7504" s="164"/>
      <c r="I7504" s="162"/>
      <c r="J7504" s="152">
        <v>0</v>
      </c>
    </row>
    <row r="7505" spans="1:10" ht="15.75" hidden="1" thickBot="1" x14ac:dyDescent="0.3">
      <c r="A7505" s="177"/>
      <c r="B7505" s="175"/>
      <c r="C7505" s="35"/>
      <c r="D7505" s="35"/>
      <c r="E7505" s="36"/>
      <c r="F7505" s="162" t="s">
        <v>416</v>
      </c>
      <c r="G7505" s="162" t="str">
        <f>IF(ISNUMBER(F7505),E7505*F7505,"")</f>
        <v/>
      </c>
      <c r="H7505" s="164"/>
      <c r="I7505" s="162"/>
      <c r="J7505" s="152">
        <v>0</v>
      </c>
    </row>
    <row r="7506" spans="1:10" ht="15.75" hidden="1" thickBot="1" x14ac:dyDescent="0.3">
      <c r="A7506" s="170" t="s">
        <v>6780</v>
      </c>
      <c r="B7506" s="173" t="str">
        <f>INDEX(Orçamentária!A:B,MATCH(Composições!A7506,Orçamentária!A:A,0),2)</f>
        <v>Grelha retangular 325 x 125 mm</v>
      </c>
      <c r="C7506" s="40"/>
      <c r="D7506" s="25" t="s">
        <v>16</v>
      </c>
      <c r="E7506" s="26"/>
      <c r="F7506" s="167" t="s">
        <v>416</v>
      </c>
      <c r="G7506" s="27" t="str">
        <f>IF(ISNUMBER(F7506),E7506*F7506,"")</f>
        <v/>
      </c>
      <c r="H7506" s="28"/>
      <c r="I7506" s="29"/>
      <c r="J7506" s="152">
        <v>0</v>
      </c>
    </row>
    <row r="7507" spans="1:10" ht="15.75" hidden="1" thickBot="1" x14ac:dyDescent="0.3">
      <c r="A7507" s="176"/>
      <c r="B7507" s="174"/>
      <c r="C7507" s="31"/>
      <c r="D7507" s="31"/>
      <c r="E7507" s="32"/>
      <c r="F7507" s="168" t="s">
        <v>416</v>
      </c>
      <c r="G7507" s="162" t="str">
        <f>IF(ISNUMBER(F7507),E7507*F7507,"")</f>
        <v/>
      </c>
      <c r="H7507" s="164"/>
      <c r="I7507" s="162"/>
      <c r="J7507" s="152">
        <v>0</v>
      </c>
    </row>
    <row r="7508" spans="1:10" ht="26.25" hidden="1" thickBot="1" x14ac:dyDescent="0.3">
      <c r="A7508" s="176"/>
      <c r="B7508" s="174"/>
      <c r="C7508" s="35" t="s">
        <v>2901</v>
      </c>
      <c r="D7508" s="35" t="s">
        <v>583</v>
      </c>
      <c r="E7508" s="36">
        <v>3.5</v>
      </c>
      <c r="F7508" s="162">
        <v>23.160999999999998</v>
      </c>
      <c r="G7508" s="163">
        <f>IF(ISNUMBER(F7508),E7508*F7508,"")</f>
        <v>81.063499999999991</v>
      </c>
      <c r="H7508" s="165">
        <f>SUM(G7508:G7510)</f>
        <v>183.20749999999998</v>
      </c>
      <c r="I7508" s="166"/>
      <c r="J7508" s="152">
        <v>0</v>
      </c>
    </row>
    <row r="7509" spans="1:10" ht="26.25" hidden="1" thickBot="1" x14ac:dyDescent="0.3">
      <c r="A7509" s="176"/>
      <c r="B7509" s="174"/>
      <c r="C7509" s="35" t="s">
        <v>462</v>
      </c>
      <c r="D7509" s="35" t="s">
        <v>583</v>
      </c>
      <c r="E7509" s="36">
        <v>3.5</v>
      </c>
      <c r="F7509" s="162">
        <v>29.183999999999997</v>
      </c>
      <c r="G7509" s="163">
        <f>IF(ISNUMBER(F7509),E7509*F7509,"")</f>
        <v>102.14399999999999</v>
      </c>
      <c r="H7509" s="164"/>
      <c r="I7509" s="162"/>
      <c r="J7509" s="152">
        <v>0</v>
      </c>
    </row>
    <row r="7510" spans="1:10" ht="15.75" hidden="1" thickBot="1" x14ac:dyDescent="0.3">
      <c r="A7510" s="176"/>
      <c r="B7510" s="174"/>
      <c r="C7510" s="35" t="s">
        <v>7088</v>
      </c>
      <c r="D7510" s="35" t="s">
        <v>107</v>
      </c>
      <c r="E7510" s="36">
        <v>1</v>
      </c>
      <c r="F7510" s="163">
        <v>0</v>
      </c>
      <c r="G7510" s="163">
        <f>IF(ISNUMBER(F7510),E7510*F7510,"")</f>
        <v>0</v>
      </c>
      <c r="H7510" s="164"/>
      <c r="I7510" s="162"/>
      <c r="J7510" s="152">
        <v>0</v>
      </c>
    </row>
    <row r="7511" spans="1:10" ht="15.75" hidden="1" thickBot="1" x14ac:dyDescent="0.3">
      <c r="A7511" s="177"/>
      <c r="B7511" s="175"/>
      <c r="C7511" s="35"/>
      <c r="D7511" s="35"/>
      <c r="E7511" s="36"/>
      <c r="F7511" s="162" t="s">
        <v>416</v>
      </c>
      <c r="G7511" s="162" t="str">
        <f>IF(ISNUMBER(F7511),E7511*F7511,"")</f>
        <v/>
      </c>
      <c r="H7511" s="164"/>
      <c r="I7511" s="162"/>
      <c r="J7511" s="152">
        <v>0</v>
      </c>
    </row>
    <row r="7512" spans="1:10" ht="15.75" hidden="1" thickBot="1" x14ac:dyDescent="0.3">
      <c r="A7512" s="170" t="s">
        <v>6781</v>
      </c>
      <c r="B7512" s="173" t="str">
        <f>INDEX(Orçamentária!A:B,MATCH(Composições!A7512,Orçamentária!A:A,0),2)</f>
        <v>Ar-condicionado Fan-Coil 5,0 TR com Acessórios</v>
      </c>
      <c r="C7512" s="40"/>
      <c r="D7512" s="25" t="s">
        <v>16</v>
      </c>
      <c r="E7512" s="26"/>
      <c r="F7512" s="167" t="s">
        <v>416</v>
      </c>
      <c r="G7512" s="27" t="str">
        <f>IF(ISNUMBER(F7512),E7512*F7512,"")</f>
        <v/>
      </c>
      <c r="H7512" s="28"/>
      <c r="I7512" s="29"/>
      <c r="J7512" s="152">
        <v>0</v>
      </c>
    </row>
    <row r="7513" spans="1:10" ht="15.75" hidden="1" thickBot="1" x14ac:dyDescent="0.3">
      <c r="A7513" s="176"/>
      <c r="B7513" s="174"/>
      <c r="C7513" s="31"/>
      <c r="D7513" s="31"/>
      <c r="E7513" s="32"/>
      <c r="F7513" s="168" t="s">
        <v>416</v>
      </c>
      <c r="G7513" s="162" t="str">
        <f>IF(ISNUMBER(F7513),E7513*F7513,"")</f>
        <v/>
      </c>
      <c r="H7513" s="164"/>
      <c r="I7513" s="162"/>
      <c r="J7513" s="152">
        <v>0</v>
      </c>
    </row>
    <row r="7514" spans="1:10" ht="39" hidden="1" thickBot="1" x14ac:dyDescent="0.3">
      <c r="A7514" s="176"/>
      <c r="B7514" s="174"/>
      <c r="C7514" s="35" t="s">
        <v>8427</v>
      </c>
      <c r="D7514" s="35" t="s">
        <v>213</v>
      </c>
      <c r="E7514" s="36">
        <v>10</v>
      </c>
      <c r="F7514" s="163">
        <v>1.0545</v>
      </c>
      <c r="G7514" s="162">
        <f>IF(ISNUMBER(F7514),E7514*F7514,"")</f>
        <v>10.545</v>
      </c>
      <c r="H7514" s="165">
        <f>SUM(G7514:G7524)</f>
        <v>836.63503509999987</v>
      </c>
      <c r="I7514" s="166"/>
      <c r="J7514" s="152">
        <v>0</v>
      </c>
    </row>
    <row r="7515" spans="1:10" ht="15.75" hidden="1" thickBot="1" x14ac:dyDescent="0.3">
      <c r="A7515" s="176"/>
      <c r="B7515" s="174"/>
      <c r="C7515" s="35" t="s">
        <v>1233</v>
      </c>
      <c r="D7515" s="35" t="s">
        <v>583</v>
      </c>
      <c r="E7515" s="36">
        <v>5.3597999999999999</v>
      </c>
      <c r="F7515" s="162">
        <v>21.318000000000001</v>
      </c>
      <c r="G7515" s="162">
        <f>IF(ISNUMBER(F7515),E7515*F7515,"")</f>
        <v>114.2602164</v>
      </c>
      <c r="H7515" s="164"/>
      <c r="I7515" s="162"/>
      <c r="J7515" s="152">
        <v>0</v>
      </c>
    </row>
    <row r="7516" spans="1:10" ht="39" hidden="1" thickBot="1" x14ac:dyDescent="0.3">
      <c r="A7516" s="176"/>
      <c r="B7516" s="174"/>
      <c r="C7516" s="35" t="s">
        <v>2868</v>
      </c>
      <c r="D7516" s="35" t="s">
        <v>813</v>
      </c>
      <c r="E7516" s="36">
        <v>0.4118</v>
      </c>
      <c r="F7516" s="162">
        <v>298.89849999999996</v>
      </c>
      <c r="G7516" s="162">
        <f>IF(ISNUMBER(F7516),E7516*F7516,"")</f>
        <v>123.08640229999997</v>
      </c>
      <c r="H7516" s="164"/>
      <c r="I7516" s="162"/>
      <c r="J7516" s="152">
        <v>0</v>
      </c>
    </row>
    <row r="7517" spans="1:10" ht="39" hidden="1" thickBot="1" x14ac:dyDescent="0.3">
      <c r="A7517" s="176"/>
      <c r="B7517" s="174"/>
      <c r="C7517" s="35" t="s">
        <v>2875</v>
      </c>
      <c r="D7517" s="35" t="s">
        <v>815</v>
      </c>
      <c r="E7517" s="36">
        <v>3.0331999999999999</v>
      </c>
      <c r="F7517" s="162">
        <v>142.83249999999998</v>
      </c>
      <c r="G7517" s="162">
        <f>IF(ISNUMBER(F7517),E7517*F7517,"")</f>
        <v>433.23953899999992</v>
      </c>
      <c r="H7517" s="164"/>
      <c r="I7517" s="162"/>
      <c r="J7517" s="152">
        <v>0</v>
      </c>
    </row>
    <row r="7518" spans="1:10" ht="26.25" hidden="1" thickBot="1" x14ac:dyDescent="0.3">
      <c r="A7518" s="176"/>
      <c r="B7518" s="174"/>
      <c r="C7518" s="35" t="s">
        <v>2920</v>
      </c>
      <c r="D7518" s="35" t="s">
        <v>583</v>
      </c>
      <c r="E7518" s="36">
        <v>5.3597999999999999</v>
      </c>
      <c r="F7518" s="162">
        <v>29.012999999999998</v>
      </c>
      <c r="G7518" s="162">
        <f>IF(ISNUMBER(F7518),E7518*F7518,"")</f>
        <v>155.50387739999999</v>
      </c>
      <c r="H7518" s="164"/>
      <c r="I7518" s="162"/>
      <c r="J7518" s="152">
        <v>0</v>
      </c>
    </row>
    <row r="7519" spans="1:10" ht="15.75" hidden="1" thickBot="1" x14ac:dyDescent="0.3">
      <c r="A7519" s="176"/>
      <c r="B7519" s="174"/>
      <c r="C7519" s="35" t="s">
        <v>7089</v>
      </c>
      <c r="D7519" s="169" t="s">
        <v>16</v>
      </c>
      <c r="E7519" s="36">
        <v>1</v>
      </c>
      <c r="F7519" s="162" t="s">
        <v>416</v>
      </c>
      <c r="G7519" s="162" t="str">
        <f>IF(ISNUMBER(F7519),E7519*F7519,"")</f>
        <v/>
      </c>
      <c r="H7519" s="164"/>
      <c r="I7519" s="162"/>
      <c r="J7519" s="152">
        <v>0</v>
      </c>
    </row>
    <row r="7520" spans="1:10" ht="39" hidden="1" thickBot="1" x14ac:dyDescent="0.3">
      <c r="A7520" s="176"/>
      <c r="B7520" s="174"/>
      <c r="C7520" s="35" t="s">
        <v>7090</v>
      </c>
      <c r="D7520" s="169" t="s">
        <v>16</v>
      </c>
      <c r="E7520" s="36">
        <v>1</v>
      </c>
      <c r="F7520" s="162" t="s">
        <v>416</v>
      </c>
      <c r="G7520" s="162" t="str">
        <f>IF(ISNUMBER(F7520),E7520*F7520,"")</f>
        <v/>
      </c>
      <c r="H7520" s="164"/>
      <c r="I7520" s="162"/>
      <c r="J7520" s="152">
        <v>0</v>
      </c>
    </row>
    <row r="7521" spans="1:10" ht="26.25" hidden="1" thickBot="1" x14ac:dyDescent="0.3">
      <c r="A7521" s="176"/>
      <c r="B7521" s="174"/>
      <c r="C7521" s="35" t="s">
        <v>7091</v>
      </c>
      <c r="D7521" s="169" t="s">
        <v>16</v>
      </c>
      <c r="E7521" s="36">
        <v>1</v>
      </c>
      <c r="F7521" s="162" t="s">
        <v>416</v>
      </c>
      <c r="G7521" s="162" t="str">
        <f>IF(ISNUMBER(F7521),E7521*F7521,"")</f>
        <v/>
      </c>
      <c r="H7521" s="164"/>
      <c r="I7521" s="162"/>
      <c r="J7521" s="152">
        <v>0</v>
      </c>
    </row>
    <row r="7522" spans="1:10" ht="39" hidden="1" thickBot="1" x14ac:dyDescent="0.3">
      <c r="A7522" s="176"/>
      <c r="B7522" s="174"/>
      <c r="C7522" s="35" t="s">
        <v>7092</v>
      </c>
      <c r="D7522" s="169" t="s">
        <v>16</v>
      </c>
      <c r="E7522" s="36">
        <v>2</v>
      </c>
      <c r="F7522" s="162" t="s">
        <v>416</v>
      </c>
      <c r="G7522" s="162" t="str">
        <f>IF(ISNUMBER(F7522),E7522*F7522,"")</f>
        <v/>
      </c>
      <c r="H7522" s="164"/>
      <c r="I7522" s="162"/>
      <c r="J7522" s="152">
        <v>0</v>
      </c>
    </row>
    <row r="7523" spans="1:10" ht="26.25" hidden="1" thickBot="1" x14ac:dyDescent="0.3">
      <c r="A7523" s="176"/>
      <c r="B7523" s="174"/>
      <c r="C7523" s="35" t="s">
        <v>7093</v>
      </c>
      <c r="D7523" s="169" t="s">
        <v>16</v>
      </c>
      <c r="E7523" s="36">
        <v>1</v>
      </c>
      <c r="F7523" s="162" t="s">
        <v>416</v>
      </c>
      <c r="G7523" s="162" t="str">
        <f>IF(ISNUMBER(F7523),E7523*F7523,"")</f>
        <v/>
      </c>
      <c r="H7523" s="164"/>
      <c r="I7523" s="162"/>
      <c r="J7523" s="152">
        <v>0</v>
      </c>
    </row>
    <row r="7524" spans="1:10" ht="39" hidden="1" thickBot="1" x14ac:dyDescent="0.3">
      <c r="A7524" s="176"/>
      <c r="B7524" s="174"/>
      <c r="C7524" s="35" t="s">
        <v>7094</v>
      </c>
      <c r="D7524" s="169" t="s">
        <v>16</v>
      </c>
      <c r="E7524" s="36">
        <v>1</v>
      </c>
      <c r="F7524" s="162" t="s">
        <v>416</v>
      </c>
      <c r="G7524" s="162" t="str">
        <f>IF(ISNUMBER(F7524),E7524*F7524,"")</f>
        <v/>
      </c>
      <c r="H7524" s="164"/>
      <c r="I7524" s="162"/>
      <c r="J7524" s="152">
        <v>0</v>
      </c>
    </row>
    <row r="7525" spans="1:10" ht="15.75" hidden="1" thickBot="1" x14ac:dyDescent="0.3">
      <c r="A7525" s="176"/>
      <c r="B7525" s="175"/>
      <c r="C7525" s="35"/>
      <c r="D7525" s="35"/>
      <c r="E7525" s="36"/>
      <c r="F7525" s="162" t="s">
        <v>416</v>
      </c>
      <c r="G7525" s="162" t="str">
        <f>IF(ISNUMBER(F7525),E7525*F7525,"")</f>
        <v/>
      </c>
      <c r="H7525" s="164"/>
      <c r="I7525" s="162"/>
      <c r="J7525" s="152">
        <v>0</v>
      </c>
    </row>
    <row r="7526" spans="1:10" ht="15.75" hidden="1" thickBot="1" x14ac:dyDescent="0.3">
      <c r="A7526" s="170" t="s">
        <v>6782</v>
      </c>
      <c r="B7526" s="173" t="str">
        <f>INDEX(Orçamentária!A:B,MATCH(Composições!A7526,Orçamentária!A:A,0),2)</f>
        <v>Ar-condicionado Fan-Coil 3,5 TR com Acessórios</v>
      </c>
      <c r="C7526" s="40"/>
      <c r="D7526" s="25" t="s">
        <v>16</v>
      </c>
      <c r="E7526" s="26"/>
      <c r="F7526" s="167" t="s">
        <v>416</v>
      </c>
      <c r="G7526" s="27" t="str">
        <f>IF(ISNUMBER(F7526),E7526*F7526,"")</f>
        <v/>
      </c>
      <c r="H7526" s="28"/>
      <c r="I7526" s="29"/>
      <c r="J7526" s="152">
        <v>0</v>
      </c>
    </row>
    <row r="7527" spans="1:10" ht="15.75" hidden="1" thickBot="1" x14ac:dyDescent="0.3">
      <c r="A7527" s="176"/>
      <c r="B7527" s="174"/>
      <c r="C7527" s="31"/>
      <c r="D7527" s="31"/>
      <c r="E7527" s="32"/>
      <c r="F7527" s="168" t="s">
        <v>416</v>
      </c>
      <c r="G7527" s="162" t="str">
        <f>IF(ISNUMBER(F7527),E7527*F7527,"")</f>
        <v/>
      </c>
      <c r="H7527" s="164"/>
      <c r="I7527" s="162"/>
      <c r="J7527" s="152">
        <v>0</v>
      </c>
    </row>
    <row r="7528" spans="1:10" ht="39" hidden="1" thickBot="1" x14ac:dyDescent="0.3">
      <c r="A7528" s="176"/>
      <c r="B7528" s="174"/>
      <c r="C7528" s="35" t="s">
        <v>8427</v>
      </c>
      <c r="D7528" s="35" t="s">
        <v>213</v>
      </c>
      <c r="E7528" s="36">
        <v>10</v>
      </c>
      <c r="F7528" s="163">
        <v>1.0545</v>
      </c>
      <c r="G7528" s="162">
        <f>IF(ISNUMBER(F7528),E7528*F7528,"")</f>
        <v>10.545</v>
      </c>
      <c r="H7528" s="165">
        <f>SUM(G7528:G7538)</f>
        <v>836.63503509999987</v>
      </c>
      <c r="I7528" s="166"/>
      <c r="J7528" s="152">
        <v>0</v>
      </c>
    </row>
    <row r="7529" spans="1:10" ht="15.75" hidden="1" thickBot="1" x14ac:dyDescent="0.3">
      <c r="A7529" s="176"/>
      <c r="B7529" s="174"/>
      <c r="C7529" s="35" t="s">
        <v>1233</v>
      </c>
      <c r="D7529" s="35" t="s">
        <v>583</v>
      </c>
      <c r="E7529" s="36">
        <v>5.3597999999999999</v>
      </c>
      <c r="F7529" s="162">
        <v>21.318000000000001</v>
      </c>
      <c r="G7529" s="162">
        <f>IF(ISNUMBER(F7529),E7529*F7529,"")</f>
        <v>114.2602164</v>
      </c>
      <c r="H7529" s="164"/>
      <c r="I7529" s="162"/>
      <c r="J7529" s="152">
        <v>0</v>
      </c>
    </row>
    <row r="7530" spans="1:10" ht="39" hidden="1" thickBot="1" x14ac:dyDescent="0.3">
      <c r="A7530" s="176"/>
      <c r="B7530" s="174"/>
      <c r="C7530" s="35" t="s">
        <v>2868</v>
      </c>
      <c r="D7530" s="35" t="s">
        <v>813</v>
      </c>
      <c r="E7530" s="36">
        <v>0.4118</v>
      </c>
      <c r="F7530" s="162">
        <v>298.89849999999996</v>
      </c>
      <c r="G7530" s="162">
        <f>IF(ISNUMBER(F7530),E7530*F7530,"")</f>
        <v>123.08640229999997</v>
      </c>
      <c r="H7530" s="164"/>
      <c r="I7530" s="162"/>
      <c r="J7530" s="152">
        <v>0</v>
      </c>
    </row>
    <row r="7531" spans="1:10" ht="39" hidden="1" thickBot="1" x14ac:dyDescent="0.3">
      <c r="A7531" s="176"/>
      <c r="B7531" s="174"/>
      <c r="C7531" s="35" t="s">
        <v>2875</v>
      </c>
      <c r="D7531" s="35" t="s">
        <v>815</v>
      </c>
      <c r="E7531" s="36">
        <v>3.0331999999999999</v>
      </c>
      <c r="F7531" s="162">
        <v>142.83249999999998</v>
      </c>
      <c r="G7531" s="162">
        <f>IF(ISNUMBER(F7531),E7531*F7531,"")</f>
        <v>433.23953899999992</v>
      </c>
      <c r="H7531" s="164"/>
      <c r="I7531" s="162"/>
      <c r="J7531" s="152">
        <v>0</v>
      </c>
    </row>
    <row r="7532" spans="1:10" ht="26.25" hidden="1" thickBot="1" x14ac:dyDescent="0.3">
      <c r="A7532" s="176"/>
      <c r="B7532" s="174"/>
      <c r="C7532" s="35" t="s">
        <v>2920</v>
      </c>
      <c r="D7532" s="35" t="s">
        <v>583</v>
      </c>
      <c r="E7532" s="36">
        <v>5.3597999999999999</v>
      </c>
      <c r="F7532" s="162">
        <v>29.012999999999998</v>
      </c>
      <c r="G7532" s="162">
        <f>IF(ISNUMBER(F7532),E7532*F7532,"")</f>
        <v>155.50387739999999</v>
      </c>
      <c r="H7532" s="164"/>
      <c r="I7532" s="162"/>
      <c r="J7532" s="152">
        <v>0</v>
      </c>
    </row>
    <row r="7533" spans="1:10" ht="15.75" hidden="1" thickBot="1" x14ac:dyDescent="0.3">
      <c r="A7533" s="176"/>
      <c r="B7533" s="174"/>
      <c r="C7533" s="35" t="s">
        <v>7095</v>
      </c>
      <c r="D7533" s="169" t="s">
        <v>16</v>
      </c>
      <c r="E7533" s="36">
        <v>1</v>
      </c>
      <c r="F7533" s="162" t="s">
        <v>416</v>
      </c>
      <c r="G7533" s="162" t="str">
        <f>IF(ISNUMBER(F7533),E7533*F7533,"")</f>
        <v/>
      </c>
      <c r="H7533" s="164"/>
      <c r="I7533" s="162"/>
      <c r="J7533" s="152">
        <v>0</v>
      </c>
    </row>
    <row r="7534" spans="1:10" ht="39" hidden="1" thickBot="1" x14ac:dyDescent="0.3">
      <c r="A7534" s="176"/>
      <c r="B7534" s="174"/>
      <c r="C7534" s="35" t="s">
        <v>7090</v>
      </c>
      <c r="D7534" s="169" t="s">
        <v>16</v>
      </c>
      <c r="E7534" s="36">
        <v>1</v>
      </c>
      <c r="F7534" s="162" t="s">
        <v>416</v>
      </c>
      <c r="G7534" s="162" t="str">
        <f>IF(ISNUMBER(F7534),E7534*F7534,"")</f>
        <v/>
      </c>
      <c r="H7534" s="164"/>
      <c r="I7534" s="162"/>
      <c r="J7534" s="152">
        <v>0</v>
      </c>
    </row>
    <row r="7535" spans="1:10" ht="26.25" hidden="1" thickBot="1" x14ac:dyDescent="0.3">
      <c r="A7535" s="176"/>
      <c r="B7535" s="174"/>
      <c r="C7535" s="35" t="s">
        <v>7091</v>
      </c>
      <c r="D7535" s="169" t="s">
        <v>16</v>
      </c>
      <c r="E7535" s="36">
        <v>1</v>
      </c>
      <c r="F7535" s="162" t="s">
        <v>416</v>
      </c>
      <c r="G7535" s="162" t="str">
        <f>IF(ISNUMBER(F7535),E7535*F7535,"")</f>
        <v/>
      </c>
      <c r="H7535" s="164"/>
      <c r="I7535" s="162"/>
      <c r="J7535" s="152">
        <v>0</v>
      </c>
    </row>
    <row r="7536" spans="1:10" ht="39" hidden="1" thickBot="1" x14ac:dyDescent="0.3">
      <c r="A7536" s="176"/>
      <c r="B7536" s="174"/>
      <c r="C7536" s="35" t="s">
        <v>7092</v>
      </c>
      <c r="D7536" s="169" t="s">
        <v>16</v>
      </c>
      <c r="E7536" s="36">
        <v>2</v>
      </c>
      <c r="F7536" s="162" t="s">
        <v>416</v>
      </c>
      <c r="G7536" s="162" t="str">
        <f>IF(ISNUMBER(F7536),E7536*F7536,"")</f>
        <v/>
      </c>
      <c r="H7536" s="164"/>
      <c r="I7536" s="162"/>
      <c r="J7536" s="152">
        <v>0</v>
      </c>
    </row>
    <row r="7537" spans="1:10" ht="26.25" hidden="1" thickBot="1" x14ac:dyDescent="0.3">
      <c r="A7537" s="176"/>
      <c r="B7537" s="174"/>
      <c r="C7537" s="35" t="s">
        <v>7093</v>
      </c>
      <c r="D7537" s="169" t="s">
        <v>16</v>
      </c>
      <c r="E7537" s="36">
        <v>1</v>
      </c>
      <c r="F7537" s="162" t="s">
        <v>416</v>
      </c>
      <c r="G7537" s="162" t="str">
        <f>IF(ISNUMBER(F7537),E7537*F7537,"")</f>
        <v/>
      </c>
      <c r="H7537" s="164"/>
      <c r="I7537" s="162"/>
      <c r="J7537" s="152">
        <v>0</v>
      </c>
    </row>
    <row r="7538" spans="1:10" ht="39" hidden="1" thickBot="1" x14ac:dyDescent="0.3">
      <c r="A7538" s="176"/>
      <c r="B7538" s="174"/>
      <c r="C7538" s="35" t="s">
        <v>7094</v>
      </c>
      <c r="D7538" s="169" t="s">
        <v>16</v>
      </c>
      <c r="E7538" s="36">
        <v>1</v>
      </c>
      <c r="F7538" s="162" t="s">
        <v>416</v>
      </c>
      <c r="G7538" s="162" t="str">
        <f>IF(ISNUMBER(F7538),E7538*F7538,"")</f>
        <v/>
      </c>
      <c r="H7538" s="164"/>
      <c r="I7538" s="162"/>
      <c r="J7538" s="152">
        <v>0</v>
      </c>
    </row>
    <row r="7539" spans="1:10" ht="15.75" hidden="1" thickBot="1" x14ac:dyDescent="0.3">
      <c r="A7539" s="176"/>
      <c r="B7539" s="175"/>
      <c r="C7539" s="35"/>
      <c r="D7539" s="35"/>
      <c r="E7539" s="36"/>
      <c r="F7539" s="162" t="s">
        <v>416</v>
      </c>
      <c r="G7539" s="162" t="str">
        <f>IF(ISNUMBER(F7539),E7539*F7539,"")</f>
        <v/>
      </c>
      <c r="H7539" s="164"/>
      <c r="I7539" s="162"/>
      <c r="J7539" s="152">
        <v>0</v>
      </c>
    </row>
    <row r="7540" spans="1:10" ht="15.75" hidden="1" thickBot="1" x14ac:dyDescent="0.3">
      <c r="A7540" s="170" t="s">
        <v>6783</v>
      </c>
      <c r="B7540" s="173" t="str">
        <f>INDEX(Orçamentária!A:B,MATCH(Composições!A7540,Orçamentária!A:A,0),2)</f>
        <v>Quadro para acionamento, proteção e controle de sistema de climatização por fan coil – capacidade até 5 TR</v>
      </c>
      <c r="C7540" s="40"/>
      <c r="D7540" s="25" t="s">
        <v>16</v>
      </c>
      <c r="E7540" s="26"/>
      <c r="F7540" s="167" t="s">
        <v>416</v>
      </c>
      <c r="G7540" s="27" t="str">
        <f>IF(ISNUMBER(F7540),E7540*F7540,"")</f>
        <v/>
      </c>
      <c r="H7540" s="28"/>
      <c r="I7540" s="29"/>
      <c r="J7540" s="152">
        <v>0</v>
      </c>
    </row>
    <row r="7541" spans="1:10" ht="15.75" hidden="1" thickBot="1" x14ac:dyDescent="0.3">
      <c r="A7541" s="176"/>
      <c r="B7541" s="174"/>
      <c r="C7541" s="31"/>
      <c r="D7541" s="31"/>
      <c r="E7541" s="32"/>
      <c r="F7541" s="168" t="s">
        <v>416</v>
      </c>
      <c r="G7541" s="162" t="str">
        <f>IF(ISNUMBER(F7541),E7541*F7541,"")</f>
        <v/>
      </c>
      <c r="H7541" s="164"/>
      <c r="I7541" s="162"/>
      <c r="J7541" s="152">
        <v>0</v>
      </c>
    </row>
    <row r="7542" spans="1:10" ht="26.25" hidden="1" thickBot="1" x14ac:dyDescent="0.3">
      <c r="A7542" s="176"/>
      <c r="B7542" s="174"/>
      <c r="C7542" s="35" t="s">
        <v>6979</v>
      </c>
      <c r="D7542" s="169" t="s">
        <v>16</v>
      </c>
      <c r="E7542" s="36">
        <v>1</v>
      </c>
      <c r="F7542" s="163" t="s">
        <v>416</v>
      </c>
      <c r="G7542" s="162" t="str">
        <f>IF(ISNUMBER(F7542),E7542*F7542,"")</f>
        <v/>
      </c>
      <c r="H7542" s="165">
        <f>SUM(G7542:G7545)</f>
        <v>47.417608440249602</v>
      </c>
      <c r="I7542" s="166"/>
      <c r="J7542" s="152">
        <v>0</v>
      </c>
    </row>
    <row r="7543" spans="1:10" ht="39" hidden="1" thickBot="1" x14ac:dyDescent="0.3">
      <c r="A7543" s="176"/>
      <c r="B7543" s="174"/>
      <c r="C7543" s="35" t="s">
        <v>2897</v>
      </c>
      <c r="D7543" s="169" t="s">
        <v>87</v>
      </c>
      <c r="E7543" s="36">
        <v>1.9199999999999998E-2</v>
      </c>
      <c r="F7543" s="162">
        <v>838.58271563799997</v>
      </c>
      <c r="G7543" s="162">
        <f>IF(ISNUMBER(F7543),E7543*F7543,"")</f>
        <v>16.100788140249598</v>
      </c>
      <c r="H7543" s="164"/>
      <c r="I7543" s="162"/>
      <c r="J7543" s="152">
        <v>0</v>
      </c>
    </row>
    <row r="7544" spans="1:10" ht="15.75" hidden="1" thickBot="1" x14ac:dyDescent="0.3">
      <c r="A7544" s="176"/>
      <c r="B7544" s="174"/>
      <c r="C7544" s="35" t="s">
        <v>1017</v>
      </c>
      <c r="D7544" s="35" t="s">
        <v>583</v>
      </c>
      <c r="E7544" s="36">
        <v>0.63370000000000004</v>
      </c>
      <c r="F7544" s="162">
        <v>21.584</v>
      </c>
      <c r="G7544" s="162">
        <f>IF(ISNUMBER(F7544),E7544*F7544,"")</f>
        <v>13.677780800000001</v>
      </c>
      <c r="H7544" s="164"/>
      <c r="I7544" s="162"/>
      <c r="J7544" s="152">
        <v>0</v>
      </c>
    </row>
    <row r="7545" spans="1:10" ht="15.75" hidden="1" thickBot="1" x14ac:dyDescent="0.3">
      <c r="A7545" s="176"/>
      <c r="B7545" s="174"/>
      <c r="C7545" s="35" t="s">
        <v>1018</v>
      </c>
      <c r="D7545" s="35" t="s">
        <v>583</v>
      </c>
      <c r="E7545" s="36">
        <v>0.63370000000000004</v>
      </c>
      <c r="F7545" s="162">
        <v>27.835000000000001</v>
      </c>
      <c r="G7545" s="163">
        <f>IF(ISNUMBER(F7545),E7545*F7545,"")</f>
        <v>17.639039500000003</v>
      </c>
      <c r="H7545" s="164"/>
      <c r="I7545" s="162"/>
      <c r="J7545" s="152">
        <v>0</v>
      </c>
    </row>
    <row r="7546" spans="1:10" ht="15.75" hidden="1" thickBot="1" x14ac:dyDescent="0.3">
      <c r="A7546" s="176"/>
      <c r="B7546" s="175"/>
      <c r="C7546" s="35"/>
      <c r="D7546" s="35"/>
      <c r="E7546" s="36"/>
      <c r="F7546" s="162" t="s">
        <v>416</v>
      </c>
      <c r="G7546" s="162" t="str">
        <f>IF(ISNUMBER(F7546),E7546*F7546,"")</f>
        <v/>
      </c>
      <c r="H7546" s="164"/>
      <c r="I7546" s="162"/>
      <c r="J7546" s="152">
        <v>0</v>
      </c>
    </row>
    <row r="7547" spans="1:10" ht="15.75" hidden="1" thickBot="1" x14ac:dyDescent="0.3">
      <c r="A7547" s="170" t="s">
        <v>6791</v>
      </c>
      <c r="B7547" s="173" t="str">
        <f>INDEX(Orçamentária!A:B,MATCH(Composições!A7547,Orçamentária!A:A,0),2)</f>
        <v>Curva de transposição PVC soldável 25 mm</v>
      </c>
      <c r="C7547" s="40"/>
      <c r="D7547" s="25" t="s">
        <v>16</v>
      </c>
      <c r="E7547" s="26"/>
      <c r="F7547" s="41" t="s">
        <v>416</v>
      </c>
      <c r="G7547" s="27" t="str">
        <f>IF(ISNUMBER(F7547),E7547*F7547,"")</f>
        <v/>
      </c>
      <c r="H7547" s="28"/>
      <c r="I7547" s="29"/>
      <c r="J7547" s="152">
        <v>0</v>
      </c>
    </row>
    <row r="7548" spans="1:10" ht="15.75" hidden="1" thickBot="1" x14ac:dyDescent="0.3">
      <c r="A7548" s="176"/>
      <c r="B7548" s="174"/>
      <c r="C7548" s="31"/>
      <c r="D7548" s="31"/>
      <c r="E7548" s="32"/>
      <c r="F7548" s="42" t="s">
        <v>416</v>
      </c>
      <c r="G7548" s="33" t="str">
        <f>IF(ISNUMBER(F7548),E7548*F7548,"")</f>
        <v/>
      </c>
      <c r="H7548" s="34"/>
      <c r="I7548" s="30"/>
      <c r="J7548" s="152">
        <v>0</v>
      </c>
    </row>
    <row r="7549" spans="1:10" ht="26.25" hidden="1" thickBot="1" x14ac:dyDescent="0.3">
      <c r="A7549" s="176"/>
      <c r="B7549" s="174"/>
      <c r="C7549" s="35" t="s">
        <v>8110</v>
      </c>
      <c r="D7549" s="35" t="s">
        <v>213</v>
      </c>
      <c r="E7549" s="36">
        <v>1</v>
      </c>
      <c r="F7549" s="30">
        <v>6.6025</v>
      </c>
      <c r="G7549" s="33">
        <f>IF(ISNUMBER(F7549),E7549*F7549,"")</f>
        <v>6.6025</v>
      </c>
      <c r="H7549" s="38">
        <f>SUM(G7549:G7549)</f>
        <v>6.6025</v>
      </c>
      <c r="I7549" s="39"/>
      <c r="J7549" s="152">
        <v>0</v>
      </c>
    </row>
    <row r="7550" spans="1:10" ht="15.75" hidden="1" thickBot="1" x14ac:dyDescent="0.3">
      <c r="A7550" s="177"/>
      <c r="B7550" s="175"/>
      <c r="C7550" s="54"/>
      <c r="D7550" s="54"/>
      <c r="E7550" s="65"/>
      <c r="F7550" s="66" t="s">
        <v>416</v>
      </c>
      <c r="G7550" s="67" t="str">
        <f>IF(ISNUMBER(F7550),E7550*F7550,"")</f>
        <v/>
      </c>
      <c r="H7550" s="68"/>
      <c r="I7550" s="30"/>
      <c r="J7550" s="152">
        <v>0</v>
      </c>
    </row>
    <row r="7551" spans="1:10" ht="15.75" hidden="1" thickBot="1" x14ac:dyDescent="0.3">
      <c r="A7551" s="170" t="s">
        <v>6792</v>
      </c>
      <c r="B7551" s="173" t="str">
        <f>INDEX(Orçamentária!A:B,MATCH(Composições!A7551,Orçamentária!A:A,0),2)</f>
        <v>Joelho 90° PVC soldável 25 mm</v>
      </c>
      <c r="C7551" s="40"/>
      <c r="D7551" s="25" t="s">
        <v>16</v>
      </c>
      <c r="E7551" s="26"/>
      <c r="F7551" s="41" t="s">
        <v>416</v>
      </c>
      <c r="G7551" s="27" t="str">
        <f>IF(ISNUMBER(F7551),E7551*F7551,"")</f>
        <v/>
      </c>
      <c r="H7551" s="28"/>
      <c r="I7551" s="29"/>
      <c r="J7551" s="152">
        <v>0</v>
      </c>
    </row>
    <row r="7552" spans="1:10" ht="15.75" hidden="1" thickBot="1" x14ac:dyDescent="0.3">
      <c r="A7552" s="176"/>
      <c r="B7552" s="174"/>
      <c r="C7552" s="31"/>
      <c r="D7552" s="31"/>
      <c r="E7552" s="32"/>
      <c r="F7552" s="42" t="s">
        <v>416</v>
      </c>
      <c r="G7552" s="33" t="str">
        <f>IF(ISNUMBER(F7552),E7552*F7552,"")</f>
        <v/>
      </c>
      <c r="H7552" s="34"/>
      <c r="I7552" s="30"/>
      <c r="J7552" s="152">
        <v>0</v>
      </c>
    </row>
    <row r="7553" spans="1:10" ht="26.25" hidden="1" thickBot="1" x14ac:dyDescent="0.3">
      <c r="A7553" s="176"/>
      <c r="B7553" s="174"/>
      <c r="C7553" s="35" t="s">
        <v>8199</v>
      </c>
      <c r="D7553" s="35" t="s">
        <v>213</v>
      </c>
      <c r="E7553" s="36">
        <v>1</v>
      </c>
      <c r="F7553" s="30">
        <v>0.72199999999999998</v>
      </c>
      <c r="G7553" s="33">
        <f>IF(ISNUMBER(F7553),E7553*F7553,"")</f>
        <v>0.72199999999999998</v>
      </c>
      <c r="H7553" s="38">
        <f>SUM(G7553:G7553)</f>
        <v>0.72199999999999998</v>
      </c>
      <c r="I7553" s="39"/>
      <c r="J7553" s="152">
        <v>0</v>
      </c>
    </row>
    <row r="7554" spans="1:10" ht="15.75" hidden="1" thickBot="1" x14ac:dyDescent="0.3">
      <c r="A7554" s="177"/>
      <c r="B7554" s="175"/>
      <c r="C7554" s="54"/>
      <c r="D7554" s="54"/>
      <c r="E7554" s="65"/>
      <c r="F7554" s="66" t="s">
        <v>416</v>
      </c>
      <c r="G7554" s="67" t="str">
        <f>IF(ISNUMBER(F7554),E7554*F7554,"")</f>
        <v/>
      </c>
      <c r="H7554" s="68"/>
      <c r="I7554" s="30"/>
      <c r="J7554" s="152">
        <v>0</v>
      </c>
    </row>
    <row r="7555" spans="1:10" ht="15.75" hidden="1" thickBot="1" x14ac:dyDescent="0.3">
      <c r="A7555" s="170" t="s">
        <v>6793</v>
      </c>
      <c r="B7555" s="173" t="str">
        <f>INDEX(Orçamentária!A:B,MATCH(Composições!A7555,Orçamentária!A:A,0),2)</f>
        <v>Joelho 45° PVC soldável 25 mm</v>
      </c>
      <c r="C7555" s="40"/>
      <c r="D7555" s="25" t="s">
        <v>16</v>
      </c>
      <c r="E7555" s="26"/>
      <c r="F7555" s="41" t="s">
        <v>416</v>
      </c>
      <c r="G7555" s="27" t="str">
        <f>IF(ISNUMBER(F7555),E7555*F7555,"")</f>
        <v/>
      </c>
      <c r="H7555" s="28"/>
      <c r="I7555" s="29"/>
      <c r="J7555" s="152">
        <v>0</v>
      </c>
    </row>
    <row r="7556" spans="1:10" ht="15.75" hidden="1" thickBot="1" x14ac:dyDescent="0.3">
      <c r="A7556" s="176"/>
      <c r="B7556" s="174"/>
      <c r="C7556" s="31"/>
      <c r="D7556" s="31"/>
      <c r="E7556" s="32"/>
      <c r="F7556" s="42" t="s">
        <v>416</v>
      </c>
      <c r="G7556" s="33" t="str">
        <f>IF(ISNUMBER(F7556),E7556*F7556,"")</f>
        <v/>
      </c>
      <c r="H7556" s="34"/>
      <c r="I7556" s="30"/>
      <c r="J7556" s="152">
        <v>0</v>
      </c>
    </row>
    <row r="7557" spans="1:10" ht="26.25" hidden="1" thickBot="1" x14ac:dyDescent="0.3">
      <c r="A7557" s="176"/>
      <c r="B7557" s="174"/>
      <c r="C7557" s="35" t="s">
        <v>8205</v>
      </c>
      <c r="D7557" s="35" t="s">
        <v>213</v>
      </c>
      <c r="E7557" s="36">
        <v>1</v>
      </c>
      <c r="F7557" s="30">
        <v>1.482</v>
      </c>
      <c r="G7557" s="33">
        <f>IF(ISNUMBER(F7557),E7557*F7557,"")</f>
        <v>1.482</v>
      </c>
      <c r="H7557" s="38">
        <f>SUM(G7557:G7557)</f>
        <v>1.482</v>
      </c>
      <c r="I7557" s="39"/>
      <c r="J7557" s="152">
        <v>0</v>
      </c>
    </row>
    <row r="7558" spans="1:10" ht="15.75" hidden="1" thickBot="1" x14ac:dyDescent="0.3">
      <c r="A7558" s="177"/>
      <c r="B7558" s="175"/>
      <c r="C7558" s="54"/>
      <c r="D7558" s="54"/>
      <c r="E7558" s="65"/>
      <c r="F7558" s="66" t="s">
        <v>416</v>
      </c>
      <c r="G7558" s="67" t="str">
        <f>IF(ISNUMBER(F7558),E7558*F7558,"")</f>
        <v/>
      </c>
      <c r="H7558" s="68"/>
      <c r="I7558" s="30"/>
      <c r="J7558" s="152">
        <v>0</v>
      </c>
    </row>
    <row r="7559" spans="1:10" ht="15.75" hidden="1" thickBot="1" x14ac:dyDescent="0.3">
      <c r="A7559" s="170" t="s">
        <v>6794</v>
      </c>
      <c r="B7559" s="173" t="str">
        <f>INDEX(Orçamentária!A:B,MATCH(Composições!A7559,Orçamentária!A:A,0),2)</f>
        <v>Joelho 90° PVC soldável com rosca 25 mm x 1/2” ou 3/4”</v>
      </c>
      <c r="C7559" s="40"/>
      <c r="D7559" s="25" t="s">
        <v>16</v>
      </c>
      <c r="E7559" s="26"/>
      <c r="F7559" s="41" t="s">
        <v>416</v>
      </c>
      <c r="G7559" s="27" t="str">
        <f>IF(ISNUMBER(F7559),E7559*F7559,"")</f>
        <v/>
      </c>
      <c r="H7559" s="28"/>
      <c r="I7559" s="29"/>
      <c r="J7559" s="152">
        <v>0</v>
      </c>
    </row>
    <row r="7560" spans="1:10" ht="15.75" hidden="1" thickBot="1" x14ac:dyDescent="0.3">
      <c r="A7560" s="176"/>
      <c r="B7560" s="174"/>
      <c r="C7560" s="31"/>
      <c r="D7560" s="31"/>
      <c r="E7560" s="32"/>
      <c r="F7560" s="42" t="s">
        <v>416</v>
      </c>
      <c r="G7560" s="33" t="str">
        <f>IF(ISNUMBER(F7560),E7560*F7560,"")</f>
        <v/>
      </c>
      <c r="H7560" s="34"/>
      <c r="I7560" s="30"/>
      <c r="J7560" s="152">
        <v>0</v>
      </c>
    </row>
    <row r="7561" spans="1:10" ht="26.25" hidden="1" thickBot="1" x14ac:dyDescent="0.3">
      <c r="A7561" s="176"/>
      <c r="B7561" s="174"/>
      <c r="C7561" s="35" t="s">
        <v>8185</v>
      </c>
      <c r="D7561" s="35" t="s">
        <v>213</v>
      </c>
      <c r="E7561" s="36">
        <v>1</v>
      </c>
      <c r="F7561" s="30">
        <v>2.3939999999999997</v>
      </c>
      <c r="G7561" s="33">
        <f>IF(ISNUMBER(F7561),E7561*F7561,"")</f>
        <v>2.3939999999999997</v>
      </c>
      <c r="H7561" s="38">
        <f>SUM(G7561:G7561)</f>
        <v>2.3939999999999997</v>
      </c>
      <c r="I7561" s="39"/>
      <c r="J7561" s="152">
        <v>0</v>
      </c>
    </row>
    <row r="7562" spans="1:10" ht="15.75" hidden="1" thickBot="1" x14ac:dyDescent="0.3">
      <c r="A7562" s="177"/>
      <c r="B7562" s="175"/>
      <c r="C7562" s="54"/>
      <c r="D7562" s="54"/>
      <c r="E7562" s="65"/>
      <c r="F7562" s="66" t="s">
        <v>416</v>
      </c>
      <c r="G7562" s="67" t="str">
        <f>IF(ISNUMBER(F7562),E7562*F7562,"")</f>
        <v/>
      </c>
      <c r="H7562" s="68"/>
      <c r="I7562" s="30"/>
      <c r="J7562" s="152">
        <v>0</v>
      </c>
    </row>
    <row r="7563" spans="1:10" ht="15.75" hidden="1" thickBot="1" x14ac:dyDescent="0.3">
      <c r="A7563" s="170" t="s">
        <v>6795</v>
      </c>
      <c r="B7563" s="173" t="str">
        <f>INDEX(Orçamentária!A:B,MATCH(Composições!A7563,Orçamentária!A:A,0),2)</f>
        <v>Joelho 90° PVC soldável com bucha de latão 25 mm x 1/2”</v>
      </c>
      <c r="C7563" s="40"/>
      <c r="D7563" s="25" t="s">
        <v>16</v>
      </c>
      <c r="E7563" s="26"/>
      <c r="F7563" s="41" t="s">
        <v>416</v>
      </c>
      <c r="G7563" s="27" t="str">
        <f>IF(ISNUMBER(F7563),E7563*F7563,"")</f>
        <v/>
      </c>
      <c r="H7563" s="28"/>
      <c r="I7563" s="29"/>
      <c r="J7563" s="152">
        <v>0</v>
      </c>
    </row>
    <row r="7564" spans="1:10" ht="15.75" hidden="1" thickBot="1" x14ac:dyDescent="0.3">
      <c r="A7564" s="176"/>
      <c r="B7564" s="174"/>
      <c r="C7564" s="31"/>
      <c r="D7564" s="31"/>
      <c r="E7564" s="32"/>
      <c r="F7564" s="42" t="s">
        <v>416</v>
      </c>
      <c r="G7564" s="33" t="str">
        <f>IF(ISNUMBER(F7564),E7564*F7564,"")</f>
        <v/>
      </c>
      <c r="H7564" s="34"/>
      <c r="I7564" s="30"/>
      <c r="J7564" s="152">
        <v>0</v>
      </c>
    </row>
    <row r="7565" spans="1:10" ht="26.25" hidden="1" thickBot="1" x14ac:dyDescent="0.3">
      <c r="A7565" s="176"/>
      <c r="B7565" s="174"/>
      <c r="C7565" s="35" t="s">
        <v>8186</v>
      </c>
      <c r="D7565" s="35" t="s">
        <v>213</v>
      </c>
      <c r="E7565" s="36">
        <v>1</v>
      </c>
      <c r="F7565" s="30">
        <v>5.2915000000000001</v>
      </c>
      <c r="G7565" s="33">
        <f>IF(ISNUMBER(F7565),E7565*F7565,"")</f>
        <v>5.2915000000000001</v>
      </c>
      <c r="H7565" s="38">
        <f>SUM(G7565:G7565)</f>
        <v>5.2915000000000001</v>
      </c>
      <c r="I7565" s="39"/>
      <c r="J7565" s="152">
        <v>0</v>
      </c>
    </row>
    <row r="7566" spans="1:10" ht="15.75" hidden="1" thickBot="1" x14ac:dyDescent="0.3">
      <c r="A7566" s="177"/>
      <c r="B7566" s="175"/>
      <c r="C7566" s="54"/>
      <c r="D7566" s="54"/>
      <c r="E7566" s="65"/>
      <c r="F7566" s="66" t="s">
        <v>416</v>
      </c>
      <c r="G7566" s="67" t="str">
        <f>IF(ISNUMBER(F7566),E7566*F7566,"")</f>
        <v/>
      </c>
      <c r="H7566" s="68"/>
      <c r="I7566" s="30"/>
      <c r="J7566" s="152">
        <v>0</v>
      </c>
    </row>
    <row r="7567" spans="1:10" ht="15.75" hidden="1" thickBot="1" x14ac:dyDescent="0.3">
      <c r="A7567" s="170" t="s">
        <v>6796</v>
      </c>
      <c r="B7567" s="173" t="str">
        <f>INDEX(Orçamentária!A:B,MATCH(Composições!A7567,Orçamentária!A:A,0),2)</f>
        <v>Joelho 90° PVC soldável com bucha de latão 25 mm x 3/4”</v>
      </c>
      <c r="C7567" s="40"/>
      <c r="D7567" s="25" t="s">
        <v>16</v>
      </c>
      <c r="E7567" s="26"/>
      <c r="F7567" s="41" t="s">
        <v>416</v>
      </c>
      <c r="G7567" s="27" t="str">
        <f>IF(ISNUMBER(F7567),E7567*F7567,"")</f>
        <v/>
      </c>
      <c r="H7567" s="28"/>
      <c r="I7567" s="29"/>
      <c r="J7567" s="152">
        <v>0</v>
      </c>
    </row>
    <row r="7568" spans="1:10" ht="15.75" hidden="1" thickBot="1" x14ac:dyDescent="0.3">
      <c r="A7568" s="176"/>
      <c r="B7568" s="174"/>
      <c r="C7568" s="31"/>
      <c r="D7568" s="31"/>
      <c r="E7568" s="32"/>
      <c r="F7568" s="42" t="s">
        <v>416</v>
      </c>
      <c r="G7568" s="33" t="str">
        <f>IF(ISNUMBER(F7568),E7568*F7568,"")</f>
        <v/>
      </c>
      <c r="H7568" s="34"/>
      <c r="I7568" s="30"/>
      <c r="J7568" s="152">
        <v>0</v>
      </c>
    </row>
    <row r="7569" spans="1:10" ht="26.25" hidden="1" thickBot="1" x14ac:dyDescent="0.3">
      <c r="A7569" s="176"/>
      <c r="B7569" s="174"/>
      <c r="C7569" s="35" t="s">
        <v>8187</v>
      </c>
      <c r="D7569" s="35" t="s">
        <v>213</v>
      </c>
      <c r="E7569" s="36">
        <v>1</v>
      </c>
      <c r="F7569" s="30">
        <v>7.9610000000000003</v>
      </c>
      <c r="G7569" s="33">
        <f>IF(ISNUMBER(F7569),E7569*F7569,"")</f>
        <v>7.9610000000000003</v>
      </c>
      <c r="H7569" s="38">
        <f>SUM(G7569:G7569)</f>
        <v>7.9610000000000003</v>
      </c>
      <c r="I7569" s="39"/>
      <c r="J7569" s="152">
        <v>0</v>
      </c>
    </row>
    <row r="7570" spans="1:10" ht="15.75" hidden="1" thickBot="1" x14ac:dyDescent="0.3">
      <c r="A7570" s="177"/>
      <c r="B7570" s="175"/>
      <c r="C7570" s="54"/>
      <c r="D7570" s="54"/>
      <c r="E7570" s="65"/>
      <c r="F7570" s="66" t="s">
        <v>416</v>
      </c>
      <c r="G7570" s="67" t="str">
        <f>IF(ISNUMBER(F7570),E7570*F7570,"")</f>
        <v/>
      </c>
      <c r="H7570" s="68"/>
      <c r="I7570" s="30"/>
      <c r="J7570" s="152">
        <v>0</v>
      </c>
    </row>
    <row r="7571" spans="1:10" ht="15.75" hidden="1" thickBot="1" x14ac:dyDescent="0.3">
      <c r="A7571" s="170" t="s">
        <v>6797</v>
      </c>
      <c r="B7571" s="173" t="str">
        <f>INDEX(Orçamentária!A:B,MATCH(Composições!A7571,Orçamentária!A:A,0),2)</f>
        <v>Tê PVC soldável 25 mm</v>
      </c>
      <c r="C7571" s="40"/>
      <c r="D7571" s="25" t="s">
        <v>16</v>
      </c>
      <c r="E7571" s="26"/>
      <c r="F7571" s="41" t="s">
        <v>416</v>
      </c>
      <c r="G7571" s="27" t="str">
        <f>IF(ISNUMBER(F7571),E7571*F7571,"")</f>
        <v/>
      </c>
      <c r="H7571" s="28"/>
      <c r="I7571" s="29"/>
      <c r="J7571" s="152">
        <v>0</v>
      </c>
    </row>
    <row r="7572" spans="1:10" ht="15.75" hidden="1" thickBot="1" x14ac:dyDescent="0.3">
      <c r="A7572" s="176"/>
      <c r="B7572" s="174"/>
      <c r="C7572" s="31"/>
      <c r="D7572" s="31"/>
      <c r="E7572" s="32"/>
      <c r="F7572" s="42" t="s">
        <v>416</v>
      </c>
      <c r="G7572" s="33" t="str">
        <f>IF(ISNUMBER(F7572),E7572*F7572,"")</f>
        <v/>
      </c>
      <c r="H7572" s="34"/>
      <c r="I7572" s="30"/>
      <c r="J7572" s="152">
        <v>0</v>
      </c>
    </row>
    <row r="7573" spans="1:10" ht="26.25" hidden="1" thickBot="1" x14ac:dyDescent="0.3">
      <c r="A7573" s="176"/>
      <c r="B7573" s="174"/>
      <c r="C7573" s="35" t="s">
        <v>8410</v>
      </c>
      <c r="D7573" s="35" t="s">
        <v>213</v>
      </c>
      <c r="E7573" s="36">
        <v>1</v>
      </c>
      <c r="F7573" s="30">
        <v>1.1875</v>
      </c>
      <c r="G7573" s="33">
        <f>IF(ISNUMBER(F7573),E7573*F7573,"")</f>
        <v>1.1875</v>
      </c>
      <c r="H7573" s="38">
        <f>SUM(G7573:G7573)</f>
        <v>1.1875</v>
      </c>
      <c r="I7573" s="39"/>
      <c r="J7573" s="152">
        <v>0</v>
      </c>
    </row>
    <row r="7574" spans="1:10" ht="15.75" hidden="1" thickBot="1" x14ac:dyDescent="0.3">
      <c r="A7574" s="177"/>
      <c r="B7574" s="175"/>
      <c r="C7574" s="54"/>
      <c r="D7574" s="54"/>
      <c r="E7574" s="65"/>
      <c r="F7574" s="66" t="s">
        <v>416</v>
      </c>
      <c r="G7574" s="67" t="str">
        <f>IF(ISNUMBER(F7574),E7574*F7574,"")</f>
        <v/>
      </c>
      <c r="H7574" s="68"/>
      <c r="I7574" s="30"/>
      <c r="J7574" s="152">
        <v>0</v>
      </c>
    </row>
    <row r="7575" spans="1:10" ht="15.75" hidden="1" thickBot="1" x14ac:dyDescent="0.3">
      <c r="A7575" s="170" t="s">
        <v>6798</v>
      </c>
      <c r="B7575" s="173" t="str">
        <f>INDEX(Orçamentária!A:B,MATCH(Composições!A7575,Orçamentária!A:A,0),2)</f>
        <v>Tê PVC soldável com rosca na bolsa central 25 mm x 3/4”</v>
      </c>
      <c r="C7575" s="40"/>
      <c r="D7575" s="25" t="s">
        <v>16</v>
      </c>
      <c r="E7575" s="26"/>
      <c r="F7575" s="41" t="s">
        <v>416</v>
      </c>
      <c r="G7575" s="27" t="str">
        <f>IF(ISNUMBER(F7575),E7575*F7575,"")</f>
        <v/>
      </c>
      <c r="H7575" s="28"/>
      <c r="I7575" s="29"/>
      <c r="J7575" s="152">
        <v>0</v>
      </c>
    </row>
    <row r="7576" spans="1:10" ht="15.75" hidden="1" thickBot="1" x14ac:dyDescent="0.3">
      <c r="A7576" s="176"/>
      <c r="B7576" s="174"/>
      <c r="C7576" s="31"/>
      <c r="D7576" s="31"/>
      <c r="E7576" s="32"/>
      <c r="F7576" s="42" t="s">
        <v>416</v>
      </c>
      <c r="G7576" s="33" t="str">
        <f>IF(ISNUMBER(F7576),E7576*F7576,"")</f>
        <v/>
      </c>
      <c r="H7576" s="34"/>
      <c r="I7576" s="30"/>
      <c r="J7576" s="152">
        <v>0</v>
      </c>
    </row>
    <row r="7577" spans="1:10" ht="26.25" hidden="1" thickBot="1" x14ac:dyDescent="0.3">
      <c r="A7577" s="176"/>
      <c r="B7577" s="174"/>
      <c r="C7577" s="35" t="s">
        <v>8408</v>
      </c>
      <c r="D7577" s="35" t="s">
        <v>213</v>
      </c>
      <c r="E7577" s="36">
        <v>1</v>
      </c>
      <c r="F7577" s="30">
        <v>4.18</v>
      </c>
      <c r="G7577" s="33">
        <f>IF(ISNUMBER(F7577),E7577*F7577,"")</f>
        <v>4.18</v>
      </c>
      <c r="H7577" s="38">
        <f>SUM(G7577:G7577)</f>
        <v>4.18</v>
      </c>
      <c r="I7577" s="39"/>
      <c r="J7577" s="152">
        <v>0</v>
      </c>
    </row>
    <row r="7578" spans="1:10" ht="15.75" hidden="1" thickBot="1" x14ac:dyDescent="0.3">
      <c r="A7578" s="177"/>
      <c r="B7578" s="175"/>
      <c r="C7578" s="54"/>
      <c r="D7578" s="54"/>
      <c r="E7578" s="65"/>
      <c r="F7578" s="66" t="s">
        <v>416</v>
      </c>
      <c r="G7578" s="67" t="str">
        <f>IF(ISNUMBER(F7578),E7578*F7578,"")</f>
        <v/>
      </c>
      <c r="H7578" s="68"/>
      <c r="I7578" s="30"/>
      <c r="J7578" s="152">
        <v>0</v>
      </c>
    </row>
    <row r="7579" spans="1:10" ht="15.75" hidden="1" thickBot="1" x14ac:dyDescent="0.3">
      <c r="A7579" s="170" t="s">
        <v>6799</v>
      </c>
      <c r="B7579" s="173" t="str">
        <f>INDEX(Orçamentária!A:B,MATCH(Composições!A7579,Orçamentária!A:A,0),2)</f>
        <v>Tê PVC soldável com rosca na bolsa central 25 mm x 1/2”</v>
      </c>
      <c r="C7579" s="40"/>
      <c r="D7579" s="25" t="s">
        <v>16</v>
      </c>
      <c r="E7579" s="26"/>
      <c r="F7579" s="41" t="s">
        <v>416</v>
      </c>
      <c r="G7579" s="27" t="str">
        <f>IF(ISNUMBER(F7579),E7579*F7579,"")</f>
        <v/>
      </c>
      <c r="H7579" s="28"/>
      <c r="I7579" s="29"/>
      <c r="J7579" s="152">
        <v>0</v>
      </c>
    </row>
    <row r="7580" spans="1:10" ht="15.75" hidden="1" thickBot="1" x14ac:dyDescent="0.3">
      <c r="A7580" s="176"/>
      <c r="B7580" s="174"/>
      <c r="C7580" s="31"/>
      <c r="D7580" s="31"/>
      <c r="E7580" s="32"/>
      <c r="F7580" s="42" t="s">
        <v>416</v>
      </c>
      <c r="G7580" s="33" t="str">
        <f>IF(ISNUMBER(F7580),E7580*F7580,"")</f>
        <v/>
      </c>
      <c r="H7580" s="34"/>
      <c r="I7580" s="30"/>
      <c r="J7580" s="152">
        <v>0</v>
      </c>
    </row>
    <row r="7581" spans="1:10" ht="26.25" hidden="1" thickBot="1" x14ac:dyDescent="0.3">
      <c r="A7581" s="176"/>
      <c r="B7581" s="174"/>
      <c r="C7581" s="35" t="s">
        <v>8407</v>
      </c>
      <c r="D7581" s="35" t="s">
        <v>213</v>
      </c>
      <c r="E7581" s="36">
        <v>1</v>
      </c>
      <c r="F7581" s="30">
        <v>5.1395</v>
      </c>
      <c r="G7581" s="33">
        <f>IF(ISNUMBER(F7581),E7581*F7581,"")</f>
        <v>5.1395</v>
      </c>
      <c r="H7581" s="38">
        <f>SUM(G7581:G7581)</f>
        <v>5.1395</v>
      </c>
      <c r="I7581" s="39"/>
      <c r="J7581" s="152">
        <v>0</v>
      </c>
    </row>
    <row r="7582" spans="1:10" ht="15.75" hidden="1" thickBot="1" x14ac:dyDescent="0.3">
      <c r="A7582" s="177"/>
      <c r="B7582" s="175"/>
      <c r="C7582" s="54"/>
      <c r="D7582" s="54"/>
      <c r="E7582" s="65"/>
      <c r="F7582" s="66" t="s">
        <v>416</v>
      </c>
      <c r="G7582" s="67" t="str">
        <f>IF(ISNUMBER(F7582),E7582*F7582,"")</f>
        <v/>
      </c>
      <c r="H7582" s="68"/>
      <c r="I7582" s="30"/>
      <c r="J7582" s="152">
        <v>0</v>
      </c>
    </row>
    <row r="7583" spans="1:10" ht="15.75" hidden="1" thickBot="1" x14ac:dyDescent="0.3">
      <c r="A7583" s="170" t="s">
        <v>6800</v>
      </c>
      <c r="B7583" s="173" t="str">
        <f>INDEX(Orçamentária!A:B,MATCH(Composições!A7583,Orçamentária!A:A,0),2)</f>
        <v>Cap PVC soldável 25 mm</v>
      </c>
      <c r="C7583" s="40"/>
      <c r="D7583" s="25" t="s">
        <v>16</v>
      </c>
      <c r="E7583" s="26"/>
      <c r="F7583" s="41" t="s">
        <v>416</v>
      </c>
      <c r="G7583" s="27" t="str">
        <f>IF(ISNUMBER(F7583),E7583*F7583,"")</f>
        <v/>
      </c>
      <c r="H7583" s="28"/>
      <c r="I7583" s="29"/>
      <c r="J7583" s="152">
        <v>0</v>
      </c>
    </row>
    <row r="7584" spans="1:10" ht="15.75" hidden="1" thickBot="1" x14ac:dyDescent="0.3">
      <c r="A7584" s="176"/>
      <c r="B7584" s="174"/>
      <c r="C7584" s="31"/>
      <c r="D7584" s="31"/>
      <c r="E7584" s="32"/>
      <c r="F7584" s="42" t="s">
        <v>416</v>
      </c>
      <c r="G7584" s="33" t="str">
        <f>IF(ISNUMBER(F7584),E7584*F7584,"")</f>
        <v/>
      </c>
      <c r="H7584" s="34"/>
      <c r="I7584" s="30"/>
      <c r="J7584" s="152">
        <v>0</v>
      </c>
    </row>
    <row r="7585" spans="1:10" ht="15.75" hidden="1" thickBot="1" x14ac:dyDescent="0.3">
      <c r="A7585" s="176"/>
      <c r="B7585" s="174"/>
      <c r="C7585" s="35" t="s">
        <v>8050</v>
      </c>
      <c r="D7585" s="35" t="s">
        <v>213</v>
      </c>
      <c r="E7585" s="36">
        <v>1</v>
      </c>
      <c r="F7585" s="30">
        <v>1.2349999999999999</v>
      </c>
      <c r="G7585" s="33">
        <f>IF(ISNUMBER(F7585),E7585*F7585,"")</f>
        <v>1.2349999999999999</v>
      </c>
      <c r="H7585" s="38">
        <f>SUM(G7585:G7585)</f>
        <v>1.2349999999999999</v>
      </c>
      <c r="I7585" s="39"/>
      <c r="J7585" s="152">
        <v>0</v>
      </c>
    </row>
    <row r="7586" spans="1:10" ht="15.75" hidden="1" thickBot="1" x14ac:dyDescent="0.3">
      <c r="A7586" s="177"/>
      <c r="B7586" s="175"/>
      <c r="C7586" s="54"/>
      <c r="D7586" s="54"/>
      <c r="E7586" s="65"/>
      <c r="F7586" s="66" t="s">
        <v>416</v>
      </c>
      <c r="G7586" s="67" t="str">
        <f>IF(ISNUMBER(F7586),E7586*F7586,"")</f>
        <v/>
      </c>
      <c r="H7586" s="68"/>
      <c r="I7586" s="30"/>
      <c r="J7586" s="152">
        <v>0</v>
      </c>
    </row>
    <row r="7587" spans="1:10" ht="15.75" hidden="1" thickBot="1" x14ac:dyDescent="0.3">
      <c r="A7587" s="170" t="s">
        <v>6801</v>
      </c>
      <c r="B7587" s="173" t="str">
        <f>INDEX(Orçamentária!A:B,MATCH(Composições!A7587,Orçamentária!A:A,0),2)</f>
        <v>Luva PVC soldável com rosca 25 mm x 1/2” ou 3/4”</v>
      </c>
      <c r="C7587" s="40"/>
      <c r="D7587" s="25" t="s">
        <v>16</v>
      </c>
      <c r="E7587" s="26"/>
      <c r="F7587" s="41" t="s">
        <v>416</v>
      </c>
      <c r="G7587" s="27" t="str">
        <f>IF(ISNUMBER(F7587),E7587*F7587,"")</f>
        <v/>
      </c>
      <c r="H7587" s="28"/>
      <c r="I7587" s="29"/>
      <c r="J7587" s="152">
        <v>0</v>
      </c>
    </row>
    <row r="7588" spans="1:10" ht="15.75" hidden="1" thickBot="1" x14ac:dyDescent="0.3">
      <c r="A7588" s="176"/>
      <c r="B7588" s="174"/>
      <c r="C7588" s="31"/>
      <c r="D7588" s="31"/>
      <c r="E7588" s="32"/>
      <c r="F7588" s="42" t="s">
        <v>416</v>
      </c>
      <c r="G7588" s="33" t="str">
        <f>IF(ISNUMBER(F7588),E7588*F7588,"")</f>
        <v/>
      </c>
      <c r="H7588" s="34"/>
      <c r="I7588" s="30"/>
      <c r="J7588" s="152">
        <v>0</v>
      </c>
    </row>
    <row r="7589" spans="1:10" ht="26.25" hidden="1" thickBot="1" x14ac:dyDescent="0.3">
      <c r="A7589" s="176"/>
      <c r="B7589" s="174"/>
      <c r="C7589" s="35" t="s">
        <v>8282</v>
      </c>
      <c r="D7589" s="35" t="s">
        <v>213</v>
      </c>
      <c r="E7589" s="36">
        <v>1</v>
      </c>
      <c r="F7589" s="30">
        <v>1.8144999999999998</v>
      </c>
      <c r="G7589" s="33">
        <f>IF(ISNUMBER(F7589),E7589*F7589,"")</f>
        <v>1.8144999999999998</v>
      </c>
      <c r="H7589" s="38">
        <f>SUM(G7589:G7589)</f>
        <v>1.8144999999999998</v>
      </c>
      <c r="I7589" s="39"/>
      <c r="J7589" s="152">
        <v>0</v>
      </c>
    </row>
    <row r="7590" spans="1:10" ht="15.75" hidden="1" thickBot="1" x14ac:dyDescent="0.3">
      <c r="A7590" s="177"/>
      <c r="B7590" s="175"/>
      <c r="C7590" s="54"/>
      <c r="D7590" s="54"/>
      <c r="E7590" s="65"/>
      <c r="F7590" s="66" t="s">
        <v>416</v>
      </c>
      <c r="G7590" s="67" t="str">
        <f>IF(ISNUMBER(F7590),E7590*F7590,"")</f>
        <v/>
      </c>
      <c r="H7590" s="68"/>
      <c r="I7590" s="30"/>
      <c r="J7590" s="152">
        <v>0</v>
      </c>
    </row>
    <row r="7591" spans="1:10" ht="15.75" hidden="1" thickBot="1" x14ac:dyDescent="0.3">
      <c r="A7591" s="170" t="s">
        <v>6802</v>
      </c>
      <c r="B7591" s="173" t="str">
        <f>INDEX(Orçamentária!A:B,MATCH(Composições!A7591,Orçamentária!A:A,0),2)</f>
        <v>Luva PVC soldável com bucha de latão 25 mm x 1/2”</v>
      </c>
      <c r="C7591" s="40"/>
      <c r="D7591" s="25" t="s">
        <v>16</v>
      </c>
      <c r="E7591" s="26"/>
      <c r="F7591" s="41" t="s">
        <v>416</v>
      </c>
      <c r="G7591" s="27" t="str">
        <f>IF(ISNUMBER(F7591),E7591*F7591,"")</f>
        <v/>
      </c>
      <c r="H7591" s="28"/>
      <c r="I7591" s="29"/>
      <c r="J7591" s="152">
        <v>0</v>
      </c>
    </row>
    <row r="7592" spans="1:10" ht="15.75" hidden="1" thickBot="1" x14ac:dyDescent="0.3">
      <c r="A7592" s="176"/>
      <c r="B7592" s="174"/>
      <c r="C7592" s="31"/>
      <c r="D7592" s="31"/>
      <c r="E7592" s="32"/>
      <c r="F7592" s="42" t="s">
        <v>416</v>
      </c>
      <c r="G7592" s="33" t="str">
        <f>IF(ISNUMBER(F7592),E7592*F7592,"")</f>
        <v/>
      </c>
      <c r="H7592" s="34"/>
      <c r="I7592" s="30"/>
      <c r="J7592" s="152">
        <v>0</v>
      </c>
    </row>
    <row r="7593" spans="1:10" ht="15.75" hidden="1" thickBot="1" x14ac:dyDescent="0.3">
      <c r="A7593" s="176"/>
      <c r="B7593" s="174"/>
      <c r="C7593" s="35" t="s">
        <v>8280</v>
      </c>
      <c r="D7593" s="35" t="s">
        <v>213</v>
      </c>
      <c r="E7593" s="36">
        <v>1</v>
      </c>
      <c r="F7593" s="30">
        <v>5.9089999999999998</v>
      </c>
      <c r="G7593" s="33">
        <f>IF(ISNUMBER(F7593),E7593*F7593,"")</f>
        <v>5.9089999999999998</v>
      </c>
      <c r="H7593" s="38">
        <f>SUM(G7593:G7593)</f>
        <v>5.9089999999999998</v>
      </c>
      <c r="I7593" s="39"/>
      <c r="J7593" s="152">
        <v>0</v>
      </c>
    </row>
    <row r="7594" spans="1:10" ht="15.75" hidden="1" thickBot="1" x14ac:dyDescent="0.3">
      <c r="A7594" s="177"/>
      <c r="B7594" s="175"/>
      <c r="C7594" s="54"/>
      <c r="D7594" s="54"/>
      <c r="E7594" s="65"/>
      <c r="F7594" s="66" t="s">
        <v>416</v>
      </c>
      <c r="G7594" s="67" t="str">
        <f>IF(ISNUMBER(F7594),E7594*F7594,"")</f>
        <v/>
      </c>
      <c r="H7594" s="68"/>
      <c r="I7594" s="30"/>
      <c r="J7594" s="152">
        <v>0</v>
      </c>
    </row>
    <row r="7595" spans="1:10" ht="15.75" hidden="1" thickBot="1" x14ac:dyDescent="0.3">
      <c r="A7595" s="170" t="s">
        <v>6803</v>
      </c>
      <c r="B7595" s="173" t="str">
        <f>INDEX(Orçamentária!A:B,MATCH(Composições!A7595,Orçamentária!A:A,0),2)</f>
        <v>Luva PVC soldável com bucha de latão 25 mm x 3/4”</v>
      </c>
      <c r="C7595" s="40"/>
      <c r="D7595" s="25" t="s">
        <v>16</v>
      </c>
      <c r="E7595" s="26"/>
      <c r="F7595" s="41" t="s">
        <v>416</v>
      </c>
      <c r="G7595" s="27" t="str">
        <f>IF(ISNUMBER(F7595),E7595*F7595,"")</f>
        <v/>
      </c>
      <c r="H7595" s="28"/>
      <c r="I7595" s="29"/>
      <c r="J7595" s="152">
        <v>0</v>
      </c>
    </row>
    <row r="7596" spans="1:10" ht="15.75" hidden="1" thickBot="1" x14ac:dyDescent="0.3">
      <c r="A7596" s="176"/>
      <c r="B7596" s="174"/>
      <c r="C7596" s="31"/>
      <c r="D7596" s="31"/>
      <c r="E7596" s="32"/>
      <c r="F7596" s="42" t="s">
        <v>416</v>
      </c>
      <c r="G7596" s="33" t="str">
        <f>IF(ISNUMBER(F7596),E7596*F7596,"")</f>
        <v/>
      </c>
      <c r="H7596" s="34"/>
      <c r="I7596" s="30"/>
      <c r="J7596" s="152">
        <v>0</v>
      </c>
    </row>
    <row r="7597" spans="1:10" ht="15.75" hidden="1" thickBot="1" x14ac:dyDescent="0.3">
      <c r="A7597" s="176"/>
      <c r="B7597" s="174"/>
      <c r="C7597" s="35" t="s">
        <v>8281</v>
      </c>
      <c r="D7597" s="35" t="s">
        <v>213</v>
      </c>
      <c r="E7597" s="36">
        <v>1</v>
      </c>
      <c r="F7597" s="30">
        <v>6.4885000000000002</v>
      </c>
      <c r="G7597" s="33">
        <f>IF(ISNUMBER(F7597),E7597*F7597,"")</f>
        <v>6.4885000000000002</v>
      </c>
      <c r="H7597" s="38">
        <f>SUM(G7597:G7597)</f>
        <v>6.4885000000000002</v>
      </c>
      <c r="I7597" s="39"/>
      <c r="J7597" s="152">
        <v>0</v>
      </c>
    </row>
    <row r="7598" spans="1:10" ht="15.75" hidden="1" thickBot="1" x14ac:dyDescent="0.3">
      <c r="A7598" s="177"/>
      <c r="B7598" s="175"/>
      <c r="C7598" s="54"/>
      <c r="D7598" s="54"/>
      <c r="E7598" s="65"/>
      <c r="F7598" s="66" t="s">
        <v>416</v>
      </c>
      <c r="G7598" s="67" t="str">
        <f>IF(ISNUMBER(F7598),E7598*F7598,"")</f>
        <v/>
      </c>
      <c r="H7598" s="68"/>
      <c r="I7598" s="30"/>
      <c r="J7598" s="152">
        <v>0</v>
      </c>
    </row>
    <row r="7599" spans="1:10" ht="15.75" hidden="1" thickBot="1" x14ac:dyDescent="0.3">
      <c r="A7599" s="170" t="s">
        <v>6829</v>
      </c>
      <c r="B7599" s="173" t="str">
        <f>INDEX(Orçamentária!A:B,MATCH(Composições!A7599,Orçamentária!A:A,0),2)</f>
        <v>Luva de correr PVC soldável 25 mm</v>
      </c>
      <c r="C7599" s="40"/>
      <c r="D7599" s="25" t="s">
        <v>16</v>
      </c>
      <c r="E7599" s="26"/>
      <c r="F7599" s="41" t="s">
        <v>416</v>
      </c>
      <c r="G7599" s="27" t="str">
        <f>IF(ISNUMBER(F7599),E7599*F7599,"")</f>
        <v/>
      </c>
      <c r="H7599" s="28"/>
      <c r="I7599" s="29"/>
      <c r="J7599" s="152">
        <v>0</v>
      </c>
    </row>
    <row r="7600" spans="1:10" ht="15.75" hidden="1" thickBot="1" x14ac:dyDescent="0.3">
      <c r="A7600" s="176"/>
      <c r="B7600" s="174"/>
      <c r="C7600" s="31"/>
      <c r="D7600" s="31"/>
      <c r="E7600" s="32"/>
      <c r="F7600" s="42" t="s">
        <v>416</v>
      </c>
      <c r="G7600" s="33" t="str">
        <f>IF(ISNUMBER(F7600),E7600*F7600,"")</f>
        <v/>
      </c>
      <c r="H7600" s="34"/>
      <c r="I7600" s="30"/>
      <c r="J7600" s="152">
        <v>0</v>
      </c>
    </row>
    <row r="7601" spans="1:10" ht="26.25" hidden="1" thickBot="1" x14ac:dyDescent="0.3">
      <c r="A7601" s="176"/>
      <c r="B7601" s="174"/>
      <c r="C7601" s="35" t="s">
        <v>8239</v>
      </c>
      <c r="D7601" s="35" t="s">
        <v>213</v>
      </c>
      <c r="E7601" s="36">
        <v>1</v>
      </c>
      <c r="F7601" s="30">
        <v>12.197999999999999</v>
      </c>
      <c r="G7601" s="33">
        <f>IF(ISNUMBER(F7601),E7601*F7601,"")</f>
        <v>12.197999999999999</v>
      </c>
      <c r="H7601" s="38">
        <f>SUM(G7601:G7601)</f>
        <v>12.197999999999999</v>
      </c>
      <c r="I7601" s="39"/>
      <c r="J7601" s="152">
        <v>0</v>
      </c>
    </row>
    <row r="7602" spans="1:10" ht="15.75" hidden="1" thickBot="1" x14ac:dyDescent="0.3">
      <c r="A7602" s="177"/>
      <c r="B7602" s="175"/>
      <c r="C7602" s="54"/>
      <c r="D7602" s="54"/>
      <c r="E7602" s="65"/>
      <c r="F7602" s="66" t="s">
        <v>416</v>
      </c>
      <c r="G7602" s="67" t="str">
        <f>IF(ISNUMBER(F7602),E7602*F7602,"")</f>
        <v/>
      </c>
      <c r="H7602" s="68"/>
      <c r="I7602" s="30"/>
      <c r="J7602" s="152">
        <v>0</v>
      </c>
    </row>
    <row r="7603" spans="1:10" ht="15.75" hidden="1" thickBot="1" x14ac:dyDescent="0.3">
      <c r="A7603" s="170" t="s">
        <v>6830</v>
      </c>
      <c r="B7603" s="173" t="str">
        <f>INDEX(Orçamentária!A:B,MATCH(Composições!A7603,Orçamentária!A:A,0),2)</f>
        <v>Luva simples PVC soldável 25 mm</v>
      </c>
      <c r="C7603" s="40"/>
      <c r="D7603" s="25" t="s">
        <v>16</v>
      </c>
      <c r="E7603" s="26"/>
      <c r="F7603" s="41" t="s">
        <v>416</v>
      </c>
      <c r="G7603" s="27" t="str">
        <f>IF(ISNUMBER(F7603),E7603*F7603,"")</f>
        <v/>
      </c>
      <c r="H7603" s="28"/>
      <c r="I7603" s="29"/>
      <c r="J7603" s="152">
        <v>0</v>
      </c>
    </row>
    <row r="7604" spans="1:10" ht="15.75" hidden="1" thickBot="1" x14ac:dyDescent="0.3">
      <c r="A7604" s="176"/>
      <c r="B7604" s="174"/>
      <c r="C7604" s="31"/>
      <c r="D7604" s="31"/>
      <c r="E7604" s="32"/>
      <c r="F7604" s="42" t="s">
        <v>416</v>
      </c>
      <c r="G7604" s="33" t="str">
        <f>IF(ISNUMBER(F7604),E7604*F7604,"")</f>
        <v/>
      </c>
      <c r="H7604" s="34"/>
      <c r="I7604" s="30"/>
      <c r="J7604" s="152">
        <v>0</v>
      </c>
    </row>
    <row r="7605" spans="1:10" ht="15.75" hidden="1" thickBot="1" x14ac:dyDescent="0.3">
      <c r="A7605" s="176"/>
      <c r="B7605" s="174"/>
      <c r="C7605" s="35" t="s">
        <v>8269</v>
      </c>
      <c r="D7605" s="35" t="s">
        <v>213</v>
      </c>
      <c r="E7605" s="36">
        <v>1</v>
      </c>
      <c r="F7605" s="30">
        <v>0.8075</v>
      </c>
      <c r="G7605" s="33">
        <f>IF(ISNUMBER(F7605),E7605*F7605,"")</f>
        <v>0.8075</v>
      </c>
      <c r="H7605" s="38">
        <f>SUM(G7605:G7605)</f>
        <v>0.8075</v>
      </c>
      <c r="I7605" s="39"/>
      <c r="J7605" s="152">
        <v>0</v>
      </c>
    </row>
    <row r="7606" spans="1:10" ht="15.75" hidden="1" thickBot="1" x14ac:dyDescent="0.3">
      <c r="A7606" s="177"/>
      <c r="B7606" s="175"/>
      <c r="C7606" s="54"/>
      <c r="D7606" s="54"/>
      <c r="E7606" s="65"/>
      <c r="F7606" s="66" t="s">
        <v>416</v>
      </c>
      <c r="G7606" s="67" t="str">
        <f>IF(ISNUMBER(F7606),E7606*F7606,"")</f>
        <v/>
      </c>
      <c r="H7606" s="68"/>
      <c r="I7606" s="30"/>
      <c r="J7606" s="152">
        <v>0</v>
      </c>
    </row>
    <row r="7607" spans="1:10" ht="15.75" hidden="1" thickBot="1" x14ac:dyDescent="0.3">
      <c r="A7607" s="170" t="s">
        <v>6831</v>
      </c>
      <c r="B7607" s="173" t="str">
        <f>INDEX(Orçamentária!A:B,MATCH(Composições!A7607,Orçamentária!A:A,0),2)</f>
        <v>União de PVC soldável 25 mm</v>
      </c>
      <c r="C7607" s="40"/>
      <c r="D7607" s="25" t="s">
        <v>16</v>
      </c>
      <c r="E7607" s="26"/>
      <c r="F7607" s="41" t="s">
        <v>416</v>
      </c>
      <c r="G7607" s="27" t="str">
        <f>IF(ISNUMBER(F7607),E7607*F7607,"")</f>
        <v/>
      </c>
      <c r="H7607" s="28"/>
      <c r="I7607" s="29"/>
      <c r="J7607" s="152">
        <v>0</v>
      </c>
    </row>
    <row r="7608" spans="1:10" ht="15.75" hidden="1" thickBot="1" x14ac:dyDescent="0.3">
      <c r="A7608" s="176"/>
      <c r="B7608" s="174"/>
      <c r="C7608" s="31"/>
      <c r="D7608" s="31"/>
      <c r="E7608" s="32"/>
      <c r="F7608" s="42" t="s">
        <v>416</v>
      </c>
      <c r="G7608" s="33" t="str">
        <f>IF(ISNUMBER(F7608),E7608*F7608,"")</f>
        <v/>
      </c>
      <c r="H7608" s="34"/>
      <c r="I7608" s="30"/>
      <c r="J7608" s="152">
        <v>0</v>
      </c>
    </row>
    <row r="7609" spans="1:10" ht="15.75" hidden="1" thickBot="1" x14ac:dyDescent="0.3">
      <c r="A7609" s="176"/>
      <c r="B7609" s="174"/>
      <c r="C7609" s="35" t="s">
        <v>8563</v>
      </c>
      <c r="D7609" s="35" t="s">
        <v>213</v>
      </c>
      <c r="E7609" s="36">
        <v>1</v>
      </c>
      <c r="F7609" s="30">
        <v>7.8944999999999999</v>
      </c>
      <c r="G7609" s="33">
        <f>IF(ISNUMBER(F7609),E7609*F7609,"")</f>
        <v>7.8944999999999999</v>
      </c>
      <c r="H7609" s="38">
        <f>SUM(G7609:G7609)</f>
        <v>7.8944999999999999</v>
      </c>
      <c r="I7609" s="39"/>
      <c r="J7609" s="152">
        <v>0</v>
      </c>
    </row>
    <row r="7610" spans="1:10" ht="15.75" hidden="1" thickBot="1" x14ac:dyDescent="0.3">
      <c r="A7610" s="177"/>
      <c r="B7610" s="175"/>
      <c r="C7610" s="54"/>
      <c r="D7610" s="54"/>
      <c r="E7610" s="65"/>
      <c r="F7610" s="66" t="s">
        <v>416</v>
      </c>
      <c r="G7610" s="67" t="str">
        <f>IF(ISNUMBER(F7610),E7610*F7610,"")</f>
        <v/>
      </c>
      <c r="H7610" s="68"/>
      <c r="I7610" s="30"/>
      <c r="J7610" s="152">
        <v>0</v>
      </c>
    </row>
    <row r="7611" spans="1:10" ht="15.75" hidden="1" thickBot="1" x14ac:dyDescent="0.3">
      <c r="A7611" s="170" t="s">
        <v>6832</v>
      </c>
      <c r="B7611" s="173" t="str">
        <f>INDEX(Orçamentária!A:B,MATCH(Composições!A7611,Orçamentária!A:A,0),2)</f>
        <v>Adaptador PVC soldável, curto com bolsa e rosca para Registro 25 mm x 3/4”</v>
      </c>
      <c r="C7611" s="40"/>
      <c r="D7611" s="25" t="s">
        <v>16</v>
      </c>
      <c r="E7611" s="26"/>
      <c r="F7611" s="41" t="s">
        <v>416</v>
      </c>
      <c r="G7611" s="27" t="str">
        <f>IF(ISNUMBER(F7611),E7611*F7611,"")</f>
        <v/>
      </c>
      <c r="H7611" s="28"/>
      <c r="I7611" s="29"/>
      <c r="J7611" s="152">
        <v>0</v>
      </c>
    </row>
    <row r="7612" spans="1:10" ht="15.75" hidden="1" thickBot="1" x14ac:dyDescent="0.3">
      <c r="A7612" s="176"/>
      <c r="B7612" s="174"/>
      <c r="C7612" s="31"/>
      <c r="D7612" s="31"/>
      <c r="E7612" s="32"/>
      <c r="F7612" s="42" t="s">
        <v>416</v>
      </c>
      <c r="G7612" s="33" t="str">
        <f>IF(ISNUMBER(F7612),E7612*F7612,"")</f>
        <v/>
      </c>
      <c r="H7612" s="34"/>
      <c r="I7612" s="30"/>
      <c r="J7612" s="152">
        <v>0</v>
      </c>
    </row>
    <row r="7613" spans="1:10" ht="26.25" hidden="1" thickBot="1" x14ac:dyDescent="0.3">
      <c r="A7613" s="176"/>
      <c r="B7613" s="174"/>
      <c r="C7613" s="35" t="s">
        <v>7960</v>
      </c>
      <c r="D7613" s="35" t="s">
        <v>213</v>
      </c>
      <c r="E7613" s="36">
        <v>1</v>
      </c>
      <c r="F7613" s="30">
        <v>0.88349999999999995</v>
      </c>
      <c r="G7613" s="33">
        <f>IF(ISNUMBER(F7613),E7613*F7613,"")</f>
        <v>0.88349999999999995</v>
      </c>
      <c r="H7613" s="38">
        <f>SUM(G7613:G7613)</f>
        <v>0.88349999999999995</v>
      </c>
      <c r="I7613" s="39"/>
      <c r="J7613" s="152">
        <v>0</v>
      </c>
    </row>
    <row r="7614" spans="1:10" ht="15.75" hidden="1" thickBot="1" x14ac:dyDescent="0.3">
      <c r="A7614" s="177"/>
      <c r="B7614" s="175"/>
      <c r="C7614" s="54"/>
      <c r="D7614" s="54"/>
      <c r="E7614" s="65"/>
      <c r="F7614" s="66" t="s">
        <v>416</v>
      </c>
      <c r="G7614" s="67" t="str">
        <f>IF(ISNUMBER(F7614),E7614*F7614,"")</f>
        <v/>
      </c>
      <c r="H7614" s="68"/>
      <c r="I7614" s="30"/>
      <c r="J7614" s="152">
        <v>0</v>
      </c>
    </row>
    <row r="7615" spans="1:10" ht="15.75" hidden="1" thickBot="1" x14ac:dyDescent="0.3">
      <c r="A7615" s="170" t="s">
        <v>6833</v>
      </c>
      <c r="B7615" s="173" t="str">
        <f>INDEX(Orçamentária!A:B,MATCH(Composições!A7615,Orçamentária!A:A,0),2)</f>
        <v>Adaptador flange PVC soldável 25 mm x 3/4”</v>
      </c>
      <c r="C7615" s="40"/>
      <c r="D7615" s="25" t="s">
        <v>16</v>
      </c>
      <c r="E7615" s="26"/>
      <c r="F7615" s="41" t="s">
        <v>416</v>
      </c>
      <c r="G7615" s="27" t="str">
        <f>IF(ISNUMBER(F7615),E7615*F7615,"")</f>
        <v/>
      </c>
      <c r="H7615" s="28"/>
      <c r="I7615" s="29"/>
      <c r="J7615" s="152">
        <v>0</v>
      </c>
    </row>
    <row r="7616" spans="1:10" ht="15.75" hidden="1" thickBot="1" x14ac:dyDescent="0.3">
      <c r="A7616" s="176"/>
      <c r="B7616" s="174"/>
      <c r="C7616" s="31"/>
      <c r="D7616" s="31"/>
      <c r="E7616" s="32"/>
      <c r="F7616" s="42" t="s">
        <v>416</v>
      </c>
      <c r="G7616" s="33" t="str">
        <f>IF(ISNUMBER(F7616),E7616*F7616,"")</f>
        <v/>
      </c>
      <c r="H7616" s="34"/>
      <c r="I7616" s="30"/>
      <c r="J7616" s="152">
        <v>0</v>
      </c>
    </row>
    <row r="7617" spans="1:10" ht="26.25" hidden="1" thickBot="1" x14ac:dyDescent="0.3">
      <c r="A7617" s="176"/>
      <c r="B7617" s="174"/>
      <c r="C7617" s="35" t="s">
        <v>7967</v>
      </c>
      <c r="D7617" s="35" t="s">
        <v>213</v>
      </c>
      <c r="E7617" s="36">
        <v>1</v>
      </c>
      <c r="F7617" s="30">
        <v>12.169499999999999</v>
      </c>
      <c r="G7617" s="33">
        <f>IF(ISNUMBER(F7617),E7617*F7617,"")</f>
        <v>12.169499999999999</v>
      </c>
      <c r="H7617" s="38">
        <f>SUM(G7617:G7617)</f>
        <v>12.169499999999999</v>
      </c>
      <c r="I7617" s="39"/>
      <c r="J7617" s="152">
        <v>0</v>
      </c>
    </row>
    <row r="7618" spans="1:10" ht="15.75" hidden="1" thickBot="1" x14ac:dyDescent="0.3">
      <c r="A7618" s="177"/>
      <c r="B7618" s="175"/>
      <c r="C7618" s="54"/>
      <c r="D7618" s="54"/>
      <c r="E7618" s="65"/>
      <c r="F7618" s="66" t="s">
        <v>416</v>
      </c>
      <c r="G7618" s="67" t="str">
        <f>IF(ISNUMBER(F7618),E7618*F7618,"")</f>
        <v/>
      </c>
      <c r="H7618" s="68"/>
      <c r="I7618" s="30"/>
      <c r="J7618" s="152">
        <v>0</v>
      </c>
    </row>
    <row r="7619" spans="1:10" ht="15.75" hidden="1" thickBot="1" x14ac:dyDescent="0.3">
      <c r="A7619" s="170" t="s">
        <v>6834</v>
      </c>
      <c r="B7619" s="173" t="str">
        <f>INDEX(Orçamentária!A:B,MATCH(Composições!A7619,Orçamentária!A:A,0),2)</f>
        <v>Joelho 90° PVC soldável 32 mm</v>
      </c>
      <c r="C7619" s="40"/>
      <c r="D7619" s="25" t="s">
        <v>16</v>
      </c>
      <c r="E7619" s="26"/>
      <c r="F7619" s="41" t="s">
        <v>416</v>
      </c>
      <c r="G7619" s="27" t="str">
        <f>IF(ISNUMBER(F7619),E7619*F7619,"")</f>
        <v/>
      </c>
      <c r="H7619" s="28"/>
      <c r="I7619" s="29"/>
      <c r="J7619" s="152">
        <v>0</v>
      </c>
    </row>
    <row r="7620" spans="1:10" ht="15.75" hidden="1" thickBot="1" x14ac:dyDescent="0.3">
      <c r="A7620" s="176"/>
      <c r="B7620" s="174"/>
      <c r="C7620" s="31"/>
      <c r="D7620" s="31"/>
      <c r="E7620" s="32"/>
      <c r="F7620" s="42" t="s">
        <v>416</v>
      </c>
      <c r="G7620" s="33" t="str">
        <f>IF(ISNUMBER(F7620),E7620*F7620,"")</f>
        <v/>
      </c>
      <c r="H7620" s="34"/>
      <c r="I7620" s="30"/>
      <c r="J7620" s="152">
        <v>0</v>
      </c>
    </row>
    <row r="7621" spans="1:10" ht="26.25" hidden="1" thickBot="1" x14ac:dyDescent="0.3">
      <c r="A7621" s="176"/>
      <c r="B7621" s="174"/>
      <c r="C7621" s="35" t="s">
        <v>8200</v>
      </c>
      <c r="D7621" s="35" t="s">
        <v>213</v>
      </c>
      <c r="E7621" s="36">
        <v>1</v>
      </c>
      <c r="F7621" s="30">
        <v>2.3939999999999997</v>
      </c>
      <c r="G7621" s="33">
        <f>IF(ISNUMBER(F7621),E7621*F7621,"")</f>
        <v>2.3939999999999997</v>
      </c>
      <c r="H7621" s="38">
        <f>SUM(G7621:G7621)</f>
        <v>2.3939999999999997</v>
      </c>
      <c r="I7621" s="39"/>
      <c r="J7621" s="152">
        <v>0</v>
      </c>
    </row>
    <row r="7622" spans="1:10" ht="15.75" hidden="1" thickBot="1" x14ac:dyDescent="0.3">
      <c r="A7622" s="177"/>
      <c r="B7622" s="175"/>
      <c r="C7622" s="54"/>
      <c r="D7622" s="54"/>
      <c r="E7622" s="65"/>
      <c r="F7622" s="66" t="s">
        <v>416</v>
      </c>
      <c r="G7622" s="67" t="str">
        <f>IF(ISNUMBER(F7622),E7622*F7622,"")</f>
        <v/>
      </c>
      <c r="H7622" s="68"/>
      <c r="I7622" s="30"/>
      <c r="J7622" s="152">
        <v>0</v>
      </c>
    </row>
    <row r="7623" spans="1:10" ht="15.75" hidden="1" thickBot="1" x14ac:dyDescent="0.3">
      <c r="A7623" s="170" t="s">
        <v>6835</v>
      </c>
      <c r="B7623" s="173" t="str">
        <f>INDEX(Orçamentária!A:B,MATCH(Composições!A7623,Orçamentária!A:A,0),2)</f>
        <v>Joelho 45° PVC soldável 32 mm</v>
      </c>
      <c r="C7623" s="40"/>
      <c r="D7623" s="25" t="s">
        <v>16</v>
      </c>
      <c r="E7623" s="26"/>
      <c r="F7623" s="41" t="s">
        <v>416</v>
      </c>
      <c r="G7623" s="27" t="str">
        <f>IF(ISNUMBER(F7623),E7623*F7623,"")</f>
        <v/>
      </c>
      <c r="H7623" s="28"/>
      <c r="I7623" s="29"/>
      <c r="J7623" s="152">
        <v>0</v>
      </c>
    </row>
    <row r="7624" spans="1:10" ht="15.75" hidden="1" thickBot="1" x14ac:dyDescent="0.3">
      <c r="A7624" s="176"/>
      <c r="B7624" s="174"/>
      <c r="C7624" s="31"/>
      <c r="D7624" s="31"/>
      <c r="E7624" s="32"/>
      <c r="F7624" s="42" t="s">
        <v>416</v>
      </c>
      <c r="G7624" s="33" t="str">
        <f>IF(ISNUMBER(F7624),E7624*F7624,"")</f>
        <v/>
      </c>
      <c r="H7624" s="34"/>
      <c r="I7624" s="30"/>
      <c r="J7624" s="152">
        <v>0</v>
      </c>
    </row>
    <row r="7625" spans="1:10" ht="26.25" hidden="1" thickBot="1" x14ac:dyDescent="0.3">
      <c r="A7625" s="176"/>
      <c r="B7625" s="174"/>
      <c r="C7625" s="35" t="s">
        <v>8206</v>
      </c>
      <c r="D7625" s="35" t="s">
        <v>213</v>
      </c>
      <c r="E7625" s="36">
        <v>1</v>
      </c>
      <c r="F7625" s="30">
        <v>4.0944999999999991</v>
      </c>
      <c r="G7625" s="33">
        <f>IF(ISNUMBER(F7625),E7625*F7625,"")</f>
        <v>4.0944999999999991</v>
      </c>
      <c r="H7625" s="38">
        <f>SUM(G7625:G7625)</f>
        <v>4.0944999999999991</v>
      </c>
      <c r="I7625" s="39"/>
      <c r="J7625" s="152">
        <v>0</v>
      </c>
    </row>
    <row r="7626" spans="1:10" ht="15.75" hidden="1" thickBot="1" x14ac:dyDescent="0.3">
      <c r="A7626" s="177"/>
      <c r="B7626" s="175"/>
      <c r="C7626" s="54"/>
      <c r="D7626" s="54"/>
      <c r="E7626" s="65"/>
      <c r="F7626" s="66" t="s">
        <v>416</v>
      </c>
      <c r="G7626" s="67" t="str">
        <f>IF(ISNUMBER(F7626),E7626*F7626,"")</f>
        <v/>
      </c>
      <c r="H7626" s="68"/>
      <c r="I7626" s="30"/>
      <c r="J7626" s="152">
        <v>0</v>
      </c>
    </row>
    <row r="7627" spans="1:10" ht="15.75" hidden="1" thickBot="1" x14ac:dyDescent="0.3">
      <c r="A7627" s="170" t="s">
        <v>6836</v>
      </c>
      <c r="B7627" s="173" t="str">
        <f>INDEX(Orçamentária!A:B,MATCH(Composições!A7627,Orçamentária!A:A,0),2)</f>
        <v>Cap PVC soldável 32 mm</v>
      </c>
      <c r="C7627" s="40"/>
      <c r="D7627" s="25" t="s">
        <v>16</v>
      </c>
      <c r="E7627" s="26"/>
      <c r="F7627" s="41" t="s">
        <v>416</v>
      </c>
      <c r="G7627" s="27" t="str">
        <f>IF(ISNUMBER(F7627),E7627*F7627,"")</f>
        <v/>
      </c>
      <c r="H7627" s="28"/>
      <c r="I7627" s="29"/>
      <c r="J7627" s="152">
        <v>0</v>
      </c>
    </row>
    <row r="7628" spans="1:10" ht="15.75" hidden="1" thickBot="1" x14ac:dyDescent="0.3">
      <c r="A7628" s="176"/>
      <c r="B7628" s="174"/>
      <c r="C7628" s="31"/>
      <c r="D7628" s="31"/>
      <c r="E7628" s="32"/>
      <c r="F7628" s="42" t="s">
        <v>416</v>
      </c>
      <c r="G7628" s="33" t="str">
        <f>IF(ISNUMBER(F7628),E7628*F7628,"")</f>
        <v/>
      </c>
      <c r="H7628" s="34"/>
      <c r="I7628" s="30"/>
      <c r="J7628" s="152">
        <v>0</v>
      </c>
    </row>
    <row r="7629" spans="1:10" ht="15.75" hidden="1" thickBot="1" x14ac:dyDescent="0.3">
      <c r="A7629" s="176"/>
      <c r="B7629" s="174"/>
      <c r="C7629" s="35" t="s">
        <v>8051</v>
      </c>
      <c r="D7629" s="35" t="s">
        <v>213</v>
      </c>
      <c r="E7629" s="36">
        <v>1</v>
      </c>
      <c r="F7629" s="30">
        <v>2.0234999999999999</v>
      </c>
      <c r="G7629" s="33">
        <f>IF(ISNUMBER(F7629),E7629*F7629,"")</f>
        <v>2.0234999999999999</v>
      </c>
      <c r="H7629" s="38">
        <f>SUM(G7629:G7629)</f>
        <v>2.0234999999999999</v>
      </c>
      <c r="I7629" s="39"/>
      <c r="J7629" s="152">
        <v>0</v>
      </c>
    </row>
    <row r="7630" spans="1:10" ht="15.75" hidden="1" thickBot="1" x14ac:dyDescent="0.3">
      <c r="A7630" s="177"/>
      <c r="B7630" s="175"/>
      <c r="C7630" s="54"/>
      <c r="D7630" s="54"/>
      <c r="E7630" s="65"/>
      <c r="F7630" s="66" t="s">
        <v>416</v>
      </c>
      <c r="G7630" s="67" t="str">
        <f>IF(ISNUMBER(F7630),E7630*F7630,"")</f>
        <v/>
      </c>
      <c r="H7630" s="68"/>
      <c r="I7630" s="30"/>
      <c r="J7630" s="152">
        <v>0</v>
      </c>
    </row>
    <row r="7631" spans="1:10" ht="15.75" hidden="1" thickBot="1" x14ac:dyDescent="0.3">
      <c r="A7631" s="170" t="s">
        <v>6837</v>
      </c>
      <c r="B7631" s="173" t="str">
        <f>INDEX(Orçamentária!A:B,MATCH(Composições!A7631,Orçamentária!A:A,0),2)</f>
        <v>Curva 90° PVC soldável 32 mm</v>
      </c>
      <c r="C7631" s="40"/>
      <c r="D7631" s="25" t="s">
        <v>16</v>
      </c>
      <c r="E7631" s="26"/>
      <c r="F7631" s="41" t="s">
        <v>416</v>
      </c>
      <c r="G7631" s="27" t="str">
        <f>IF(ISNUMBER(F7631),E7631*F7631,"")</f>
        <v/>
      </c>
      <c r="H7631" s="28"/>
      <c r="I7631" s="29"/>
      <c r="J7631" s="152">
        <v>0</v>
      </c>
    </row>
    <row r="7632" spans="1:10" ht="15.75" hidden="1" thickBot="1" x14ac:dyDescent="0.3">
      <c r="A7632" s="176"/>
      <c r="B7632" s="174"/>
      <c r="C7632" s="31"/>
      <c r="D7632" s="31"/>
      <c r="E7632" s="32"/>
      <c r="F7632" s="42" t="s">
        <v>416</v>
      </c>
      <c r="G7632" s="33" t="str">
        <f>IF(ISNUMBER(F7632),E7632*F7632,"")</f>
        <v/>
      </c>
      <c r="H7632" s="34"/>
      <c r="I7632" s="30"/>
      <c r="J7632" s="152">
        <v>0</v>
      </c>
    </row>
    <row r="7633" spans="1:10" ht="26.25" hidden="1" thickBot="1" x14ac:dyDescent="0.3">
      <c r="A7633" s="176"/>
      <c r="B7633" s="174"/>
      <c r="C7633" s="35" t="s">
        <v>8103</v>
      </c>
      <c r="D7633" s="35" t="s">
        <v>213</v>
      </c>
      <c r="E7633" s="36">
        <v>1</v>
      </c>
      <c r="F7633" s="30">
        <v>6.3839999999999995</v>
      </c>
      <c r="G7633" s="33">
        <f>IF(ISNUMBER(F7633),E7633*F7633,"")</f>
        <v>6.3839999999999995</v>
      </c>
      <c r="H7633" s="38">
        <f>SUM(G7633:G7633)</f>
        <v>6.3839999999999995</v>
      </c>
      <c r="I7633" s="39"/>
      <c r="J7633" s="152">
        <v>0</v>
      </c>
    </row>
    <row r="7634" spans="1:10" ht="15.75" hidden="1" thickBot="1" x14ac:dyDescent="0.3">
      <c r="A7634" s="177"/>
      <c r="B7634" s="175"/>
      <c r="C7634" s="54"/>
      <c r="D7634" s="54"/>
      <c r="E7634" s="65"/>
      <c r="F7634" s="66" t="s">
        <v>416</v>
      </c>
      <c r="G7634" s="67" t="str">
        <f>IF(ISNUMBER(F7634),E7634*F7634,"")</f>
        <v/>
      </c>
      <c r="H7634" s="68"/>
      <c r="I7634" s="30"/>
      <c r="J7634" s="152">
        <v>0</v>
      </c>
    </row>
    <row r="7635" spans="1:10" ht="15.75" hidden="1" thickBot="1" x14ac:dyDescent="0.3">
      <c r="A7635" s="170" t="s">
        <v>6838</v>
      </c>
      <c r="B7635" s="173" t="str">
        <f>INDEX(Orçamentária!A:B,MATCH(Composições!A7635,Orçamentária!A:A,0),2)</f>
        <v>Tê PVC soldável 32 mm</v>
      </c>
      <c r="C7635" s="40"/>
      <c r="D7635" s="25" t="s">
        <v>16</v>
      </c>
      <c r="E7635" s="26"/>
      <c r="F7635" s="41" t="s">
        <v>416</v>
      </c>
      <c r="G7635" s="27" t="str">
        <f>IF(ISNUMBER(F7635),E7635*F7635,"")</f>
        <v/>
      </c>
      <c r="H7635" s="28"/>
      <c r="I7635" s="29"/>
      <c r="J7635" s="152">
        <v>0</v>
      </c>
    </row>
    <row r="7636" spans="1:10" ht="15.75" hidden="1" thickBot="1" x14ac:dyDescent="0.3">
      <c r="A7636" s="176"/>
      <c r="B7636" s="174"/>
      <c r="C7636" s="31"/>
      <c r="D7636" s="31"/>
      <c r="E7636" s="32"/>
      <c r="F7636" s="42" t="s">
        <v>416</v>
      </c>
      <c r="G7636" s="33" t="str">
        <f>IF(ISNUMBER(F7636),E7636*F7636,"")</f>
        <v/>
      </c>
      <c r="H7636" s="34"/>
      <c r="I7636" s="30"/>
      <c r="J7636" s="152">
        <v>0</v>
      </c>
    </row>
    <row r="7637" spans="1:10" ht="26.25" hidden="1" thickBot="1" x14ac:dyDescent="0.3">
      <c r="A7637" s="176"/>
      <c r="B7637" s="174"/>
      <c r="C7637" s="35" t="s">
        <v>8411</v>
      </c>
      <c r="D7637" s="35" t="s">
        <v>213</v>
      </c>
      <c r="E7637" s="36">
        <v>1</v>
      </c>
      <c r="F7637" s="30">
        <v>3.7239999999999998</v>
      </c>
      <c r="G7637" s="33">
        <f>IF(ISNUMBER(F7637),E7637*F7637,"")</f>
        <v>3.7239999999999998</v>
      </c>
      <c r="H7637" s="38">
        <f>SUM(G7637:G7637)</f>
        <v>3.7239999999999998</v>
      </c>
      <c r="I7637" s="39"/>
      <c r="J7637" s="152">
        <v>0</v>
      </c>
    </row>
    <row r="7638" spans="1:10" ht="15.75" hidden="1" thickBot="1" x14ac:dyDescent="0.3">
      <c r="A7638" s="177"/>
      <c r="B7638" s="175"/>
      <c r="C7638" s="54"/>
      <c r="D7638" s="54"/>
      <c r="E7638" s="65"/>
      <c r="F7638" s="66" t="s">
        <v>416</v>
      </c>
      <c r="G7638" s="67" t="str">
        <f>IF(ISNUMBER(F7638),E7638*F7638,"")</f>
        <v/>
      </c>
      <c r="H7638" s="68"/>
      <c r="I7638" s="30"/>
      <c r="J7638" s="152">
        <v>0</v>
      </c>
    </row>
    <row r="7639" spans="1:10" ht="15.75" hidden="1" thickBot="1" x14ac:dyDescent="0.3">
      <c r="A7639" s="170" t="s">
        <v>6839</v>
      </c>
      <c r="B7639" s="173" t="str">
        <f>INDEX(Orçamentária!A:B,MATCH(Composições!A7639,Orçamentária!A:A,0),2)</f>
        <v>Luva simples PVC soldável 32 mm</v>
      </c>
      <c r="C7639" s="40"/>
      <c r="D7639" s="25" t="s">
        <v>16</v>
      </c>
      <c r="E7639" s="26"/>
      <c r="F7639" s="41" t="s">
        <v>416</v>
      </c>
      <c r="G7639" s="27" t="str">
        <f>IF(ISNUMBER(F7639),E7639*F7639,"")</f>
        <v/>
      </c>
      <c r="H7639" s="28"/>
      <c r="I7639" s="29"/>
      <c r="J7639" s="152">
        <v>0</v>
      </c>
    </row>
    <row r="7640" spans="1:10" ht="15.75" hidden="1" thickBot="1" x14ac:dyDescent="0.3">
      <c r="A7640" s="176"/>
      <c r="B7640" s="174"/>
      <c r="C7640" s="31"/>
      <c r="D7640" s="31"/>
      <c r="E7640" s="32"/>
      <c r="F7640" s="42" t="s">
        <v>416</v>
      </c>
      <c r="G7640" s="33" t="str">
        <f>IF(ISNUMBER(F7640),E7640*F7640,"")</f>
        <v/>
      </c>
      <c r="H7640" s="34"/>
      <c r="I7640" s="30"/>
      <c r="J7640" s="152">
        <v>0</v>
      </c>
    </row>
    <row r="7641" spans="1:10" ht="15.75" hidden="1" thickBot="1" x14ac:dyDescent="0.3">
      <c r="A7641" s="176"/>
      <c r="B7641" s="174"/>
      <c r="C7641" s="35" t="s">
        <v>8270</v>
      </c>
      <c r="D7641" s="35" t="s">
        <v>213</v>
      </c>
      <c r="E7641" s="36">
        <v>1</v>
      </c>
      <c r="F7641" s="30">
        <v>1.976</v>
      </c>
      <c r="G7641" s="33">
        <f>IF(ISNUMBER(F7641),E7641*F7641,"")</f>
        <v>1.976</v>
      </c>
      <c r="H7641" s="38">
        <f>SUM(G7641:G7641)</f>
        <v>1.976</v>
      </c>
      <c r="I7641" s="39"/>
      <c r="J7641" s="152">
        <v>0</v>
      </c>
    </row>
    <row r="7642" spans="1:10" ht="15.75" hidden="1" thickBot="1" x14ac:dyDescent="0.3">
      <c r="A7642" s="177"/>
      <c r="B7642" s="175"/>
      <c r="C7642" s="54"/>
      <c r="D7642" s="54"/>
      <c r="E7642" s="65"/>
      <c r="F7642" s="66" t="s">
        <v>416</v>
      </c>
      <c r="G7642" s="67" t="str">
        <f>IF(ISNUMBER(F7642),E7642*F7642,"")</f>
        <v/>
      </c>
      <c r="H7642" s="68"/>
      <c r="I7642" s="30"/>
      <c r="J7642" s="152">
        <v>0</v>
      </c>
    </row>
    <row r="7643" spans="1:10" ht="15.75" hidden="1" thickBot="1" x14ac:dyDescent="0.3">
      <c r="A7643" s="170" t="s">
        <v>6840</v>
      </c>
      <c r="B7643" s="173" t="str">
        <f>INDEX(Orçamentária!A:B,MATCH(Composições!A7643,Orçamentária!A:A,0),2)</f>
        <v>Luva de correr PVC soldável 32 mm</v>
      </c>
      <c r="C7643" s="40"/>
      <c r="D7643" s="25" t="s">
        <v>16</v>
      </c>
      <c r="E7643" s="26"/>
      <c r="F7643" s="41" t="s">
        <v>416</v>
      </c>
      <c r="G7643" s="27" t="str">
        <f>IF(ISNUMBER(F7643),E7643*F7643,"")</f>
        <v/>
      </c>
      <c r="H7643" s="28"/>
      <c r="I7643" s="29"/>
      <c r="J7643" s="152">
        <v>0</v>
      </c>
    </row>
    <row r="7644" spans="1:10" ht="15.75" hidden="1" thickBot="1" x14ac:dyDescent="0.3">
      <c r="A7644" s="176"/>
      <c r="B7644" s="174"/>
      <c r="C7644" s="31"/>
      <c r="D7644" s="31"/>
      <c r="E7644" s="32"/>
      <c r="F7644" s="42" t="s">
        <v>416</v>
      </c>
      <c r="G7644" s="33" t="str">
        <f>IF(ISNUMBER(F7644),E7644*F7644,"")</f>
        <v/>
      </c>
      <c r="H7644" s="34"/>
      <c r="I7644" s="30"/>
      <c r="J7644" s="152">
        <v>0</v>
      </c>
    </row>
    <row r="7645" spans="1:10" ht="26.25" hidden="1" thickBot="1" x14ac:dyDescent="0.3">
      <c r="A7645" s="176"/>
      <c r="B7645" s="174"/>
      <c r="C7645" s="35" t="s">
        <v>8240</v>
      </c>
      <c r="D7645" s="35" t="s">
        <v>213</v>
      </c>
      <c r="E7645" s="36">
        <v>1</v>
      </c>
      <c r="F7645" s="30">
        <v>21.650499999999997</v>
      </c>
      <c r="G7645" s="33">
        <f>IF(ISNUMBER(F7645),E7645*F7645,"")</f>
        <v>21.650499999999997</v>
      </c>
      <c r="H7645" s="38">
        <f>SUM(G7645:G7645)</f>
        <v>21.650499999999997</v>
      </c>
      <c r="I7645" s="39"/>
      <c r="J7645" s="152">
        <v>0</v>
      </c>
    </row>
    <row r="7646" spans="1:10" ht="15.75" hidden="1" thickBot="1" x14ac:dyDescent="0.3">
      <c r="A7646" s="177"/>
      <c r="B7646" s="175"/>
      <c r="C7646" s="54"/>
      <c r="D7646" s="54"/>
      <c r="E7646" s="65"/>
      <c r="F7646" s="66" t="s">
        <v>416</v>
      </c>
      <c r="G7646" s="67" t="str">
        <f>IF(ISNUMBER(F7646),E7646*F7646,"")</f>
        <v/>
      </c>
      <c r="H7646" s="68"/>
      <c r="I7646" s="30"/>
      <c r="J7646" s="152">
        <v>0</v>
      </c>
    </row>
    <row r="7647" spans="1:10" ht="15.75" hidden="1" thickBot="1" x14ac:dyDescent="0.3">
      <c r="A7647" s="170" t="s">
        <v>6841</v>
      </c>
      <c r="B7647" s="173" t="str">
        <f>INDEX(Orçamentária!A:B,MATCH(Composições!A7647,Orçamentária!A:A,0),2)</f>
        <v>União PVC soldável 32 mm</v>
      </c>
      <c r="C7647" s="40"/>
      <c r="D7647" s="25" t="s">
        <v>16</v>
      </c>
      <c r="E7647" s="26"/>
      <c r="F7647" s="41" t="s">
        <v>416</v>
      </c>
      <c r="G7647" s="27" t="str">
        <f>IF(ISNUMBER(F7647),E7647*F7647,"")</f>
        <v/>
      </c>
      <c r="H7647" s="28"/>
      <c r="I7647" s="29"/>
      <c r="J7647" s="152">
        <v>0</v>
      </c>
    </row>
    <row r="7648" spans="1:10" ht="15.75" hidden="1" thickBot="1" x14ac:dyDescent="0.3">
      <c r="A7648" s="176"/>
      <c r="B7648" s="174"/>
      <c r="C7648" s="31"/>
      <c r="D7648" s="31"/>
      <c r="E7648" s="32"/>
      <c r="F7648" s="42" t="s">
        <v>416</v>
      </c>
      <c r="G7648" s="33" t="str">
        <f>IF(ISNUMBER(F7648),E7648*F7648,"")</f>
        <v/>
      </c>
      <c r="H7648" s="34"/>
      <c r="I7648" s="30"/>
      <c r="J7648" s="152">
        <v>0</v>
      </c>
    </row>
    <row r="7649" spans="1:10" ht="15.75" hidden="1" thickBot="1" x14ac:dyDescent="0.3">
      <c r="A7649" s="176"/>
      <c r="B7649" s="174"/>
      <c r="C7649" s="35" t="s">
        <v>8564</v>
      </c>
      <c r="D7649" s="35" t="s">
        <v>213</v>
      </c>
      <c r="E7649" s="36">
        <v>1</v>
      </c>
      <c r="F7649" s="30">
        <v>13.299999999999999</v>
      </c>
      <c r="G7649" s="33">
        <f>IF(ISNUMBER(F7649),E7649*F7649,"")</f>
        <v>13.299999999999999</v>
      </c>
      <c r="H7649" s="38">
        <f>SUM(G7649:G7649)</f>
        <v>13.299999999999999</v>
      </c>
      <c r="I7649" s="39"/>
      <c r="J7649" s="152">
        <v>0</v>
      </c>
    </row>
    <row r="7650" spans="1:10" ht="15.75" hidden="1" thickBot="1" x14ac:dyDescent="0.3">
      <c r="A7650" s="177"/>
      <c r="B7650" s="175"/>
      <c r="C7650" s="54"/>
      <c r="D7650" s="54"/>
      <c r="E7650" s="65"/>
      <c r="F7650" s="66" t="s">
        <v>416</v>
      </c>
      <c r="G7650" s="67" t="str">
        <f>IF(ISNUMBER(F7650),E7650*F7650,"")</f>
        <v/>
      </c>
      <c r="H7650" s="68"/>
      <c r="I7650" s="30"/>
      <c r="J7650" s="152">
        <v>0</v>
      </c>
    </row>
    <row r="7651" spans="1:10" ht="15.75" hidden="1" thickBot="1" x14ac:dyDescent="0.3">
      <c r="A7651" s="170" t="s">
        <v>6842</v>
      </c>
      <c r="B7651" s="173" t="str">
        <f>INDEX(Orçamentária!A:B,MATCH(Composições!A7651,Orçamentária!A:A,0),2)</f>
        <v>Bucha de redução longa PVC soldável de 32 mm x 20 mm</v>
      </c>
      <c r="C7651" s="40"/>
      <c r="D7651" s="25" t="s">
        <v>16</v>
      </c>
      <c r="E7651" s="26"/>
      <c r="F7651" s="41" t="s">
        <v>416</v>
      </c>
      <c r="G7651" s="27" t="str">
        <f>IF(ISNUMBER(F7651),E7651*F7651,"")</f>
        <v/>
      </c>
      <c r="H7651" s="28"/>
      <c r="I7651" s="29"/>
      <c r="J7651" s="152">
        <v>0</v>
      </c>
    </row>
    <row r="7652" spans="1:10" ht="15.75" hidden="1" thickBot="1" x14ac:dyDescent="0.3">
      <c r="A7652" s="176"/>
      <c r="B7652" s="174"/>
      <c r="C7652" s="31"/>
      <c r="D7652" s="31"/>
      <c r="E7652" s="32"/>
      <c r="F7652" s="42" t="s">
        <v>416</v>
      </c>
      <c r="G7652" s="33" t="str">
        <f>IF(ISNUMBER(F7652),E7652*F7652,"")</f>
        <v/>
      </c>
      <c r="H7652" s="34"/>
      <c r="I7652" s="30"/>
      <c r="J7652" s="152">
        <v>0</v>
      </c>
    </row>
    <row r="7653" spans="1:10" ht="26.25" hidden="1" thickBot="1" x14ac:dyDescent="0.3">
      <c r="A7653" s="176"/>
      <c r="B7653" s="174"/>
      <c r="C7653" s="35" t="s">
        <v>8021</v>
      </c>
      <c r="D7653" s="35" t="s">
        <v>213</v>
      </c>
      <c r="E7653" s="36">
        <v>1</v>
      </c>
      <c r="F7653" s="30">
        <v>2.7835000000000001</v>
      </c>
      <c r="G7653" s="33">
        <f>IF(ISNUMBER(F7653),E7653*F7653,"")</f>
        <v>2.7835000000000001</v>
      </c>
      <c r="H7653" s="38">
        <f>SUM(G7653:G7653)</f>
        <v>2.7835000000000001</v>
      </c>
      <c r="I7653" s="39"/>
      <c r="J7653" s="152">
        <v>0</v>
      </c>
    </row>
    <row r="7654" spans="1:10" ht="15.75" hidden="1" thickBot="1" x14ac:dyDescent="0.3">
      <c r="A7654" s="177"/>
      <c r="B7654" s="175"/>
      <c r="C7654" s="54"/>
      <c r="D7654" s="54"/>
      <c r="E7654" s="65"/>
      <c r="F7654" s="66" t="s">
        <v>416</v>
      </c>
      <c r="G7654" s="67" t="str">
        <f>IF(ISNUMBER(F7654),E7654*F7654,"")</f>
        <v/>
      </c>
      <c r="H7654" s="68"/>
      <c r="I7654" s="30"/>
      <c r="J7654" s="152">
        <v>0</v>
      </c>
    </row>
    <row r="7655" spans="1:10" ht="15.75" hidden="1" thickBot="1" x14ac:dyDescent="0.3">
      <c r="A7655" s="170" t="s">
        <v>6843</v>
      </c>
      <c r="B7655" s="173" t="str">
        <f>INDEX(Orçamentária!A:B,MATCH(Composições!A7655,Orçamentária!A:A,0),2)</f>
        <v>Bucha de redução curta PVC soldável de 32 mm x 25 mm</v>
      </c>
      <c r="C7655" s="40"/>
      <c r="D7655" s="25" t="s">
        <v>16</v>
      </c>
      <c r="E7655" s="26"/>
      <c r="F7655" s="41" t="s">
        <v>416</v>
      </c>
      <c r="G7655" s="27" t="str">
        <f>IF(ISNUMBER(F7655),E7655*F7655,"")</f>
        <v/>
      </c>
      <c r="H7655" s="28"/>
      <c r="I7655" s="29"/>
      <c r="J7655" s="152">
        <v>0</v>
      </c>
    </row>
    <row r="7656" spans="1:10" ht="15.75" hidden="1" thickBot="1" x14ac:dyDescent="0.3">
      <c r="A7656" s="176"/>
      <c r="B7656" s="174"/>
      <c r="C7656" s="31"/>
      <c r="D7656" s="31"/>
      <c r="E7656" s="32"/>
      <c r="F7656" s="42" t="s">
        <v>416</v>
      </c>
      <c r="G7656" s="33" t="str">
        <f>IF(ISNUMBER(F7656),E7656*F7656,"")</f>
        <v/>
      </c>
      <c r="H7656" s="34"/>
      <c r="I7656" s="30"/>
      <c r="J7656" s="152">
        <v>0</v>
      </c>
    </row>
    <row r="7657" spans="1:10" ht="26.25" hidden="1" thickBot="1" x14ac:dyDescent="0.3">
      <c r="A7657" s="176"/>
      <c r="B7657" s="174"/>
      <c r="C7657" s="35" t="s">
        <v>8017</v>
      </c>
      <c r="D7657" s="35" t="s">
        <v>213</v>
      </c>
      <c r="E7657" s="36">
        <v>1</v>
      </c>
      <c r="F7657" s="30">
        <v>0.9405</v>
      </c>
      <c r="G7657" s="33">
        <f>IF(ISNUMBER(F7657),E7657*F7657,"")</f>
        <v>0.9405</v>
      </c>
      <c r="H7657" s="38">
        <f>SUM(G7657:G7657)</f>
        <v>0.9405</v>
      </c>
      <c r="I7657" s="39"/>
      <c r="J7657" s="152">
        <v>0</v>
      </c>
    </row>
    <row r="7658" spans="1:10" ht="15.75" hidden="1" thickBot="1" x14ac:dyDescent="0.3">
      <c r="A7658" s="177"/>
      <c r="B7658" s="175"/>
      <c r="C7658" s="54"/>
      <c r="D7658" s="54"/>
      <c r="E7658" s="65"/>
      <c r="F7658" s="66" t="s">
        <v>416</v>
      </c>
      <c r="G7658" s="67" t="str">
        <f>IF(ISNUMBER(F7658),E7658*F7658,"")</f>
        <v/>
      </c>
      <c r="H7658" s="68"/>
      <c r="I7658" s="30"/>
      <c r="J7658" s="152">
        <v>0</v>
      </c>
    </row>
    <row r="7659" spans="1:10" ht="15.75" hidden="1" thickBot="1" x14ac:dyDescent="0.3">
      <c r="A7659" s="170" t="s">
        <v>6844</v>
      </c>
      <c r="B7659" s="173" t="str">
        <f>INDEX(Orçamentária!A:B,MATCH(Composições!A7659,Orçamentária!A:A,0),2)</f>
        <v>Adaptador PVC soldável, curto com bolsa e rosca para Registro 32 mm x 1”</v>
      </c>
      <c r="C7659" s="40"/>
      <c r="D7659" s="25" t="s">
        <v>16</v>
      </c>
      <c r="E7659" s="26"/>
      <c r="F7659" s="41" t="s">
        <v>416</v>
      </c>
      <c r="G7659" s="27" t="str">
        <f>IF(ISNUMBER(F7659),E7659*F7659,"")</f>
        <v/>
      </c>
      <c r="H7659" s="28"/>
      <c r="I7659" s="29"/>
      <c r="J7659" s="152">
        <v>0</v>
      </c>
    </row>
    <row r="7660" spans="1:10" ht="15.75" hidden="1" thickBot="1" x14ac:dyDescent="0.3">
      <c r="A7660" s="176"/>
      <c r="B7660" s="174"/>
      <c r="C7660" s="31"/>
      <c r="D7660" s="31"/>
      <c r="E7660" s="32"/>
      <c r="F7660" s="42" t="s">
        <v>416</v>
      </c>
      <c r="G7660" s="33" t="str">
        <f>IF(ISNUMBER(F7660),E7660*F7660,"")</f>
        <v/>
      </c>
      <c r="H7660" s="34"/>
      <c r="I7660" s="30"/>
      <c r="J7660" s="152">
        <v>0</v>
      </c>
    </row>
    <row r="7661" spans="1:10" ht="26.25" hidden="1" thickBot="1" x14ac:dyDescent="0.3">
      <c r="A7661" s="176"/>
      <c r="B7661" s="174"/>
      <c r="C7661" s="35" t="s">
        <v>7961</v>
      </c>
      <c r="D7661" s="35" t="s">
        <v>213</v>
      </c>
      <c r="E7661" s="36">
        <v>1</v>
      </c>
      <c r="F7661" s="30">
        <v>1.7669999999999999</v>
      </c>
      <c r="G7661" s="33">
        <f>IF(ISNUMBER(F7661),E7661*F7661,"")</f>
        <v>1.7669999999999999</v>
      </c>
      <c r="H7661" s="38">
        <f>SUM(G7661:G7661)</f>
        <v>1.7669999999999999</v>
      </c>
      <c r="I7661" s="39"/>
      <c r="J7661" s="152">
        <v>0</v>
      </c>
    </row>
    <row r="7662" spans="1:10" ht="15.75" hidden="1" thickBot="1" x14ac:dyDescent="0.3">
      <c r="A7662" s="177"/>
      <c r="B7662" s="175"/>
      <c r="C7662" s="54"/>
      <c r="D7662" s="54"/>
      <c r="E7662" s="65"/>
      <c r="F7662" s="66" t="s">
        <v>416</v>
      </c>
      <c r="G7662" s="67" t="str">
        <f>IF(ISNUMBER(F7662),E7662*F7662,"")</f>
        <v/>
      </c>
      <c r="H7662" s="68"/>
      <c r="I7662" s="30"/>
      <c r="J7662" s="152">
        <v>0</v>
      </c>
    </row>
    <row r="7663" spans="1:10" ht="15.75" hidden="1" thickBot="1" x14ac:dyDescent="0.3">
      <c r="A7663" s="170" t="s">
        <v>6845</v>
      </c>
      <c r="B7663" s="173" t="str">
        <f>INDEX(Orçamentária!A:B,MATCH(Composições!A7663,Orçamentária!A:A,0),2)</f>
        <v>Adaptador flange PVC soldável 32 mm x 1”</v>
      </c>
      <c r="C7663" s="40"/>
      <c r="D7663" s="25" t="s">
        <v>16</v>
      </c>
      <c r="E7663" s="26"/>
      <c r="F7663" s="41" t="s">
        <v>416</v>
      </c>
      <c r="G7663" s="27" t="str">
        <f>IF(ISNUMBER(F7663),E7663*F7663,"")</f>
        <v/>
      </c>
      <c r="H7663" s="28"/>
      <c r="I7663" s="29"/>
      <c r="J7663" s="152">
        <v>0</v>
      </c>
    </row>
    <row r="7664" spans="1:10" ht="15.75" hidden="1" thickBot="1" x14ac:dyDescent="0.3">
      <c r="A7664" s="176"/>
      <c r="B7664" s="174"/>
      <c r="C7664" s="31"/>
      <c r="D7664" s="31"/>
      <c r="E7664" s="32"/>
      <c r="F7664" s="42" t="s">
        <v>416</v>
      </c>
      <c r="G7664" s="33" t="str">
        <f>IF(ISNUMBER(F7664),E7664*F7664,"")</f>
        <v/>
      </c>
      <c r="H7664" s="34"/>
      <c r="I7664" s="30"/>
      <c r="J7664" s="152">
        <v>0</v>
      </c>
    </row>
    <row r="7665" spans="1:10" ht="26.25" hidden="1" thickBot="1" x14ac:dyDescent="0.3">
      <c r="A7665" s="176"/>
      <c r="B7665" s="174"/>
      <c r="C7665" s="35" t="s">
        <v>7968</v>
      </c>
      <c r="D7665" s="35" t="s">
        <v>213</v>
      </c>
      <c r="E7665" s="36">
        <v>1</v>
      </c>
      <c r="F7665" s="30">
        <v>18.315999999999999</v>
      </c>
      <c r="G7665" s="33">
        <f>IF(ISNUMBER(F7665),E7665*F7665,"")</f>
        <v>18.315999999999999</v>
      </c>
      <c r="H7665" s="38">
        <f>SUM(G7665:G7665)</f>
        <v>18.315999999999999</v>
      </c>
      <c r="I7665" s="39"/>
      <c r="J7665" s="152">
        <v>0</v>
      </c>
    </row>
    <row r="7666" spans="1:10" ht="15.75" hidden="1" thickBot="1" x14ac:dyDescent="0.3">
      <c r="A7666" s="177"/>
      <c r="B7666" s="175"/>
      <c r="C7666" s="54"/>
      <c r="D7666" s="54"/>
      <c r="E7666" s="65"/>
      <c r="F7666" s="66" t="s">
        <v>416</v>
      </c>
      <c r="G7666" s="67" t="str">
        <f>IF(ISNUMBER(F7666),E7666*F7666,"")</f>
        <v/>
      </c>
      <c r="H7666" s="68"/>
      <c r="I7666" s="30"/>
      <c r="J7666" s="152">
        <v>0</v>
      </c>
    </row>
    <row r="7667" spans="1:10" ht="15.75" hidden="1" thickBot="1" x14ac:dyDescent="0.3">
      <c r="A7667" s="170" t="s">
        <v>6846</v>
      </c>
      <c r="B7667" s="173" t="str">
        <f>INDEX(Orçamentária!A:B,MATCH(Composições!A7667,Orçamentária!A:A,0),2)</f>
        <v>Joelho 90° PVC soldável 40 mm</v>
      </c>
      <c r="C7667" s="40"/>
      <c r="D7667" s="25" t="s">
        <v>16</v>
      </c>
      <c r="E7667" s="26"/>
      <c r="F7667" s="41" t="s">
        <v>416</v>
      </c>
      <c r="G7667" s="27" t="str">
        <f>IF(ISNUMBER(F7667),E7667*F7667,"")</f>
        <v/>
      </c>
      <c r="H7667" s="28"/>
      <c r="I7667" s="29"/>
      <c r="J7667" s="152">
        <v>0</v>
      </c>
    </row>
    <row r="7668" spans="1:10" ht="15.75" hidden="1" thickBot="1" x14ac:dyDescent="0.3">
      <c r="A7668" s="176"/>
      <c r="B7668" s="174"/>
      <c r="C7668" s="31"/>
      <c r="D7668" s="31"/>
      <c r="E7668" s="32"/>
      <c r="F7668" s="42" t="s">
        <v>416</v>
      </c>
      <c r="G7668" s="33" t="str">
        <f>IF(ISNUMBER(F7668),E7668*F7668,"")</f>
        <v/>
      </c>
      <c r="H7668" s="34"/>
      <c r="I7668" s="30"/>
      <c r="J7668" s="152">
        <v>0</v>
      </c>
    </row>
    <row r="7669" spans="1:10" ht="26.25" hidden="1" thickBot="1" x14ac:dyDescent="0.3">
      <c r="A7669" s="176"/>
      <c r="B7669" s="174"/>
      <c r="C7669" s="35" t="s">
        <v>8201</v>
      </c>
      <c r="D7669" s="35" t="s">
        <v>213</v>
      </c>
      <c r="E7669" s="36">
        <v>1</v>
      </c>
      <c r="F7669" s="30">
        <v>5.8329999999999993</v>
      </c>
      <c r="G7669" s="33">
        <f>IF(ISNUMBER(F7669),E7669*F7669,"")</f>
        <v>5.8329999999999993</v>
      </c>
      <c r="H7669" s="38">
        <f>SUM(G7669:G7669)</f>
        <v>5.8329999999999993</v>
      </c>
      <c r="I7669" s="39"/>
      <c r="J7669" s="152">
        <v>0</v>
      </c>
    </row>
    <row r="7670" spans="1:10" ht="15.75" hidden="1" thickBot="1" x14ac:dyDescent="0.3">
      <c r="A7670" s="177"/>
      <c r="B7670" s="175"/>
      <c r="C7670" s="54"/>
      <c r="D7670" s="54"/>
      <c r="E7670" s="65"/>
      <c r="F7670" s="66" t="s">
        <v>416</v>
      </c>
      <c r="G7670" s="67" t="str">
        <f>IF(ISNUMBER(F7670),E7670*F7670,"")</f>
        <v/>
      </c>
      <c r="H7670" s="68"/>
      <c r="I7670" s="30"/>
      <c r="J7670" s="152">
        <v>0</v>
      </c>
    </row>
    <row r="7671" spans="1:10" ht="15.75" hidden="1" thickBot="1" x14ac:dyDescent="0.3">
      <c r="A7671" s="170" t="s">
        <v>6847</v>
      </c>
      <c r="B7671" s="173" t="str">
        <f>INDEX(Orçamentária!A:B,MATCH(Composições!A7671,Orçamentária!A:A,0),2)</f>
        <v>Cap PVC soldável 40 mm</v>
      </c>
      <c r="C7671" s="40"/>
      <c r="D7671" s="25" t="s">
        <v>16</v>
      </c>
      <c r="E7671" s="26"/>
      <c r="F7671" s="41" t="s">
        <v>416</v>
      </c>
      <c r="G7671" s="27" t="str">
        <f>IF(ISNUMBER(F7671),E7671*F7671,"")</f>
        <v/>
      </c>
      <c r="H7671" s="28"/>
      <c r="I7671" s="29"/>
      <c r="J7671" s="152">
        <v>0</v>
      </c>
    </row>
    <row r="7672" spans="1:10" ht="15.75" hidden="1" thickBot="1" x14ac:dyDescent="0.3">
      <c r="A7672" s="176"/>
      <c r="B7672" s="174"/>
      <c r="C7672" s="31"/>
      <c r="D7672" s="31"/>
      <c r="E7672" s="32"/>
      <c r="F7672" s="42" t="s">
        <v>416</v>
      </c>
      <c r="G7672" s="33" t="str">
        <f>IF(ISNUMBER(F7672),E7672*F7672,"")</f>
        <v/>
      </c>
      <c r="H7672" s="34"/>
      <c r="I7672" s="30"/>
      <c r="J7672" s="152">
        <v>0</v>
      </c>
    </row>
    <row r="7673" spans="1:10" ht="15.75" hidden="1" thickBot="1" x14ac:dyDescent="0.3">
      <c r="A7673" s="176"/>
      <c r="B7673" s="174"/>
      <c r="C7673" s="35" t="s">
        <v>8052</v>
      </c>
      <c r="D7673" s="35" t="s">
        <v>213</v>
      </c>
      <c r="E7673" s="36">
        <v>1</v>
      </c>
      <c r="F7673" s="30">
        <v>3.8854999999999995</v>
      </c>
      <c r="G7673" s="33">
        <f>IF(ISNUMBER(F7673),E7673*F7673,"")</f>
        <v>3.8854999999999995</v>
      </c>
      <c r="H7673" s="38">
        <f>SUM(G7673:G7673)</f>
        <v>3.8854999999999995</v>
      </c>
      <c r="I7673" s="39"/>
      <c r="J7673" s="152">
        <v>0</v>
      </c>
    </row>
    <row r="7674" spans="1:10" ht="15.75" hidden="1" thickBot="1" x14ac:dyDescent="0.3">
      <c r="A7674" s="177"/>
      <c r="B7674" s="175"/>
      <c r="C7674" s="54"/>
      <c r="D7674" s="54"/>
      <c r="E7674" s="65"/>
      <c r="F7674" s="66" t="s">
        <v>416</v>
      </c>
      <c r="G7674" s="67" t="str">
        <f>IF(ISNUMBER(F7674),E7674*F7674,"")</f>
        <v/>
      </c>
      <c r="H7674" s="68"/>
      <c r="I7674" s="30"/>
      <c r="J7674" s="152">
        <v>0</v>
      </c>
    </row>
    <row r="7675" spans="1:10" ht="15.75" hidden="1" thickBot="1" x14ac:dyDescent="0.3">
      <c r="A7675" s="170" t="s">
        <v>6848</v>
      </c>
      <c r="B7675" s="173" t="str">
        <f>INDEX(Orçamentária!A:B,MATCH(Composições!A7675,Orçamentária!A:A,0),2)</f>
        <v>Curva 90° PVC soldável 40 mm</v>
      </c>
      <c r="C7675" s="40"/>
      <c r="D7675" s="25" t="s">
        <v>16</v>
      </c>
      <c r="E7675" s="26"/>
      <c r="F7675" s="41" t="s">
        <v>416</v>
      </c>
      <c r="G7675" s="27" t="str">
        <f>IF(ISNUMBER(F7675),E7675*F7675,"")</f>
        <v/>
      </c>
      <c r="H7675" s="28"/>
      <c r="I7675" s="29"/>
      <c r="J7675" s="152">
        <v>0</v>
      </c>
    </row>
    <row r="7676" spans="1:10" ht="15.75" hidden="1" thickBot="1" x14ac:dyDescent="0.3">
      <c r="A7676" s="176"/>
      <c r="B7676" s="174"/>
      <c r="C7676" s="31"/>
      <c r="D7676" s="31"/>
      <c r="E7676" s="32"/>
      <c r="F7676" s="42" t="s">
        <v>416</v>
      </c>
      <c r="G7676" s="33" t="str">
        <f>IF(ISNUMBER(F7676),E7676*F7676,"")</f>
        <v/>
      </c>
      <c r="H7676" s="34"/>
      <c r="I7676" s="30"/>
      <c r="J7676" s="152">
        <v>0</v>
      </c>
    </row>
    <row r="7677" spans="1:10" ht="26.25" hidden="1" thickBot="1" x14ac:dyDescent="0.3">
      <c r="A7677" s="176"/>
      <c r="B7677" s="174"/>
      <c r="C7677" s="35" t="s">
        <v>8104</v>
      </c>
      <c r="D7677" s="35" t="s">
        <v>213</v>
      </c>
      <c r="E7677" s="36">
        <v>1</v>
      </c>
      <c r="F7677" s="30">
        <v>11.875</v>
      </c>
      <c r="G7677" s="33">
        <f>IF(ISNUMBER(F7677),E7677*F7677,"")</f>
        <v>11.875</v>
      </c>
      <c r="H7677" s="38">
        <f>SUM(G7677:G7677)</f>
        <v>11.875</v>
      </c>
      <c r="I7677" s="39"/>
      <c r="J7677" s="152">
        <v>0</v>
      </c>
    </row>
    <row r="7678" spans="1:10" ht="15.75" hidden="1" thickBot="1" x14ac:dyDescent="0.3">
      <c r="A7678" s="177"/>
      <c r="B7678" s="175"/>
      <c r="C7678" s="54"/>
      <c r="D7678" s="54"/>
      <c r="E7678" s="65"/>
      <c r="F7678" s="66" t="s">
        <v>416</v>
      </c>
      <c r="G7678" s="67" t="str">
        <f>IF(ISNUMBER(F7678),E7678*F7678,"")</f>
        <v/>
      </c>
      <c r="H7678" s="68"/>
      <c r="I7678" s="30"/>
      <c r="J7678" s="152">
        <v>0</v>
      </c>
    </row>
    <row r="7679" spans="1:10" ht="15.75" hidden="1" thickBot="1" x14ac:dyDescent="0.3">
      <c r="A7679" s="170" t="s">
        <v>6849</v>
      </c>
      <c r="B7679" s="173" t="str">
        <f>INDEX(Orçamentária!A:B,MATCH(Composições!A7679,Orçamentária!A:A,0),2)</f>
        <v>Joelho 45° PVC soldável 40 mm</v>
      </c>
      <c r="C7679" s="40"/>
      <c r="D7679" s="25" t="s">
        <v>16</v>
      </c>
      <c r="E7679" s="26"/>
      <c r="F7679" s="41" t="s">
        <v>416</v>
      </c>
      <c r="G7679" s="27" t="str">
        <f>IF(ISNUMBER(F7679),E7679*F7679,"")</f>
        <v/>
      </c>
      <c r="H7679" s="28"/>
      <c r="I7679" s="29"/>
      <c r="J7679" s="152">
        <v>0</v>
      </c>
    </row>
    <row r="7680" spans="1:10" ht="15.75" hidden="1" thickBot="1" x14ac:dyDescent="0.3">
      <c r="A7680" s="176"/>
      <c r="B7680" s="174"/>
      <c r="C7680" s="31"/>
      <c r="D7680" s="31"/>
      <c r="E7680" s="32"/>
      <c r="F7680" s="42" t="s">
        <v>416</v>
      </c>
      <c r="G7680" s="33" t="str">
        <f>IF(ISNUMBER(F7680),E7680*F7680,"")</f>
        <v/>
      </c>
      <c r="H7680" s="34"/>
      <c r="I7680" s="30"/>
      <c r="J7680" s="152">
        <v>0</v>
      </c>
    </row>
    <row r="7681" spans="1:10" ht="26.25" hidden="1" thickBot="1" x14ac:dyDescent="0.3">
      <c r="A7681" s="176"/>
      <c r="B7681" s="174"/>
      <c r="C7681" s="35" t="s">
        <v>8207</v>
      </c>
      <c r="D7681" s="35" t="s">
        <v>213</v>
      </c>
      <c r="E7681" s="36">
        <v>1</v>
      </c>
      <c r="F7681" s="30">
        <v>5.89</v>
      </c>
      <c r="G7681" s="33">
        <f>IF(ISNUMBER(F7681),E7681*F7681,"")</f>
        <v>5.89</v>
      </c>
      <c r="H7681" s="38">
        <f>SUM(G7681:G7681)</f>
        <v>5.89</v>
      </c>
      <c r="I7681" s="39"/>
      <c r="J7681" s="152">
        <v>0</v>
      </c>
    </row>
    <row r="7682" spans="1:10" ht="15.75" hidden="1" thickBot="1" x14ac:dyDescent="0.3">
      <c r="A7682" s="177"/>
      <c r="B7682" s="175"/>
      <c r="C7682" s="54"/>
      <c r="D7682" s="54"/>
      <c r="E7682" s="65"/>
      <c r="F7682" s="66" t="s">
        <v>416</v>
      </c>
      <c r="G7682" s="67" t="str">
        <f>IF(ISNUMBER(F7682),E7682*F7682,"")</f>
        <v/>
      </c>
      <c r="H7682" s="68"/>
      <c r="I7682" s="30"/>
      <c r="J7682" s="152">
        <v>0</v>
      </c>
    </row>
    <row r="7683" spans="1:10" ht="15.75" hidden="1" thickBot="1" x14ac:dyDescent="0.3">
      <c r="A7683" s="170" t="s">
        <v>6850</v>
      </c>
      <c r="B7683" s="173" t="str">
        <f>INDEX(Orçamentária!A:B,MATCH(Composições!A7683,Orçamentária!A:A,0),2)</f>
        <v>Tê PVC soldável 40 mm</v>
      </c>
      <c r="C7683" s="40"/>
      <c r="D7683" s="25" t="s">
        <v>16</v>
      </c>
      <c r="E7683" s="26"/>
      <c r="F7683" s="41" t="s">
        <v>416</v>
      </c>
      <c r="G7683" s="27" t="str">
        <f>IF(ISNUMBER(F7683),E7683*F7683,"")</f>
        <v/>
      </c>
      <c r="H7683" s="28"/>
      <c r="I7683" s="29"/>
      <c r="J7683" s="152">
        <v>0</v>
      </c>
    </row>
    <row r="7684" spans="1:10" ht="15.75" hidden="1" thickBot="1" x14ac:dyDescent="0.3">
      <c r="A7684" s="176"/>
      <c r="B7684" s="174"/>
      <c r="C7684" s="31"/>
      <c r="D7684" s="31"/>
      <c r="E7684" s="32"/>
      <c r="F7684" s="42" t="s">
        <v>416</v>
      </c>
      <c r="G7684" s="33" t="str">
        <f>IF(ISNUMBER(F7684),E7684*F7684,"")</f>
        <v/>
      </c>
      <c r="H7684" s="34"/>
      <c r="I7684" s="30"/>
      <c r="J7684" s="152">
        <v>0</v>
      </c>
    </row>
    <row r="7685" spans="1:10" ht="26.25" hidden="1" thickBot="1" x14ac:dyDescent="0.3">
      <c r="A7685" s="176"/>
      <c r="B7685" s="174"/>
      <c r="C7685" s="35" t="s">
        <v>8412</v>
      </c>
      <c r="D7685" s="35" t="s">
        <v>213</v>
      </c>
      <c r="E7685" s="36">
        <v>1</v>
      </c>
      <c r="F7685" s="30">
        <v>9.1105</v>
      </c>
      <c r="G7685" s="33">
        <f>IF(ISNUMBER(F7685),E7685*F7685,"")</f>
        <v>9.1105</v>
      </c>
      <c r="H7685" s="38">
        <f>SUM(G7685:G7685)</f>
        <v>9.1105</v>
      </c>
      <c r="I7685" s="39"/>
      <c r="J7685" s="152">
        <v>0</v>
      </c>
    </row>
    <row r="7686" spans="1:10" ht="15.75" hidden="1" thickBot="1" x14ac:dyDescent="0.3">
      <c r="A7686" s="177"/>
      <c r="B7686" s="175"/>
      <c r="C7686" s="54"/>
      <c r="D7686" s="54"/>
      <c r="E7686" s="65"/>
      <c r="F7686" s="66" t="s">
        <v>416</v>
      </c>
      <c r="G7686" s="67" t="str">
        <f>IF(ISNUMBER(F7686),E7686*F7686,"")</f>
        <v/>
      </c>
      <c r="H7686" s="68"/>
      <c r="I7686" s="30"/>
      <c r="J7686" s="152">
        <v>0</v>
      </c>
    </row>
    <row r="7687" spans="1:10" ht="15.75" hidden="1" thickBot="1" x14ac:dyDescent="0.3">
      <c r="A7687" s="170" t="s">
        <v>6851</v>
      </c>
      <c r="B7687" s="173" t="str">
        <f>INDEX(Orçamentária!A:B,MATCH(Composições!A7687,Orçamentária!A:A,0),2)</f>
        <v>Luva simples PVC soldável 40 mm</v>
      </c>
      <c r="C7687" s="40"/>
      <c r="D7687" s="25" t="s">
        <v>16</v>
      </c>
      <c r="E7687" s="26"/>
      <c r="F7687" s="41" t="s">
        <v>416</v>
      </c>
      <c r="G7687" s="27" t="str">
        <f>IF(ISNUMBER(F7687),E7687*F7687,"")</f>
        <v/>
      </c>
      <c r="H7687" s="28"/>
      <c r="I7687" s="29"/>
      <c r="J7687" s="152">
        <v>0</v>
      </c>
    </row>
    <row r="7688" spans="1:10" ht="15.75" hidden="1" thickBot="1" x14ac:dyDescent="0.3">
      <c r="A7688" s="176"/>
      <c r="B7688" s="174"/>
      <c r="C7688" s="31"/>
      <c r="D7688" s="31"/>
      <c r="E7688" s="32"/>
      <c r="F7688" s="42" t="s">
        <v>416</v>
      </c>
      <c r="G7688" s="33" t="str">
        <f>IF(ISNUMBER(F7688),E7688*F7688,"")</f>
        <v/>
      </c>
      <c r="H7688" s="34"/>
      <c r="I7688" s="30"/>
      <c r="J7688" s="152">
        <v>0</v>
      </c>
    </row>
    <row r="7689" spans="1:10" ht="15.75" hidden="1" thickBot="1" x14ac:dyDescent="0.3">
      <c r="A7689" s="176"/>
      <c r="B7689" s="174"/>
      <c r="C7689" s="35" t="s">
        <v>8271</v>
      </c>
      <c r="D7689" s="35" t="s">
        <v>213</v>
      </c>
      <c r="E7689" s="36">
        <v>1</v>
      </c>
      <c r="F7689" s="30">
        <v>4.2084999999999999</v>
      </c>
      <c r="G7689" s="33">
        <f>IF(ISNUMBER(F7689),E7689*F7689,"")</f>
        <v>4.2084999999999999</v>
      </c>
      <c r="H7689" s="38">
        <f>SUM(G7689:G7689)</f>
        <v>4.2084999999999999</v>
      </c>
      <c r="I7689" s="39"/>
      <c r="J7689" s="152">
        <v>0</v>
      </c>
    </row>
    <row r="7690" spans="1:10" ht="15.75" hidden="1" thickBot="1" x14ac:dyDescent="0.3">
      <c r="A7690" s="177"/>
      <c r="B7690" s="175"/>
      <c r="C7690" s="54"/>
      <c r="D7690" s="54"/>
      <c r="E7690" s="65"/>
      <c r="F7690" s="66" t="s">
        <v>416</v>
      </c>
      <c r="G7690" s="67" t="str">
        <f>IF(ISNUMBER(F7690),E7690*F7690,"")</f>
        <v/>
      </c>
      <c r="H7690" s="68"/>
      <c r="I7690" s="30"/>
      <c r="J7690" s="152">
        <v>0</v>
      </c>
    </row>
    <row r="7691" spans="1:10" ht="15.75" hidden="1" thickBot="1" x14ac:dyDescent="0.3">
      <c r="A7691" s="170" t="s">
        <v>6852</v>
      </c>
      <c r="B7691" s="173" t="str">
        <f>INDEX(Orçamentária!A:B,MATCH(Composições!A7691,Orçamentária!A:A,0),2)</f>
        <v>Luva de correr PVC soldável 40 mm</v>
      </c>
      <c r="C7691" s="40"/>
      <c r="D7691" s="25" t="s">
        <v>16</v>
      </c>
      <c r="E7691" s="26"/>
      <c r="F7691" s="41" t="s">
        <v>416</v>
      </c>
      <c r="G7691" s="27" t="str">
        <f>IF(ISNUMBER(F7691),E7691*F7691,"")</f>
        <v/>
      </c>
      <c r="H7691" s="28"/>
      <c r="I7691" s="29"/>
      <c r="J7691" s="152">
        <v>0</v>
      </c>
    </row>
    <row r="7692" spans="1:10" ht="15.75" hidden="1" thickBot="1" x14ac:dyDescent="0.3">
      <c r="A7692" s="176"/>
      <c r="B7692" s="174"/>
      <c r="C7692" s="31"/>
      <c r="D7692" s="31"/>
      <c r="E7692" s="32"/>
      <c r="F7692" s="42" t="s">
        <v>416</v>
      </c>
      <c r="G7692" s="33" t="str">
        <f>IF(ISNUMBER(F7692),E7692*F7692,"")</f>
        <v/>
      </c>
      <c r="H7692" s="34"/>
      <c r="I7692" s="30"/>
      <c r="J7692" s="152">
        <v>0</v>
      </c>
    </row>
    <row r="7693" spans="1:10" ht="26.25" hidden="1" thickBot="1" x14ac:dyDescent="0.3">
      <c r="A7693" s="176"/>
      <c r="B7693" s="174"/>
      <c r="C7693" s="35" t="s">
        <v>8241</v>
      </c>
      <c r="D7693" s="35" t="s">
        <v>213</v>
      </c>
      <c r="E7693" s="36">
        <v>1</v>
      </c>
      <c r="F7693" s="30">
        <v>27.986999999999998</v>
      </c>
      <c r="G7693" s="33">
        <f>IF(ISNUMBER(F7693),E7693*F7693,"")</f>
        <v>27.986999999999998</v>
      </c>
      <c r="H7693" s="38">
        <f>SUM(G7693:G7693)</f>
        <v>27.986999999999998</v>
      </c>
      <c r="I7693" s="39"/>
      <c r="J7693" s="152">
        <v>0</v>
      </c>
    </row>
    <row r="7694" spans="1:10" ht="15.75" hidden="1" thickBot="1" x14ac:dyDescent="0.3">
      <c r="A7694" s="177"/>
      <c r="B7694" s="175"/>
      <c r="C7694" s="54"/>
      <c r="D7694" s="54"/>
      <c r="E7694" s="65"/>
      <c r="F7694" s="66" t="s">
        <v>416</v>
      </c>
      <c r="G7694" s="67" t="str">
        <f>IF(ISNUMBER(F7694),E7694*F7694,"")</f>
        <v/>
      </c>
      <c r="H7694" s="68"/>
      <c r="I7694" s="30"/>
      <c r="J7694" s="152">
        <v>0</v>
      </c>
    </row>
    <row r="7695" spans="1:10" ht="15.75" hidden="1" thickBot="1" x14ac:dyDescent="0.3">
      <c r="A7695" s="170" t="s">
        <v>6853</v>
      </c>
      <c r="B7695" s="173" t="str">
        <f>INDEX(Orçamentária!A:B,MATCH(Composições!A7695,Orçamentária!A:A,0),2)</f>
        <v>União PVC soldável 40 mm</v>
      </c>
      <c r="C7695" s="40"/>
      <c r="D7695" s="25" t="s">
        <v>16</v>
      </c>
      <c r="E7695" s="26"/>
      <c r="F7695" s="41" t="s">
        <v>416</v>
      </c>
      <c r="G7695" s="27" t="str">
        <f>IF(ISNUMBER(F7695),E7695*F7695,"")</f>
        <v/>
      </c>
      <c r="H7695" s="28"/>
      <c r="I7695" s="29"/>
      <c r="J7695" s="152">
        <v>0</v>
      </c>
    </row>
    <row r="7696" spans="1:10" ht="15.75" hidden="1" thickBot="1" x14ac:dyDescent="0.3">
      <c r="A7696" s="176"/>
      <c r="B7696" s="174"/>
      <c r="C7696" s="31"/>
      <c r="D7696" s="31"/>
      <c r="E7696" s="32"/>
      <c r="F7696" s="42" t="s">
        <v>416</v>
      </c>
      <c r="G7696" s="33" t="str">
        <f>IF(ISNUMBER(F7696),E7696*F7696,"")</f>
        <v/>
      </c>
      <c r="H7696" s="34"/>
      <c r="I7696" s="30"/>
      <c r="J7696" s="152">
        <v>0</v>
      </c>
    </row>
    <row r="7697" spans="1:10" ht="15.75" hidden="1" thickBot="1" x14ac:dyDescent="0.3">
      <c r="A7697" s="176"/>
      <c r="B7697" s="174"/>
      <c r="C7697" s="35" t="s">
        <v>8565</v>
      </c>
      <c r="D7697" s="35" t="s">
        <v>213</v>
      </c>
      <c r="E7697" s="36">
        <v>1</v>
      </c>
      <c r="F7697" s="30">
        <v>25.574000000000002</v>
      </c>
      <c r="G7697" s="33">
        <f>IF(ISNUMBER(F7697),E7697*F7697,"")</f>
        <v>25.574000000000002</v>
      </c>
      <c r="H7697" s="38">
        <f>SUM(G7697:G7697)</f>
        <v>25.574000000000002</v>
      </c>
      <c r="I7697" s="39"/>
      <c r="J7697" s="152">
        <v>0</v>
      </c>
    </row>
    <row r="7698" spans="1:10" ht="15.75" hidden="1" thickBot="1" x14ac:dyDescent="0.3">
      <c r="A7698" s="177"/>
      <c r="B7698" s="175"/>
      <c r="C7698" s="54"/>
      <c r="D7698" s="54"/>
      <c r="E7698" s="65"/>
      <c r="F7698" s="66" t="s">
        <v>416</v>
      </c>
      <c r="G7698" s="67" t="str">
        <f>IF(ISNUMBER(F7698),E7698*F7698,"")</f>
        <v/>
      </c>
      <c r="H7698" s="68"/>
      <c r="I7698" s="30"/>
      <c r="J7698" s="152">
        <v>0</v>
      </c>
    </row>
    <row r="7699" spans="1:10" ht="15.75" hidden="1" thickBot="1" x14ac:dyDescent="0.3">
      <c r="A7699" s="170" t="s">
        <v>6854</v>
      </c>
      <c r="B7699" s="173" t="str">
        <f>INDEX(Orçamentária!A:B,MATCH(Composições!A7699,Orçamentária!A:A,0),2)</f>
        <v>Bucha de redução curta PVC soldável de 40 mm x 32 mm</v>
      </c>
      <c r="C7699" s="40"/>
      <c r="D7699" s="25" t="s">
        <v>16</v>
      </c>
      <c r="E7699" s="26"/>
      <c r="F7699" s="41" t="s">
        <v>416</v>
      </c>
      <c r="G7699" s="27" t="str">
        <f>IF(ISNUMBER(F7699),E7699*F7699,"")</f>
        <v/>
      </c>
      <c r="H7699" s="28"/>
      <c r="I7699" s="29"/>
      <c r="J7699" s="152">
        <v>0</v>
      </c>
    </row>
    <row r="7700" spans="1:10" ht="15.75" hidden="1" thickBot="1" x14ac:dyDescent="0.3">
      <c r="A7700" s="176"/>
      <c r="B7700" s="174"/>
      <c r="C7700" s="31"/>
      <c r="D7700" s="31"/>
      <c r="E7700" s="32"/>
      <c r="F7700" s="42" t="s">
        <v>416</v>
      </c>
      <c r="G7700" s="33" t="str">
        <f>IF(ISNUMBER(F7700),E7700*F7700,"")</f>
        <v/>
      </c>
      <c r="H7700" s="34"/>
      <c r="I7700" s="30"/>
      <c r="J7700" s="152">
        <v>0</v>
      </c>
    </row>
    <row r="7701" spans="1:10" ht="26.25" hidden="1" thickBot="1" x14ac:dyDescent="0.3">
      <c r="A7701" s="176"/>
      <c r="B7701" s="174"/>
      <c r="C7701" s="35" t="s">
        <v>8018</v>
      </c>
      <c r="D7701" s="35" t="s">
        <v>213</v>
      </c>
      <c r="E7701" s="36">
        <v>1</v>
      </c>
      <c r="F7701" s="30">
        <v>2.0804999999999998</v>
      </c>
      <c r="G7701" s="33">
        <f>IF(ISNUMBER(F7701),E7701*F7701,"")</f>
        <v>2.0804999999999998</v>
      </c>
      <c r="H7701" s="38">
        <f>SUM(G7701:G7701)</f>
        <v>2.0804999999999998</v>
      </c>
      <c r="I7701" s="39"/>
      <c r="J7701" s="152">
        <v>0</v>
      </c>
    </row>
    <row r="7702" spans="1:10" ht="15.75" hidden="1" thickBot="1" x14ac:dyDescent="0.3">
      <c r="A7702" s="177"/>
      <c r="B7702" s="175"/>
      <c r="C7702" s="54"/>
      <c r="D7702" s="54"/>
      <c r="E7702" s="65"/>
      <c r="F7702" s="66" t="s">
        <v>416</v>
      </c>
      <c r="G7702" s="67" t="str">
        <f>IF(ISNUMBER(F7702),E7702*F7702,"")</f>
        <v/>
      </c>
      <c r="H7702" s="68"/>
      <c r="I7702" s="30"/>
      <c r="J7702" s="152">
        <v>0</v>
      </c>
    </row>
    <row r="7703" spans="1:10" ht="15.75" hidden="1" thickBot="1" x14ac:dyDescent="0.3">
      <c r="A7703" s="170" t="s">
        <v>6855</v>
      </c>
      <c r="B7703" s="173" t="str">
        <f>INDEX(Orçamentária!A:B,MATCH(Composições!A7703,Orçamentária!A:A,0),2)</f>
        <v>Adaptador PVC soldável, curto com bolsa e rosca para Registro 40 mm x 1 1/4”</v>
      </c>
      <c r="C7703" s="40"/>
      <c r="D7703" s="25" t="s">
        <v>16</v>
      </c>
      <c r="E7703" s="26"/>
      <c r="F7703" s="41" t="s">
        <v>416</v>
      </c>
      <c r="G7703" s="27" t="str">
        <f>IF(ISNUMBER(F7703),E7703*F7703,"")</f>
        <v/>
      </c>
      <c r="H7703" s="28"/>
      <c r="I7703" s="29"/>
      <c r="J7703" s="152">
        <v>0</v>
      </c>
    </row>
    <row r="7704" spans="1:10" ht="15.75" hidden="1" thickBot="1" x14ac:dyDescent="0.3">
      <c r="A7704" s="176"/>
      <c r="B7704" s="174"/>
      <c r="C7704" s="31"/>
      <c r="D7704" s="31"/>
      <c r="E7704" s="32"/>
      <c r="F7704" s="42" t="s">
        <v>416</v>
      </c>
      <c r="G7704" s="33" t="str">
        <f>IF(ISNUMBER(F7704),E7704*F7704,"")</f>
        <v/>
      </c>
      <c r="H7704" s="34"/>
      <c r="I7704" s="30"/>
      <c r="J7704" s="152">
        <v>0</v>
      </c>
    </row>
    <row r="7705" spans="1:10" ht="26.25" hidden="1" thickBot="1" x14ac:dyDescent="0.3">
      <c r="A7705" s="176"/>
      <c r="B7705" s="174"/>
      <c r="C7705" s="35" t="s">
        <v>7962</v>
      </c>
      <c r="D7705" s="35" t="s">
        <v>213</v>
      </c>
      <c r="E7705" s="36">
        <v>1</v>
      </c>
      <c r="F7705" s="30">
        <v>3.6574999999999998</v>
      </c>
      <c r="G7705" s="33">
        <f>IF(ISNUMBER(F7705),E7705*F7705,"")</f>
        <v>3.6574999999999998</v>
      </c>
      <c r="H7705" s="38">
        <f>SUM(G7705:G7705)</f>
        <v>3.6574999999999998</v>
      </c>
      <c r="I7705" s="39"/>
      <c r="J7705" s="152">
        <v>0</v>
      </c>
    </row>
    <row r="7706" spans="1:10" ht="15.75" hidden="1" thickBot="1" x14ac:dyDescent="0.3">
      <c r="A7706" s="177"/>
      <c r="B7706" s="175"/>
      <c r="C7706" s="54"/>
      <c r="D7706" s="54"/>
      <c r="E7706" s="65"/>
      <c r="F7706" s="66" t="s">
        <v>416</v>
      </c>
      <c r="G7706" s="67" t="str">
        <f>IF(ISNUMBER(F7706),E7706*F7706,"")</f>
        <v/>
      </c>
      <c r="H7706" s="68"/>
      <c r="I7706" s="30"/>
      <c r="J7706" s="152">
        <v>0</v>
      </c>
    </row>
    <row r="7707" spans="1:10" ht="15.75" hidden="1" thickBot="1" x14ac:dyDescent="0.3">
      <c r="A7707" s="170" t="s">
        <v>6856</v>
      </c>
      <c r="B7707" s="173" t="str">
        <f>INDEX(Orçamentária!A:B,MATCH(Composições!A7707,Orçamentária!A:A,0),2)</f>
        <v>Adaptador flange PVC soldável 40 mm x 1 1/4”</v>
      </c>
      <c r="C7707" s="40"/>
      <c r="D7707" s="25" t="s">
        <v>16</v>
      </c>
      <c r="E7707" s="26"/>
      <c r="F7707" s="41" t="s">
        <v>416</v>
      </c>
      <c r="G7707" s="27" t="str">
        <f>IF(ISNUMBER(F7707),E7707*F7707,"")</f>
        <v/>
      </c>
      <c r="H7707" s="28"/>
      <c r="I7707" s="29"/>
      <c r="J7707" s="152">
        <v>0</v>
      </c>
    </row>
    <row r="7708" spans="1:10" ht="15.75" hidden="1" thickBot="1" x14ac:dyDescent="0.3">
      <c r="A7708" s="176"/>
      <c r="B7708" s="174"/>
      <c r="C7708" s="31"/>
      <c r="D7708" s="31"/>
      <c r="E7708" s="32"/>
      <c r="F7708" s="42" t="s">
        <v>416</v>
      </c>
      <c r="G7708" s="33" t="str">
        <f>IF(ISNUMBER(F7708),E7708*F7708,"")</f>
        <v/>
      </c>
      <c r="H7708" s="34"/>
      <c r="I7708" s="30"/>
      <c r="J7708" s="152">
        <v>0</v>
      </c>
    </row>
    <row r="7709" spans="1:10" ht="26.25" hidden="1" thickBot="1" x14ac:dyDescent="0.3">
      <c r="A7709" s="176"/>
      <c r="B7709" s="174"/>
      <c r="C7709" s="35" t="s">
        <v>7969</v>
      </c>
      <c r="D7709" s="35" t="s">
        <v>213</v>
      </c>
      <c r="E7709" s="36">
        <v>1</v>
      </c>
      <c r="F7709" s="30">
        <v>27.416999999999998</v>
      </c>
      <c r="G7709" s="33">
        <f>IF(ISNUMBER(F7709),E7709*F7709,"")</f>
        <v>27.416999999999998</v>
      </c>
      <c r="H7709" s="38">
        <f>SUM(G7709:G7709)</f>
        <v>27.416999999999998</v>
      </c>
      <c r="I7709" s="39"/>
      <c r="J7709" s="152">
        <v>0</v>
      </c>
    </row>
    <row r="7710" spans="1:10" ht="15.75" hidden="1" thickBot="1" x14ac:dyDescent="0.3">
      <c r="A7710" s="177"/>
      <c r="B7710" s="175"/>
      <c r="C7710" s="54"/>
      <c r="D7710" s="54"/>
      <c r="E7710" s="65"/>
      <c r="F7710" s="66" t="s">
        <v>416</v>
      </c>
      <c r="G7710" s="67" t="str">
        <f>IF(ISNUMBER(F7710),E7710*F7710,"")</f>
        <v/>
      </c>
      <c r="H7710" s="68"/>
      <c r="I7710" s="30"/>
      <c r="J7710" s="152">
        <v>0</v>
      </c>
    </row>
    <row r="7711" spans="1:10" ht="15.75" hidden="1" thickBot="1" x14ac:dyDescent="0.3">
      <c r="A7711" s="170" t="s">
        <v>6857</v>
      </c>
      <c r="B7711" s="173" t="str">
        <f>INDEX(Orçamentária!A:B,MATCH(Composições!A7711,Orçamentária!A:A,0),2)</f>
        <v>Joelho 90° PVC soldável 50 mm</v>
      </c>
      <c r="C7711" s="40"/>
      <c r="D7711" s="25" t="s">
        <v>16</v>
      </c>
      <c r="E7711" s="26"/>
      <c r="F7711" s="41" t="s">
        <v>416</v>
      </c>
      <c r="G7711" s="27" t="str">
        <f>IF(ISNUMBER(F7711),E7711*F7711,"")</f>
        <v/>
      </c>
      <c r="H7711" s="28"/>
      <c r="I7711" s="29"/>
      <c r="J7711" s="152">
        <v>0</v>
      </c>
    </row>
    <row r="7712" spans="1:10" ht="15.75" hidden="1" thickBot="1" x14ac:dyDescent="0.3">
      <c r="A7712" s="176"/>
      <c r="B7712" s="174"/>
      <c r="C7712" s="31"/>
      <c r="D7712" s="31"/>
      <c r="E7712" s="32"/>
      <c r="F7712" s="42" t="s">
        <v>416</v>
      </c>
      <c r="G7712" s="33" t="str">
        <f>IF(ISNUMBER(F7712),E7712*F7712,"")</f>
        <v/>
      </c>
      <c r="H7712" s="34"/>
      <c r="I7712" s="30"/>
      <c r="J7712" s="152">
        <v>0</v>
      </c>
    </row>
    <row r="7713" spans="1:10" ht="26.25" hidden="1" thickBot="1" x14ac:dyDescent="0.3">
      <c r="A7713" s="176"/>
      <c r="B7713" s="174"/>
      <c r="C7713" s="35" t="s">
        <v>8202</v>
      </c>
      <c r="D7713" s="35" t="s">
        <v>213</v>
      </c>
      <c r="E7713" s="36">
        <v>1</v>
      </c>
      <c r="F7713" s="30">
        <v>4.9305000000000003</v>
      </c>
      <c r="G7713" s="33">
        <f>IF(ISNUMBER(F7713),E7713*F7713,"")</f>
        <v>4.9305000000000003</v>
      </c>
      <c r="H7713" s="38">
        <f>SUM(G7713:G7713)</f>
        <v>4.9305000000000003</v>
      </c>
      <c r="I7713" s="39"/>
      <c r="J7713" s="152">
        <v>0</v>
      </c>
    </row>
    <row r="7714" spans="1:10" ht="15.75" hidden="1" thickBot="1" x14ac:dyDescent="0.3">
      <c r="A7714" s="177"/>
      <c r="B7714" s="175"/>
      <c r="C7714" s="54"/>
      <c r="D7714" s="54"/>
      <c r="E7714" s="65"/>
      <c r="F7714" s="66" t="s">
        <v>416</v>
      </c>
      <c r="G7714" s="67" t="str">
        <f>IF(ISNUMBER(F7714),E7714*F7714,"")</f>
        <v/>
      </c>
      <c r="H7714" s="68"/>
      <c r="I7714" s="30"/>
      <c r="J7714" s="152">
        <v>0</v>
      </c>
    </row>
    <row r="7715" spans="1:10" ht="15.75" hidden="1" thickBot="1" x14ac:dyDescent="0.3">
      <c r="A7715" s="170" t="s">
        <v>6858</v>
      </c>
      <c r="B7715" s="173" t="str">
        <f>INDEX(Orçamentária!A:B,MATCH(Composições!A7715,Orçamentária!A:A,0),2)</f>
        <v>Cap PVC soldável 50 mm</v>
      </c>
      <c r="C7715" s="40"/>
      <c r="D7715" s="25" t="s">
        <v>16</v>
      </c>
      <c r="E7715" s="26"/>
      <c r="F7715" s="41" t="s">
        <v>416</v>
      </c>
      <c r="G7715" s="27" t="str">
        <f>IF(ISNUMBER(F7715),E7715*F7715,"")</f>
        <v/>
      </c>
      <c r="H7715" s="28"/>
      <c r="I7715" s="29"/>
      <c r="J7715" s="152">
        <v>0</v>
      </c>
    </row>
    <row r="7716" spans="1:10" ht="15.75" hidden="1" thickBot="1" x14ac:dyDescent="0.3">
      <c r="A7716" s="176"/>
      <c r="B7716" s="174"/>
      <c r="C7716" s="31"/>
      <c r="D7716" s="31"/>
      <c r="E7716" s="32"/>
      <c r="F7716" s="42" t="s">
        <v>416</v>
      </c>
      <c r="G7716" s="33" t="str">
        <f>IF(ISNUMBER(F7716),E7716*F7716,"")</f>
        <v/>
      </c>
      <c r="H7716" s="34"/>
      <c r="I7716" s="30"/>
      <c r="J7716" s="152">
        <v>0</v>
      </c>
    </row>
    <row r="7717" spans="1:10" ht="15.75" hidden="1" thickBot="1" x14ac:dyDescent="0.3">
      <c r="A7717" s="176"/>
      <c r="B7717" s="174"/>
      <c r="C7717" s="35" t="s">
        <v>8053</v>
      </c>
      <c r="D7717" s="35" t="s">
        <v>213</v>
      </c>
      <c r="E7717" s="36">
        <v>1</v>
      </c>
      <c r="F7717" s="30">
        <v>7.0109999999999992</v>
      </c>
      <c r="G7717" s="33">
        <f>IF(ISNUMBER(F7717),E7717*F7717,"")</f>
        <v>7.0109999999999992</v>
      </c>
      <c r="H7717" s="38">
        <f>SUM(G7717:G7717)</f>
        <v>7.0109999999999992</v>
      </c>
      <c r="I7717" s="39"/>
      <c r="J7717" s="152">
        <v>0</v>
      </c>
    </row>
    <row r="7718" spans="1:10" ht="15.75" hidden="1" thickBot="1" x14ac:dyDescent="0.3">
      <c r="A7718" s="177"/>
      <c r="B7718" s="175"/>
      <c r="C7718" s="54"/>
      <c r="D7718" s="54"/>
      <c r="E7718" s="65"/>
      <c r="F7718" s="66" t="s">
        <v>416</v>
      </c>
      <c r="G7718" s="67" t="str">
        <f>IF(ISNUMBER(F7718),E7718*F7718,"")</f>
        <v/>
      </c>
      <c r="H7718" s="68"/>
      <c r="I7718" s="30"/>
      <c r="J7718" s="152">
        <v>0</v>
      </c>
    </row>
    <row r="7719" spans="1:10" ht="15.75" hidden="1" thickBot="1" x14ac:dyDescent="0.3">
      <c r="A7719" s="170" t="s">
        <v>6859</v>
      </c>
      <c r="B7719" s="173" t="str">
        <f>INDEX(Orçamentária!A:B,MATCH(Composições!A7719,Orçamentária!A:A,0),2)</f>
        <v>Curva 90° PVC soldável 50 mm</v>
      </c>
      <c r="C7719" s="40"/>
      <c r="D7719" s="25" t="s">
        <v>16</v>
      </c>
      <c r="E7719" s="26"/>
      <c r="F7719" s="41" t="s">
        <v>416</v>
      </c>
      <c r="G7719" s="27" t="str">
        <f>IF(ISNUMBER(F7719),E7719*F7719,"")</f>
        <v/>
      </c>
      <c r="H7719" s="28"/>
      <c r="I7719" s="29"/>
      <c r="J7719" s="152">
        <v>0</v>
      </c>
    </row>
    <row r="7720" spans="1:10" ht="15.75" hidden="1" thickBot="1" x14ac:dyDescent="0.3">
      <c r="A7720" s="176"/>
      <c r="B7720" s="174"/>
      <c r="C7720" s="31"/>
      <c r="D7720" s="31"/>
      <c r="E7720" s="32"/>
      <c r="F7720" s="42" t="s">
        <v>416</v>
      </c>
      <c r="G7720" s="33" t="str">
        <f>IF(ISNUMBER(F7720),E7720*F7720,"")</f>
        <v/>
      </c>
      <c r="H7720" s="34"/>
      <c r="I7720" s="30"/>
      <c r="J7720" s="152">
        <v>0</v>
      </c>
    </row>
    <row r="7721" spans="1:10" ht="26.25" hidden="1" thickBot="1" x14ac:dyDescent="0.3">
      <c r="A7721" s="176"/>
      <c r="B7721" s="174"/>
      <c r="C7721" s="35" t="s">
        <v>8105</v>
      </c>
      <c r="D7721" s="35" t="s">
        <v>213</v>
      </c>
      <c r="E7721" s="36">
        <v>1</v>
      </c>
      <c r="F7721" s="30">
        <v>12.891499999999999</v>
      </c>
      <c r="G7721" s="33">
        <f>IF(ISNUMBER(F7721),E7721*F7721,"")</f>
        <v>12.891499999999999</v>
      </c>
      <c r="H7721" s="38">
        <f>SUM(G7721:G7721)</f>
        <v>12.891499999999999</v>
      </c>
      <c r="I7721" s="39"/>
      <c r="J7721" s="152">
        <v>0</v>
      </c>
    </row>
    <row r="7722" spans="1:10" ht="15.75" hidden="1" thickBot="1" x14ac:dyDescent="0.3">
      <c r="A7722" s="177"/>
      <c r="B7722" s="175"/>
      <c r="C7722" s="54"/>
      <c r="D7722" s="54"/>
      <c r="E7722" s="65"/>
      <c r="F7722" s="66" t="s">
        <v>416</v>
      </c>
      <c r="G7722" s="67" t="str">
        <f>IF(ISNUMBER(F7722),E7722*F7722,"")</f>
        <v/>
      </c>
      <c r="H7722" s="68"/>
      <c r="I7722" s="30"/>
      <c r="J7722" s="152">
        <v>0</v>
      </c>
    </row>
    <row r="7723" spans="1:10" ht="15.75" hidden="1" thickBot="1" x14ac:dyDescent="0.3">
      <c r="A7723" s="170" t="s">
        <v>6860</v>
      </c>
      <c r="B7723" s="173" t="str">
        <f>INDEX(Orçamentária!A:B,MATCH(Composições!A7723,Orçamentária!A:A,0),2)</f>
        <v>Joelho 45° PVC soldável 50 mm</v>
      </c>
      <c r="C7723" s="40"/>
      <c r="D7723" s="25" t="s">
        <v>16</v>
      </c>
      <c r="E7723" s="26"/>
      <c r="F7723" s="41" t="s">
        <v>416</v>
      </c>
      <c r="G7723" s="27" t="str">
        <f>IF(ISNUMBER(F7723),E7723*F7723,"")</f>
        <v/>
      </c>
      <c r="H7723" s="28"/>
      <c r="I7723" s="29"/>
      <c r="J7723" s="152">
        <v>0</v>
      </c>
    </row>
    <row r="7724" spans="1:10" ht="15.75" hidden="1" thickBot="1" x14ac:dyDescent="0.3">
      <c r="A7724" s="176"/>
      <c r="B7724" s="174"/>
      <c r="C7724" s="31"/>
      <c r="D7724" s="31"/>
      <c r="E7724" s="32"/>
      <c r="F7724" s="42" t="s">
        <v>416</v>
      </c>
      <c r="G7724" s="33" t="str">
        <f>IF(ISNUMBER(F7724),E7724*F7724,"")</f>
        <v/>
      </c>
      <c r="H7724" s="34"/>
      <c r="I7724" s="30"/>
      <c r="J7724" s="152">
        <v>0</v>
      </c>
    </row>
    <row r="7725" spans="1:10" ht="26.25" hidden="1" thickBot="1" x14ac:dyDescent="0.3">
      <c r="A7725" s="176"/>
      <c r="B7725" s="174"/>
      <c r="C7725" s="35" t="s">
        <v>8208</v>
      </c>
      <c r="D7725" s="35" t="s">
        <v>213</v>
      </c>
      <c r="E7725" s="36">
        <v>1</v>
      </c>
      <c r="F7725" s="30">
        <v>7.4005000000000001</v>
      </c>
      <c r="G7725" s="33">
        <f>IF(ISNUMBER(F7725),E7725*F7725,"")</f>
        <v>7.4005000000000001</v>
      </c>
      <c r="H7725" s="38">
        <f>SUM(G7725:G7725)</f>
        <v>7.4005000000000001</v>
      </c>
      <c r="I7725" s="39"/>
      <c r="J7725" s="152">
        <v>0</v>
      </c>
    </row>
    <row r="7726" spans="1:10" ht="15.75" hidden="1" thickBot="1" x14ac:dyDescent="0.3">
      <c r="A7726" s="177"/>
      <c r="B7726" s="175"/>
      <c r="C7726" s="54"/>
      <c r="D7726" s="54"/>
      <c r="E7726" s="65"/>
      <c r="F7726" s="66" t="s">
        <v>416</v>
      </c>
      <c r="G7726" s="67" t="str">
        <f>IF(ISNUMBER(F7726),E7726*F7726,"")</f>
        <v/>
      </c>
      <c r="H7726" s="68"/>
      <c r="I7726" s="30"/>
      <c r="J7726" s="152">
        <v>0</v>
      </c>
    </row>
    <row r="7727" spans="1:10" ht="15.75" hidden="1" thickBot="1" x14ac:dyDescent="0.3">
      <c r="A7727" s="170" t="s">
        <v>6861</v>
      </c>
      <c r="B7727" s="173" t="str">
        <f>INDEX(Orçamentária!A:B,MATCH(Composições!A7727,Orçamentária!A:A,0),2)</f>
        <v>Tê PVC soldável 50 mm</v>
      </c>
      <c r="C7727" s="40"/>
      <c r="D7727" s="25" t="s">
        <v>16</v>
      </c>
      <c r="E7727" s="26"/>
      <c r="F7727" s="41" t="s">
        <v>416</v>
      </c>
      <c r="G7727" s="27" t="str">
        <f>IF(ISNUMBER(F7727),E7727*F7727,"")</f>
        <v/>
      </c>
      <c r="H7727" s="28"/>
      <c r="I7727" s="29"/>
      <c r="J7727" s="152">
        <v>0</v>
      </c>
    </row>
    <row r="7728" spans="1:10" ht="15.75" hidden="1" thickBot="1" x14ac:dyDescent="0.3">
      <c r="A7728" s="176"/>
      <c r="B7728" s="174"/>
      <c r="C7728" s="31"/>
      <c r="D7728" s="31"/>
      <c r="E7728" s="32"/>
      <c r="F7728" s="42" t="s">
        <v>416</v>
      </c>
      <c r="G7728" s="33" t="str">
        <f>IF(ISNUMBER(F7728),E7728*F7728,"")</f>
        <v/>
      </c>
      <c r="H7728" s="34"/>
      <c r="I7728" s="30"/>
      <c r="J7728" s="152">
        <v>0</v>
      </c>
    </row>
    <row r="7729" spans="1:10" ht="26.25" hidden="1" thickBot="1" x14ac:dyDescent="0.3">
      <c r="A7729" s="176"/>
      <c r="B7729" s="174"/>
      <c r="C7729" s="35" t="s">
        <v>8416</v>
      </c>
      <c r="D7729" s="35" t="s">
        <v>213</v>
      </c>
      <c r="E7729" s="36">
        <v>1</v>
      </c>
      <c r="F7729" s="30">
        <v>9.5284999999999993</v>
      </c>
      <c r="G7729" s="33">
        <f>IF(ISNUMBER(F7729),E7729*F7729,"")</f>
        <v>9.5284999999999993</v>
      </c>
      <c r="H7729" s="38">
        <f>SUM(G7729:G7729)</f>
        <v>9.5284999999999993</v>
      </c>
      <c r="I7729" s="39"/>
      <c r="J7729" s="152">
        <v>0</v>
      </c>
    </row>
    <row r="7730" spans="1:10" ht="15.75" hidden="1" thickBot="1" x14ac:dyDescent="0.3">
      <c r="A7730" s="177"/>
      <c r="B7730" s="175"/>
      <c r="C7730" s="54"/>
      <c r="D7730" s="54"/>
      <c r="E7730" s="65"/>
      <c r="F7730" s="66" t="s">
        <v>416</v>
      </c>
      <c r="G7730" s="67" t="str">
        <f>IF(ISNUMBER(F7730),E7730*F7730,"")</f>
        <v/>
      </c>
      <c r="H7730" s="68"/>
      <c r="I7730" s="30"/>
      <c r="J7730" s="152">
        <v>0</v>
      </c>
    </row>
    <row r="7731" spans="1:10" ht="15.75" hidden="1" thickBot="1" x14ac:dyDescent="0.3">
      <c r="A7731" s="170" t="s">
        <v>6862</v>
      </c>
      <c r="B7731" s="173" t="str">
        <f>INDEX(Orçamentária!A:B,MATCH(Composições!A7731,Orçamentária!A:A,0),2)</f>
        <v>Luva simples PVC soldável 50 mm</v>
      </c>
      <c r="C7731" s="40"/>
      <c r="D7731" s="25" t="s">
        <v>16</v>
      </c>
      <c r="E7731" s="26"/>
      <c r="F7731" s="41" t="s">
        <v>416</v>
      </c>
      <c r="G7731" s="27" t="str">
        <f>IF(ISNUMBER(F7731),E7731*F7731,"")</f>
        <v/>
      </c>
      <c r="H7731" s="28"/>
      <c r="I7731" s="29"/>
      <c r="J7731" s="152">
        <v>0</v>
      </c>
    </row>
    <row r="7732" spans="1:10" ht="15.75" hidden="1" thickBot="1" x14ac:dyDescent="0.3">
      <c r="A7732" s="176"/>
      <c r="B7732" s="174"/>
      <c r="C7732" s="31"/>
      <c r="D7732" s="31"/>
      <c r="E7732" s="32"/>
      <c r="F7732" s="42" t="s">
        <v>416</v>
      </c>
      <c r="G7732" s="33" t="str">
        <f>IF(ISNUMBER(F7732),E7732*F7732,"")</f>
        <v/>
      </c>
      <c r="H7732" s="34"/>
      <c r="I7732" s="30"/>
      <c r="J7732" s="152">
        <v>0</v>
      </c>
    </row>
    <row r="7733" spans="1:10" ht="15.75" hidden="1" thickBot="1" x14ac:dyDescent="0.3">
      <c r="A7733" s="176"/>
      <c r="B7733" s="174"/>
      <c r="C7733" s="35" t="s">
        <v>8272</v>
      </c>
      <c r="D7733" s="35" t="s">
        <v>213</v>
      </c>
      <c r="E7733" s="36">
        <v>1</v>
      </c>
      <c r="F7733" s="30">
        <v>4.3129999999999997</v>
      </c>
      <c r="G7733" s="33">
        <f>IF(ISNUMBER(F7733),E7733*F7733,"")</f>
        <v>4.3129999999999997</v>
      </c>
      <c r="H7733" s="38">
        <f>SUM(G7733:G7733)</f>
        <v>4.3129999999999997</v>
      </c>
      <c r="I7733" s="39"/>
      <c r="J7733" s="152">
        <v>0</v>
      </c>
    </row>
    <row r="7734" spans="1:10" ht="15.75" hidden="1" thickBot="1" x14ac:dyDescent="0.3">
      <c r="A7734" s="177"/>
      <c r="B7734" s="175"/>
      <c r="C7734" s="54"/>
      <c r="D7734" s="54"/>
      <c r="E7734" s="65"/>
      <c r="F7734" s="66" t="s">
        <v>416</v>
      </c>
      <c r="G7734" s="67" t="str">
        <f>IF(ISNUMBER(F7734),E7734*F7734,"")</f>
        <v/>
      </c>
      <c r="H7734" s="68"/>
      <c r="I7734" s="30"/>
      <c r="J7734" s="152">
        <v>0</v>
      </c>
    </row>
    <row r="7735" spans="1:10" ht="15.75" hidden="1" thickBot="1" x14ac:dyDescent="0.3">
      <c r="A7735" s="170" t="s">
        <v>6863</v>
      </c>
      <c r="B7735" s="173" t="str">
        <f>INDEX(Orçamentária!A:B,MATCH(Composições!A7735,Orçamentária!A:A,0),2)</f>
        <v>Luva de correr PVC soldável 50 mm</v>
      </c>
      <c r="C7735" s="40"/>
      <c r="D7735" s="25" t="s">
        <v>16</v>
      </c>
      <c r="E7735" s="26"/>
      <c r="F7735" s="41" t="s">
        <v>416</v>
      </c>
      <c r="G7735" s="27" t="str">
        <f>IF(ISNUMBER(F7735),E7735*F7735,"")</f>
        <v/>
      </c>
      <c r="H7735" s="28"/>
      <c r="I7735" s="29"/>
      <c r="J7735" s="152">
        <v>0</v>
      </c>
    </row>
    <row r="7736" spans="1:10" ht="15.75" hidden="1" thickBot="1" x14ac:dyDescent="0.3">
      <c r="A7736" s="176"/>
      <c r="B7736" s="174"/>
      <c r="C7736" s="31"/>
      <c r="D7736" s="31"/>
      <c r="E7736" s="32"/>
      <c r="F7736" s="42" t="s">
        <v>416</v>
      </c>
      <c r="G7736" s="33" t="str">
        <f>IF(ISNUMBER(F7736),E7736*F7736,"")</f>
        <v/>
      </c>
      <c r="H7736" s="34"/>
      <c r="I7736" s="30"/>
      <c r="J7736" s="152">
        <v>0</v>
      </c>
    </row>
    <row r="7737" spans="1:10" ht="26.25" hidden="1" thickBot="1" x14ac:dyDescent="0.3">
      <c r="A7737" s="176"/>
      <c r="B7737" s="174"/>
      <c r="C7737" s="35" t="s">
        <v>8242</v>
      </c>
      <c r="D7737" s="35" t="s">
        <v>213</v>
      </c>
      <c r="E7737" s="36">
        <v>1</v>
      </c>
      <c r="F7737" s="30">
        <v>28.224499999999999</v>
      </c>
      <c r="G7737" s="33">
        <f>IF(ISNUMBER(F7737),E7737*F7737,"")</f>
        <v>28.224499999999999</v>
      </c>
      <c r="H7737" s="38">
        <f>SUM(G7737:G7737)</f>
        <v>28.224499999999999</v>
      </c>
      <c r="I7737" s="39"/>
      <c r="J7737" s="152">
        <v>0</v>
      </c>
    </row>
    <row r="7738" spans="1:10" ht="15.75" hidden="1" thickBot="1" x14ac:dyDescent="0.3">
      <c r="A7738" s="177"/>
      <c r="B7738" s="175"/>
      <c r="C7738" s="54"/>
      <c r="D7738" s="54"/>
      <c r="E7738" s="65"/>
      <c r="F7738" s="66" t="s">
        <v>416</v>
      </c>
      <c r="G7738" s="67" t="str">
        <f>IF(ISNUMBER(F7738),E7738*F7738,"")</f>
        <v/>
      </c>
      <c r="H7738" s="68"/>
      <c r="I7738" s="30"/>
      <c r="J7738" s="152">
        <v>0</v>
      </c>
    </row>
    <row r="7739" spans="1:10" ht="15.75" hidden="1" thickBot="1" x14ac:dyDescent="0.3">
      <c r="A7739" s="170" t="s">
        <v>6864</v>
      </c>
      <c r="B7739" s="173" t="str">
        <f>INDEX(Orçamentária!A:B,MATCH(Composições!A7739,Orçamentária!A:A,0),2)</f>
        <v>União PVC soldável 50 mm</v>
      </c>
      <c r="C7739" s="40"/>
      <c r="D7739" s="25" t="s">
        <v>16</v>
      </c>
      <c r="E7739" s="26"/>
      <c r="F7739" s="41" t="s">
        <v>416</v>
      </c>
      <c r="G7739" s="27" t="str">
        <f>IF(ISNUMBER(F7739),E7739*F7739,"")</f>
        <v/>
      </c>
      <c r="H7739" s="28"/>
      <c r="I7739" s="29"/>
      <c r="J7739" s="152">
        <v>0</v>
      </c>
    </row>
    <row r="7740" spans="1:10" ht="15.75" hidden="1" thickBot="1" x14ac:dyDescent="0.3">
      <c r="A7740" s="176"/>
      <c r="B7740" s="174"/>
      <c r="C7740" s="31"/>
      <c r="D7740" s="31"/>
      <c r="E7740" s="32"/>
      <c r="F7740" s="42" t="s">
        <v>416</v>
      </c>
      <c r="G7740" s="33" t="str">
        <f>IF(ISNUMBER(F7740),E7740*F7740,"")</f>
        <v/>
      </c>
      <c r="H7740" s="34"/>
      <c r="I7740" s="30"/>
      <c r="J7740" s="152">
        <v>0</v>
      </c>
    </row>
    <row r="7741" spans="1:10" ht="15.75" hidden="1" thickBot="1" x14ac:dyDescent="0.3">
      <c r="A7741" s="176"/>
      <c r="B7741" s="174"/>
      <c r="C7741" s="35" t="s">
        <v>8566</v>
      </c>
      <c r="D7741" s="35" t="s">
        <v>213</v>
      </c>
      <c r="E7741" s="36">
        <v>1</v>
      </c>
      <c r="F7741" s="30">
        <v>27.302999999999997</v>
      </c>
      <c r="G7741" s="33">
        <f>IF(ISNUMBER(F7741),E7741*F7741,"")</f>
        <v>27.302999999999997</v>
      </c>
      <c r="H7741" s="38">
        <f>SUM(G7741:G7741)</f>
        <v>27.302999999999997</v>
      </c>
      <c r="I7741" s="39"/>
      <c r="J7741" s="152">
        <v>0</v>
      </c>
    </row>
    <row r="7742" spans="1:10" ht="15.75" hidden="1" thickBot="1" x14ac:dyDescent="0.3">
      <c r="A7742" s="177"/>
      <c r="B7742" s="175"/>
      <c r="C7742" s="54"/>
      <c r="D7742" s="54"/>
      <c r="E7742" s="65"/>
      <c r="F7742" s="66" t="s">
        <v>416</v>
      </c>
      <c r="G7742" s="67" t="str">
        <f>IF(ISNUMBER(F7742),E7742*F7742,"")</f>
        <v/>
      </c>
      <c r="H7742" s="68"/>
      <c r="I7742" s="30"/>
      <c r="J7742" s="152">
        <v>0</v>
      </c>
    </row>
    <row r="7743" spans="1:10" ht="15.75" hidden="1" thickBot="1" x14ac:dyDescent="0.3">
      <c r="A7743" s="170" t="s">
        <v>6865</v>
      </c>
      <c r="B7743" s="173" t="str">
        <f>INDEX(Orçamentária!A:B,MATCH(Composições!A7743,Orçamentária!A:A,0),2)</f>
        <v>Bucha de redução curta PVC soldável de 50 mm x 40 mm</v>
      </c>
      <c r="C7743" s="40"/>
      <c r="D7743" s="25" t="s">
        <v>16</v>
      </c>
      <c r="E7743" s="26"/>
      <c r="F7743" s="41" t="s">
        <v>416</v>
      </c>
      <c r="G7743" s="27" t="str">
        <f>IF(ISNUMBER(F7743),E7743*F7743,"")</f>
        <v/>
      </c>
      <c r="H7743" s="28"/>
      <c r="I7743" s="29"/>
      <c r="J7743" s="152">
        <v>0</v>
      </c>
    </row>
    <row r="7744" spans="1:10" ht="15.75" hidden="1" thickBot="1" x14ac:dyDescent="0.3">
      <c r="A7744" s="176"/>
      <c r="B7744" s="174"/>
      <c r="C7744" s="31"/>
      <c r="D7744" s="31"/>
      <c r="E7744" s="32"/>
      <c r="F7744" s="42" t="s">
        <v>416</v>
      </c>
      <c r="G7744" s="33" t="str">
        <f>IF(ISNUMBER(F7744),E7744*F7744,"")</f>
        <v/>
      </c>
      <c r="H7744" s="34"/>
      <c r="I7744" s="30"/>
      <c r="J7744" s="152">
        <v>0</v>
      </c>
    </row>
    <row r="7745" spans="1:10" ht="26.25" hidden="1" thickBot="1" x14ac:dyDescent="0.3">
      <c r="A7745" s="176"/>
      <c r="B7745" s="174"/>
      <c r="C7745" s="35" t="s">
        <v>8019</v>
      </c>
      <c r="D7745" s="35" t="s">
        <v>213</v>
      </c>
      <c r="E7745" s="36">
        <v>1</v>
      </c>
      <c r="F7745" s="30">
        <v>3.61</v>
      </c>
      <c r="G7745" s="33">
        <f>IF(ISNUMBER(F7745),E7745*F7745,"")</f>
        <v>3.61</v>
      </c>
      <c r="H7745" s="38">
        <f>SUM(G7745:G7745)</f>
        <v>3.61</v>
      </c>
      <c r="I7745" s="39"/>
      <c r="J7745" s="152">
        <v>0</v>
      </c>
    </row>
    <row r="7746" spans="1:10" ht="15.75" hidden="1" thickBot="1" x14ac:dyDescent="0.3">
      <c r="A7746" s="177"/>
      <c r="B7746" s="175"/>
      <c r="C7746" s="54"/>
      <c r="D7746" s="54"/>
      <c r="E7746" s="65"/>
      <c r="F7746" s="66" t="s">
        <v>416</v>
      </c>
      <c r="G7746" s="67" t="str">
        <f>IF(ISNUMBER(F7746),E7746*F7746,"")</f>
        <v/>
      </c>
      <c r="H7746" s="68"/>
      <c r="I7746" s="30"/>
      <c r="J7746" s="152">
        <v>0</v>
      </c>
    </row>
    <row r="7747" spans="1:10" ht="15.75" hidden="1" thickBot="1" x14ac:dyDescent="0.3">
      <c r="A7747" s="170" t="s">
        <v>6866</v>
      </c>
      <c r="B7747" s="173" t="str">
        <f>INDEX(Orçamentária!A:B,MATCH(Composições!A7747,Orçamentária!A:A,0),2)</f>
        <v>Adaptador PVC soldável, curto com bolsa e rosca para Registro 50 mm x 1 1/2”</v>
      </c>
      <c r="C7747" s="40"/>
      <c r="D7747" s="25" t="s">
        <v>16</v>
      </c>
      <c r="E7747" s="26"/>
      <c r="F7747" s="41" t="s">
        <v>416</v>
      </c>
      <c r="G7747" s="27" t="str">
        <f>IF(ISNUMBER(F7747),E7747*F7747,"")</f>
        <v/>
      </c>
      <c r="H7747" s="28"/>
      <c r="I7747" s="29"/>
      <c r="J7747" s="152">
        <v>0</v>
      </c>
    </row>
    <row r="7748" spans="1:10" ht="15.75" hidden="1" thickBot="1" x14ac:dyDescent="0.3">
      <c r="A7748" s="176"/>
      <c r="B7748" s="174"/>
      <c r="C7748" s="31"/>
      <c r="D7748" s="31"/>
      <c r="E7748" s="32"/>
      <c r="F7748" s="42" t="s">
        <v>416</v>
      </c>
      <c r="G7748" s="33" t="str">
        <f>IF(ISNUMBER(F7748),E7748*F7748,"")</f>
        <v/>
      </c>
      <c r="H7748" s="34"/>
      <c r="I7748" s="30"/>
      <c r="J7748" s="152">
        <v>0</v>
      </c>
    </row>
    <row r="7749" spans="1:10" ht="26.25" hidden="1" thickBot="1" x14ac:dyDescent="0.3">
      <c r="A7749" s="176"/>
      <c r="B7749" s="174"/>
      <c r="C7749" s="35" t="s">
        <v>7963</v>
      </c>
      <c r="D7749" s="35" t="s">
        <v>213</v>
      </c>
      <c r="E7749" s="36">
        <v>1</v>
      </c>
      <c r="F7749" s="30">
        <v>4.4079999999999995</v>
      </c>
      <c r="G7749" s="33">
        <f>IF(ISNUMBER(F7749),E7749*F7749,"")</f>
        <v>4.4079999999999995</v>
      </c>
      <c r="H7749" s="38">
        <f>SUM(G7749:G7749)</f>
        <v>4.4079999999999995</v>
      </c>
      <c r="I7749" s="39"/>
      <c r="J7749" s="152">
        <v>0</v>
      </c>
    </row>
    <row r="7750" spans="1:10" ht="15.75" hidden="1" thickBot="1" x14ac:dyDescent="0.3">
      <c r="A7750" s="177"/>
      <c r="B7750" s="175"/>
      <c r="C7750" s="54"/>
      <c r="D7750" s="54"/>
      <c r="E7750" s="65"/>
      <c r="F7750" s="66" t="s">
        <v>416</v>
      </c>
      <c r="G7750" s="67" t="str">
        <f>IF(ISNUMBER(F7750),E7750*F7750,"")</f>
        <v/>
      </c>
      <c r="H7750" s="68"/>
      <c r="I7750" s="30"/>
      <c r="J7750" s="152">
        <v>0</v>
      </c>
    </row>
    <row r="7751" spans="1:10" ht="15.75" hidden="1" thickBot="1" x14ac:dyDescent="0.3">
      <c r="A7751" s="170" t="s">
        <v>6867</v>
      </c>
      <c r="B7751" s="173" t="str">
        <f>INDEX(Orçamentária!A:B,MATCH(Composições!A7751,Orçamentária!A:A,0),2)</f>
        <v>Adaptador flange PVC soldável 50 mm x 1 1/2”</v>
      </c>
      <c r="C7751" s="40"/>
      <c r="D7751" s="25" t="s">
        <v>16</v>
      </c>
      <c r="E7751" s="26"/>
      <c r="F7751" s="41" t="s">
        <v>416</v>
      </c>
      <c r="G7751" s="27" t="str">
        <f>IF(ISNUMBER(F7751),E7751*F7751,"")</f>
        <v/>
      </c>
      <c r="H7751" s="28"/>
      <c r="I7751" s="29"/>
      <c r="J7751" s="152">
        <v>0</v>
      </c>
    </row>
    <row r="7752" spans="1:10" ht="15.75" hidden="1" thickBot="1" x14ac:dyDescent="0.3">
      <c r="A7752" s="176"/>
      <c r="B7752" s="174"/>
      <c r="C7752" s="31"/>
      <c r="D7752" s="31"/>
      <c r="E7752" s="32"/>
      <c r="F7752" s="42" t="s">
        <v>416</v>
      </c>
      <c r="G7752" s="33" t="str">
        <f>IF(ISNUMBER(F7752),E7752*F7752,"")</f>
        <v/>
      </c>
      <c r="H7752" s="34"/>
      <c r="I7752" s="30"/>
      <c r="J7752" s="152">
        <v>0</v>
      </c>
    </row>
    <row r="7753" spans="1:10" ht="26.25" hidden="1" thickBot="1" x14ac:dyDescent="0.3">
      <c r="A7753" s="176"/>
      <c r="B7753" s="174"/>
      <c r="C7753" s="35" t="s">
        <v>7970</v>
      </c>
      <c r="D7753" s="35" t="s">
        <v>213</v>
      </c>
      <c r="E7753" s="36">
        <v>1</v>
      </c>
      <c r="F7753" s="30">
        <v>25.916</v>
      </c>
      <c r="G7753" s="33">
        <f>IF(ISNUMBER(F7753),E7753*F7753,"")</f>
        <v>25.916</v>
      </c>
      <c r="H7753" s="38">
        <f>SUM(G7753:G7753)</f>
        <v>25.916</v>
      </c>
      <c r="I7753" s="39"/>
      <c r="J7753" s="152">
        <v>0</v>
      </c>
    </row>
    <row r="7754" spans="1:10" ht="15.75" hidden="1" thickBot="1" x14ac:dyDescent="0.3">
      <c r="A7754" s="177"/>
      <c r="B7754" s="175"/>
      <c r="C7754" s="54"/>
      <c r="D7754" s="54"/>
      <c r="E7754" s="65"/>
      <c r="F7754" s="66" t="s">
        <v>416</v>
      </c>
      <c r="G7754" s="67" t="str">
        <f>IF(ISNUMBER(F7754),E7754*F7754,"")</f>
        <v/>
      </c>
      <c r="H7754" s="68"/>
      <c r="I7754" s="30"/>
      <c r="J7754" s="152">
        <v>0</v>
      </c>
    </row>
    <row r="7755" spans="1:10" ht="15.75" hidden="1" thickBot="1" x14ac:dyDescent="0.3">
      <c r="A7755" s="170" t="s">
        <v>6868</v>
      </c>
      <c r="B7755" s="173" t="str">
        <f>INDEX(Orçamentária!A:B,MATCH(Composições!A7755,Orçamentária!A:A,0),2)</f>
        <v>Curva 90° PVC soldável 60 mm</v>
      </c>
      <c r="C7755" s="40"/>
      <c r="D7755" s="25" t="s">
        <v>16</v>
      </c>
      <c r="E7755" s="26"/>
      <c r="F7755" s="41" t="s">
        <v>416</v>
      </c>
      <c r="G7755" s="27" t="str">
        <f>IF(ISNUMBER(F7755),E7755*F7755,"")</f>
        <v/>
      </c>
      <c r="H7755" s="28"/>
      <c r="I7755" s="29"/>
      <c r="J7755" s="152">
        <v>0</v>
      </c>
    </row>
    <row r="7756" spans="1:10" ht="15.75" hidden="1" thickBot="1" x14ac:dyDescent="0.3">
      <c r="A7756" s="176"/>
      <c r="B7756" s="174"/>
      <c r="C7756" s="31"/>
      <c r="D7756" s="31"/>
      <c r="E7756" s="32"/>
      <c r="F7756" s="42" t="s">
        <v>416</v>
      </c>
      <c r="G7756" s="33" t="str">
        <f>IF(ISNUMBER(F7756),E7756*F7756,"")</f>
        <v/>
      </c>
      <c r="H7756" s="34"/>
      <c r="I7756" s="30"/>
      <c r="J7756" s="152">
        <v>0</v>
      </c>
    </row>
    <row r="7757" spans="1:10" ht="26.25" hidden="1" thickBot="1" x14ac:dyDescent="0.3">
      <c r="A7757" s="176"/>
      <c r="B7757" s="174"/>
      <c r="C7757" s="35" t="s">
        <v>8106</v>
      </c>
      <c r="D7757" s="35" t="s">
        <v>213</v>
      </c>
      <c r="E7757" s="36">
        <v>1</v>
      </c>
      <c r="F7757" s="30">
        <v>33.686999999999998</v>
      </c>
      <c r="G7757" s="33">
        <f>IF(ISNUMBER(F7757),E7757*F7757,"")</f>
        <v>33.686999999999998</v>
      </c>
      <c r="H7757" s="38">
        <f>SUM(G7757:G7757)</f>
        <v>33.686999999999998</v>
      </c>
      <c r="I7757" s="39"/>
      <c r="J7757" s="152">
        <v>0</v>
      </c>
    </row>
    <row r="7758" spans="1:10" ht="15.75" hidden="1" thickBot="1" x14ac:dyDescent="0.3">
      <c r="A7758" s="177"/>
      <c r="B7758" s="175"/>
      <c r="C7758" s="54"/>
      <c r="D7758" s="54"/>
      <c r="E7758" s="65"/>
      <c r="F7758" s="66" t="s">
        <v>416</v>
      </c>
      <c r="G7758" s="67" t="str">
        <f>IF(ISNUMBER(F7758),E7758*F7758,"")</f>
        <v/>
      </c>
      <c r="H7758" s="68"/>
      <c r="I7758" s="30"/>
      <c r="J7758" s="152">
        <v>0</v>
      </c>
    </row>
    <row r="7759" spans="1:10" ht="15.75" hidden="1" thickBot="1" x14ac:dyDescent="0.3">
      <c r="A7759" s="170" t="s">
        <v>6869</v>
      </c>
      <c r="B7759" s="173" t="str">
        <f>INDEX(Orçamentária!A:B,MATCH(Composições!A7759,Orçamentária!A:A,0),2)</f>
        <v>Luva de correr PVC soldável 60 mm</v>
      </c>
      <c r="C7759" s="40"/>
      <c r="D7759" s="25" t="s">
        <v>16</v>
      </c>
      <c r="E7759" s="26"/>
      <c r="F7759" s="41" t="s">
        <v>416</v>
      </c>
      <c r="G7759" s="27" t="str">
        <f>IF(ISNUMBER(F7759),E7759*F7759,"")</f>
        <v/>
      </c>
      <c r="H7759" s="28"/>
      <c r="I7759" s="29"/>
      <c r="J7759" s="152">
        <v>0</v>
      </c>
    </row>
    <row r="7760" spans="1:10" ht="15.75" hidden="1" thickBot="1" x14ac:dyDescent="0.3">
      <c r="A7760" s="176"/>
      <c r="B7760" s="174"/>
      <c r="C7760" s="31"/>
      <c r="D7760" s="31"/>
      <c r="E7760" s="32"/>
      <c r="F7760" s="42" t="s">
        <v>416</v>
      </c>
      <c r="G7760" s="33" t="str">
        <f>IF(ISNUMBER(F7760),E7760*F7760,"")</f>
        <v/>
      </c>
      <c r="H7760" s="34"/>
      <c r="I7760" s="30"/>
      <c r="J7760" s="152">
        <v>0</v>
      </c>
    </row>
    <row r="7761" spans="1:10" ht="26.25" hidden="1" thickBot="1" x14ac:dyDescent="0.3">
      <c r="A7761" s="176"/>
      <c r="B7761" s="174"/>
      <c r="C7761" s="35" t="s">
        <v>8243</v>
      </c>
      <c r="D7761" s="35" t="s">
        <v>213</v>
      </c>
      <c r="E7761" s="36">
        <v>1</v>
      </c>
      <c r="F7761" s="30">
        <v>38.788499999999999</v>
      </c>
      <c r="G7761" s="33">
        <f>IF(ISNUMBER(F7761),E7761*F7761,"")</f>
        <v>38.788499999999999</v>
      </c>
      <c r="H7761" s="38">
        <f>SUM(G7761:G7761)</f>
        <v>38.788499999999999</v>
      </c>
      <c r="I7761" s="39"/>
      <c r="J7761" s="152">
        <v>0</v>
      </c>
    </row>
    <row r="7762" spans="1:10" ht="15.75" hidden="1" thickBot="1" x14ac:dyDescent="0.3">
      <c r="A7762" s="177"/>
      <c r="B7762" s="175"/>
      <c r="C7762" s="54"/>
      <c r="D7762" s="54"/>
      <c r="E7762" s="65"/>
      <c r="F7762" s="66" t="s">
        <v>416</v>
      </c>
      <c r="G7762" s="67" t="str">
        <f>IF(ISNUMBER(F7762),E7762*F7762,"")</f>
        <v/>
      </c>
      <c r="H7762" s="68"/>
      <c r="I7762" s="30"/>
      <c r="J7762" s="152">
        <v>0</v>
      </c>
    </row>
    <row r="7763" spans="1:10" ht="15.75" hidden="1" thickBot="1" x14ac:dyDescent="0.3">
      <c r="A7763" s="170" t="s">
        <v>6870</v>
      </c>
      <c r="B7763" s="173" t="str">
        <f>INDEX(Orçamentária!A:B,MATCH(Composições!A7763,Orçamentária!A:A,0),2)</f>
        <v>Bucha de redução curta PVC soldável de 60 mm x 50 mm</v>
      </c>
      <c r="C7763" s="40"/>
      <c r="D7763" s="25" t="s">
        <v>16</v>
      </c>
      <c r="E7763" s="26"/>
      <c r="F7763" s="41" t="s">
        <v>416</v>
      </c>
      <c r="G7763" s="27" t="str">
        <f>IF(ISNUMBER(F7763),E7763*F7763,"")</f>
        <v/>
      </c>
      <c r="H7763" s="28"/>
      <c r="I7763" s="29"/>
      <c r="J7763" s="152">
        <v>0</v>
      </c>
    </row>
    <row r="7764" spans="1:10" ht="15.75" hidden="1" thickBot="1" x14ac:dyDescent="0.3">
      <c r="A7764" s="176"/>
      <c r="B7764" s="174"/>
      <c r="C7764" s="31"/>
      <c r="D7764" s="31"/>
      <c r="E7764" s="32"/>
      <c r="F7764" s="42" t="s">
        <v>416</v>
      </c>
      <c r="G7764" s="33" t="str">
        <f>IF(ISNUMBER(F7764),E7764*F7764,"")</f>
        <v/>
      </c>
      <c r="H7764" s="34"/>
      <c r="I7764" s="30"/>
      <c r="J7764" s="152">
        <v>0</v>
      </c>
    </row>
    <row r="7765" spans="1:10" ht="26.25" hidden="1" thickBot="1" x14ac:dyDescent="0.3">
      <c r="A7765" s="176"/>
      <c r="B7765" s="174"/>
      <c r="C7765" s="35" t="s">
        <v>8020</v>
      </c>
      <c r="D7765" s="35" t="s">
        <v>213</v>
      </c>
      <c r="E7765" s="36">
        <v>1</v>
      </c>
      <c r="F7765" s="30">
        <v>6.7354999999999992</v>
      </c>
      <c r="G7765" s="33">
        <f>IF(ISNUMBER(F7765),E7765*F7765,"")</f>
        <v>6.7354999999999992</v>
      </c>
      <c r="H7765" s="38">
        <f>SUM(G7765:G7765)</f>
        <v>6.7354999999999992</v>
      </c>
      <c r="I7765" s="39"/>
      <c r="J7765" s="152">
        <v>0</v>
      </c>
    </row>
    <row r="7766" spans="1:10" ht="15.75" hidden="1" thickBot="1" x14ac:dyDescent="0.3">
      <c r="A7766" s="177"/>
      <c r="B7766" s="175"/>
      <c r="C7766" s="54"/>
      <c r="D7766" s="54"/>
      <c r="E7766" s="65"/>
      <c r="F7766" s="66" t="s">
        <v>416</v>
      </c>
      <c r="G7766" s="67" t="str">
        <f>IF(ISNUMBER(F7766),E7766*F7766,"")</f>
        <v/>
      </c>
      <c r="H7766" s="68"/>
      <c r="I7766" s="30"/>
      <c r="J7766" s="152">
        <v>0</v>
      </c>
    </row>
    <row r="7767" spans="1:10" ht="15.75" hidden="1" thickBot="1" x14ac:dyDescent="0.3">
      <c r="A7767" s="170" t="s">
        <v>6871</v>
      </c>
      <c r="B7767" s="173" t="str">
        <f>INDEX(Orçamentária!A:B,MATCH(Composições!A7767,Orçamentária!A:A,0),2)</f>
        <v>Adaptador flange PVC soldável 60 mm x 2”</v>
      </c>
      <c r="C7767" s="40"/>
      <c r="D7767" s="25" t="s">
        <v>16</v>
      </c>
      <c r="E7767" s="26"/>
      <c r="F7767" s="41" t="s">
        <v>416</v>
      </c>
      <c r="G7767" s="27" t="str">
        <f>IF(ISNUMBER(F7767),E7767*F7767,"")</f>
        <v/>
      </c>
      <c r="H7767" s="28"/>
      <c r="I7767" s="29"/>
      <c r="J7767" s="152">
        <v>0</v>
      </c>
    </row>
    <row r="7768" spans="1:10" ht="15.75" hidden="1" thickBot="1" x14ac:dyDescent="0.3">
      <c r="A7768" s="176"/>
      <c r="B7768" s="174"/>
      <c r="C7768" s="31"/>
      <c r="D7768" s="31"/>
      <c r="E7768" s="32"/>
      <c r="F7768" s="42" t="s">
        <v>416</v>
      </c>
      <c r="G7768" s="33" t="str">
        <f>IF(ISNUMBER(F7768),E7768*F7768,"")</f>
        <v/>
      </c>
      <c r="H7768" s="34"/>
      <c r="I7768" s="30"/>
      <c r="J7768" s="152">
        <v>0</v>
      </c>
    </row>
    <row r="7769" spans="1:10" ht="26.25" hidden="1" thickBot="1" x14ac:dyDescent="0.3">
      <c r="A7769" s="176"/>
      <c r="B7769" s="174"/>
      <c r="C7769" s="35" t="s">
        <v>7971</v>
      </c>
      <c r="D7769" s="35" t="s">
        <v>213</v>
      </c>
      <c r="E7769" s="36">
        <v>1</v>
      </c>
      <c r="F7769" s="30">
        <v>45.276999999999994</v>
      </c>
      <c r="G7769" s="33">
        <f>IF(ISNUMBER(F7769),E7769*F7769,"")</f>
        <v>45.276999999999994</v>
      </c>
      <c r="H7769" s="38">
        <f>SUM(G7769:G7769)</f>
        <v>45.276999999999994</v>
      </c>
      <c r="I7769" s="39"/>
      <c r="J7769" s="152">
        <v>0</v>
      </c>
    </row>
    <row r="7770" spans="1:10" ht="15.75" hidden="1" thickBot="1" x14ac:dyDescent="0.3">
      <c r="A7770" s="177"/>
      <c r="B7770" s="175"/>
      <c r="C7770" s="54"/>
      <c r="D7770" s="54"/>
      <c r="E7770" s="65"/>
      <c r="F7770" s="66" t="s">
        <v>416</v>
      </c>
      <c r="G7770" s="67" t="str">
        <f>IF(ISNUMBER(F7770),E7770*F7770,"")</f>
        <v/>
      </c>
      <c r="H7770" s="68"/>
      <c r="I7770" s="30"/>
      <c r="J7770" s="152">
        <v>0</v>
      </c>
    </row>
    <row r="7771" spans="1:10" ht="15.75" hidden="1" thickBot="1" x14ac:dyDescent="0.3">
      <c r="A7771" s="170" t="s">
        <v>6872</v>
      </c>
      <c r="B7771" s="173" t="str">
        <f>INDEX(Orçamentária!A:B,MATCH(Composições!A7771,Orçamentária!A:A,0),2)</f>
        <v>Joelho 90° PVC soldável 75 mm</v>
      </c>
      <c r="C7771" s="40"/>
      <c r="D7771" s="25" t="s">
        <v>16</v>
      </c>
      <c r="E7771" s="26"/>
      <c r="F7771" s="41" t="s">
        <v>416</v>
      </c>
      <c r="G7771" s="27" t="str">
        <f>IF(ISNUMBER(F7771),E7771*F7771,"")</f>
        <v/>
      </c>
      <c r="H7771" s="28"/>
      <c r="I7771" s="29"/>
      <c r="J7771" s="152">
        <v>0</v>
      </c>
    </row>
    <row r="7772" spans="1:10" ht="15.75" hidden="1" thickBot="1" x14ac:dyDescent="0.3">
      <c r="A7772" s="176"/>
      <c r="B7772" s="174"/>
      <c r="C7772" s="31"/>
      <c r="D7772" s="31"/>
      <c r="E7772" s="32"/>
      <c r="F7772" s="42" t="s">
        <v>416</v>
      </c>
      <c r="G7772" s="33" t="str">
        <f>IF(ISNUMBER(F7772),E7772*F7772,"")</f>
        <v/>
      </c>
      <c r="H7772" s="34"/>
      <c r="I7772" s="30"/>
      <c r="J7772" s="152">
        <v>0</v>
      </c>
    </row>
    <row r="7773" spans="1:10" ht="26.25" hidden="1" thickBot="1" x14ac:dyDescent="0.3">
      <c r="A7773" s="176"/>
      <c r="B7773" s="174"/>
      <c r="C7773" s="35" t="s">
        <v>8212</v>
      </c>
      <c r="D7773" s="35" t="s">
        <v>213</v>
      </c>
      <c r="E7773" s="36">
        <v>1</v>
      </c>
      <c r="F7773" s="30">
        <v>84.36</v>
      </c>
      <c r="G7773" s="33">
        <f>IF(ISNUMBER(F7773),E7773*F7773,"")</f>
        <v>84.36</v>
      </c>
      <c r="H7773" s="38">
        <f>SUM(G7773:G7773)</f>
        <v>84.36</v>
      </c>
      <c r="I7773" s="39"/>
      <c r="J7773" s="152">
        <v>0</v>
      </c>
    </row>
    <row r="7774" spans="1:10" ht="15.75" hidden="1" thickBot="1" x14ac:dyDescent="0.3">
      <c r="A7774" s="177"/>
      <c r="B7774" s="175"/>
      <c r="C7774" s="54"/>
      <c r="D7774" s="54"/>
      <c r="E7774" s="65"/>
      <c r="F7774" s="66" t="s">
        <v>416</v>
      </c>
      <c r="G7774" s="67" t="str">
        <f>IF(ISNUMBER(F7774),E7774*F7774,"")</f>
        <v/>
      </c>
      <c r="H7774" s="68"/>
      <c r="I7774" s="30"/>
      <c r="J7774" s="152">
        <v>0</v>
      </c>
    </row>
    <row r="7775" spans="1:10" ht="15.75" hidden="1" thickBot="1" x14ac:dyDescent="0.3">
      <c r="A7775" s="170" t="s">
        <v>6873</v>
      </c>
      <c r="B7775" s="173" t="str">
        <f>INDEX(Orçamentária!A:B,MATCH(Composições!A7775,Orçamentária!A:A,0),2)</f>
        <v>Cap PVC soldável 75 mm</v>
      </c>
      <c r="C7775" s="40"/>
      <c r="D7775" s="25" t="s">
        <v>16</v>
      </c>
      <c r="E7775" s="26"/>
      <c r="F7775" s="41" t="s">
        <v>416</v>
      </c>
      <c r="G7775" s="27" t="str">
        <f>IF(ISNUMBER(F7775),E7775*F7775,"")</f>
        <v/>
      </c>
      <c r="H7775" s="28"/>
      <c r="I7775" s="29"/>
      <c r="J7775" s="152">
        <v>0</v>
      </c>
    </row>
    <row r="7776" spans="1:10" ht="15.75" hidden="1" thickBot="1" x14ac:dyDescent="0.3">
      <c r="A7776" s="176"/>
      <c r="B7776" s="174"/>
      <c r="C7776" s="31"/>
      <c r="D7776" s="31"/>
      <c r="E7776" s="32"/>
      <c r="F7776" s="42" t="s">
        <v>416</v>
      </c>
      <c r="G7776" s="33" t="str">
        <f>IF(ISNUMBER(F7776),E7776*F7776,"")</f>
        <v/>
      </c>
      <c r="H7776" s="34"/>
      <c r="I7776" s="30"/>
      <c r="J7776" s="152">
        <v>0</v>
      </c>
    </row>
    <row r="7777" spans="1:10" ht="15.75" hidden="1" thickBot="1" x14ac:dyDescent="0.3">
      <c r="A7777" s="176"/>
      <c r="B7777" s="174"/>
      <c r="C7777" s="35" t="s">
        <v>8055</v>
      </c>
      <c r="D7777" s="35" t="s">
        <v>213</v>
      </c>
      <c r="E7777" s="36">
        <v>1</v>
      </c>
      <c r="F7777" s="30">
        <v>20.6435</v>
      </c>
      <c r="G7777" s="33">
        <f>IF(ISNUMBER(F7777),E7777*F7777,"")</f>
        <v>20.6435</v>
      </c>
      <c r="H7777" s="38">
        <f>SUM(G7777:G7777)</f>
        <v>20.6435</v>
      </c>
      <c r="I7777" s="39"/>
      <c r="J7777" s="152">
        <v>0</v>
      </c>
    </row>
    <row r="7778" spans="1:10" ht="15.75" hidden="1" thickBot="1" x14ac:dyDescent="0.3">
      <c r="A7778" s="177"/>
      <c r="B7778" s="175"/>
      <c r="C7778" s="54"/>
      <c r="D7778" s="54"/>
      <c r="E7778" s="65"/>
      <c r="F7778" s="66" t="s">
        <v>416</v>
      </c>
      <c r="G7778" s="67" t="str">
        <f>IF(ISNUMBER(F7778),E7778*F7778,"")</f>
        <v/>
      </c>
      <c r="H7778" s="68"/>
      <c r="I7778" s="30"/>
      <c r="J7778" s="152">
        <v>0</v>
      </c>
    </row>
    <row r="7779" spans="1:10" ht="15.75" hidden="1" thickBot="1" x14ac:dyDescent="0.3">
      <c r="A7779" s="170" t="s">
        <v>6874</v>
      </c>
      <c r="B7779" s="173" t="str">
        <f>INDEX(Orçamentária!A:B,MATCH(Composições!A7779,Orçamentária!A:A,0),2)</f>
        <v>Joelho 45° PVC soldável 75 mm</v>
      </c>
      <c r="C7779" s="40"/>
      <c r="D7779" s="25" t="s">
        <v>16</v>
      </c>
      <c r="E7779" s="26"/>
      <c r="F7779" s="41" t="s">
        <v>416</v>
      </c>
      <c r="G7779" s="27" t="str">
        <f>IF(ISNUMBER(F7779),E7779*F7779,"")</f>
        <v/>
      </c>
      <c r="H7779" s="28"/>
      <c r="I7779" s="29"/>
      <c r="J7779" s="152">
        <v>0</v>
      </c>
    </row>
    <row r="7780" spans="1:10" ht="15.75" hidden="1" thickBot="1" x14ac:dyDescent="0.3">
      <c r="A7780" s="176"/>
      <c r="B7780" s="174"/>
      <c r="C7780" s="31"/>
      <c r="D7780" s="31"/>
      <c r="E7780" s="32"/>
      <c r="F7780" s="42" t="s">
        <v>416</v>
      </c>
      <c r="G7780" s="33" t="str">
        <f>IF(ISNUMBER(F7780),E7780*F7780,"")</f>
        <v/>
      </c>
      <c r="H7780" s="34"/>
      <c r="I7780" s="30"/>
      <c r="J7780" s="152">
        <v>0</v>
      </c>
    </row>
    <row r="7781" spans="1:10" ht="26.25" hidden="1" thickBot="1" x14ac:dyDescent="0.3">
      <c r="A7781" s="176"/>
      <c r="B7781" s="174"/>
      <c r="C7781" s="35" t="s">
        <v>8210</v>
      </c>
      <c r="D7781" s="35" t="s">
        <v>213</v>
      </c>
      <c r="E7781" s="36">
        <v>1</v>
      </c>
      <c r="F7781" s="30">
        <v>64.447999999999993</v>
      </c>
      <c r="G7781" s="33">
        <f>IF(ISNUMBER(F7781),E7781*F7781,"")</f>
        <v>64.447999999999993</v>
      </c>
      <c r="H7781" s="38">
        <f>SUM(G7781:G7781)</f>
        <v>64.447999999999993</v>
      </c>
      <c r="I7781" s="39"/>
      <c r="J7781" s="152">
        <v>0</v>
      </c>
    </row>
    <row r="7782" spans="1:10" ht="15.75" hidden="1" thickBot="1" x14ac:dyDescent="0.3">
      <c r="A7782" s="177"/>
      <c r="B7782" s="175"/>
      <c r="C7782" s="54"/>
      <c r="D7782" s="54"/>
      <c r="E7782" s="65"/>
      <c r="F7782" s="66" t="s">
        <v>416</v>
      </c>
      <c r="G7782" s="67" t="str">
        <f>IF(ISNUMBER(F7782),E7782*F7782,"")</f>
        <v/>
      </c>
      <c r="H7782" s="68"/>
      <c r="I7782" s="30"/>
      <c r="J7782" s="152">
        <v>0</v>
      </c>
    </row>
    <row r="7783" spans="1:10" ht="15.75" hidden="1" thickBot="1" x14ac:dyDescent="0.3">
      <c r="A7783" s="170" t="s">
        <v>6875</v>
      </c>
      <c r="B7783" s="173" t="str">
        <f>INDEX(Orçamentária!A:B,MATCH(Composições!A7783,Orçamentária!A:A,0),2)</f>
        <v>Curva 90° PVC soldável 75 mm</v>
      </c>
      <c r="C7783" s="40"/>
      <c r="D7783" s="25" t="s">
        <v>16</v>
      </c>
      <c r="E7783" s="26"/>
      <c r="F7783" s="41" t="s">
        <v>416</v>
      </c>
      <c r="G7783" s="27" t="str">
        <f>IF(ISNUMBER(F7783),E7783*F7783,"")</f>
        <v/>
      </c>
      <c r="H7783" s="28"/>
      <c r="I7783" s="29"/>
      <c r="J7783" s="152">
        <v>0</v>
      </c>
    </row>
    <row r="7784" spans="1:10" ht="15.75" hidden="1" thickBot="1" x14ac:dyDescent="0.3">
      <c r="A7784" s="176"/>
      <c r="B7784" s="174"/>
      <c r="C7784" s="31"/>
      <c r="D7784" s="31"/>
      <c r="E7784" s="32"/>
      <c r="F7784" s="42" t="s">
        <v>416</v>
      </c>
      <c r="G7784" s="33" t="str">
        <f>IF(ISNUMBER(F7784),E7784*F7784,"")</f>
        <v/>
      </c>
      <c r="H7784" s="34"/>
      <c r="I7784" s="30"/>
      <c r="J7784" s="152">
        <v>0</v>
      </c>
    </row>
    <row r="7785" spans="1:10" ht="26.25" hidden="1" thickBot="1" x14ac:dyDescent="0.3">
      <c r="A7785" s="176"/>
      <c r="B7785" s="174"/>
      <c r="C7785" s="35" t="s">
        <v>8107</v>
      </c>
      <c r="D7785" s="35" t="s">
        <v>213</v>
      </c>
      <c r="E7785" s="36">
        <v>1</v>
      </c>
      <c r="F7785" s="30">
        <v>51.737000000000002</v>
      </c>
      <c r="G7785" s="33">
        <f>IF(ISNUMBER(F7785),E7785*F7785,"")</f>
        <v>51.737000000000002</v>
      </c>
      <c r="H7785" s="38">
        <f>SUM(G7785:G7785)</f>
        <v>51.737000000000002</v>
      </c>
      <c r="I7785" s="39"/>
      <c r="J7785" s="152">
        <v>0</v>
      </c>
    </row>
    <row r="7786" spans="1:10" ht="15.75" hidden="1" thickBot="1" x14ac:dyDescent="0.3">
      <c r="A7786" s="177"/>
      <c r="B7786" s="175"/>
      <c r="C7786" s="54"/>
      <c r="D7786" s="54"/>
      <c r="E7786" s="65"/>
      <c r="F7786" s="66" t="s">
        <v>416</v>
      </c>
      <c r="G7786" s="67" t="str">
        <f>IF(ISNUMBER(F7786),E7786*F7786,"")</f>
        <v/>
      </c>
      <c r="H7786" s="68"/>
      <c r="I7786" s="30"/>
      <c r="J7786" s="152">
        <v>0</v>
      </c>
    </row>
    <row r="7787" spans="1:10" ht="15.75" hidden="1" thickBot="1" x14ac:dyDescent="0.3">
      <c r="A7787" s="170" t="s">
        <v>6876</v>
      </c>
      <c r="B7787" s="173" t="str">
        <f>INDEX(Orçamentária!A:B,MATCH(Composições!A7787,Orçamentária!A:A,0),2)</f>
        <v>Tê PVC soldável 75 mm</v>
      </c>
      <c r="C7787" s="40"/>
      <c r="D7787" s="25" t="s">
        <v>16</v>
      </c>
      <c r="E7787" s="26"/>
      <c r="F7787" s="41" t="s">
        <v>416</v>
      </c>
      <c r="G7787" s="27" t="str">
        <f>IF(ISNUMBER(F7787),E7787*F7787,"")</f>
        <v/>
      </c>
      <c r="H7787" s="28"/>
      <c r="I7787" s="29"/>
      <c r="J7787" s="152">
        <v>0</v>
      </c>
    </row>
    <row r="7788" spans="1:10" ht="15.75" hidden="1" thickBot="1" x14ac:dyDescent="0.3">
      <c r="A7788" s="176"/>
      <c r="B7788" s="174"/>
      <c r="C7788" s="31"/>
      <c r="D7788" s="31"/>
      <c r="E7788" s="32"/>
      <c r="F7788" s="42" t="s">
        <v>416</v>
      </c>
      <c r="G7788" s="33" t="str">
        <f>IF(ISNUMBER(F7788),E7788*F7788,"")</f>
        <v/>
      </c>
      <c r="H7788" s="34"/>
      <c r="I7788" s="30"/>
      <c r="J7788" s="152">
        <v>0</v>
      </c>
    </row>
    <row r="7789" spans="1:10" ht="26.25" hidden="1" thickBot="1" x14ac:dyDescent="0.3">
      <c r="A7789" s="176"/>
      <c r="B7789" s="174"/>
      <c r="C7789" s="35" t="s">
        <v>8414</v>
      </c>
      <c r="D7789" s="35" t="s">
        <v>213</v>
      </c>
      <c r="E7789" s="36">
        <v>1</v>
      </c>
      <c r="F7789" s="30">
        <v>56.753</v>
      </c>
      <c r="G7789" s="33">
        <f>IF(ISNUMBER(F7789),E7789*F7789,"")</f>
        <v>56.753</v>
      </c>
      <c r="H7789" s="38">
        <f>SUM(G7789:G7789)</f>
        <v>56.753</v>
      </c>
      <c r="I7789" s="39"/>
      <c r="J7789" s="152">
        <v>0</v>
      </c>
    </row>
    <row r="7790" spans="1:10" ht="15.75" hidden="1" thickBot="1" x14ac:dyDescent="0.3">
      <c r="A7790" s="177"/>
      <c r="B7790" s="175"/>
      <c r="C7790" s="54"/>
      <c r="D7790" s="54"/>
      <c r="E7790" s="65"/>
      <c r="F7790" s="66" t="s">
        <v>416</v>
      </c>
      <c r="G7790" s="67" t="str">
        <f>IF(ISNUMBER(F7790),E7790*F7790,"")</f>
        <v/>
      </c>
      <c r="H7790" s="68"/>
      <c r="I7790" s="30"/>
      <c r="J7790" s="152">
        <v>0</v>
      </c>
    </row>
    <row r="7791" spans="1:10" ht="15.75" hidden="1" thickBot="1" x14ac:dyDescent="0.3">
      <c r="A7791" s="170" t="s">
        <v>6877</v>
      </c>
      <c r="B7791" s="173" t="str">
        <f>INDEX(Orçamentária!A:B,MATCH(Composições!A7791,Orçamentária!A:A,0),2)</f>
        <v>Luva simples PVC soldável 75 mm</v>
      </c>
      <c r="C7791" s="40"/>
      <c r="D7791" s="25" t="s">
        <v>16</v>
      </c>
      <c r="E7791" s="26"/>
      <c r="F7791" s="41" t="s">
        <v>416</v>
      </c>
      <c r="G7791" s="27" t="str">
        <f>IF(ISNUMBER(F7791),E7791*F7791,"")</f>
        <v/>
      </c>
      <c r="H7791" s="28"/>
      <c r="I7791" s="29"/>
      <c r="J7791" s="152">
        <v>0</v>
      </c>
    </row>
    <row r="7792" spans="1:10" ht="15.75" hidden="1" thickBot="1" x14ac:dyDescent="0.3">
      <c r="A7792" s="176"/>
      <c r="B7792" s="174"/>
      <c r="C7792" s="31"/>
      <c r="D7792" s="31"/>
      <c r="E7792" s="32"/>
      <c r="F7792" s="42" t="s">
        <v>416</v>
      </c>
      <c r="G7792" s="33" t="str">
        <f>IF(ISNUMBER(F7792),E7792*F7792,"")</f>
        <v/>
      </c>
      <c r="H7792" s="34"/>
      <c r="I7792" s="30"/>
      <c r="J7792" s="152">
        <v>0</v>
      </c>
    </row>
    <row r="7793" spans="1:10" ht="15.75" hidden="1" thickBot="1" x14ac:dyDescent="0.3">
      <c r="A7793" s="176"/>
      <c r="B7793" s="174"/>
      <c r="C7793" s="35" t="s">
        <v>8274</v>
      </c>
      <c r="D7793" s="35" t="s">
        <v>213</v>
      </c>
      <c r="E7793" s="36">
        <v>1</v>
      </c>
      <c r="F7793" s="30">
        <v>19.303999999999998</v>
      </c>
      <c r="G7793" s="33">
        <f>IF(ISNUMBER(F7793),E7793*F7793,"")</f>
        <v>19.303999999999998</v>
      </c>
      <c r="H7793" s="38">
        <f>SUM(G7793:G7793)</f>
        <v>19.303999999999998</v>
      </c>
      <c r="I7793" s="39"/>
      <c r="J7793" s="152">
        <v>0</v>
      </c>
    </row>
    <row r="7794" spans="1:10" ht="15.75" hidden="1" thickBot="1" x14ac:dyDescent="0.3">
      <c r="A7794" s="177"/>
      <c r="B7794" s="175"/>
      <c r="C7794" s="54"/>
      <c r="D7794" s="54"/>
      <c r="E7794" s="65"/>
      <c r="F7794" s="66" t="s">
        <v>416</v>
      </c>
      <c r="G7794" s="67" t="str">
        <f>IF(ISNUMBER(F7794),E7794*F7794,"")</f>
        <v/>
      </c>
      <c r="H7794" s="68"/>
      <c r="I7794" s="30"/>
      <c r="J7794" s="152">
        <v>0</v>
      </c>
    </row>
    <row r="7795" spans="1:10" ht="15.75" hidden="1" thickBot="1" x14ac:dyDescent="0.3">
      <c r="A7795" s="170" t="s">
        <v>6878</v>
      </c>
      <c r="B7795" s="173" t="str">
        <f>INDEX(Orçamentária!A:B,MATCH(Composições!A7795,Orçamentária!A:A,0),2)</f>
        <v>Luva de correr PVC soldável 75 mm</v>
      </c>
      <c r="C7795" s="40"/>
      <c r="D7795" s="25" t="s">
        <v>16</v>
      </c>
      <c r="E7795" s="26"/>
      <c r="F7795" s="41" t="s">
        <v>416</v>
      </c>
      <c r="G7795" s="27" t="str">
        <f>IF(ISNUMBER(F7795),E7795*F7795,"")</f>
        <v/>
      </c>
      <c r="H7795" s="28"/>
      <c r="I7795" s="29"/>
      <c r="J7795" s="152">
        <v>0</v>
      </c>
    </row>
    <row r="7796" spans="1:10" ht="15.75" hidden="1" thickBot="1" x14ac:dyDescent="0.3">
      <c r="A7796" s="176"/>
      <c r="B7796" s="174"/>
      <c r="C7796" s="31"/>
      <c r="D7796" s="31"/>
      <c r="E7796" s="32"/>
      <c r="F7796" s="42" t="s">
        <v>416</v>
      </c>
      <c r="G7796" s="33" t="str">
        <f>IF(ISNUMBER(F7796),E7796*F7796,"")</f>
        <v/>
      </c>
      <c r="H7796" s="34"/>
      <c r="I7796" s="30"/>
      <c r="J7796" s="152">
        <v>0</v>
      </c>
    </row>
    <row r="7797" spans="1:10" ht="26.25" hidden="1" thickBot="1" x14ac:dyDescent="0.3">
      <c r="A7797" s="176"/>
      <c r="B7797" s="174"/>
      <c r="C7797" s="35" t="s">
        <v>8247</v>
      </c>
      <c r="D7797" s="35" t="s">
        <v>213</v>
      </c>
      <c r="E7797" s="36">
        <v>1</v>
      </c>
      <c r="F7797" s="30">
        <v>34.6845</v>
      </c>
      <c r="G7797" s="33">
        <f>IF(ISNUMBER(F7797),E7797*F7797,"")</f>
        <v>34.6845</v>
      </c>
      <c r="H7797" s="38">
        <f>SUM(G7797:G7797)</f>
        <v>34.6845</v>
      </c>
      <c r="I7797" s="39"/>
      <c r="J7797" s="152">
        <v>0</v>
      </c>
    </row>
    <row r="7798" spans="1:10" ht="15.75" hidden="1" thickBot="1" x14ac:dyDescent="0.3">
      <c r="A7798" s="177"/>
      <c r="B7798" s="175"/>
      <c r="C7798" s="54"/>
      <c r="D7798" s="54"/>
      <c r="E7798" s="65"/>
      <c r="F7798" s="66" t="s">
        <v>416</v>
      </c>
      <c r="G7798" s="67" t="str">
        <f>IF(ISNUMBER(F7798),E7798*F7798,"")</f>
        <v/>
      </c>
      <c r="H7798" s="68"/>
      <c r="I7798" s="30"/>
      <c r="J7798" s="152">
        <v>0</v>
      </c>
    </row>
    <row r="7799" spans="1:10" ht="15.75" hidden="1" thickBot="1" x14ac:dyDescent="0.3">
      <c r="A7799" s="170" t="s">
        <v>6879</v>
      </c>
      <c r="B7799" s="173" t="str">
        <f>INDEX(Orçamentária!A:B,MATCH(Composições!A7799,Orçamentária!A:A,0),2)</f>
        <v>União PVC soldável 75 mm</v>
      </c>
      <c r="C7799" s="40"/>
      <c r="D7799" s="25" t="s">
        <v>16</v>
      </c>
      <c r="E7799" s="26"/>
      <c r="F7799" s="41" t="s">
        <v>416</v>
      </c>
      <c r="G7799" s="27" t="str">
        <f>IF(ISNUMBER(F7799),E7799*F7799,"")</f>
        <v/>
      </c>
      <c r="H7799" s="28"/>
      <c r="I7799" s="29"/>
      <c r="J7799" s="152">
        <v>0</v>
      </c>
    </row>
    <row r="7800" spans="1:10" ht="15.75" hidden="1" thickBot="1" x14ac:dyDescent="0.3">
      <c r="A7800" s="176"/>
      <c r="B7800" s="174"/>
      <c r="C7800" s="31"/>
      <c r="D7800" s="31"/>
      <c r="E7800" s="32"/>
      <c r="F7800" s="42" t="s">
        <v>416</v>
      </c>
      <c r="G7800" s="33" t="str">
        <f>IF(ISNUMBER(F7800),E7800*F7800,"")</f>
        <v/>
      </c>
      <c r="H7800" s="34"/>
      <c r="I7800" s="30"/>
      <c r="J7800" s="152">
        <v>0</v>
      </c>
    </row>
    <row r="7801" spans="1:10" ht="15.75" hidden="1" thickBot="1" x14ac:dyDescent="0.3">
      <c r="A7801" s="176"/>
      <c r="B7801" s="174"/>
      <c r="C7801" s="35" t="s">
        <v>8567</v>
      </c>
      <c r="D7801" s="35" t="s">
        <v>213</v>
      </c>
      <c r="E7801" s="36">
        <v>1</v>
      </c>
      <c r="F7801" s="30">
        <v>144.69450000000001</v>
      </c>
      <c r="G7801" s="33">
        <f>IF(ISNUMBER(F7801),E7801*F7801,"")</f>
        <v>144.69450000000001</v>
      </c>
      <c r="H7801" s="38">
        <f>SUM(G7801:G7801)</f>
        <v>144.69450000000001</v>
      </c>
      <c r="I7801" s="39"/>
      <c r="J7801" s="152">
        <v>0</v>
      </c>
    </row>
    <row r="7802" spans="1:10" ht="15.75" hidden="1" thickBot="1" x14ac:dyDescent="0.3">
      <c r="A7802" s="177"/>
      <c r="B7802" s="175"/>
      <c r="C7802" s="54"/>
      <c r="D7802" s="54"/>
      <c r="E7802" s="65"/>
      <c r="F7802" s="66" t="s">
        <v>416</v>
      </c>
      <c r="G7802" s="67" t="str">
        <f>IF(ISNUMBER(F7802),E7802*F7802,"")</f>
        <v/>
      </c>
      <c r="H7802" s="68"/>
      <c r="I7802" s="30"/>
      <c r="J7802" s="152">
        <v>0</v>
      </c>
    </row>
    <row r="7803" spans="1:10" ht="15.75" hidden="1" thickBot="1" x14ac:dyDescent="0.3">
      <c r="A7803" s="170" t="s">
        <v>6880</v>
      </c>
      <c r="B7803" s="173" t="str">
        <f>INDEX(Orçamentária!A:B,MATCH(Composições!A7803,Orçamentária!A:A,0),2)</f>
        <v>Bucha de redução curta PVC soldável de 75 mm x 60 mm</v>
      </c>
      <c r="C7803" s="40"/>
      <c r="D7803" s="25" t="s">
        <v>16</v>
      </c>
      <c r="E7803" s="26"/>
      <c r="F7803" s="41" t="s">
        <v>416</v>
      </c>
      <c r="G7803" s="27" t="str">
        <f>IF(ISNUMBER(F7803),E7803*F7803,"")</f>
        <v/>
      </c>
      <c r="H7803" s="28"/>
      <c r="I7803" s="29"/>
      <c r="J7803" s="152">
        <v>0</v>
      </c>
    </row>
    <row r="7804" spans="1:10" ht="15.75" hidden="1" thickBot="1" x14ac:dyDescent="0.3">
      <c r="A7804" s="176"/>
      <c r="B7804" s="174"/>
      <c r="C7804" s="31"/>
      <c r="D7804" s="31"/>
      <c r="E7804" s="32"/>
      <c r="F7804" s="42" t="s">
        <v>416</v>
      </c>
      <c r="G7804" s="33" t="str">
        <f>IF(ISNUMBER(F7804),E7804*F7804,"")</f>
        <v/>
      </c>
      <c r="H7804" s="34"/>
      <c r="I7804" s="30"/>
      <c r="J7804" s="152">
        <v>0</v>
      </c>
    </row>
    <row r="7805" spans="1:10" ht="15.75" hidden="1" thickBot="1" x14ac:dyDescent="0.3">
      <c r="A7805" s="176"/>
      <c r="B7805" s="174"/>
      <c r="C7805" s="35" t="s">
        <v>7938</v>
      </c>
      <c r="D7805" s="35" t="s">
        <v>16</v>
      </c>
      <c r="E7805" s="36">
        <v>1</v>
      </c>
      <c r="F7805" s="30">
        <v>0</v>
      </c>
      <c r="G7805" s="33">
        <f>IF(ISNUMBER(F7805),E7805*F7805,"")</f>
        <v>0</v>
      </c>
      <c r="H7805" s="38">
        <f>SUM(G7805:G7805)</f>
        <v>0</v>
      </c>
      <c r="I7805" s="39"/>
      <c r="J7805" s="152">
        <v>0</v>
      </c>
    </row>
    <row r="7806" spans="1:10" ht="15.75" hidden="1" thickBot="1" x14ac:dyDescent="0.3">
      <c r="A7806" s="177"/>
      <c r="B7806" s="175"/>
      <c r="C7806" s="54"/>
      <c r="D7806" s="54"/>
      <c r="E7806" s="65"/>
      <c r="F7806" s="66" t="s">
        <v>416</v>
      </c>
      <c r="G7806" s="67" t="str">
        <f>IF(ISNUMBER(F7806),E7806*F7806,"")</f>
        <v/>
      </c>
      <c r="H7806" s="68"/>
      <c r="I7806" s="30"/>
      <c r="J7806" s="152">
        <v>0</v>
      </c>
    </row>
    <row r="7807" spans="1:10" ht="15.75" hidden="1" thickBot="1" x14ac:dyDescent="0.3">
      <c r="A7807" s="170" t="s">
        <v>6881</v>
      </c>
      <c r="B7807" s="173" t="str">
        <f>INDEX(Orçamentária!A:B,MATCH(Composições!A7807,Orçamentária!A:A,0),2)</f>
        <v>Adaptador PVC soldável, curto com bolsa e rosca para Registro 75 mm x 2 1/2”</v>
      </c>
      <c r="C7807" s="40"/>
      <c r="D7807" s="25" t="s">
        <v>16</v>
      </c>
      <c r="E7807" s="26"/>
      <c r="F7807" s="41" t="s">
        <v>416</v>
      </c>
      <c r="G7807" s="27" t="str">
        <f>IF(ISNUMBER(F7807),E7807*F7807,"")</f>
        <v/>
      </c>
      <c r="H7807" s="28"/>
      <c r="I7807" s="29"/>
      <c r="J7807" s="152">
        <v>0</v>
      </c>
    </row>
    <row r="7808" spans="1:10" ht="15.75" hidden="1" thickBot="1" x14ac:dyDescent="0.3">
      <c r="A7808" s="176"/>
      <c r="B7808" s="174"/>
      <c r="C7808" s="31"/>
      <c r="D7808" s="31"/>
      <c r="E7808" s="32"/>
      <c r="F7808" s="42" t="s">
        <v>416</v>
      </c>
      <c r="G7808" s="33" t="str">
        <f>IF(ISNUMBER(F7808),E7808*F7808,"")</f>
        <v/>
      </c>
      <c r="H7808" s="34"/>
      <c r="I7808" s="30"/>
      <c r="J7808" s="152">
        <v>0</v>
      </c>
    </row>
    <row r="7809" spans="1:10" ht="26.25" hidden="1" thickBot="1" x14ac:dyDescent="0.3">
      <c r="A7809" s="176"/>
      <c r="B7809" s="174"/>
      <c r="C7809" s="35" t="s">
        <v>7965</v>
      </c>
      <c r="D7809" s="35" t="s">
        <v>213</v>
      </c>
      <c r="E7809" s="36">
        <v>1</v>
      </c>
      <c r="F7809" s="30">
        <v>19.209</v>
      </c>
      <c r="G7809" s="33">
        <f>IF(ISNUMBER(F7809),E7809*F7809,"")</f>
        <v>19.209</v>
      </c>
      <c r="H7809" s="38">
        <f>SUM(G7809:G7809)</f>
        <v>19.209</v>
      </c>
      <c r="I7809" s="39"/>
      <c r="J7809" s="152">
        <v>0</v>
      </c>
    </row>
    <row r="7810" spans="1:10" ht="15.75" hidden="1" thickBot="1" x14ac:dyDescent="0.3">
      <c r="A7810" s="177"/>
      <c r="B7810" s="175"/>
      <c r="C7810" s="54"/>
      <c r="D7810" s="54"/>
      <c r="E7810" s="65"/>
      <c r="F7810" s="66" t="s">
        <v>416</v>
      </c>
      <c r="G7810" s="67" t="str">
        <f>IF(ISNUMBER(F7810),E7810*F7810,"")</f>
        <v/>
      </c>
      <c r="H7810" s="68"/>
      <c r="I7810" s="30"/>
      <c r="J7810" s="152">
        <v>0</v>
      </c>
    </row>
    <row r="7811" spans="1:10" ht="15.75" hidden="1" thickBot="1" x14ac:dyDescent="0.3">
      <c r="A7811" s="170" t="s">
        <v>6882</v>
      </c>
      <c r="B7811" s="173" t="str">
        <f>INDEX(Orçamentária!A:B,MATCH(Composições!A7811,Orçamentária!A:A,0),2)</f>
        <v>Adaptador Flange Caixa Dágua Soldável 75 mm x 2 1/2”</v>
      </c>
      <c r="C7811" s="40"/>
      <c r="D7811" s="25" t="s">
        <v>16</v>
      </c>
      <c r="E7811" s="26"/>
      <c r="F7811" s="41" t="s">
        <v>416</v>
      </c>
      <c r="G7811" s="27" t="str">
        <f>IF(ISNUMBER(F7811),E7811*F7811,"")</f>
        <v/>
      </c>
      <c r="H7811" s="28"/>
      <c r="I7811" s="29"/>
      <c r="J7811" s="152">
        <v>0</v>
      </c>
    </row>
    <row r="7812" spans="1:10" ht="15.75" hidden="1" thickBot="1" x14ac:dyDescent="0.3">
      <c r="A7812" s="176"/>
      <c r="B7812" s="174"/>
      <c r="C7812" s="31"/>
      <c r="D7812" s="31"/>
      <c r="E7812" s="32"/>
      <c r="F7812" s="42" t="s">
        <v>416</v>
      </c>
      <c r="G7812" s="33" t="str">
        <f>IF(ISNUMBER(F7812),E7812*F7812,"")</f>
        <v/>
      </c>
      <c r="H7812" s="34"/>
      <c r="I7812" s="30"/>
      <c r="J7812" s="152">
        <v>0</v>
      </c>
    </row>
    <row r="7813" spans="1:10" ht="26.25" hidden="1" thickBot="1" x14ac:dyDescent="0.3">
      <c r="A7813" s="176"/>
      <c r="B7813" s="174"/>
      <c r="C7813" s="35" t="s">
        <v>8568</v>
      </c>
      <c r="D7813" s="35" t="s">
        <v>213</v>
      </c>
      <c r="E7813" s="36">
        <v>1</v>
      </c>
      <c r="F7813" s="30">
        <v>211.03299999999999</v>
      </c>
      <c r="G7813" s="33">
        <f>IF(ISNUMBER(F7813),E7813*F7813,"")</f>
        <v>211.03299999999999</v>
      </c>
      <c r="H7813" s="38">
        <f>SUM(G7813:G7813)</f>
        <v>211.03299999999999</v>
      </c>
      <c r="I7813" s="39"/>
      <c r="J7813" s="152">
        <v>0</v>
      </c>
    </row>
    <row r="7814" spans="1:10" ht="15.75" hidden="1" thickBot="1" x14ac:dyDescent="0.3">
      <c r="A7814" s="177"/>
      <c r="B7814" s="175"/>
      <c r="C7814" s="54"/>
      <c r="D7814" s="54"/>
      <c r="E7814" s="65"/>
      <c r="F7814" s="66" t="s">
        <v>416</v>
      </c>
      <c r="G7814" s="67" t="str">
        <f>IF(ISNUMBER(F7814),E7814*F7814,"")</f>
        <v/>
      </c>
      <c r="H7814" s="68"/>
      <c r="I7814" s="30"/>
      <c r="J7814" s="152">
        <v>0</v>
      </c>
    </row>
    <row r="7815" spans="1:10" ht="15.75" hidden="1" thickBot="1" x14ac:dyDescent="0.3">
      <c r="A7815" s="170" t="s">
        <v>6883</v>
      </c>
      <c r="B7815" s="173" t="str">
        <f>INDEX(Orçamentária!A:B,MATCH(Composições!A7815,Orçamentária!A:A,0),2)</f>
        <v>Joelho 90° PVC soldável 85 mm</v>
      </c>
      <c r="C7815" s="40"/>
      <c r="D7815" s="25" t="s">
        <v>16</v>
      </c>
      <c r="E7815" s="26"/>
      <c r="F7815" s="41" t="s">
        <v>416</v>
      </c>
      <c r="G7815" s="27" t="str">
        <f>IF(ISNUMBER(F7815),E7815*F7815,"")</f>
        <v/>
      </c>
      <c r="H7815" s="28"/>
      <c r="I7815" s="29"/>
      <c r="J7815" s="152">
        <v>0</v>
      </c>
    </row>
    <row r="7816" spans="1:10" ht="15.75" hidden="1" thickBot="1" x14ac:dyDescent="0.3">
      <c r="A7816" s="176"/>
      <c r="B7816" s="174"/>
      <c r="C7816" s="31"/>
      <c r="D7816" s="31"/>
      <c r="E7816" s="32"/>
      <c r="F7816" s="42" t="s">
        <v>416</v>
      </c>
      <c r="G7816" s="33" t="str">
        <f>IF(ISNUMBER(F7816),E7816*F7816,"")</f>
        <v/>
      </c>
      <c r="H7816" s="34"/>
      <c r="I7816" s="30"/>
      <c r="J7816" s="152">
        <v>0</v>
      </c>
    </row>
    <row r="7817" spans="1:10" ht="26.25" hidden="1" thickBot="1" x14ac:dyDescent="0.3">
      <c r="A7817" s="176"/>
      <c r="B7817" s="174"/>
      <c r="C7817" s="35" t="s">
        <v>8204</v>
      </c>
      <c r="D7817" s="35" t="s">
        <v>213</v>
      </c>
      <c r="E7817" s="36">
        <v>1</v>
      </c>
      <c r="F7817" s="30">
        <v>100.86149999999999</v>
      </c>
      <c r="G7817" s="33">
        <f>IF(ISNUMBER(F7817),E7817*F7817,"")</f>
        <v>100.86149999999999</v>
      </c>
      <c r="H7817" s="38">
        <f>SUM(G7817:G7817)</f>
        <v>100.86149999999999</v>
      </c>
      <c r="I7817" s="39"/>
      <c r="J7817" s="152">
        <v>0</v>
      </c>
    </row>
    <row r="7818" spans="1:10" ht="15.75" hidden="1" thickBot="1" x14ac:dyDescent="0.3">
      <c r="A7818" s="177"/>
      <c r="B7818" s="175"/>
      <c r="C7818" s="54"/>
      <c r="D7818" s="54"/>
      <c r="E7818" s="65"/>
      <c r="F7818" s="66" t="s">
        <v>416</v>
      </c>
      <c r="G7818" s="67" t="str">
        <f>IF(ISNUMBER(F7818),E7818*F7818,"")</f>
        <v/>
      </c>
      <c r="H7818" s="68"/>
      <c r="I7818" s="30"/>
      <c r="J7818" s="152">
        <v>0</v>
      </c>
    </row>
    <row r="7819" spans="1:10" ht="15.75" hidden="1" thickBot="1" x14ac:dyDescent="0.3">
      <c r="A7819" s="170" t="s">
        <v>6884</v>
      </c>
      <c r="B7819" s="173" t="str">
        <f>INDEX(Orçamentária!A:B,MATCH(Composições!A7819,Orçamentária!A:A,0),2)</f>
        <v>Cap PVC soldável 85 mm</v>
      </c>
      <c r="C7819" s="40"/>
      <c r="D7819" s="25" t="s">
        <v>16</v>
      </c>
      <c r="E7819" s="26"/>
      <c r="F7819" s="41" t="s">
        <v>416</v>
      </c>
      <c r="G7819" s="27" t="str">
        <f>IF(ISNUMBER(F7819),E7819*F7819,"")</f>
        <v/>
      </c>
      <c r="H7819" s="28"/>
      <c r="I7819" s="29"/>
      <c r="J7819" s="152">
        <v>0</v>
      </c>
    </row>
    <row r="7820" spans="1:10" ht="15.75" hidden="1" thickBot="1" x14ac:dyDescent="0.3">
      <c r="A7820" s="176"/>
      <c r="B7820" s="174"/>
      <c r="C7820" s="31"/>
      <c r="D7820" s="31"/>
      <c r="E7820" s="32"/>
      <c r="F7820" s="42" t="s">
        <v>416</v>
      </c>
      <c r="G7820" s="33" t="str">
        <f>IF(ISNUMBER(F7820),E7820*F7820,"")</f>
        <v/>
      </c>
      <c r="H7820" s="34"/>
      <c r="I7820" s="30"/>
      <c r="J7820" s="152">
        <v>0</v>
      </c>
    </row>
    <row r="7821" spans="1:10" ht="26.25" hidden="1" thickBot="1" x14ac:dyDescent="0.3">
      <c r="A7821" s="176"/>
      <c r="B7821" s="174"/>
      <c r="C7821" s="35" t="s">
        <v>8569</v>
      </c>
      <c r="D7821" s="35" t="s">
        <v>213</v>
      </c>
      <c r="E7821" s="36">
        <v>1</v>
      </c>
      <c r="F7821" s="30">
        <v>22.514999999999997</v>
      </c>
      <c r="G7821" s="33">
        <f>IF(ISNUMBER(F7821),E7821*F7821,"")</f>
        <v>22.514999999999997</v>
      </c>
      <c r="H7821" s="38">
        <f>SUM(G7821:G7821)</f>
        <v>22.514999999999997</v>
      </c>
      <c r="I7821" s="39"/>
      <c r="J7821" s="152">
        <v>0</v>
      </c>
    </row>
    <row r="7822" spans="1:10" ht="15.75" hidden="1" thickBot="1" x14ac:dyDescent="0.3">
      <c r="A7822" s="177"/>
      <c r="B7822" s="175"/>
      <c r="C7822" s="54"/>
      <c r="D7822" s="54"/>
      <c r="E7822" s="65"/>
      <c r="F7822" s="66" t="s">
        <v>416</v>
      </c>
      <c r="G7822" s="67" t="str">
        <f>IF(ISNUMBER(F7822),E7822*F7822,"")</f>
        <v/>
      </c>
      <c r="H7822" s="68"/>
      <c r="I7822" s="30"/>
      <c r="J7822" s="152">
        <v>0</v>
      </c>
    </row>
    <row r="7823" spans="1:10" ht="15.75" hidden="1" thickBot="1" x14ac:dyDescent="0.3">
      <c r="A7823" s="170" t="s">
        <v>6885</v>
      </c>
      <c r="B7823" s="173" t="str">
        <f>INDEX(Orçamentária!A:B,MATCH(Composições!A7823,Orçamentária!A:A,0),2)</f>
        <v>Joelho 45° PVC soldável 85 mm</v>
      </c>
      <c r="C7823" s="40"/>
      <c r="D7823" s="25" t="s">
        <v>16</v>
      </c>
      <c r="E7823" s="26"/>
      <c r="F7823" s="41" t="s">
        <v>416</v>
      </c>
      <c r="G7823" s="27" t="str">
        <f>IF(ISNUMBER(F7823),E7823*F7823,"")</f>
        <v/>
      </c>
      <c r="H7823" s="28"/>
      <c r="I7823" s="29"/>
      <c r="J7823" s="152">
        <v>0</v>
      </c>
    </row>
    <row r="7824" spans="1:10" ht="15.75" hidden="1" thickBot="1" x14ac:dyDescent="0.3">
      <c r="A7824" s="176"/>
      <c r="B7824" s="174"/>
      <c r="C7824" s="31"/>
      <c r="D7824" s="31"/>
      <c r="E7824" s="32"/>
      <c r="F7824" s="42" t="s">
        <v>416</v>
      </c>
      <c r="G7824" s="33" t="str">
        <f>IF(ISNUMBER(F7824),E7824*F7824,"")</f>
        <v/>
      </c>
      <c r="H7824" s="34"/>
      <c r="I7824" s="30"/>
      <c r="J7824" s="152">
        <v>0</v>
      </c>
    </row>
    <row r="7825" spans="1:10" ht="26.25" hidden="1" thickBot="1" x14ac:dyDescent="0.3">
      <c r="A7825" s="176"/>
      <c r="B7825" s="174"/>
      <c r="C7825" s="35" t="s">
        <v>8211</v>
      </c>
      <c r="D7825" s="35" t="s">
        <v>213</v>
      </c>
      <c r="E7825" s="36">
        <v>1</v>
      </c>
      <c r="F7825" s="30">
        <v>79.533999999999992</v>
      </c>
      <c r="G7825" s="33">
        <f>IF(ISNUMBER(F7825),E7825*F7825,"")</f>
        <v>79.533999999999992</v>
      </c>
      <c r="H7825" s="38">
        <f>SUM(G7825:G7825)</f>
        <v>79.533999999999992</v>
      </c>
      <c r="I7825" s="39"/>
      <c r="J7825" s="152">
        <v>0</v>
      </c>
    </row>
    <row r="7826" spans="1:10" ht="15.75" hidden="1" thickBot="1" x14ac:dyDescent="0.3">
      <c r="A7826" s="177"/>
      <c r="B7826" s="175"/>
      <c r="C7826" s="54"/>
      <c r="D7826" s="54"/>
      <c r="E7826" s="65"/>
      <c r="F7826" s="66" t="s">
        <v>416</v>
      </c>
      <c r="G7826" s="67" t="str">
        <f>IF(ISNUMBER(F7826),E7826*F7826,"")</f>
        <v/>
      </c>
      <c r="H7826" s="68"/>
      <c r="I7826" s="30"/>
      <c r="J7826" s="152">
        <v>0</v>
      </c>
    </row>
    <row r="7827" spans="1:10" ht="15.75" hidden="1" thickBot="1" x14ac:dyDescent="0.3">
      <c r="A7827" s="170" t="s">
        <v>6886</v>
      </c>
      <c r="B7827" s="173" t="str">
        <f>INDEX(Orçamentária!A:B,MATCH(Composições!A7827,Orçamentária!A:A,0),2)</f>
        <v>Curva 90° PVC soldável 85 mm</v>
      </c>
      <c r="C7827" s="40"/>
      <c r="D7827" s="25" t="s">
        <v>16</v>
      </c>
      <c r="E7827" s="26"/>
      <c r="F7827" s="41" t="s">
        <v>416</v>
      </c>
      <c r="G7827" s="27" t="str">
        <f>IF(ISNUMBER(F7827),E7827*F7827,"")</f>
        <v/>
      </c>
      <c r="H7827" s="28"/>
      <c r="I7827" s="29"/>
      <c r="J7827" s="152">
        <v>0</v>
      </c>
    </row>
    <row r="7828" spans="1:10" ht="15.75" hidden="1" thickBot="1" x14ac:dyDescent="0.3">
      <c r="A7828" s="176"/>
      <c r="B7828" s="174"/>
      <c r="C7828" s="31"/>
      <c r="D7828" s="31"/>
      <c r="E7828" s="32"/>
      <c r="F7828" s="42" t="s">
        <v>416</v>
      </c>
      <c r="G7828" s="33" t="str">
        <f>IF(ISNUMBER(F7828),E7828*F7828,"")</f>
        <v/>
      </c>
      <c r="H7828" s="34"/>
      <c r="I7828" s="30"/>
      <c r="J7828" s="152">
        <v>0</v>
      </c>
    </row>
    <row r="7829" spans="1:10" ht="26.25" hidden="1" thickBot="1" x14ac:dyDescent="0.3">
      <c r="A7829" s="176"/>
      <c r="B7829" s="174"/>
      <c r="C7829" s="35" t="s">
        <v>8108</v>
      </c>
      <c r="D7829" s="35" t="s">
        <v>213</v>
      </c>
      <c r="E7829" s="36">
        <v>1</v>
      </c>
      <c r="F7829" s="30">
        <v>66.272000000000006</v>
      </c>
      <c r="G7829" s="33">
        <f>IF(ISNUMBER(F7829),E7829*F7829,"")</f>
        <v>66.272000000000006</v>
      </c>
      <c r="H7829" s="38">
        <f>SUM(G7829:G7829)</f>
        <v>66.272000000000006</v>
      </c>
      <c r="I7829" s="39"/>
      <c r="J7829" s="152">
        <v>0</v>
      </c>
    </row>
    <row r="7830" spans="1:10" ht="15.75" hidden="1" thickBot="1" x14ac:dyDescent="0.3">
      <c r="A7830" s="177"/>
      <c r="B7830" s="175"/>
      <c r="C7830" s="54"/>
      <c r="D7830" s="54"/>
      <c r="E7830" s="65"/>
      <c r="F7830" s="66" t="s">
        <v>416</v>
      </c>
      <c r="G7830" s="67" t="str">
        <f>IF(ISNUMBER(F7830),E7830*F7830,"")</f>
        <v/>
      </c>
      <c r="H7830" s="68"/>
      <c r="I7830" s="30"/>
      <c r="J7830" s="152">
        <v>0</v>
      </c>
    </row>
    <row r="7831" spans="1:10" ht="15.75" hidden="1" thickBot="1" x14ac:dyDescent="0.3">
      <c r="A7831" s="170" t="s">
        <v>6887</v>
      </c>
      <c r="B7831" s="173" t="str">
        <f>INDEX(Orçamentária!A:B,MATCH(Composições!A7831,Orçamentária!A:A,0),2)</f>
        <v>Tê PVC soldável 85 mm</v>
      </c>
      <c r="C7831" s="40"/>
      <c r="D7831" s="25" t="s">
        <v>16</v>
      </c>
      <c r="E7831" s="26"/>
      <c r="F7831" s="41" t="s">
        <v>416</v>
      </c>
      <c r="G7831" s="27" t="str">
        <f>IF(ISNUMBER(F7831),E7831*F7831,"")</f>
        <v/>
      </c>
      <c r="H7831" s="28"/>
      <c r="I7831" s="29"/>
      <c r="J7831" s="152">
        <v>0</v>
      </c>
    </row>
    <row r="7832" spans="1:10" ht="15.75" hidden="1" thickBot="1" x14ac:dyDescent="0.3">
      <c r="A7832" s="176"/>
      <c r="B7832" s="174"/>
      <c r="C7832" s="31"/>
      <c r="D7832" s="31"/>
      <c r="E7832" s="32"/>
      <c r="F7832" s="42" t="s">
        <v>416</v>
      </c>
      <c r="G7832" s="33" t="str">
        <f>IF(ISNUMBER(F7832),E7832*F7832,"")</f>
        <v/>
      </c>
      <c r="H7832" s="34"/>
      <c r="I7832" s="30"/>
      <c r="J7832" s="152">
        <v>0</v>
      </c>
    </row>
    <row r="7833" spans="1:10" ht="26.25" hidden="1" thickBot="1" x14ac:dyDescent="0.3">
      <c r="A7833" s="176"/>
      <c r="B7833" s="174"/>
      <c r="C7833" s="35" t="s">
        <v>8415</v>
      </c>
      <c r="D7833" s="35" t="s">
        <v>213</v>
      </c>
      <c r="E7833" s="36">
        <v>1</v>
      </c>
      <c r="F7833" s="30">
        <v>77.168499999999995</v>
      </c>
      <c r="G7833" s="33">
        <f>IF(ISNUMBER(F7833),E7833*F7833,"")</f>
        <v>77.168499999999995</v>
      </c>
      <c r="H7833" s="38">
        <f>SUM(G7833:G7833)</f>
        <v>77.168499999999995</v>
      </c>
      <c r="I7833" s="39"/>
      <c r="J7833" s="152">
        <v>0</v>
      </c>
    </row>
    <row r="7834" spans="1:10" ht="15.75" hidden="1" thickBot="1" x14ac:dyDescent="0.3">
      <c r="A7834" s="177"/>
      <c r="B7834" s="175"/>
      <c r="C7834" s="54"/>
      <c r="D7834" s="54"/>
      <c r="E7834" s="65"/>
      <c r="F7834" s="66" t="s">
        <v>416</v>
      </c>
      <c r="G7834" s="67" t="str">
        <f>IF(ISNUMBER(F7834),E7834*F7834,"")</f>
        <v/>
      </c>
      <c r="H7834" s="68"/>
      <c r="I7834" s="30"/>
      <c r="J7834" s="152">
        <v>0</v>
      </c>
    </row>
    <row r="7835" spans="1:10" ht="15.75" hidden="1" thickBot="1" x14ac:dyDescent="0.3">
      <c r="A7835" s="170" t="s">
        <v>6888</v>
      </c>
      <c r="B7835" s="173" t="str">
        <f>INDEX(Orçamentária!A:B,MATCH(Composições!A7835,Orçamentária!A:A,0),2)</f>
        <v>Luva simples PVC soldável 85 mm</v>
      </c>
      <c r="C7835" s="40"/>
      <c r="D7835" s="25" t="s">
        <v>16</v>
      </c>
      <c r="E7835" s="26"/>
      <c r="F7835" s="41" t="s">
        <v>416</v>
      </c>
      <c r="G7835" s="27" t="str">
        <f>IF(ISNUMBER(F7835),E7835*F7835,"")</f>
        <v/>
      </c>
      <c r="H7835" s="28"/>
      <c r="I7835" s="29"/>
      <c r="J7835" s="152">
        <v>0</v>
      </c>
    </row>
    <row r="7836" spans="1:10" ht="15.75" hidden="1" thickBot="1" x14ac:dyDescent="0.3">
      <c r="A7836" s="176"/>
      <c r="B7836" s="174"/>
      <c r="C7836" s="31"/>
      <c r="D7836" s="31"/>
      <c r="E7836" s="32"/>
      <c r="F7836" s="42" t="s">
        <v>416</v>
      </c>
      <c r="G7836" s="33" t="str">
        <f>IF(ISNUMBER(F7836),E7836*F7836,"")</f>
        <v/>
      </c>
      <c r="H7836" s="34"/>
      <c r="I7836" s="30"/>
      <c r="J7836" s="152">
        <v>0</v>
      </c>
    </row>
    <row r="7837" spans="1:10" ht="15.75" hidden="1" thickBot="1" x14ac:dyDescent="0.3">
      <c r="A7837" s="176"/>
      <c r="B7837" s="174"/>
      <c r="C7837" s="35" t="s">
        <v>8275</v>
      </c>
      <c r="D7837" s="35" t="s">
        <v>213</v>
      </c>
      <c r="E7837" s="36">
        <v>1</v>
      </c>
      <c r="F7837" s="30">
        <v>43.338999999999999</v>
      </c>
      <c r="G7837" s="33">
        <f>IF(ISNUMBER(F7837),E7837*F7837,"")</f>
        <v>43.338999999999999</v>
      </c>
      <c r="H7837" s="38">
        <f>SUM(G7837:G7837)</f>
        <v>43.338999999999999</v>
      </c>
      <c r="I7837" s="39"/>
      <c r="J7837" s="152">
        <v>0</v>
      </c>
    </row>
    <row r="7838" spans="1:10" ht="15.75" hidden="1" thickBot="1" x14ac:dyDescent="0.3">
      <c r="A7838" s="177"/>
      <c r="B7838" s="175"/>
      <c r="C7838" s="54"/>
      <c r="D7838" s="54"/>
      <c r="E7838" s="65"/>
      <c r="F7838" s="66" t="s">
        <v>416</v>
      </c>
      <c r="G7838" s="67" t="str">
        <f>IF(ISNUMBER(F7838),E7838*F7838,"")</f>
        <v/>
      </c>
      <c r="H7838" s="68"/>
      <c r="I7838" s="30"/>
      <c r="J7838" s="152">
        <v>0</v>
      </c>
    </row>
    <row r="7839" spans="1:10" ht="15.75" hidden="1" thickBot="1" x14ac:dyDescent="0.3">
      <c r="A7839" s="170" t="s">
        <v>6889</v>
      </c>
      <c r="B7839" s="173" t="str">
        <f>INDEX(Orçamentária!A:B,MATCH(Composições!A7839,Orçamentária!A:A,0),2)</f>
        <v>Luva de correr PVC soldável 85 mm</v>
      </c>
      <c r="C7839" s="40"/>
      <c r="D7839" s="25" t="s">
        <v>16</v>
      </c>
      <c r="E7839" s="26"/>
      <c r="F7839" s="41" t="s">
        <v>416</v>
      </c>
      <c r="G7839" s="27" t="str">
        <f>IF(ISNUMBER(F7839),E7839*F7839,"")</f>
        <v/>
      </c>
      <c r="H7839" s="28"/>
      <c r="I7839" s="29"/>
      <c r="J7839" s="152">
        <v>0</v>
      </c>
    </row>
    <row r="7840" spans="1:10" ht="15.75" hidden="1" thickBot="1" x14ac:dyDescent="0.3">
      <c r="A7840" s="176"/>
      <c r="B7840" s="174"/>
      <c r="C7840" s="31"/>
      <c r="D7840" s="31"/>
      <c r="E7840" s="32"/>
      <c r="F7840" s="42" t="s">
        <v>416</v>
      </c>
      <c r="G7840" s="33" t="str">
        <f>IF(ISNUMBER(F7840),E7840*F7840,"")</f>
        <v/>
      </c>
      <c r="H7840" s="34"/>
      <c r="I7840" s="30"/>
      <c r="J7840" s="152">
        <v>0</v>
      </c>
    </row>
    <row r="7841" spans="1:10" ht="26.25" hidden="1" thickBot="1" x14ac:dyDescent="0.3">
      <c r="A7841" s="176"/>
      <c r="B7841" s="174"/>
      <c r="C7841" s="35" t="s">
        <v>8247</v>
      </c>
      <c r="D7841" s="35" t="s">
        <v>213</v>
      </c>
      <c r="E7841" s="36">
        <v>1</v>
      </c>
      <c r="F7841" s="30">
        <v>34.6845</v>
      </c>
      <c r="G7841" s="33">
        <f>IF(ISNUMBER(F7841),E7841*F7841,"")</f>
        <v>34.6845</v>
      </c>
      <c r="H7841" s="38">
        <f>SUM(G7841:G7841)</f>
        <v>34.6845</v>
      </c>
      <c r="I7841" s="39"/>
      <c r="J7841" s="152">
        <v>0</v>
      </c>
    </row>
    <row r="7842" spans="1:10" ht="15.75" hidden="1" thickBot="1" x14ac:dyDescent="0.3">
      <c r="A7842" s="177"/>
      <c r="B7842" s="175"/>
      <c r="C7842" s="54"/>
      <c r="D7842" s="54"/>
      <c r="E7842" s="65"/>
      <c r="F7842" s="66" t="s">
        <v>416</v>
      </c>
      <c r="G7842" s="67" t="str">
        <f>IF(ISNUMBER(F7842),E7842*F7842,"")</f>
        <v/>
      </c>
      <c r="H7842" s="68"/>
      <c r="I7842" s="30"/>
      <c r="J7842" s="152">
        <v>0</v>
      </c>
    </row>
    <row r="7843" spans="1:10" ht="15.75" hidden="1" thickBot="1" x14ac:dyDescent="0.3">
      <c r="A7843" s="170" t="s">
        <v>6890</v>
      </c>
      <c r="B7843" s="173" t="str">
        <f>INDEX(Orçamentária!A:B,MATCH(Composições!A7843,Orçamentária!A:A,0),2)</f>
        <v>Bucha de redução curta PVC soldável de 85 mm x 75 mm</v>
      </c>
      <c r="C7843" s="40"/>
      <c r="D7843" s="25" t="s">
        <v>16</v>
      </c>
      <c r="E7843" s="26"/>
      <c r="F7843" s="41" t="s">
        <v>416</v>
      </c>
      <c r="G7843" s="27" t="str">
        <f>IF(ISNUMBER(F7843),E7843*F7843,"")</f>
        <v/>
      </c>
      <c r="H7843" s="28"/>
      <c r="I7843" s="29"/>
      <c r="J7843" s="152">
        <v>0</v>
      </c>
    </row>
    <row r="7844" spans="1:10" ht="15.75" hidden="1" thickBot="1" x14ac:dyDescent="0.3">
      <c r="A7844" s="176"/>
      <c r="B7844" s="174"/>
      <c r="C7844" s="31"/>
      <c r="D7844" s="31"/>
      <c r="E7844" s="32"/>
      <c r="F7844" s="42" t="s">
        <v>416</v>
      </c>
      <c r="G7844" s="33" t="str">
        <f>IF(ISNUMBER(F7844),E7844*F7844,"")</f>
        <v/>
      </c>
      <c r="H7844" s="34"/>
      <c r="I7844" s="30"/>
      <c r="J7844" s="152">
        <v>0</v>
      </c>
    </row>
    <row r="7845" spans="1:10" ht="15.75" hidden="1" thickBot="1" x14ac:dyDescent="0.3">
      <c r="A7845" s="176"/>
      <c r="B7845" s="174"/>
      <c r="C7845" s="35" t="s">
        <v>7939</v>
      </c>
      <c r="D7845" s="35" t="s">
        <v>16</v>
      </c>
      <c r="E7845" s="36">
        <v>1</v>
      </c>
      <c r="F7845" s="30">
        <v>0</v>
      </c>
      <c r="G7845" s="33">
        <f>IF(ISNUMBER(F7845),E7845*F7845,"")</f>
        <v>0</v>
      </c>
      <c r="H7845" s="38">
        <f>SUM(G7845:G7845)</f>
        <v>0</v>
      </c>
      <c r="I7845" s="39"/>
      <c r="J7845" s="152">
        <v>0</v>
      </c>
    </row>
    <row r="7846" spans="1:10" ht="15.75" hidden="1" thickBot="1" x14ac:dyDescent="0.3">
      <c r="A7846" s="177"/>
      <c r="B7846" s="175"/>
      <c r="C7846" s="54"/>
      <c r="D7846" s="54"/>
      <c r="E7846" s="65"/>
      <c r="F7846" s="66" t="s">
        <v>416</v>
      </c>
      <c r="G7846" s="67" t="str">
        <f>IF(ISNUMBER(F7846),E7846*F7846,"")</f>
        <v/>
      </c>
      <c r="H7846" s="68"/>
      <c r="I7846" s="30"/>
      <c r="J7846" s="152">
        <v>0</v>
      </c>
    </row>
    <row r="7847" spans="1:10" ht="15.75" hidden="1" thickBot="1" x14ac:dyDescent="0.3">
      <c r="A7847" s="170" t="s">
        <v>6891</v>
      </c>
      <c r="B7847" s="173" t="str">
        <f>INDEX(Orçamentária!A:B,MATCH(Composições!A7847,Orçamentária!A:A,0),2)</f>
        <v>Adaptador PVC soldável, curto com bolsa e rosca para Registro 85 mm x 3”</v>
      </c>
      <c r="C7847" s="40"/>
      <c r="D7847" s="25" t="s">
        <v>16</v>
      </c>
      <c r="E7847" s="26"/>
      <c r="F7847" s="41" t="s">
        <v>416</v>
      </c>
      <c r="G7847" s="27" t="str">
        <f>IF(ISNUMBER(F7847),E7847*F7847,"")</f>
        <v/>
      </c>
      <c r="H7847" s="28"/>
      <c r="I7847" s="29"/>
      <c r="J7847" s="152">
        <v>0</v>
      </c>
    </row>
    <row r="7848" spans="1:10" ht="15.75" hidden="1" thickBot="1" x14ac:dyDescent="0.3">
      <c r="A7848" s="176"/>
      <c r="B7848" s="174"/>
      <c r="C7848" s="31"/>
      <c r="D7848" s="31"/>
      <c r="E7848" s="32"/>
      <c r="F7848" s="42" t="s">
        <v>416</v>
      </c>
      <c r="G7848" s="33" t="str">
        <f>IF(ISNUMBER(F7848),E7848*F7848,"")</f>
        <v/>
      </c>
      <c r="H7848" s="34"/>
      <c r="I7848" s="30"/>
      <c r="J7848" s="152">
        <v>0</v>
      </c>
    </row>
    <row r="7849" spans="1:10" ht="26.25" hidden="1" thickBot="1" x14ac:dyDescent="0.3">
      <c r="A7849" s="176"/>
      <c r="B7849" s="174"/>
      <c r="C7849" s="35" t="s">
        <v>7966</v>
      </c>
      <c r="D7849" s="35" t="s">
        <v>213</v>
      </c>
      <c r="E7849" s="36">
        <v>1</v>
      </c>
      <c r="F7849" s="30">
        <v>26.485999999999997</v>
      </c>
      <c r="G7849" s="33">
        <f>IF(ISNUMBER(F7849),E7849*F7849,"")</f>
        <v>26.485999999999997</v>
      </c>
      <c r="H7849" s="38">
        <f>SUM(G7849:G7849)</f>
        <v>26.485999999999997</v>
      </c>
      <c r="I7849" s="39"/>
      <c r="J7849" s="152">
        <v>0</v>
      </c>
    </row>
    <row r="7850" spans="1:10" ht="15.75" hidden="1" thickBot="1" x14ac:dyDescent="0.3">
      <c r="A7850" s="177"/>
      <c r="B7850" s="175"/>
      <c r="C7850" s="54"/>
      <c r="D7850" s="54"/>
      <c r="E7850" s="65"/>
      <c r="F7850" s="66" t="s">
        <v>416</v>
      </c>
      <c r="G7850" s="67" t="str">
        <f>IF(ISNUMBER(F7850),E7850*F7850,"")</f>
        <v/>
      </c>
      <c r="H7850" s="68"/>
      <c r="I7850" s="30"/>
      <c r="J7850" s="152">
        <v>0</v>
      </c>
    </row>
    <row r="7851" spans="1:10" ht="15.75" hidden="1" thickBot="1" x14ac:dyDescent="0.3">
      <c r="A7851" s="170" t="s">
        <v>6892</v>
      </c>
      <c r="B7851" s="173" t="str">
        <f>INDEX(Orçamentária!A:B,MATCH(Composições!A7851,Orçamentária!A:A,0),2)</f>
        <v>Joelho 90° PVC soldável 110 mm</v>
      </c>
      <c r="C7851" s="40"/>
      <c r="D7851" s="25" t="s">
        <v>16</v>
      </c>
      <c r="E7851" s="26"/>
      <c r="F7851" s="41" t="s">
        <v>416</v>
      </c>
      <c r="G7851" s="27" t="str">
        <f>IF(ISNUMBER(F7851),E7851*F7851,"")</f>
        <v/>
      </c>
      <c r="H7851" s="28"/>
      <c r="I7851" s="29"/>
      <c r="J7851" s="152">
        <v>0</v>
      </c>
    </row>
    <row r="7852" spans="1:10" ht="15.75" hidden="1" thickBot="1" x14ac:dyDescent="0.3">
      <c r="A7852" s="176"/>
      <c r="B7852" s="174"/>
      <c r="C7852" s="31"/>
      <c r="D7852" s="31"/>
      <c r="E7852" s="32"/>
      <c r="F7852" s="42" t="s">
        <v>416</v>
      </c>
      <c r="G7852" s="33" t="str">
        <f>IF(ISNUMBER(F7852),E7852*F7852,"")</f>
        <v/>
      </c>
      <c r="H7852" s="34"/>
      <c r="I7852" s="30"/>
      <c r="J7852" s="152">
        <v>0</v>
      </c>
    </row>
    <row r="7853" spans="1:10" ht="26.25" hidden="1" thickBot="1" x14ac:dyDescent="0.3">
      <c r="A7853" s="176"/>
      <c r="B7853" s="174"/>
      <c r="C7853" s="35" t="s">
        <v>8198</v>
      </c>
      <c r="D7853" s="35" t="s">
        <v>213</v>
      </c>
      <c r="E7853" s="36">
        <v>1</v>
      </c>
      <c r="F7853" s="30">
        <v>204.37349999999998</v>
      </c>
      <c r="G7853" s="33">
        <f>IF(ISNUMBER(F7853),E7853*F7853,"")</f>
        <v>204.37349999999998</v>
      </c>
      <c r="H7853" s="38">
        <f>SUM(G7853:G7853)</f>
        <v>204.37349999999998</v>
      </c>
      <c r="I7853" s="39"/>
      <c r="J7853" s="152">
        <v>0</v>
      </c>
    </row>
    <row r="7854" spans="1:10" ht="15.75" hidden="1" thickBot="1" x14ac:dyDescent="0.3">
      <c r="A7854" s="177"/>
      <c r="B7854" s="175"/>
      <c r="C7854" s="54"/>
      <c r="D7854" s="54"/>
      <c r="E7854" s="65"/>
      <c r="F7854" s="66" t="s">
        <v>416</v>
      </c>
      <c r="G7854" s="67" t="str">
        <f>IF(ISNUMBER(F7854),E7854*F7854,"")</f>
        <v/>
      </c>
      <c r="H7854" s="68"/>
      <c r="I7854" s="30"/>
      <c r="J7854" s="152">
        <v>0</v>
      </c>
    </row>
    <row r="7855" spans="1:10" ht="15.75" hidden="1" thickBot="1" x14ac:dyDescent="0.3">
      <c r="A7855" s="170" t="s">
        <v>6893</v>
      </c>
      <c r="B7855" s="173" t="str">
        <f>INDEX(Orçamentária!A:B,MATCH(Composições!A7855,Orçamentária!A:A,0),2)</f>
        <v>Joelho 45° PVC soldável 110 mm</v>
      </c>
      <c r="C7855" s="40"/>
      <c r="D7855" s="25" t="s">
        <v>16</v>
      </c>
      <c r="E7855" s="26"/>
      <c r="F7855" s="41" t="s">
        <v>416</v>
      </c>
      <c r="G7855" s="27" t="str">
        <f>IF(ISNUMBER(F7855),E7855*F7855,"")</f>
        <v/>
      </c>
      <c r="H7855" s="28"/>
      <c r="I7855" s="29"/>
      <c r="J7855" s="152">
        <v>0</v>
      </c>
    </row>
    <row r="7856" spans="1:10" ht="15.75" hidden="1" thickBot="1" x14ac:dyDescent="0.3">
      <c r="A7856" s="176"/>
      <c r="B7856" s="174"/>
      <c r="C7856" s="31"/>
      <c r="D7856" s="31"/>
      <c r="E7856" s="32"/>
      <c r="F7856" s="42" t="s">
        <v>416</v>
      </c>
      <c r="G7856" s="33" t="str">
        <f>IF(ISNUMBER(F7856),E7856*F7856,"")</f>
        <v/>
      </c>
      <c r="H7856" s="34"/>
      <c r="I7856" s="30"/>
      <c r="J7856" s="152">
        <v>0</v>
      </c>
    </row>
    <row r="7857" spans="1:10" ht="15.75" hidden="1" thickBot="1" x14ac:dyDescent="0.3">
      <c r="A7857" s="176"/>
      <c r="B7857" s="174"/>
      <c r="C7857" s="35" t="s">
        <v>7940</v>
      </c>
      <c r="D7857" s="35" t="s">
        <v>16</v>
      </c>
      <c r="E7857" s="36">
        <v>1</v>
      </c>
      <c r="F7857" s="30">
        <v>0</v>
      </c>
      <c r="G7857" s="33">
        <f>IF(ISNUMBER(F7857),E7857*F7857,"")</f>
        <v>0</v>
      </c>
      <c r="H7857" s="38">
        <f>SUM(G7857:G7857)</f>
        <v>0</v>
      </c>
      <c r="I7857" s="39"/>
      <c r="J7857" s="152">
        <v>0</v>
      </c>
    </row>
    <row r="7858" spans="1:10" ht="15.75" hidden="1" thickBot="1" x14ac:dyDescent="0.3">
      <c r="A7858" s="177"/>
      <c r="B7858" s="175"/>
      <c r="C7858" s="54"/>
      <c r="D7858" s="54"/>
      <c r="E7858" s="65"/>
      <c r="F7858" s="66" t="s">
        <v>416</v>
      </c>
      <c r="G7858" s="67" t="str">
        <f>IF(ISNUMBER(F7858),E7858*F7858,"")</f>
        <v/>
      </c>
      <c r="H7858" s="68"/>
      <c r="I7858" s="30"/>
      <c r="J7858" s="152">
        <v>0</v>
      </c>
    </row>
    <row r="7859" spans="1:10" ht="15.75" hidden="1" thickBot="1" x14ac:dyDescent="0.3">
      <c r="A7859" s="170" t="s">
        <v>6894</v>
      </c>
      <c r="B7859" s="173" t="str">
        <f>INDEX(Orçamentária!A:B,MATCH(Composições!A7859,Orçamentária!A:A,0),2)</f>
        <v>Cap PVC soldável 110 mm</v>
      </c>
      <c r="C7859" s="40"/>
      <c r="D7859" s="25" t="s">
        <v>16</v>
      </c>
      <c r="E7859" s="26"/>
      <c r="F7859" s="41" t="s">
        <v>416</v>
      </c>
      <c r="G7859" s="27" t="str">
        <f>IF(ISNUMBER(F7859),E7859*F7859,"")</f>
        <v/>
      </c>
      <c r="H7859" s="28"/>
      <c r="I7859" s="29"/>
      <c r="J7859" s="152">
        <v>0</v>
      </c>
    </row>
    <row r="7860" spans="1:10" ht="15.75" hidden="1" thickBot="1" x14ac:dyDescent="0.3">
      <c r="A7860" s="176"/>
      <c r="B7860" s="174"/>
      <c r="C7860" s="31"/>
      <c r="D7860" s="31"/>
      <c r="E7860" s="32"/>
      <c r="F7860" s="42" t="s">
        <v>416</v>
      </c>
      <c r="G7860" s="33" t="str">
        <f>IF(ISNUMBER(F7860),E7860*F7860,"")</f>
        <v/>
      </c>
      <c r="H7860" s="34"/>
      <c r="I7860" s="30"/>
      <c r="J7860" s="152">
        <v>0</v>
      </c>
    </row>
    <row r="7861" spans="1:10" ht="26.25" hidden="1" thickBot="1" x14ac:dyDescent="0.3">
      <c r="A7861" s="176"/>
      <c r="B7861" s="174"/>
      <c r="C7861" s="35" t="s">
        <v>8570</v>
      </c>
      <c r="D7861" s="35" t="s">
        <v>213</v>
      </c>
      <c r="E7861" s="36">
        <v>1</v>
      </c>
      <c r="F7861" s="30">
        <v>34.475499999999997</v>
      </c>
      <c r="G7861" s="33">
        <f>IF(ISNUMBER(F7861),E7861*F7861,"")</f>
        <v>34.475499999999997</v>
      </c>
      <c r="H7861" s="38">
        <f>SUM(G7861:G7861)</f>
        <v>34.475499999999997</v>
      </c>
      <c r="I7861" s="39"/>
      <c r="J7861" s="152">
        <v>0</v>
      </c>
    </row>
    <row r="7862" spans="1:10" ht="15.75" hidden="1" thickBot="1" x14ac:dyDescent="0.3">
      <c r="A7862" s="177"/>
      <c r="B7862" s="175"/>
      <c r="C7862" s="54"/>
      <c r="D7862" s="54"/>
      <c r="E7862" s="65"/>
      <c r="F7862" s="66" t="s">
        <v>416</v>
      </c>
      <c r="G7862" s="67" t="str">
        <f>IF(ISNUMBER(F7862),E7862*F7862,"")</f>
        <v/>
      </c>
      <c r="H7862" s="68"/>
      <c r="I7862" s="30"/>
      <c r="J7862" s="152">
        <v>0</v>
      </c>
    </row>
    <row r="7863" spans="1:10" ht="15.75" hidden="1" thickBot="1" x14ac:dyDescent="0.3">
      <c r="A7863" s="170" t="s">
        <v>6895</v>
      </c>
      <c r="B7863" s="173" t="str">
        <f>INDEX(Orçamentária!A:B,MATCH(Composições!A7863,Orçamentária!A:A,0),2)</f>
        <v>Curva 90° PVC soldável 110 mm</v>
      </c>
      <c r="C7863" s="40"/>
      <c r="D7863" s="25" t="s">
        <v>16</v>
      </c>
      <c r="E7863" s="26"/>
      <c r="F7863" s="41" t="s">
        <v>416</v>
      </c>
      <c r="G7863" s="27" t="str">
        <f>IF(ISNUMBER(F7863),E7863*F7863,"")</f>
        <v/>
      </c>
      <c r="H7863" s="28"/>
      <c r="I7863" s="29"/>
      <c r="J7863" s="152">
        <v>0</v>
      </c>
    </row>
    <row r="7864" spans="1:10" ht="15.75" hidden="1" thickBot="1" x14ac:dyDescent="0.3">
      <c r="A7864" s="176"/>
      <c r="B7864" s="174"/>
      <c r="C7864" s="31"/>
      <c r="D7864" s="31"/>
      <c r="E7864" s="32"/>
      <c r="F7864" s="42" t="s">
        <v>416</v>
      </c>
      <c r="G7864" s="33" t="str">
        <f>IF(ISNUMBER(F7864),E7864*F7864,"")</f>
        <v/>
      </c>
      <c r="H7864" s="34"/>
      <c r="I7864" s="30"/>
      <c r="J7864" s="152">
        <v>0</v>
      </c>
    </row>
    <row r="7865" spans="1:10" ht="26.25" hidden="1" thickBot="1" x14ac:dyDescent="0.3">
      <c r="A7865" s="176"/>
      <c r="B7865" s="174"/>
      <c r="C7865" s="35" t="s">
        <v>8116</v>
      </c>
      <c r="D7865" s="35" t="s">
        <v>213</v>
      </c>
      <c r="E7865" s="36">
        <v>1</v>
      </c>
      <c r="F7865" s="30">
        <v>175.58850000000001</v>
      </c>
      <c r="G7865" s="33">
        <f>IF(ISNUMBER(F7865),E7865*F7865,"")</f>
        <v>175.58850000000001</v>
      </c>
      <c r="H7865" s="38">
        <f>SUM(G7865:G7865)</f>
        <v>175.58850000000001</v>
      </c>
      <c r="I7865" s="39"/>
      <c r="J7865" s="152">
        <v>0</v>
      </c>
    </row>
    <row r="7866" spans="1:10" ht="15.75" hidden="1" thickBot="1" x14ac:dyDescent="0.3">
      <c r="A7866" s="177"/>
      <c r="B7866" s="175"/>
      <c r="C7866" s="54"/>
      <c r="D7866" s="54"/>
      <c r="E7866" s="65"/>
      <c r="F7866" s="66" t="s">
        <v>416</v>
      </c>
      <c r="G7866" s="67" t="str">
        <f>IF(ISNUMBER(F7866),E7866*F7866,"")</f>
        <v/>
      </c>
      <c r="H7866" s="68"/>
      <c r="I7866" s="30"/>
      <c r="J7866" s="152">
        <v>0</v>
      </c>
    </row>
    <row r="7867" spans="1:10" ht="15.75" hidden="1" thickBot="1" x14ac:dyDescent="0.3">
      <c r="A7867" s="170" t="s">
        <v>6896</v>
      </c>
      <c r="B7867" s="173" t="str">
        <f>INDEX(Orçamentária!A:B,MATCH(Composições!A7867,Orçamentária!A:A,0),2)</f>
        <v>Luva simples PVC soldável 110 mm</v>
      </c>
      <c r="C7867" s="40"/>
      <c r="D7867" s="25" t="s">
        <v>16</v>
      </c>
      <c r="E7867" s="26"/>
      <c r="F7867" s="41" t="s">
        <v>416</v>
      </c>
      <c r="G7867" s="27" t="str">
        <f>IF(ISNUMBER(F7867),E7867*F7867,"")</f>
        <v/>
      </c>
      <c r="H7867" s="28"/>
      <c r="I7867" s="29"/>
      <c r="J7867" s="152">
        <v>0</v>
      </c>
    </row>
    <row r="7868" spans="1:10" ht="15.75" hidden="1" thickBot="1" x14ac:dyDescent="0.3">
      <c r="A7868" s="176"/>
      <c r="B7868" s="174"/>
      <c r="C7868" s="31"/>
      <c r="D7868" s="31"/>
      <c r="E7868" s="32"/>
      <c r="F7868" s="42" t="s">
        <v>416</v>
      </c>
      <c r="G7868" s="33" t="str">
        <f>IF(ISNUMBER(F7868),E7868*F7868,"")</f>
        <v/>
      </c>
      <c r="H7868" s="34"/>
      <c r="I7868" s="30"/>
      <c r="J7868" s="152">
        <v>0</v>
      </c>
    </row>
    <row r="7869" spans="1:10" ht="15.75" hidden="1" thickBot="1" x14ac:dyDescent="0.3">
      <c r="A7869" s="176"/>
      <c r="B7869" s="174"/>
      <c r="C7869" s="35" t="s">
        <v>8268</v>
      </c>
      <c r="D7869" s="35" t="s">
        <v>213</v>
      </c>
      <c r="E7869" s="36">
        <v>1</v>
      </c>
      <c r="F7869" s="30">
        <v>73.586999999999989</v>
      </c>
      <c r="G7869" s="33">
        <f>IF(ISNUMBER(F7869),E7869*F7869,"")</f>
        <v>73.586999999999989</v>
      </c>
      <c r="H7869" s="38">
        <f>SUM(G7869:G7869)</f>
        <v>73.586999999999989</v>
      </c>
      <c r="I7869" s="39"/>
      <c r="J7869" s="152">
        <v>0</v>
      </c>
    </row>
    <row r="7870" spans="1:10" ht="15.75" hidden="1" thickBot="1" x14ac:dyDescent="0.3">
      <c r="A7870" s="177"/>
      <c r="B7870" s="175"/>
      <c r="C7870" s="54"/>
      <c r="D7870" s="54"/>
      <c r="E7870" s="65"/>
      <c r="F7870" s="66" t="s">
        <v>416</v>
      </c>
      <c r="G7870" s="67" t="str">
        <f>IF(ISNUMBER(F7870),E7870*F7870,"")</f>
        <v/>
      </c>
      <c r="H7870" s="68"/>
      <c r="I7870" s="30"/>
      <c r="J7870" s="152">
        <v>0</v>
      </c>
    </row>
    <row r="7871" spans="1:10" ht="15.75" hidden="1" thickBot="1" x14ac:dyDescent="0.3">
      <c r="A7871" s="170" t="e">
        <f>#REF!</f>
        <v>#REF!</v>
      </c>
      <c r="B7871" s="173" t="e">
        <f>INDEX(Orçamentária!A:B,MATCH(Composições!A7871,Orçamentária!A:A,0),2)</f>
        <v>#REF!</v>
      </c>
      <c r="C7871" s="40"/>
      <c r="D7871" s="25" t="s">
        <v>16</v>
      </c>
      <c r="E7871" s="26"/>
      <c r="F7871" s="41" t="s">
        <v>416</v>
      </c>
      <c r="G7871" s="27" t="str">
        <f>IF(ISNUMBER(F7871),E7871*F7871,"")</f>
        <v/>
      </c>
      <c r="H7871" s="28"/>
      <c r="I7871" s="29"/>
      <c r="J7871" s="152">
        <v>0</v>
      </c>
    </row>
    <row r="7872" spans="1:10" ht="15.75" hidden="1" thickBot="1" x14ac:dyDescent="0.3">
      <c r="A7872" s="171"/>
      <c r="B7872" s="174"/>
      <c r="C7872" s="31"/>
      <c r="D7872" s="31"/>
      <c r="E7872" s="32"/>
      <c r="F7872" s="42" t="s">
        <v>416</v>
      </c>
      <c r="G7872" s="33" t="str">
        <f>IF(ISNUMBER(F7872),E7872*F7872,"")</f>
        <v/>
      </c>
      <c r="H7872" s="34"/>
      <c r="I7872" s="30"/>
      <c r="J7872" s="152">
        <v>0</v>
      </c>
    </row>
    <row r="7873" spans="1:10" ht="26.25" hidden="1" thickBot="1" x14ac:dyDescent="0.3">
      <c r="A7873" s="171"/>
      <c r="B7873" s="174"/>
      <c r="C7873" s="35" t="s">
        <v>8246</v>
      </c>
      <c r="D7873" s="35" t="s">
        <v>213</v>
      </c>
      <c r="E7873" s="36">
        <v>1</v>
      </c>
      <c r="F7873" s="30">
        <v>55.204499999999996</v>
      </c>
      <c r="G7873" s="33">
        <f>IF(ISNUMBER(F7873),E7873*F7873,"")</f>
        <v>55.204499999999996</v>
      </c>
      <c r="H7873" s="38">
        <f>SUM(G7873:G7873)</f>
        <v>55.204499999999996</v>
      </c>
      <c r="I7873" s="39"/>
      <c r="J7873" s="152">
        <v>0</v>
      </c>
    </row>
    <row r="7874" spans="1:10" ht="15.75" hidden="1" thickBot="1" x14ac:dyDescent="0.3">
      <c r="A7874" s="172"/>
      <c r="B7874" s="175"/>
      <c r="C7874" s="54"/>
      <c r="D7874" s="54"/>
      <c r="E7874" s="65"/>
      <c r="F7874" s="66" t="s">
        <v>416</v>
      </c>
      <c r="G7874" s="67" t="str">
        <f>IF(ISNUMBER(F7874),E7874*F7874,"")</f>
        <v/>
      </c>
      <c r="H7874" s="68"/>
      <c r="I7874" s="30"/>
      <c r="J7874" s="152">
        <v>0</v>
      </c>
    </row>
    <row r="7875" spans="1:10" ht="15.75" hidden="1" thickBot="1" x14ac:dyDescent="0.3">
      <c r="A7875" s="170" t="e">
        <f>#REF!</f>
        <v>#REF!</v>
      </c>
      <c r="B7875" s="173" t="e">
        <f>INDEX(Orçamentária!A:B,MATCH(Composições!A7875,Orçamentária!A:A,0),2)</f>
        <v>#REF!</v>
      </c>
      <c r="C7875" s="40"/>
      <c r="D7875" s="25" t="s">
        <v>16</v>
      </c>
      <c r="E7875" s="26"/>
      <c r="F7875" s="41" t="s">
        <v>416</v>
      </c>
      <c r="G7875" s="27" t="str">
        <f>IF(ISNUMBER(F7875),E7875*F7875,"")</f>
        <v/>
      </c>
      <c r="H7875" s="28"/>
      <c r="I7875" s="29"/>
      <c r="J7875" s="152">
        <v>0</v>
      </c>
    </row>
    <row r="7876" spans="1:10" ht="15.75" hidden="1" thickBot="1" x14ac:dyDescent="0.3">
      <c r="A7876" s="171"/>
      <c r="B7876" s="174"/>
      <c r="C7876" s="31"/>
      <c r="D7876" s="31"/>
      <c r="E7876" s="32"/>
      <c r="F7876" s="42" t="s">
        <v>416</v>
      </c>
      <c r="G7876" s="33" t="str">
        <f>IF(ISNUMBER(F7876),E7876*F7876,"")</f>
        <v/>
      </c>
      <c r="H7876" s="34"/>
      <c r="I7876" s="30"/>
      <c r="J7876" s="152">
        <v>0</v>
      </c>
    </row>
    <row r="7877" spans="1:10" ht="15.75" hidden="1" thickBot="1" x14ac:dyDescent="0.3">
      <c r="A7877" s="171"/>
      <c r="B7877" s="174"/>
      <c r="C7877" s="35" t="s">
        <v>8571</v>
      </c>
      <c r="D7877" s="35" t="s">
        <v>213</v>
      </c>
      <c r="E7877" s="36">
        <v>1</v>
      </c>
      <c r="F7877" s="30">
        <v>376.39949999999999</v>
      </c>
      <c r="G7877" s="33">
        <f>IF(ISNUMBER(F7877),E7877*F7877,"")</f>
        <v>376.39949999999999</v>
      </c>
      <c r="H7877" s="38">
        <f>SUM(G7877:G7877)</f>
        <v>376.39949999999999</v>
      </c>
      <c r="I7877" s="39"/>
      <c r="J7877" s="152">
        <v>0</v>
      </c>
    </row>
    <row r="7878" spans="1:10" ht="15.75" hidden="1" thickBot="1" x14ac:dyDescent="0.3">
      <c r="A7878" s="172"/>
      <c r="B7878" s="175"/>
      <c r="C7878" s="54"/>
      <c r="D7878" s="54"/>
      <c r="E7878" s="65"/>
      <c r="F7878" s="66" t="s">
        <v>416</v>
      </c>
      <c r="G7878" s="67" t="str">
        <f>IF(ISNUMBER(F7878),E7878*F7878,"")</f>
        <v/>
      </c>
      <c r="H7878" s="68"/>
      <c r="I7878" s="30"/>
      <c r="J7878" s="152">
        <v>0</v>
      </c>
    </row>
    <row r="7879" spans="1:10" ht="15.75" hidden="1" thickBot="1" x14ac:dyDescent="0.3">
      <c r="A7879" s="170" t="s">
        <v>6899</v>
      </c>
      <c r="B7879" s="173" t="str">
        <f>INDEX(Orçamentária!A:B,MATCH(Composições!A7879,Orçamentária!A:A,0),2)</f>
        <v>Adaptador PVC soldável, curto com bolsa e rosca para Registro 110 mm x 4”</v>
      </c>
      <c r="C7879" s="40"/>
      <c r="D7879" s="25" t="s">
        <v>16</v>
      </c>
      <c r="E7879" s="26"/>
      <c r="F7879" s="41" t="s">
        <v>416</v>
      </c>
      <c r="G7879" s="27" t="str">
        <f>IF(ISNUMBER(F7879),E7879*F7879,"")</f>
        <v/>
      </c>
      <c r="H7879" s="28"/>
      <c r="I7879" s="29"/>
      <c r="J7879" s="152">
        <v>0</v>
      </c>
    </row>
    <row r="7880" spans="1:10" ht="15.75" hidden="1" thickBot="1" x14ac:dyDescent="0.3">
      <c r="A7880" s="171"/>
      <c r="B7880" s="174"/>
      <c r="C7880" s="31"/>
      <c r="D7880" s="31"/>
      <c r="E7880" s="32"/>
      <c r="F7880" s="42" t="s">
        <v>416</v>
      </c>
      <c r="G7880" s="33" t="str">
        <f>IF(ISNUMBER(F7880),E7880*F7880,"")</f>
        <v/>
      </c>
      <c r="H7880" s="34"/>
      <c r="I7880" s="30"/>
      <c r="J7880" s="152">
        <v>0</v>
      </c>
    </row>
    <row r="7881" spans="1:10" ht="26.25" hidden="1" thickBot="1" x14ac:dyDescent="0.3">
      <c r="A7881" s="171"/>
      <c r="B7881" s="174"/>
      <c r="C7881" s="35" t="s">
        <v>7959</v>
      </c>
      <c r="D7881" s="35" t="s">
        <v>213</v>
      </c>
      <c r="E7881" s="36">
        <v>1</v>
      </c>
      <c r="F7881" s="30">
        <v>42.740499999999997</v>
      </c>
      <c r="G7881" s="33">
        <f>IF(ISNUMBER(F7881),E7881*F7881,"")</f>
        <v>42.740499999999997</v>
      </c>
      <c r="H7881" s="38">
        <f>SUM(G7881:G7881)</f>
        <v>42.740499999999997</v>
      </c>
      <c r="I7881" s="39"/>
      <c r="J7881" s="152">
        <v>0</v>
      </c>
    </row>
    <row r="7882" spans="1:10" ht="15.75" hidden="1" thickBot="1" x14ac:dyDescent="0.3">
      <c r="A7882" s="172"/>
      <c r="B7882" s="175"/>
      <c r="C7882" s="54"/>
      <c r="D7882" s="54"/>
      <c r="E7882" s="65"/>
      <c r="F7882" s="66" t="s">
        <v>416</v>
      </c>
      <c r="G7882" s="67" t="str">
        <f>IF(ISNUMBER(F7882),E7882*F7882,"")</f>
        <v/>
      </c>
      <c r="H7882" s="68"/>
      <c r="I7882" s="30"/>
      <c r="J7882" s="152">
        <v>0</v>
      </c>
    </row>
    <row r="7883" spans="1:10" ht="15.75" hidden="1" thickBot="1" x14ac:dyDescent="0.3">
      <c r="A7883" s="170" t="s">
        <v>6900</v>
      </c>
      <c r="B7883" s="173" t="str">
        <f>INDEX(Orçamentária!A:B,MATCH(Composições!A7883,Orçamentária!A:A,0),2)</f>
        <v>Adaptador flange PVC soldável 110 mm x 4”</v>
      </c>
      <c r="C7883" s="40"/>
      <c r="D7883" s="25" t="s">
        <v>16</v>
      </c>
      <c r="E7883" s="26"/>
      <c r="F7883" s="41" t="s">
        <v>416</v>
      </c>
      <c r="G7883" s="27" t="str">
        <f>IF(ISNUMBER(F7883),E7883*F7883,"")</f>
        <v/>
      </c>
      <c r="H7883" s="28"/>
      <c r="I7883" s="29"/>
      <c r="J7883" s="152">
        <v>0</v>
      </c>
    </row>
    <row r="7884" spans="1:10" ht="15.75" hidden="1" thickBot="1" x14ac:dyDescent="0.3">
      <c r="A7884" s="171"/>
      <c r="B7884" s="174"/>
      <c r="C7884" s="31"/>
      <c r="D7884" s="31"/>
      <c r="E7884" s="32"/>
      <c r="F7884" s="42" t="s">
        <v>416</v>
      </c>
      <c r="G7884" s="33" t="str">
        <f>IF(ISNUMBER(F7884),E7884*F7884,"")</f>
        <v/>
      </c>
      <c r="H7884" s="34"/>
      <c r="I7884" s="30"/>
      <c r="J7884" s="152">
        <v>0</v>
      </c>
    </row>
    <row r="7885" spans="1:10" ht="26.25" hidden="1" thickBot="1" x14ac:dyDescent="0.3">
      <c r="A7885" s="171"/>
      <c r="B7885" s="174"/>
      <c r="C7885" s="35" t="s">
        <v>7972</v>
      </c>
      <c r="D7885" s="35" t="s">
        <v>213</v>
      </c>
      <c r="E7885" s="36">
        <v>1</v>
      </c>
      <c r="F7885" s="30">
        <v>263.96699999999998</v>
      </c>
      <c r="G7885" s="33">
        <f>IF(ISNUMBER(F7885),E7885*F7885,"")</f>
        <v>263.96699999999998</v>
      </c>
      <c r="H7885" s="38">
        <f>SUM(G7885:G7885)</f>
        <v>263.96699999999998</v>
      </c>
      <c r="I7885" s="39"/>
      <c r="J7885" s="152">
        <v>0</v>
      </c>
    </row>
    <row r="7886" spans="1:10" ht="15.75" hidden="1" thickBot="1" x14ac:dyDescent="0.3">
      <c r="A7886" s="172"/>
      <c r="B7886" s="175"/>
      <c r="C7886" s="54"/>
      <c r="D7886" s="54"/>
      <c r="E7886" s="65"/>
      <c r="F7886" s="66" t="s">
        <v>416</v>
      </c>
      <c r="G7886" s="67" t="str">
        <f>IF(ISNUMBER(F7886),E7886*F7886,"")</f>
        <v/>
      </c>
      <c r="H7886" s="68"/>
      <c r="I7886" s="30"/>
      <c r="J7886" s="152">
        <v>0</v>
      </c>
    </row>
    <row r="7887" spans="1:10" ht="15.75" hidden="1" thickBot="1" x14ac:dyDescent="0.3">
      <c r="A7887" s="170" t="s">
        <v>6901</v>
      </c>
      <c r="B7887" s="173" t="str">
        <f>INDEX(Orçamentária!A:B,MATCH(Composições!A7887,Orçamentária!A:A,0),2)</f>
        <v>Luva simples PVC esgoto ou águas pluviais 40 mm</v>
      </c>
      <c r="C7887" s="40"/>
      <c r="D7887" s="25" t="s">
        <v>16</v>
      </c>
      <c r="E7887" s="26"/>
      <c r="F7887" s="41" t="s">
        <v>416</v>
      </c>
      <c r="G7887" s="27" t="str">
        <f>IF(ISNUMBER(F7887),E7887*F7887,"")</f>
        <v/>
      </c>
      <c r="H7887" s="28"/>
      <c r="I7887" s="29"/>
      <c r="J7887" s="152">
        <v>0</v>
      </c>
    </row>
    <row r="7888" spans="1:10" ht="15.75" hidden="1" thickBot="1" x14ac:dyDescent="0.3">
      <c r="A7888" s="171"/>
      <c r="B7888" s="174"/>
      <c r="C7888" s="31"/>
      <c r="D7888" s="31"/>
      <c r="E7888" s="32"/>
      <c r="F7888" s="42" t="s">
        <v>416</v>
      </c>
      <c r="G7888" s="33" t="str">
        <f>IF(ISNUMBER(F7888),E7888*F7888,"")</f>
        <v/>
      </c>
      <c r="H7888" s="34"/>
      <c r="I7888" s="30"/>
      <c r="J7888" s="152">
        <v>0</v>
      </c>
    </row>
    <row r="7889" spans="1:10" ht="15.75" hidden="1" thickBot="1" x14ac:dyDescent="0.3">
      <c r="A7889" s="171"/>
      <c r="B7889" s="174"/>
      <c r="C7889" s="35" t="s">
        <v>8271</v>
      </c>
      <c r="D7889" s="35" t="s">
        <v>213</v>
      </c>
      <c r="E7889" s="36">
        <v>1</v>
      </c>
      <c r="F7889" s="30">
        <v>4.2084999999999999</v>
      </c>
      <c r="G7889" s="33">
        <f>IF(ISNUMBER(F7889),E7889*F7889,"")</f>
        <v>4.2084999999999999</v>
      </c>
      <c r="H7889" s="38">
        <f>SUM(G7889:G7889)</f>
        <v>4.2084999999999999</v>
      </c>
      <c r="I7889" s="39"/>
      <c r="J7889" s="152">
        <v>0</v>
      </c>
    </row>
    <row r="7890" spans="1:10" ht="15.75" hidden="1" thickBot="1" x14ac:dyDescent="0.3">
      <c r="A7890" s="172"/>
      <c r="B7890" s="175"/>
      <c r="C7890" s="54"/>
      <c r="D7890" s="54"/>
      <c r="E7890" s="65"/>
      <c r="F7890" s="66" t="s">
        <v>416</v>
      </c>
      <c r="G7890" s="67" t="str">
        <f>IF(ISNUMBER(F7890),E7890*F7890,"")</f>
        <v/>
      </c>
      <c r="H7890" s="68"/>
      <c r="I7890" s="30"/>
      <c r="J7890" s="152">
        <v>0</v>
      </c>
    </row>
    <row r="7891" spans="1:10" ht="15.75" hidden="1" thickBot="1" x14ac:dyDescent="0.3">
      <c r="A7891" s="170" t="s">
        <v>6902</v>
      </c>
      <c r="B7891" s="173" t="str">
        <f>INDEX(Orçamentária!A:B,MATCH(Composições!A7891,Orçamentária!A:A,0),2)</f>
        <v>Luva de correr PVC esgoto ou águas pluviais 40 mm</v>
      </c>
      <c r="C7891" s="40"/>
      <c r="D7891" s="25" t="s">
        <v>16</v>
      </c>
      <c r="E7891" s="26"/>
      <c r="F7891" s="41" t="s">
        <v>416</v>
      </c>
      <c r="G7891" s="27" t="str">
        <f>IF(ISNUMBER(F7891),E7891*F7891,"")</f>
        <v/>
      </c>
      <c r="H7891" s="28"/>
      <c r="I7891" s="29"/>
      <c r="J7891" s="152">
        <v>0</v>
      </c>
    </row>
    <row r="7892" spans="1:10" ht="15.75" hidden="1" thickBot="1" x14ac:dyDescent="0.3">
      <c r="A7892" s="171"/>
      <c r="B7892" s="174"/>
      <c r="C7892" s="31"/>
      <c r="D7892" s="31"/>
      <c r="E7892" s="32"/>
      <c r="F7892" s="42" t="s">
        <v>416</v>
      </c>
      <c r="G7892" s="33" t="str">
        <f>IF(ISNUMBER(F7892),E7892*F7892,"")</f>
        <v/>
      </c>
      <c r="H7892" s="34"/>
      <c r="I7892" s="30"/>
      <c r="J7892" s="152">
        <v>0</v>
      </c>
    </row>
    <row r="7893" spans="1:10" ht="15.75" hidden="1" thickBot="1" x14ac:dyDescent="0.3">
      <c r="A7893" s="171"/>
      <c r="B7893" s="174"/>
      <c r="C7893" s="35" t="s">
        <v>7182</v>
      </c>
      <c r="D7893" s="35" t="s">
        <v>16</v>
      </c>
      <c r="E7893" s="36">
        <v>1</v>
      </c>
      <c r="F7893" s="30">
        <v>0</v>
      </c>
      <c r="G7893" s="33">
        <f>IF(ISNUMBER(F7893),E7893*F7893,"")</f>
        <v>0</v>
      </c>
      <c r="H7893" s="38">
        <f>SUM(G7893:G7893)</f>
        <v>0</v>
      </c>
      <c r="I7893" s="39"/>
      <c r="J7893" s="152">
        <v>0</v>
      </c>
    </row>
    <row r="7894" spans="1:10" ht="15.75" hidden="1" thickBot="1" x14ac:dyDescent="0.3">
      <c r="A7894" s="172"/>
      <c r="B7894" s="175"/>
      <c r="C7894" s="54"/>
      <c r="D7894" s="54"/>
      <c r="E7894" s="65"/>
      <c r="F7894" s="66" t="s">
        <v>416</v>
      </c>
      <c r="G7894" s="67" t="str">
        <f>IF(ISNUMBER(F7894),E7894*F7894,"")</f>
        <v/>
      </c>
      <c r="H7894" s="68"/>
      <c r="I7894" s="30"/>
      <c r="J7894" s="152">
        <v>0</v>
      </c>
    </row>
    <row r="7895" spans="1:10" ht="15.75" hidden="1" thickBot="1" x14ac:dyDescent="0.3">
      <c r="A7895" s="170" t="s">
        <v>6903</v>
      </c>
      <c r="B7895" s="173" t="str">
        <f>INDEX(Orçamentária!A:B,MATCH(Composições!A7895,Orçamentária!A:A,0),2)</f>
        <v>Junção PVC esgoto ou águas pluviais 40 mm</v>
      </c>
      <c r="C7895" s="40"/>
      <c r="D7895" s="25" t="s">
        <v>16</v>
      </c>
      <c r="E7895" s="26"/>
      <c r="F7895" s="41" t="s">
        <v>416</v>
      </c>
      <c r="G7895" s="27" t="str">
        <f>IF(ISNUMBER(F7895),E7895*F7895,"")</f>
        <v/>
      </c>
      <c r="H7895" s="28"/>
      <c r="I7895" s="29"/>
      <c r="J7895" s="152">
        <v>0</v>
      </c>
    </row>
    <row r="7896" spans="1:10" ht="15.75" hidden="1" thickBot="1" x14ac:dyDescent="0.3">
      <c r="A7896" s="171"/>
      <c r="B7896" s="174"/>
      <c r="C7896" s="31"/>
      <c r="D7896" s="31"/>
      <c r="E7896" s="32"/>
      <c r="F7896" s="42" t="s">
        <v>416</v>
      </c>
      <c r="G7896" s="33" t="str">
        <f>IF(ISNUMBER(F7896),E7896*F7896,"")</f>
        <v/>
      </c>
      <c r="H7896" s="34"/>
      <c r="I7896" s="30"/>
      <c r="J7896" s="152">
        <v>0</v>
      </c>
    </row>
    <row r="7897" spans="1:10" ht="26.25" hidden="1" thickBot="1" x14ac:dyDescent="0.3">
      <c r="A7897" s="171"/>
      <c r="B7897" s="174"/>
      <c r="C7897" s="35" t="s">
        <v>8217</v>
      </c>
      <c r="D7897" s="35" t="s">
        <v>213</v>
      </c>
      <c r="E7897" s="36">
        <v>1</v>
      </c>
      <c r="F7897" s="30">
        <v>3.7145000000000001</v>
      </c>
      <c r="G7897" s="33">
        <f>IF(ISNUMBER(F7897),E7897*F7897,"")</f>
        <v>3.7145000000000001</v>
      </c>
      <c r="H7897" s="38">
        <f>SUM(G7897:G7897)</f>
        <v>3.7145000000000001</v>
      </c>
      <c r="I7897" s="39"/>
      <c r="J7897" s="152">
        <v>0</v>
      </c>
    </row>
    <row r="7898" spans="1:10" ht="15.75" hidden="1" thickBot="1" x14ac:dyDescent="0.3">
      <c r="A7898" s="172"/>
      <c r="B7898" s="175"/>
      <c r="C7898" s="54"/>
      <c r="D7898" s="54"/>
      <c r="E7898" s="65"/>
      <c r="F7898" s="66" t="s">
        <v>416</v>
      </c>
      <c r="G7898" s="67" t="str">
        <f>IF(ISNUMBER(F7898),E7898*F7898,"")</f>
        <v/>
      </c>
      <c r="H7898" s="68"/>
      <c r="I7898" s="30"/>
      <c r="J7898" s="152">
        <v>0</v>
      </c>
    </row>
    <row r="7899" spans="1:10" ht="15.75" hidden="1" thickBot="1" x14ac:dyDescent="0.3">
      <c r="A7899" s="170" t="s">
        <v>6904</v>
      </c>
      <c r="B7899" s="173" t="str">
        <f>INDEX(Orçamentária!A:B,MATCH(Composições!A7899,Orçamentária!A:A,0),2)</f>
        <v>Tê PVC esgoto ou águas pluviais 40 mm</v>
      </c>
      <c r="C7899" s="40"/>
      <c r="D7899" s="25" t="s">
        <v>16</v>
      </c>
      <c r="E7899" s="26"/>
      <c r="F7899" s="41" t="s">
        <v>416</v>
      </c>
      <c r="G7899" s="27" t="str">
        <f>IF(ISNUMBER(F7899),E7899*F7899,"")</f>
        <v/>
      </c>
      <c r="H7899" s="28"/>
      <c r="I7899" s="29"/>
      <c r="J7899" s="152">
        <v>0</v>
      </c>
    </row>
    <row r="7900" spans="1:10" ht="15.75" hidden="1" thickBot="1" x14ac:dyDescent="0.3">
      <c r="A7900" s="171"/>
      <c r="B7900" s="174"/>
      <c r="C7900" s="31"/>
      <c r="D7900" s="31"/>
      <c r="E7900" s="32"/>
      <c r="F7900" s="42" t="s">
        <v>416</v>
      </c>
      <c r="G7900" s="33" t="str">
        <f>IF(ISNUMBER(F7900),E7900*F7900,"")</f>
        <v/>
      </c>
      <c r="H7900" s="34"/>
      <c r="I7900" s="30"/>
      <c r="J7900" s="152">
        <v>0</v>
      </c>
    </row>
    <row r="7901" spans="1:10" ht="26.25" hidden="1" thickBot="1" x14ac:dyDescent="0.3">
      <c r="A7901" s="171"/>
      <c r="B7901" s="174"/>
      <c r="C7901" s="35" t="s">
        <v>8406</v>
      </c>
      <c r="D7901" s="35" t="s">
        <v>213</v>
      </c>
      <c r="E7901" s="36">
        <v>1</v>
      </c>
      <c r="F7901" s="30">
        <v>3.6194999999999999</v>
      </c>
      <c r="G7901" s="33">
        <f>IF(ISNUMBER(F7901),E7901*F7901,"")</f>
        <v>3.6194999999999999</v>
      </c>
      <c r="H7901" s="38">
        <f>SUM(G7901:G7901)</f>
        <v>3.6194999999999999</v>
      </c>
      <c r="I7901" s="39"/>
      <c r="J7901" s="152">
        <v>0</v>
      </c>
    </row>
    <row r="7902" spans="1:10" ht="15.75" hidden="1" thickBot="1" x14ac:dyDescent="0.3">
      <c r="A7902" s="172"/>
      <c r="B7902" s="175"/>
      <c r="C7902" s="54"/>
      <c r="D7902" s="54"/>
      <c r="E7902" s="65"/>
      <c r="F7902" s="66" t="s">
        <v>416</v>
      </c>
      <c r="G7902" s="67" t="str">
        <f>IF(ISNUMBER(F7902),E7902*F7902,"")</f>
        <v/>
      </c>
      <c r="H7902" s="68"/>
      <c r="I7902" s="30"/>
      <c r="J7902" s="152">
        <v>0</v>
      </c>
    </row>
    <row r="7903" spans="1:10" ht="15.75" hidden="1" thickBot="1" x14ac:dyDescent="0.3">
      <c r="A7903" s="170" t="s">
        <v>6905</v>
      </c>
      <c r="B7903" s="173" t="str">
        <f>INDEX(Orçamentária!A:B,MATCH(Composições!A7903,Orçamentária!A:A,0),2)</f>
        <v>Cap PVC esgoto ou águas pluviais 40 mm</v>
      </c>
      <c r="C7903" s="40"/>
      <c r="D7903" s="25" t="s">
        <v>16</v>
      </c>
      <c r="E7903" s="26"/>
      <c r="F7903" s="41" t="s">
        <v>416</v>
      </c>
      <c r="G7903" s="27" t="str">
        <f>IF(ISNUMBER(F7903),E7903*F7903,"")</f>
        <v/>
      </c>
      <c r="H7903" s="28"/>
      <c r="I7903" s="29"/>
      <c r="J7903" s="152">
        <v>0</v>
      </c>
    </row>
    <row r="7904" spans="1:10" ht="15.75" hidden="1" thickBot="1" x14ac:dyDescent="0.3">
      <c r="A7904" s="171"/>
      <c r="B7904" s="174"/>
      <c r="C7904" s="31"/>
      <c r="D7904" s="31"/>
      <c r="E7904" s="32"/>
      <c r="F7904" s="42" t="s">
        <v>416</v>
      </c>
      <c r="G7904" s="33" t="str">
        <f>IF(ISNUMBER(F7904),E7904*F7904,"")</f>
        <v/>
      </c>
      <c r="H7904" s="34"/>
      <c r="I7904" s="30"/>
      <c r="J7904" s="152">
        <v>0</v>
      </c>
    </row>
    <row r="7905" spans="1:10" ht="15.75" hidden="1" thickBot="1" x14ac:dyDescent="0.3">
      <c r="A7905" s="171"/>
      <c r="B7905" s="174"/>
      <c r="C7905" s="35" t="s">
        <v>8052</v>
      </c>
      <c r="D7905" s="35" t="s">
        <v>213</v>
      </c>
      <c r="E7905" s="36">
        <v>1</v>
      </c>
      <c r="F7905" s="30">
        <v>3.8854999999999995</v>
      </c>
      <c r="G7905" s="33">
        <f>IF(ISNUMBER(F7905),E7905*F7905,"")</f>
        <v>3.8854999999999995</v>
      </c>
      <c r="H7905" s="38">
        <f>SUM(G7905:G7905)</f>
        <v>3.8854999999999995</v>
      </c>
      <c r="I7905" s="39"/>
      <c r="J7905" s="152">
        <v>0</v>
      </c>
    </row>
    <row r="7906" spans="1:10" ht="15.75" hidden="1" thickBot="1" x14ac:dyDescent="0.3">
      <c r="A7906" s="172"/>
      <c r="B7906" s="175"/>
      <c r="C7906" s="54"/>
      <c r="D7906" s="54"/>
      <c r="E7906" s="65"/>
      <c r="F7906" s="66" t="s">
        <v>416</v>
      </c>
      <c r="G7906" s="67" t="str">
        <f>IF(ISNUMBER(F7906),E7906*F7906,"")</f>
        <v/>
      </c>
      <c r="H7906" s="68"/>
      <c r="I7906" s="30"/>
      <c r="J7906" s="152">
        <v>0</v>
      </c>
    </row>
    <row r="7907" spans="1:10" ht="15.75" hidden="1" thickBot="1" x14ac:dyDescent="0.3">
      <c r="A7907" s="170" t="s">
        <v>6906</v>
      </c>
      <c r="B7907" s="173" t="str">
        <f>INDEX(Orçamentária!A:B,MATCH(Composições!A7907,Orçamentária!A:A,0),2)</f>
        <v>Joelho 90° com anel PVC esgoto ou águas pluviais 40 mm</v>
      </c>
      <c r="C7907" s="40"/>
      <c r="D7907" s="25" t="s">
        <v>16</v>
      </c>
      <c r="E7907" s="26"/>
      <c r="F7907" s="41" t="s">
        <v>416</v>
      </c>
      <c r="G7907" s="27" t="str">
        <f>IF(ISNUMBER(F7907),E7907*F7907,"")</f>
        <v/>
      </c>
      <c r="H7907" s="28"/>
      <c r="I7907" s="29"/>
      <c r="J7907" s="152">
        <v>0</v>
      </c>
    </row>
    <row r="7908" spans="1:10" ht="15.75" hidden="1" thickBot="1" x14ac:dyDescent="0.3">
      <c r="A7908" s="171"/>
      <c r="B7908" s="174"/>
      <c r="C7908" s="31"/>
      <c r="D7908" s="31"/>
      <c r="E7908" s="32"/>
      <c r="F7908" s="42" t="s">
        <v>416</v>
      </c>
      <c r="G7908" s="33" t="str">
        <f>IF(ISNUMBER(F7908),E7908*F7908,"")</f>
        <v/>
      </c>
      <c r="H7908" s="34"/>
      <c r="I7908" s="30"/>
      <c r="J7908" s="152">
        <v>0</v>
      </c>
    </row>
    <row r="7909" spans="1:10" ht="26.25" hidden="1" thickBot="1" x14ac:dyDescent="0.3">
      <c r="A7909" s="171"/>
      <c r="B7909" s="174"/>
      <c r="C7909" s="35" t="s">
        <v>8184</v>
      </c>
      <c r="D7909" s="35" t="s">
        <v>213</v>
      </c>
      <c r="E7909" s="36">
        <v>1</v>
      </c>
      <c r="F7909" s="30">
        <v>5.5670000000000002</v>
      </c>
      <c r="G7909" s="33">
        <f>IF(ISNUMBER(F7909),E7909*F7909,"")</f>
        <v>5.5670000000000002</v>
      </c>
      <c r="H7909" s="38">
        <f>SUM(G7909:G7909)</f>
        <v>5.5670000000000002</v>
      </c>
      <c r="I7909" s="39"/>
      <c r="J7909" s="152">
        <v>0</v>
      </c>
    </row>
    <row r="7910" spans="1:10" ht="15.75" hidden="1" thickBot="1" x14ac:dyDescent="0.3">
      <c r="A7910" s="172"/>
      <c r="B7910" s="175"/>
      <c r="C7910" s="54"/>
      <c r="D7910" s="54"/>
      <c r="E7910" s="65"/>
      <c r="F7910" s="66" t="s">
        <v>416</v>
      </c>
      <c r="G7910" s="67" t="str">
        <f>IF(ISNUMBER(F7910),E7910*F7910,"")</f>
        <v/>
      </c>
      <c r="H7910" s="68"/>
      <c r="I7910" s="30"/>
      <c r="J7910" s="152">
        <v>0</v>
      </c>
    </row>
    <row r="7911" spans="1:10" ht="15.75" hidden="1" thickBot="1" x14ac:dyDescent="0.3">
      <c r="A7911" s="170" t="s">
        <v>6907</v>
      </c>
      <c r="B7911" s="173" t="str">
        <f>INDEX(Orçamentária!A:B,MATCH(Composições!A7911,Orçamentária!A:A,0),2)</f>
        <v>Joelho 90° PVC esgoto ou águas pluviais 40 mm</v>
      </c>
      <c r="C7911" s="40"/>
      <c r="D7911" s="25" t="s">
        <v>16</v>
      </c>
      <c r="E7911" s="26"/>
      <c r="F7911" s="41" t="s">
        <v>416</v>
      </c>
      <c r="G7911" s="27" t="str">
        <f>IF(ISNUMBER(F7911),E7911*F7911,"")</f>
        <v/>
      </c>
      <c r="H7911" s="28"/>
      <c r="I7911" s="29"/>
      <c r="J7911" s="152">
        <v>0</v>
      </c>
    </row>
    <row r="7912" spans="1:10" ht="15.75" hidden="1" thickBot="1" x14ac:dyDescent="0.3">
      <c r="A7912" s="171"/>
      <c r="B7912" s="174"/>
      <c r="C7912" s="31"/>
      <c r="D7912" s="31"/>
      <c r="E7912" s="32"/>
      <c r="F7912" s="42" t="s">
        <v>416</v>
      </c>
      <c r="G7912" s="33" t="str">
        <f>IF(ISNUMBER(F7912),E7912*F7912,"")</f>
        <v/>
      </c>
      <c r="H7912" s="34"/>
      <c r="I7912" s="30"/>
      <c r="J7912" s="152">
        <v>0</v>
      </c>
    </row>
    <row r="7913" spans="1:10" ht="26.25" hidden="1" thickBot="1" x14ac:dyDescent="0.3">
      <c r="A7913" s="171"/>
      <c r="B7913" s="174"/>
      <c r="C7913" s="35" t="s">
        <v>8195</v>
      </c>
      <c r="D7913" s="35" t="s">
        <v>213</v>
      </c>
      <c r="E7913" s="36">
        <v>1</v>
      </c>
      <c r="F7913" s="30">
        <v>2.1849999999999996</v>
      </c>
      <c r="G7913" s="33">
        <f>IF(ISNUMBER(F7913),E7913*F7913,"")</f>
        <v>2.1849999999999996</v>
      </c>
      <c r="H7913" s="38">
        <f>SUM(G7913:G7913)</f>
        <v>2.1849999999999996</v>
      </c>
      <c r="I7913" s="39"/>
      <c r="J7913" s="152">
        <v>0</v>
      </c>
    </row>
    <row r="7914" spans="1:10" ht="15.75" hidden="1" thickBot="1" x14ac:dyDescent="0.3">
      <c r="A7914" s="172"/>
      <c r="B7914" s="175"/>
      <c r="C7914" s="54"/>
      <c r="D7914" s="54"/>
      <c r="E7914" s="65"/>
      <c r="F7914" s="66" t="s">
        <v>416</v>
      </c>
      <c r="G7914" s="67" t="str">
        <f>IF(ISNUMBER(F7914),E7914*F7914,"")</f>
        <v/>
      </c>
      <c r="H7914" s="68"/>
      <c r="I7914" s="30"/>
      <c r="J7914" s="152">
        <v>0</v>
      </c>
    </row>
    <row r="7915" spans="1:10" ht="15.75" hidden="1" thickBot="1" x14ac:dyDescent="0.3">
      <c r="A7915" s="170" t="s">
        <v>6908</v>
      </c>
      <c r="B7915" s="173" t="str">
        <f>INDEX(Orçamentária!A:B,MATCH(Composições!A7915,Orçamentária!A:A,0),2)</f>
        <v>Joelho 45° PVC esgoto ou águas pluviais 40 mm</v>
      </c>
      <c r="C7915" s="40"/>
      <c r="D7915" s="25" t="s">
        <v>16</v>
      </c>
      <c r="E7915" s="26"/>
      <c r="F7915" s="41" t="s">
        <v>416</v>
      </c>
      <c r="G7915" s="27" t="str">
        <f>IF(ISNUMBER(F7915),E7915*F7915,"")</f>
        <v/>
      </c>
      <c r="H7915" s="28"/>
      <c r="I7915" s="29"/>
      <c r="J7915" s="152">
        <v>0</v>
      </c>
    </row>
    <row r="7916" spans="1:10" ht="15.75" hidden="1" thickBot="1" x14ac:dyDescent="0.3">
      <c r="A7916" s="171"/>
      <c r="B7916" s="174"/>
      <c r="C7916" s="31"/>
      <c r="D7916" s="31"/>
      <c r="E7916" s="32"/>
      <c r="F7916" s="42" t="s">
        <v>416</v>
      </c>
      <c r="G7916" s="33" t="str">
        <f>IF(ISNUMBER(F7916),E7916*F7916,"")</f>
        <v/>
      </c>
      <c r="H7916" s="34"/>
      <c r="I7916" s="30"/>
      <c r="J7916" s="152">
        <v>0</v>
      </c>
    </row>
    <row r="7917" spans="1:10" ht="26.25" hidden="1" thickBot="1" x14ac:dyDescent="0.3">
      <c r="A7917" s="171"/>
      <c r="B7917" s="174"/>
      <c r="C7917" s="35" t="s">
        <v>8190</v>
      </c>
      <c r="D7917" s="35" t="s">
        <v>213</v>
      </c>
      <c r="E7917" s="36">
        <v>1</v>
      </c>
      <c r="F7917" s="30">
        <v>2.4224999999999999</v>
      </c>
      <c r="G7917" s="33">
        <f>IF(ISNUMBER(F7917),E7917*F7917,"")</f>
        <v>2.4224999999999999</v>
      </c>
      <c r="H7917" s="38">
        <f>SUM(G7917:G7917)</f>
        <v>2.4224999999999999</v>
      </c>
      <c r="I7917" s="39"/>
      <c r="J7917" s="152">
        <v>0</v>
      </c>
    </row>
    <row r="7918" spans="1:10" ht="15.75" hidden="1" thickBot="1" x14ac:dyDescent="0.3">
      <c r="A7918" s="172"/>
      <c r="B7918" s="175"/>
      <c r="C7918" s="54"/>
      <c r="D7918" s="54"/>
      <c r="E7918" s="65"/>
      <c r="F7918" s="66" t="s">
        <v>416</v>
      </c>
      <c r="G7918" s="67" t="str">
        <f>IF(ISNUMBER(F7918),E7918*F7918,"")</f>
        <v/>
      </c>
      <c r="H7918" s="68"/>
      <c r="I7918" s="30"/>
      <c r="J7918" s="152">
        <v>0</v>
      </c>
    </row>
    <row r="7919" spans="1:10" ht="15.75" hidden="1" thickBot="1" x14ac:dyDescent="0.3">
      <c r="A7919" s="170" t="s">
        <v>6909</v>
      </c>
      <c r="B7919" s="173" t="str">
        <f>INDEX(Orçamentária!A:B,MATCH(Composições!A7919,Orçamentária!A:A,0),2)</f>
        <v>Curva longa 90° PVC esgoto ou águas pluviais 40 mm</v>
      </c>
      <c r="C7919" s="40"/>
      <c r="D7919" s="25" t="s">
        <v>16</v>
      </c>
      <c r="E7919" s="26"/>
      <c r="F7919" s="41" t="s">
        <v>416</v>
      </c>
      <c r="G7919" s="27" t="str">
        <f>IF(ISNUMBER(F7919),E7919*F7919,"")</f>
        <v/>
      </c>
      <c r="H7919" s="28"/>
      <c r="I7919" s="29"/>
      <c r="J7919" s="152">
        <v>0</v>
      </c>
    </row>
    <row r="7920" spans="1:10" ht="15.75" hidden="1" thickBot="1" x14ac:dyDescent="0.3">
      <c r="A7920" s="171"/>
      <c r="B7920" s="174"/>
      <c r="C7920" s="31"/>
      <c r="D7920" s="31"/>
      <c r="E7920" s="32"/>
      <c r="F7920" s="42" t="s">
        <v>416</v>
      </c>
      <c r="G7920" s="33" t="str">
        <f>IF(ISNUMBER(F7920),E7920*F7920,"")</f>
        <v/>
      </c>
      <c r="H7920" s="34"/>
      <c r="I7920" s="30"/>
      <c r="J7920" s="152">
        <v>0</v>
      </c>
    </row>
    <row r="7921" spans="1:10" ht="15.75" hidden="1" thickBot="1" x14ac:dyDescent="0.3">
      <c r="A7921" s="171"/>
      <c r="B7921" s="174"/>
      <c r="C7921" s="35" t="s">
        <v>8113</v>
      </c>
      <c r="D7921" s="35" t="s">
        <v>213</v>
      </c>
      <c r="E7921" s="36">
        <v>1</v>
      </c>
      <c r="F7921" s="30">
        <v>6.8019999999999996</v>
      </c>
      <c r="G7921" s="33">
        <f>IF(ISNUMBER(F7921),E7921*F7921,"")</f>
        <v>6.8019999999999996</v>
      </c>
      <c r="H7921" s="38">
        <f>SUM(G7921:G7921)</f>
        <v>6.8019999999999996</v>
      </c>
      <c r="I7921" s="39"/>
      <c r="J7921" s="152">
        <v>0</v>
      </c>
    </row>
    <row r="7922" spans="1:10" ht="15.75" hidden="1" thickBot="1" x14ac:dyDescent="0.3">
      <c r="A7922" s="172"/>
      <c r="B7922" s="175"/>
      <c r="C7922" s="54"/>
      <c r="D7922" s="54"/>
      <c r="E7922" s="65"/>
      <c r="F7922" s="66" t="s">
        <v>416</v>
      </c>
      <c r="G7922" s="67" t="str">
        <f>IF(ISNUMBER(F7922),E7922*F7922,"")</f>
        <v/>
      </c>
      <c r="H7922" s="68"/>
      <c r="I7922" s="30"/>
      <c r="J7922" s="152">
        <v>0</v>
      </c>
    </row>
    <row r="7923" spans="1:10" ht="15.75" hidden="1" thickBot="1" x14ac:dyDescent="0.3">
      <c r="A7923" s="170" t="s">
        <v>6910</v>
      </c>
      <c r="B7923" s="173" t="str">
        <f>INDEX(Orçamentária!A:B,MATCH(Composições!A7923,Orçamentária!A:A,0),2)</f>
        <v>Luva simples PVC esgoto ou águas pluviais 50 mm</v>
      </c>
      <c r="C7923" s="40"/>
      <c r="D7923" s="25" t="s">
        <v>16</v>
      </c>
      <c r="E7923" s="26"/>
      <c r="F7923" s="41" t="s">
        <v>416</v>
      </c>
      <c r="G7923" s="27" t="str">
        <f>IF(ISNUMBER(F7923),E7923*F7923,"")</f>
        <v/>
      </c>
      <c r="H7923" s="28"/>
      <c r="I7923" s="29"/>
      <c r="J7923" s="152">
        <v>0</v>
      </c>
    </row>
    <row r="7924" spans="1:10" ht="15.75" hidden="1" thickBot="1" x14ac:dyDescent="0.3">
      <c r="A7924" s="171"/>
      <c r="B7924" s="174"/>
      <c r="C7924" s="31"/>
      <c r="D7924" s="31"/>
      <c r="E7924" s="32"/>
      <c r="F7924" s="42" t="s">
        <v>416</v>
      </c>
      <c r="G7924" s="33" t="str">
        <f>IF(ISNUMBER(F7924),E7924*F7924,"")</f>
        <v/>
      </c>
      <c r="H7924" s="34"/>
      <c r="I7924" s="30"/>
      <c r="J7924" s="152">
        <v>0</v>
      </c>
    </row>
    <row r="7925" spans="1:10" ht="26.25" hidden="1" thickBot="1" x14ac:dyDescent="0.3">
      <c r="A7925" s="171"/>
      <c r="B7925" s="174"/>
      <c r="C7925" s="35" t="s">
        <v>8278</v>
      </c>
      <c r="D7925" s="35" t="s">
        <v>213</v>
      </c>
      <c r="E7925" s="36">
        <v>1</v>
      </c>
      <c r="F7925" s="30">
        <v>3.2489999999999997</v>
      </c>
      <c r="G7925" s="33">
        <f>IF(ISNUMBER(F7925),E7925*F7925,"")</f>
        <v>3.2489999999999997</v>
      </c>
      <c r="H7925" s="38">
        <f>SUM(G7925:G7925)</f>
        <v>3.2489999999999997</v>
      </c>
      <c r="I7925" s="39"/>
      <c r="J7925" s="152">
        <v>0</v>
      </c>
    </row>
    <row r="7926" spans="1:10" ht="15.75" hidden="1" thickBot="1" x14ac:dyDescent="0.3">
      <c r="A7926" s="172"/>
      <c r="B7926" s="175"/>
      <c r="C7926" s="54"/>
      <c r="D7926" s="54"/>
      <c r="E7926" s="65"/>
      <c r="F7926" s="66" t="s">
        <v>416</v>
      </c>
      <c r="G7926" s="67" t="str">
        <f>IF(ISNUMBER(F7926),E7926*F7926,"")</f>
        <v/>
      </c>
      <c r="H7926" s="68"/>
      <c r="I7926" s="30"/>
      <c r="J7926" s="152">
        <v>0</v>
      </c>
    </row>
    <row r="7927" spans="1:10" ht="15.75" hidden="1" thickBot="1" x14ac:dyDescent="0.3">
      <c r="A7927" s="170" t="s">
        <v>6911</v>
      </c>
      <c r="B7927" s="173" t="str">
        <f>INDEX(Orçamentária!A:B,MATCH(Composições!A7927,Orçamentária!A:A,0),2)</f>
        <v>Luva de correr PVC esgoto ou águas pluviais 50 mm</v>
      </c>
      <c r="C7927" s="40"/>
      <c r="D7927" s="25" t="s">
        <v>16</v>
      </c>
      <c r="E7927" s="26"/>
      <c r="F7927" s="41" t="s">
        <v>416</v>
      </c>
      <c r="G7927" s="27" t="str">
        <f>IF(ISNUMBER(F7927),E7927*F7927,"")</f>
        <v/>
      </c>
      <c r="H7927" s="28"/>
      <c r="I7927" s="29"/>
      <c r="J7927" s="152">
        <v>0</v>
      </c>
    </row>
    <row r="7928" spans="1:10" ht="15.75" hidden="1" thickBot="1" x14ac:dyDescent="0.3">
      <c r="A7928" s="171"/>
      <c r="B7928" s="174"/>
      <c r="C7928" s="31"/>
      <c r="D7928" s="31"/>
      <c r="E7928" s="32"/>
      <c r="F7928" s="42" t="s">
        <v>416</v>
      </c>
      <c r="G7928" s="33" t="str">
        <f>IF(ISNUMBER(F7928),E7928*F7928,"")</f>
        <v/>
      </c>
      <c r="H7928" s="34"/>
      <c r="I7928" s="30"/>
      <c r="J7928" s="152">
        <v>0</v>
      </c>
    </row>
    <row r="7929" spans="1:10" ht="15.75" hidden="1" thickBot="1" x14ac:dyDescent="0.3">
      <c r="A7929" s="171"/>
      <c r="B7929" s="174"/>
      <c r="C7929" s="35" t="s">
        <v>8250</v>
      </c>
      <c r="D7929" s="35" t="s">
        <v>213</v>
      </c>
      <c r="E7929" s="36">
        <v>1</v>
      </c>
      <c r="F7929" s="30">
        <v>11.058</v>
      </c>
      <c r="G7929" s="33">
        <f>IF(ISNUMBER(F7929),E7929*F7929,"")</f>
        <v>11.058</v>
      </c>
      <c r="H7929" s="38">
        <f>SUM(G7929:G7929)</f>
        <v>11.058</v>
      </c>
      <c r="I7929" s="39"/>
      <c r="J7929" s="152">
        <v>0</v>
      </c>
    </row>
    <row r="7930" spans="1:10" ht="15.75" hidden="1" thickBot="1" x14ac:dyDescent="0.3">
      <c r="A7930" s="172"/>
      <c r="B7930" s="175"/>
      <c r="C7930" s="54"/>
      <c r="D7930" s="54"/>
      <c r="E7930" s="65"/>
      <c r="F7930" s="66" t="s">
        <v>416</v>
      </c>
      <c r="G7930" s="67" t="str">
        <f>IF(ISNUMBER(F7930),E7930*F7930,"")</f>
        <v/>
      </c>
      <c r="H7930" s="68"/>
      <c r="I7930" s="30"/>
      <c r="J7930" s="152">
        <v>0</v>
      </c>
    </row>
    <row r="7931" spans="1:10" ht="15.75" hidden="1" thickBot="1" x14ac:dyDescent="0.3">
      <c r="A7931" s="170" t="s">
        <v>6912</v>
      </c>
      <c r="B7931" s="173" t="str">
        <f>INDEX(Orçamentária!A:B,MATCH(Composições!A7931,Orçamentária!A:A,0),2)</f>
        <v>Junção PVC esgoto ou águas pluviais 50 mm</v>
      </c>
      <c r="C7931" s="40"/>
      <c r="D7931" s="25" t="s">
        <v>16</v>
      </c>
      <c r="E7931" s="26"/>
      <c r="F7931" s="41" t="s">
        <v>416</v>
      </c>
      <c r="G7931" s="27" t="str">
        <f>IF(ISNUMBER(F7931),E7931*F7931,"")</f>
        <v/>
      </c>
      <c r="H7931" s="28"/>
      <c r="I7931" s="29"/>
      <c r="J7931" s="152">
        <v>0</v>
      </c>
    </row>
    <row r="7932" spans="1:10" ht="15.75" hidden="1" thickBot="1" x14ac:dyDescent="0.3">
      <c r="A7932" s="171"/>
      <c r="B7932" s="174"/>
      <c r="C7932" s="31"/>
      <c r="D7932" s="31"/>
      <c r="E7932" s="32"/>
      <c r="F7932" s="42" t="s">
        <v>416</v>
      </c>
      <c r="G7932" s="33" t="str">
        <f>IF(ISNUMBER(F7932),E7932*F7932,"")</f>
        <v/>
      </c>
      <c r="H7932" s="34"/>
      <c r="I7932" s="30"/>
      <c r="J7932" s="152">
        <v>0</v>
      </c>
    </row>
    <row r="7933" spans="1:10" ht="26.25" hidden="1" thickBot="1" x14ac:dyDescent="0.3">
      <c r="A7933" s="171"/>
      <c r="B7933" s="174"/>
      <c r="C7933" s="35" t="s">
        <v>8218</v>
      </c>
      <c r="D7933" s="35" t="s">
        <v>213</v>
      </c>
      <c r="E7933" s="36">
        <v>1</v>
      </c>
      <c r="F7933" s="30">
        <v>9.69</v>
      </c>
      <c r="G7933" s="33">
        <f>IF(ISNUMBER(F7933),E7933*F7933,"")</f>
        <v>9.69</v>
      </c>
      <c r="H7933" s="38">
        <f>SUM(G7933:G7933)</f>
        <v>9.69</v>
      </c>
      <c r="I7933" s="39"/>
      <c r="J7933" s="152">
        <v>0</v>
      </c>
    </row>
    <row r="7934" spans="1:10" ht="15.75" hidden="1" thickBot="1" x14ac:dyDescent="0.3">
      <c r="A7934" s="172"/>
      <c r="B7934" s="175"/>
      <c r="C7934" s="54"/>
      <c r="D7934" s="54"/>
      <c r="E7934" s="65"/>
      <c r="F7934" s="66" t="s">
        <v>416</v>
      </c>
      <c r="G7934" s="67" t="str">
        <f>IF(ISNUMBER(F7934),E7934*F7934,"")</f>
        <v/>
      </c>
      <c r="H7934" s="68"/>
      <c r="I7934" s="30"/>
      <c r="J7934" s="152">
        <v>0</v>
      </c>
    </row>
    <row r="7935" spans="1:10" ht="15.75" hidden="1" thickBot="1" x14ac:dyDescent="0.3">
      <c r="A7935" s="170" t="s">
        <v>6913</v>
      </c>
      <c r="B7935" s="173" t="str">
        <f>INDEX(Orçamentária!A:B,MATCH(Composições!A7935,Orçamentária!A:A,0),2)</f>
        <v>Tê PVC esgoto ou águas pluviais 50 mm</v>
      </c>
      <c r="C7935" s="40"/>
      <c r="D7935" s="25" t="s">
        <v>16</v>
      </c>
      <c r="E7935" s="26"/>
      <c r="F7935" s="41" t="s">
        <v>416</v>
      </c>
      <c r="G7935" s="27" t="str">
        <f>IF(ISNUMBER(F7935),E7935*F7935,"")</f>
        <v/>
      </c>
      <c r="H7935" s="28"/>
      <c r="I7935" s="29"/>
      <c r="J7935" s="152">
        <v>0</v>
      </c>
    </row>
    <row r="7936" spans="1:10" ht="15.75" hidden="1" thickBot="1" x14ac:dyDescent="0.3">
      <c r="A7936" s="171"/>
      <c r="B7936" s="174"/>
      <c r="C7936" s="31"/>
      <c r="D7936" s="31"/>
      <c r="E7936" s="32"/>
      <c r="F7936" s="42" t="s">
        <v>416</v>
      </c>
      <c r="G7936" s="33" t="str">
        <f>IF(ISNUMBER(F7936),E7936*F7936,"")</f>
        <v/>
      </c>
      <c r="H7936" s="34"/>
      <c r="I7936" s="30"/>
      <c r="J7936" s="152">
        <v>0</v>
      </c>
    </row>
    <row r="7937" spans="1:10" ht="26.25" hidden="1" thickBot="1" x14ac:dyDescent="0.3">
      <c r="A7937" s="171"/>
      <c r="B7937" s="174"/>
      <c r="C7937" s="35" t="s">
        <v>8409</v>
      </c>
      <c r="D7937" s="35" t="s">
        <v>213</v>
      </c>
      <c r="E7937" s="36">
        <v>1</v>
      </c>
      <c r="F7937" s="30">
        <v>7.3814999999999991</v>
      </c>
      <c r="G7937" s="33">
        <f>IF(ISNUMBER(F7937),E7937*F7937,"")</f>
        <v>7.3814999999999991</v>
      </c>
      <c r="H7937" s="38">
        <f>SUM(G7937:G7937)</f>
        <v>7.3814999999999991</v>
      </c>
      <c r="I7937" s="39"/>
      <c r="J7937" s="152">
        <v>0</v>
      </c>
    </row>
    <row r="7938" spans="1:10" ht="15.75" hidden="1" thickBot="1" x14ac:dyDescent="0.3">
      <c r="A7938" s="172"/>
      <c r="B7938" s="175"/>
      <c r="C7938" s="54"/>
      <c r="D7938" s="54"/>
      <c r="E7938" s="65"/>
      <c r="F7938" s="66" t="s">
        <v>416</v>
      </c>
      <c r="G7938" s="67" t="str">
        <f>IF(ISNUMBER(F7938),E7938*F7938,"")</f>
        <v/>
      </c>
      <c r="H7938" s="68"/>
      <c r="I7938" s="30"/>
      <c r="J7938" s="152">
        <v>0</v>
      </c>
    </row>
    <row r="7939" spans="1:10" ht="15.75" hidden="1" thickBot="1" x14ac:dyDescent="0.3">
      <c r="A7939" s="170" t="s">
        <v>6914</v>
      </c>
      <c r="B7939" s="173" t="str">
        <f>INDEX(Orçamentária!A:B,MATCH(Composições!A7939,Orçamentária!A:A,0),2)</f>
        <v>Joelho 90° com anel PVC esgoto ou águas pluviais 50 mm</v>
      </c>
      <c r="C7939" s="40"/>
      <c r="D7939" s="25" t="s">
        <v>16</v>
      </c>
      <c r="E7939" s="26"/>
      <c r="F7939" s="41" t="s">
        <v>416</v>
      </c>
      <c r="G7939" s="27" t="str">
        <f>IF(ISNUMBER(F7939),E7939*F7939,"")</f>
        <v/>
      </c>
      <c r="H7939" s="28"/>
      <c r="I7939" s="29"/>
      <c r="J7939" s="152">
        <v>0</v>
      </c>
    </row>
    <row r="7940" spans="1:10" ht="15.75" hidden="1" thickBot="1" x14ac:dyDescent="0.3">
      <c r="A7940" s="171"/>
      <c r="B7940" s="174"/>
      <c r="C7940" s="31"/>
      <c r="D7940" s="31"/>
      <c r="E7940" s="32"/>
      <c r="F7940" s="42" t="s">
        <v>416</v>
      </c>
      <c r="G7940" s="33" t="str">
        <f>IF(ISNUMBER(F7940),E7940*F7940,"")</f>
        <v/>
      </c>
      <c r="H7940" s="34"/>
      <c r="I7940" s="30"/>
      <c r="J7940" s="152">
        <v>0</v>
      </c>
    </row>
    <row r="7941" spans="1:10" ht="15.75" hidden="1" thickBot="1" x14ac:dyDescent="0.3">
      <c r="A7941" s="171"/>
      <c r="B7941" s="174"/>
      <c r="C7941" s="35" t="s">
        <v>7941</v>
      </c>
      <c r="D7941" s="35" t="s">
        <v>16</v>
      </c>
      <c r="E7941" s="36">
        <v>1</v>
      </c>
      <c r="F7941" s="30">
        <v>0</v>
      </c>
      <c r="G7941" s="33">
        <f>IF(ISNUMBER(F7941),E7941*F7941,"")</f>
        <v>0</v>
      </c>
      <c r="H7941" s="38">
        <f>SUM(G7941:G7941)</f>
        <v>0</v>
      </c>
      <c r="I7941" s="39"/>
      <c r="J7941" s="152">
        <v>0</v>
      </c>
    </row>
    <row r="7942" spans="1:10" ht="15.75" hidden="1" thickBot="1" x14ac:dyDescent="0.3">
      <c r="A7942" s="172"/>
      <c r="B7942" s="175"/>
      <c r="C7942" s="54"/>
      <c r="D7942" s="54"/>
      <c r="E7942" s="65"/>
      <c r="F7942" s="66" t="s">
        <v>416</v>
      </c>
      <c r="G7942" s="67" t="str">
        <f>IF(ISNUMBER(F7942),E7942*F7942,"")</f>
        <v/>
      </c>
      <c r="H7942" s="68"/>
      <c r="I7942" s="30"/>
      <c r="J7942" s="152">
        <v>0</v>
      </c>
    </row>
    <row r="7943" spans="1:10" ht="15.75" hidden="1" thickBot="1" x14ac:dyDescent="0.3">
      <c r="A7943" s="170" t="s">
        <v>6915</v>
      </c>
      <c r="B7943" s="173" t="str">
        <f>INDEX(Orçamentária!A:B,MATCH(Composições!A7943,Orçamentária!A:A,0),2)</f>
        <v>Joelho 90° PVC esgoto ou águas pluviais 50 mm</v>
      </c>
      <c r="C7943" s="40"/>
      <c r="D7943" s="25" t="s">
        <v>16</v>
      </c>
      <c r="E7943" s="26"/>
      <c r="F7943" s="41" t="s">
        <v>416</v>
      </c>
      <c r="G7943" s="27" t="str">
        <f>IF(ISNUMBER(F7943),E7943*F7943,"")</f>
        <v/>
      </c>
      <c r="H7943" s="28"/>
      <c r="I7943" s="29"/>
      <c r="J7943" s="152">
        <v>0</v>
      </c>
    </row>
    <row r="7944" spans="1:10" ht="15.75" hidden="1" thickBot="1" x14ac:dyDescent="0.3">
      <c r="A7944" s="171"/>
      <c r="B7944" s="174"/>
      <c r="C7944" s="31"/>
      <c r="D7944" s="31"/>
      <c r="E7944" s="32"/>
      <c r="F7944" s="42" t="s">
        <v>416</v>
      </c>
      <c r="G7944" s="33" t="str">
        <f>IF(ISNUMBER(F7944),E7944*F7944,"")</f>
        <v/>
      </c>
      <c r="H7944" s="34"/>
      <c r="I7944" s="30"/>
      <c r="J7944" s="152">
        <v>0</v>
      </c>
    </row>
    <row r="7945" spans="1:10" ht="26.25" hidden="1" thickBot="1" x14ac:dyDescent="0.3">
      <c r="A7945" s="171"/>
      <c r="B7945" s="174"/>
      <c r="C7945" s="35" t="s">
        <v>8196</v>
      </c>
      <c r="D7945" s="35" t="s">
        <v>213</v>
      </c>
      <c r="E7945" s="36">
        <v>1</v>
      </c>
      <c r="F7945" s="30">
        <v>3.0114999999999998</v>
      </c>
      <c r="G7945" s="33">
        <f>IF(ISNUMBER(F7945),E7945*F7945,"")</f>
        <v>3.0114999999999998</v>
      </c>
      <c r="H7945" s="38">
        <f>SUM(G7945:G7945)</f>
        <v>3.0114999999999998</v>
      </c>
      <c r="I7945" s="39"/>
      <c r="J7945" s="152">
        <v>0</v>
      </c>
    </row>
    <row r="7946" spans="1:10" ht="15.75" hidden="1" thickBot="1" x14ac:dyDescent="0.3">
      <c r="A7946" s="172"/>
      <c r="B7946" s="175"/>
      <c r="C7946" s="54"/>
      <c r="D7946" s="54"/>
      <c r="E7946" s="65"/>
      <c r="F7946" s="66" t="s">
        <v>416</v>
      </c>
      <c r="G7946" s="67" t="str">
        <f>IF(ISNUMBER(F7946),E7946*F7946,"")</f>
        <v/>
      </c>
      <c r="H7946" s="68"/>
      <c r="I7946" s="30"/>
      <c r="J7946" s="152">
        <v>0</v>
      </c>
    </row>
    <row r="7947" spans="1:10" ht="15.75" hidden="1" thickBot="1" x14ac:dyDescent="0.3">
      <c r="A7947" s="170" t="s">
        <v>6916</v>
      </c>
      <c r="B7947" s="173" t="str">
        <f>INDEX(Orçamentária!A:B,MATCH(Composições!A7947,Orçamentária!A:A,0),2)</f>
        <v>Cap PVC esgoto ou águas pluviais 50 mm</v>
      </c>
      <c r="C7947" s="40"/>
      <c r="D7947" s="25" t="s">
        <v>16</v>
      </c>
      <c r="E7947" s="26"/>
      <c r="F7947" s="41" t="s">
        <v>416</v>
      </c>
      <c r="G7947" s="27" t="str">
        <f>IF(ISNUMBER(F7947),E7947*F7947,"")</f>
        <v/>
      </c>
      <c r="H7947" s="28"/>
      <c r="I7947" s="29"/>
      <c r="J7947" s="152">
        <v>0</v>
      </c>
    </row>
    <row r="7948" spans="1:10" ht="15.75" hidden="1" thickBot="1" x14ac:dyDescent="0.3">
      <c r="A7948" s="171"/>
      <c r="B7948" s="174"/>
      <c r="C7948" s="31"/>
      <c r="D7948" s="31"/>
      <c r="E7948" s="32"/>
      <c r="F7948" s="42" t="s">
        <v>416</v>
      </c>
      <c r="G7948" s="33" t="str">
        <f>IF(ISNUMBER(F7948),E7948*F7948,"")</f>
        <v/>
      </c>
      <c r="H7948" s="34"/>
      <c r="I7948" s="30"/>
      <c r="J7948" s="152">
        <v>0</v>
      </c>
    </row>
    <row r="7949" spans="1:10" ht="26.25" hidden="1" thickBot="1" x14ac:dyDescent="0.3">
      <c r="A7949" s="171"/>
      <c r="B7949" s="174"/>
      <c r="C7949" s="35" t="s">
        <v>8049</v>
      </c>
      <c r="D7949" s="35" t="s">
        <v>213</v>
      </c>
      <c r="E7949" s="36">
        <v>1</v>
      </c>
      <c r="F7949" s="30">
        <v>4.3984999999999994</v>
      </c>
      <c r="G7949" s="33">
        <f>IF(ISNUMBER(F7949),E7949*F7949,"")</f>
        <v>4.3984999999999994</v>
      </c>
      <c r="H7949" s="38">
        <f>SUM(G7949:G7949)</f>
        <v>4.3984999999999994</v>
      </c>
      <c r="I7949" s="39"/>
      <c r="J7949" s="152">
        <v>0</v>
      </c>
    </row>
    <row r="7950" spans="1:10" ht="15.75" hidden="1" thickBot="1" x14ac:dyDescent="0.3">
      <c r="A7950" s="172"/>
      <c r="B7950" s="175"/>
      <c r="C7950" s="54"/>
      <c r="D7950" s="54"/>
      <c r="E7950" s="65"/>
      <c r="F7950" s="66" t="s">
        <v>416</v>
      </c>
      <c r="G7950" s="67" t="str">
        <f>IF(ISNUMBER(F7950),E7950*F7950,"")</f>
        <v/>
      </c>
      <c r="H7950" s="68"/>
      <c r="I7950" s="30"/>
      <c r="J7950" s="152">
        <v>0</v>
      </c>
    </row>
    <row r="7951" spans="1:10" ht="15.75" hidden="1" thickBot="1" x14ac:dyDescent="0.3">
      <c r="A7951" s="170" t="s">
        <v>6917</v>
      </c>
      <c r="B7951" s="173" t="str">
        <f>INDEX(Orçamentária!A:B,MATCH(Composições!A7951,Orçamentária!A:A,0),2)</f>
        <v>Bucha de redução PVC esgoto ou águas pluviais 50 x 40 mm</v>
      </c>
      <c r="C7951" s="40"/>
      <c r="D7951" s="25" t="s">
        <v>16</v>
      </c>
      <c r="E7951" s="26"/>
      <c r="F7951" s="41" t="s">
        <v>416</v>
      </c>
      <c r="G7951" s="27" t="str">
        <f>IF(ISNUMBER(F7951),E7951*F7951,"")</f>
        <v/>
      </c>
      <c r="H7951" s="28"/>
      <c r="I7951" s="29"/>
      <c r="J7951" s="152">
        <v>0</v>
      </c>
    </row>
    <row r="7952" spans="1:10" ht="15.75" hidden="1" thickBot="1" x14ac:dyDescent="0.3">
      <c r="A7952" s="171"/>
      <c r="B7952" s="174"/>
      <c r="C7952" s="31"/>
      <c r="D7952" s="31"/>
      <c r="E7952" s="32"/>
      <c r="F7952" s="42" t="s">
        <v>416</v>
      </c>
      <c r="G7952" s="33" t="str">
        <f>IF(ISNUMBER(F7952),E7952*F7952,"")</f>
        <v/>
      </c>
      <c r="H7952" s="34"/>
      <c r="I7952" s="30"/>
      <c r="J7952" s="152">
        <v>0</v>
      </c>
    </row>
    <row r="7953" spans="1:10" ht="26.25" hidden="1" thickBot="1" x14ac:dyDescent="0.3">
      <c r="A7953" s="171"/>
      <c r="B7953" s="174"/>
      <c r="C7953" s="35" t="s">
        <v>8024</v>
      </c>
      <c r="D7953" s="35" t="s">
        <v>213</v>
      </c>
      <c r="E7953" s="36">
        <v>1</v>
      </c>
      <c r="F7953" s="30">
        <v>5.2154999999999996</v>
      </c>
      <c r="G7953" s="33">
        <f>IF(ISNUMBER(F7953),E7953*F7953,"")</f>
        <v>5.2154999999999996</v>
      </c>
      <c r="H7953" s="38">
        <f>SUM(G7953:G7953)</f>
        <v>5.2154999999999996</v>
      </c>
      <c r="I7953" s="39"/>
      <c r="J7953" s="152">
        <v>0</v>
      </c>
    </row>
    <row r="7954" spans="1:10" ht="15.75" hidden="1" thickBot="1" x14ac:dyDescent="0.3">
      <c r="A7954" s="172"/>
      <c r="B7954" s="175"/>
      <c r="C7954" s="54"/>
      <c r="D7954" s="54"/>
      <c r="E7954" s="65"/>
      <c r="F7954" s="66" t="s">
        <v>416</v>
      </c>
      <c r="G7954" s="67" t="str">
        <f>IF(ISNUMBER(F7954),E7954*F7954,"")</f>
        <v/>
      </c>
      <c r="H7954" s="68"/>
      <c r="I7954" s="30"/>
      <c r="J7954" s="152">
        <v>0</v>
      </c>
    </row>
    <row r="7955" spans="1:10" ht="15.75" hidden="1" thickBot="1" x14ac:dyDescent="0.3">
      <c r="A7955" s="170" t="s">
        <v>6918</v>
      </c>
      <c r="B7955" s="173" t="str">
        <f>INDEX(Orçamentária!A:B,MATCH(Composições!A7955,Orçamentária!A:A,0),2)</f>
        <v>Curva longa 90° PVC esgoto ou águas pluviais 50 mm</v>
      </c>
      <c r="C7955" s="40"/>
      <c r="D7955" s="25" t="s">
        <v>16</v>
      </c>
      <c r="E7955" s="26"/>
      <c r="F7955" s="41" t="s">
        <v>416</v>
      </c>
      <c r="G7955" s="27" t="str">
        <f>IF(ISNUMBER(F7955),E7955*F7955,"")</f>
        <v/>
      </c>
      <c r="H7955" s="28"/>
      <c r="I7955" s="29"/>
      <c r="J7955" s="152">
        <v>0</v>
      </c>
    </row>
    <row r="7956" spans="1:10" ht="15.75" hidden="1" thickBot="1" x14ac:dyDescent="0.3">
      <c r="A7956" s="171"/>
      <c r="B7956" s="174"/>
      <c r="C7956" s="31"/>
      <c r="D7956" s="31"/>
      <c r="E7956" s="32"/>
      <c r="F7956" s="42" t="s">
        <v>416</v>
      </c>
      <c r="G7956" s="33" t="str">
        <f>IF(ISNUMBER(F7956),E7956*F7956,"")</f>
        <v/>
      </c>
      <c r="H7956" s="34"/>
      <c r="I7956" s="30"/>
      <c r="J7956" s="152">
        <v>0</v>
      </c>
    </row>
    <row r="7957" spans="1:10" ht="15.75" hidden="1" thickBot="1" x14ac:dyDescent="0.3">
      <c r="A7957" s="171"/>
      <c r="B7957" s="174"/>
      <c r="C7957" s="35" t="s">
        <v>8114</v>
      </c>
      <c r="D7957" s="35" t="s">
        <v>213</v>
      </c>
      <c r="E7957" s="36">
        <v>1</v>
      </c>
      <c r="F7957" s="30">
        <v>13.442499999999999</v>
      </c>
      <c r="G7957" s="33">
        <f>IF(ISNUMBER(F7957),E7957*F7957,"")</f>
        <v>13.442499999999999</v>
      </c>
      <c r="H7957" s="38">
        <f>SUM(G7957:G7957)</f>
        <v>13.442499999999999</v>
      </c>
      <c r="I7957" s="39"/>
      <c r="J7957" s="152">
        <v>0</v>
      </c>
    </row>
    <row r="7958" spans="1:10" ht="15.75" hidden="1" thickBot="1" x14ac:dyDescent="0.3">
      <c r="A7958" s="172"/>
      <c r="B7958" s="175"/>
      <c r="C7958" s="54"/>
      <c r="D7958" s="54"/>
      <c r="E7958" s="65"/>
      <c r="F7958" s="66" t="s">
        <v>416</v>
      </c>
      <c r="G7958" s="67" t="str">
        <f>IF(ISNUMBER(F7958),E7958*F7958,"")</f>
        <v/>
      </c>
      <c r="H7958" s="68"/>
      <c r="I7958" s="30"/>
      <c r="J7958" s="152">
        <v>0</v>
      </c>
    </row>
    <row r="7959" spans="1:10" ht="15.75" hidden="1" thickBot="1" x14ac:dyDescent="0.3">
      <c r="A7959" s="170" t="s">
        <v>6919</v>
      </c>
      <c r="B7959" s="173" t="str">
        <f>INDEX(Orçamentária!A:B,MATCH(Composições!A7959,Orçamentária!A:A,0),2)</f>
        <v>Luva simples PVC esgoto ou águas pluviais 70 mm</v>
      </c>
      <c r="C7959" s="40"/>
      <c r="D7959" s="25" t="s">
        <v>16</v>
      </c>
      <c r="E7959" s="26"/>
      <c r="F7959" s="41" t="s">
        <v>416</v>
      </c>
      <c r="G7959" s="27" t="str">
        <f>IF(ISNUMBER(F7959),E7959*F7959,"")</f>
        <v/>
      </c>
      <c r="H7959" s="28"/>
      <c r="I7959" s="29"/>
      <c r="J7959" s="152">
        <v>0</v>
      </c>
    </row>
    <row r="7960" spans="1:10" ht="15.75" hidden="1" thickBot="1" x14ac:dyDescent="0.3">
      <c r="A7960" s="171"/>
      <c r="B7960" s="174"/>
      <c r="C7960" s="31"/>
      <c r="D7960" s="31"/>
      <c r="E7960" s="32"/>
      <c r="F7960" s="42" t="s">
        <v>416</v>
      </c>
      <c r="G7960" s="33" t="str">
        <f>IF(ISNUMBER(F7960),E7960*F7960,"")</f>
        <v/>
      </c>
      <c r="H7960" s="34"/>
      <c r="I7960" s="30"/>
      <c r="J7960" s="152">
        <v>0</v>
      </c>
    </row>
    <row r="7961" spans="1:10" ht="26.25" hidden="1" thickBot="1" x14ac:dyDescent="0.3">
      <c r="A7961" s="171"/>
      <c r="B7961" s="174"/>
      <c r="C7961" s="35" t="s">
        <v>8279</v>
      </c>
      <c r="D7961" s="35" t="s">
        <v>213</v>
      </c>
      <c r="E7961" s="36">
        <v>1</v>
      </c>
      <c r="F7961" s="30">
        <v>6.593</v>
      </c>
      <c r="G7961" s="33">
        <f>IF(ISNUMBER(F7961),E7961*F7961,"")</f>
        <v>6.593</v>
      </c>
      <c r="H7961" s="38">
        <f>SUM(G7961:G7961)</f>
        <v>6.593</v>
      </c>
      <c r="I7961" s="39"/>
      <c r="J7961" s="152">
        <v>0</v>
      </c>
    </row>
    <row r="7962" spans="1:10" ht="15.75" hidden="1" thickBot="1" x14ac:dyDescent="0.3">
      <c r="A7962" s="172"/>
      <c r="B7962" s="175"/>
      <c r="C7962" s="54"/>
      <c r="D7962" s="54"/>
      <c r="E7962" s="65"/>
      <c r="F7962" s="66" t="s">
        <v>416</v>
      </c>
      <c r="G7962" s="67" t="str">
        <f>IF(ISNUMBER(F7962),E7962*F7962,"")</f>
        <v/>
      </c>
      <c r="H7962" s="68"/>
      <c r="I7962" s="30"/>
      <c r="J7962" s="152">
        <v>0</v>
      </c>
    </row>
    <row r="7963" spans="1:10" ht="15.75" hidden="1" thickBot="1" x14ac:dyDescent="0.3">
      <c r="A7963" s="170" t="s">
        <v>6920</v>
      </c>
      <c r="B7963" s="173" t="str">
        <f>INDEX(Orçamentária!A:B,MATCH(Composições!A7963,Orçamentária!A:A,0),2)</f>
        <v>Joelho 90° PVC esgoto ou águas pluviais 75 mm</v>
      </c>
      <c r="C7963" s="40"/>
      <c r="D7963" s="25" t="s">
        <v>16</v>
      </c>
      <c r="E7963" s="26"/>
      <c r="F7963" s="41" t="s">
        <v>416</v>
      </c>
      <c r="G7963" s="27" t="str">
        <f>IF(ISNUMBER(F7963),E7963*F7963,"")</f>
        <v/>
      </c>
      <c r="H7963" s="28"/>
      <c r="I7963" s="29"/>
      <c r="J7963" s="152">
        <v>0</v>
      </c>
    </row>
    <row r="7964" spans="1:10" ht="15.75" hidden="1" thickBot="1" x14ac:dyDescent="0.3">
      <c r="A7964" s="171"/>
      <c r="B7964" s="174"/>
      <c r="C7964" s="31"/>
      <c r="D7964" s="31"/>
      <c r="E7964" s="32"/>
      <c r="F7964" s="42" t="s">
        <v>416</v>
      </c>
      <c r="G7964" s="33" t="str">
        <f>IF(ISNUMBER(F7964),E7964*F7964,"")</f>
        <v/>
      </c>
      <c r="H7964" s="34"/>
      <c r="I7964" s="30"/>
      <c r="J7964" s="152">
        <v>0</v>
      </c>
    </row>
    <row r="7965" spans="1:10" ht="26.25" hidden="1" thickBot="1" x14ac:dyDescent="0.3">
      <c r="A7965" s="171"/>
      <c r="B7965" s="174"/>
      <c r="C7965" s="35" t="s">
        <v>8197</v>
      </c>
      <c r="D7965" s="35" t="s">
        <v>213</v>
      </c>
      <c r="E7965" s="36">
        <v>1</v>
      </c>
      <c r="F7965" s="30">
        <v>6.8304999999999998</v>
      </c>
      <c r="G7965" s="33">
        <f>IF(ISNUMBER(F7965),E7965*F7965,"")</f>
        <v>6.8304999999999998</v>
      </c>
      <c r="H7965" s="38">
        <f>SUM(G7965:G7965)</f>
        <v>6.8304999999999998</v>
      </c>
      <c r="I7965" s="39"/>
      <c r="J7965" s="152">
        <v>0</v>
      </c>
    </row>
    <row r="7966" spans="1:10" ht="15.75" hidden="1" thickBot="1" x14ac:dyDescent="0.3">
      <c r="A7966" s="172"/>
      <c r="B7966" s="175"/>
      <c r="C7966" s="54"/>
      <c r="D7966" s="54"/>
      <c r="E7966" s="65"/>
      <c r="F7966" s="66" t="s">
        <v>416</v>
      </c>
      <c r="G7966" s="67" t="str">
        <f>IF(ISNUMBER(F7966),E7966*F7966,"")</f>
        <v/>
      </c>
      <c r="H7966" s="68"/>
      <c r="I7966" s="30"/>
      <c r="J7966" s="152">
        <v>0</v>
      </c>
    </row>
    <row r="7967" spans="1:10" ht="15.75" hidden="1" thickBot="1" x14ac:dyDescent="0.3">
      <c r="A7967" s="170" t="s">
        <v>6921</v>
      </c>
      <c r="B7967" s="173" t="str">
        <f>INDEX(Orçamentária!A:B,MATCH(Composições!A7967,Orçamentária!A:A,0),2)</f>
        <v>Curva longa 90° PVC esgoto ou águas pluviais 75 mm</v>
      </c>
      <c r="C7967" s="40"/>
      <c r="D7967" s="25" t="s">
        <v>16</v>
      </c>
      <c r="E7967" s="26"/>
      <c r="F7967" s="41" t="s">
        <v>416</v>
      </c>
      <c r="G7967" s="27" t="str">
        <f>IF(ISNUMBER(F7967),E7967*F7967,"")</f>
        <v/>
      </c>
      <c r="H7967" s="28"/>
      <c r="I7967" s="29"/>
      <c r="J7967" s="152">
        <v>0</v>
      </c>
    </row>
    <row r="7968" spans="1:10" ht="15.75" hidden="1" thickBot="1" x14ac:dyDescent="0.3">
      <c r="A7968" s="171"/>
      <c r="B7968" s="174"/>
      <c r="C7968" s="31"/>
      <c r="D7968" s="31"/>
      <c r="E7968" s="32"/>
      <c r="F7968" s="42" t="s">
        <v>416</v>
      </c>
      <c r="G7968" s="33" t="str">
        <f>IF(ISNUMBER(F7968),E7968*F7968,"")</f>
        <v/>
      </c>
      <c r="H7968" s="34"/>
      <c r="I7968" s="30"/>
      <c r="J7968" s="152">
        <v>0</v>
      </c>
    </row>
    <row r="7969" spans="1:10" ht="15.75" hidden="1" thickBot="1" x14ac:dyDescent="0.3">
      <c r="A7969" s="171"/>
      <c r="B7969" s="174"/>
      <c r="C7969" s="35" t="s">
        <v>8115</v>
      </c>
      <c r="D7969" s="35" t="s">
        <v>213</v>
      </c>
      <c r="E7969" s="36">
        <v>1</v>
      </c>
      <c r="F7969" s="30">
        <v>43.775999999999996</v>
      </c>
      <c r="G7969" s="33">
        <f>IF(ISNUMBER(F7969),E7969*F7969,"")</f>
        <v>43.775999999999996</v>
      </c>
      <c r="H7969" s="38">
        <f>SUM(G7969:G7969)</f>
        <v>43.775999999999996</v>
      </c>
      <c r="I7969" s="39"/>
      <c r="J7969" s="152">
        <v>0</v>
      </c>
    </row>
    <row r="7970" spans="1:10" ht="15.75" hidden="1" thickBot="1" x14ac:dyDescent="0.3">
      <c r="A7970" s="172"/>
      <c r="B7970" s="175"/>
      <c r="C7970" s="54"/>
      <c r="D7970" s="54"/>
      <c r="E7970" s="65"/>
      <c r="F7970" s="66" t="s">
        <v>416</v>
      </c>
      <c r="G7970" s="67" t="str">
        <f>IF(ISNUMBER(F7970),E7970*F7970,"")</f>
        <v/>
      </c>
      <c r="H7970" s="68"/>
      <c r="I7970" s="30"/>
      <c r="J7970" s="152">
        <v>0</v>
      </c>
    </row>
    <row r="7971" spans="1:10" ht="15.75" hidden="1" thickBot="1" x14ac:dyDescent="0.3">
      <c r="A7971" s="170" t="s">
        <v>6922</v>
      </c>
      <c r="B7971" s="173" t="str">
        <f>INDEX(Orçamentária!A:B,MATCH(Composições!A7971,Orçamentária!A:A,0),2)</f>
        <v>Joelho 45° PVC esgoto ou águas pluviais 75 mm</v>
      </c>
      <c r="C7971" s="40"/>
      <c r="D7971" s="25" t="s">
        <v>16</v>
      </c>
      <c r="E7971" s="26"/>
      <c r="F7971" s="41" t="s">
        <v>416</v>
      </c>
      <c r="G7971" s="27" t="str">
        <f>IF(ISNUMBER(F7971),E7971*F7971,"")</f>
        <v/>
      </c>
      <c r="H7971" s="28"/>
      <c r="I7971" s="29"/>
      <c r="J7971" s="152">
        <v>0</v>
      </c>
    </row>
    <row r="7972" spans="1:10" ht="15.75" hidden="1" thickBot="1" x14ac:dyDescent="0.3">
      <c r="A7972" s="171"/>
      <c r="B7972" s="174"/>
      <c r="C7972" s="31"/>
      <c r="D7972" s="31"/>
      <c r="E7972" s="32"/>
      <c r="F7972" s="42" t="s">
        <v>416</v>
      </c>
      <c r="G7972" s="33" t="str">
        <f>IF(ISNUMBER(F7972),E7972*F7972,"")</f>
        <v/>
      </c>
      <c r="H7972" s="34"/>
      <c r="I7972" s="30"/>
      <c r="J7972" s="152">
        <v>0</v>
      </c>
    </row>
    <row r="7973" spans="1:10" ht="26.25" hidden="1" thickBot="1" x14ac:dyDescent="0.3">
      <c r="A7973" s="171"/>
      <c r="B7973" s="174"/>
      <c r="C7973" s="35" t="s">
        <v>8192</v>
      </c>
      <c r="D7973" s="35" t="s">
        <v>213</v>
      </c>
      <c r="E7973" s="36">
        <v>1</v>
      </c>
      <c r="F7973" s="30">
        <v>7.7899999999999991</v>
      </c>
      <c r="G7973" s="33">
        <f>IF(ISNUMBER(F7973),E7973*F7973,"")</f>
        <v>7.7899999999999991</v>
      </c>
      <c r="H7973" s="38">
        <f>SUM(G7973:G7973)</f>
        <v>7.7899999999999991</v>
      </c>
      <c r="I7973" s="39"/>
      <c r="J7973" s="152">
        <v>0</v>
      </c>
    </row>
    <row r="7974" spans="1:10" ht="15.75" hidden="1" thickBot="1" x14ac:dyDescent="0.3">
      <c r="A7974" s="172"/>
      <c r="B7974" s="175"/>
      <c r="C7974" s="54"/>
      <c r="D7974" s="54"/>
      <c r="E7974" s="65"/>
      <c r="F7974" s="66" t="s">
        <v>416</v>
      </c>
      <c r="G7974" s="67" t="str">
        <f>IF(ISNUMBER(F7974),E7974*F7974,"")</f>
        <v/>
      </c>
      <c r="H7974" s="68"/>
      <c r="I7974" s="30"/>
      <c r="J7974" s="152">
        <v>0</v>
      </c>
    </row>
    <row r="7975" spans="1:10" ht="15.75" hidden="1" thickBot="1" x14ac:dyDescent="0.3">
      <c r="A7975" s="170" t="s">
        <v>6923</v>
      </c>
      <c r="B7975" s="173" t="str">
        <f>INDEX(Orçamentária!A:B,MATCH(Composições!A7975,Orçamentária!A:A,0),2)</f>
        <v>Luva de correr PVC esgoto ou águas pluviais 75 mm</v>
      </c>
      <c r="C7975" s="40"/>
      <c r="D7975" s="25" t="s">
        <v>16</v>
      </c>
      <c r="E7975" s="26"/>
      <c r="F7975" s="41" t="s">
        <v>416</v>
      </c>
      <c r="G7975" s="27" t="str">
        <f>IF(ISNUMBER(F7975),E7975*F7975,"")</f>
        <v/>
      </c>
      <c r="H7975" s="28"/>
      <c r="I7975" s="29"/>
      <c r="J7975" s="152">
        <v>0</v>
      </c>
    </row>
    <row r="7976" spans="1:10" ht="15.75" hidden="1" thickBot="1" x14ac:dyDescent="0.3">
      <c r="A7976" s="171"/>
      <c r="B7976" s="174"/>
      <c r="C7976" s="31"/>
      <c r="D7976" s="31"/>
      <c r="E7976" s="32"/>
      <c r="F7976" s="42" t="s">
        <v>416</v>
      </c>
      <c r="G7976" s="33" t="str">
        <f>IF(ISNUMBER(F7976),E7976*F7976,"")</f>
        <v/>
      </c>
      <c r="H7976" s="34"/>
      <c r="I7976" s="30"/>
      <c r="J7976" s="152">
        <v>0</v>
      </c>
    </row>
    <row r="7977" spans="1:10" ht="15.75" hidden="1" thickBot="1" x14ac:dyDescent="0.3">
      <c r="A7977" s="171"/>
      <c r="B7977" s="174"/>
      <c r="C7977" s="35" t="s">
        <v>8251</v>
      </c>
      <c r="D7977" s="35" t="s">
        <v>213</v>
      </c>
      <c r="E7977" s="36">
        <v>1</v>
      </c>
      <c r="F7977" s="30">
        <v>12.283499999999998</v>
      </c>
      <c r="G7977" s="33">
        <f>IF(ISNUMBER(F7977),E7977*F7977,"")</f>
        <v>12.283499999999998</v>
      </c>
      <c r="H7977" s="38">
        <f>SUM(G7977:G7977)</f>
        <v>12.283499999999998</v>
      </c>
      <c r="I7977" s="39"/>
      <c r="J7977" s="152">
        <v>0</v>
      </c>
    </row>
    <row r="7978" spans="1:10" ht="15.75" hidden="1" thickBot="1" x14ac:dyDescent="0.3">
      <c r="A7978" s="172"/>
      <c r="B7978" s="175"/>
      <c r="C7978" s="54"/>
      <c r="D7978" s="54"/>
      <c r="E7978" s="65"/>
      <c r="F7978" s="66" t="s">
        <v>416</v>
      </c>
      <c r="G7978" s="67" t="str">
        <f>IF(ISNUMBER(F7978),E7978*F7978,"")</f>
        <v/>
      </c>
      <c r="H7978" s="68"/>
      <c r="I7978" s="30"/>
      <c r="J7978" s="152">
        <v>0</v>
      </c>
    </row>
    <row r="7979" spans="1:10" ht="15.75" hidden="1" thickBot="1" x14ac:dyDescent="0.3">
      <c r="A7979" s="170" t="s">
        <v>6924</v>
      </c>
      <c r="B7979" s="173" t="str">
        <f>INDEX(Orçamentária!A:B,MATCH(Composições!A7979,Orçamentária!A:A,0),2)</f>
        <v>Tê PVC esgoto ou águas pluviais 75 mm</v>
      </c>
      <c r="C7979" s="40"/>
      <c r="D7979" s="25" t="s">
        <v>16</v>
      </c>
      <c r="E7979" s="26"/>
      <c r="F7979" s="41" t="s">
        <v>416</v>
      </c>
      <c r="G7979" s="27" t="str">
        <f>IF(ISNUMBER(F7979),E7979*F7979,"")</f>
        <v/>
      </c>
      <c r="H7979" s="28"/>
      <c r="I7979" s="29"/>
      <c r="J7979" s="152">
        <v>0</v>
      </c>
    </row>
    <row r="7980" spans="1:10" ht="15.75" hidden="1" thickBot="1" x14ac:dyDescent="0.3">
      <c r="A7980" s="171"/>
      <c r="B7980" s="174"/>
      <c r="C7980" s="31"/>
      <c r="D7980" s="31"/>
      <c r="E7980" s="32"/>
      <c r="F7980" s="42" t="s">
        <v>416</v>
      </c>
      <c r="G7980" s="33" t="str">
        <f>IF(ISNUMBER(F7980),E7980*F7980,"")</f>
        <v/>
      </c>
      <c r="H7980" s="34"/>
      <c r="I7980" s="30"/>
      <c r="J7980" s="152">
        <v>0</v>
      </c>
    </row>
    <row r="7981" spans="1:10" ht="15.75" hidden="1" thickBot="1" x14ac:dyDescent="0.3">
      <c r="A7981" s="171"/>
      <c r="B7981" s="174"/>
      <c r="C7981" s="35" t="s">
        <v>8422</v>
      </c>
      <c r="D7981" s="35" t="s">
        <v>213</v>
      </c>
      <c r="E7981" s="36">
        <v>1</v>
      </c>
      <c r="F7981" s="30">
        <v>28.186499999999999</v>
      </c>
      <c r="G7981" s="33">
        <f>IF(ISNUMBER(F7981),E7981*F7981,"")</f>
        <v>28.186499999999999</v>
      </c>
      <c r="H7981" s="38">
        <f>SUM(G7981:G7981)</f>
        <v>28.186499999999999</v>
      </c>
      <c r="I7981" s="39"/>
      <c r="J7981" s="152">
        <v>0</v>
      </c>
    </row>
    <row r="7982" spans="1:10" ht="15.75" hidden="1" thickBot="1" x14ac:dyDescent="0.3">
      <c r="A7982" s="172"/>
      <c r="B7982" s="175"/>
      <c r="C7982" s="54"/>
      <c r="D7982" s="54"/>
      <c r="E7982" s="65"/>
      <c r="F7982" s="66" t="s">
        <v>416</v>
      </c>
      <c r="G7982" s="67" t="str">
        <f>IF(ISNUMBER(F7982),E7982*F7982,"")</f>
        <v/>
      </c>
      <c r="H7982" s="68"/>
      <c r="I7982" s="30"/>
      <c r="J7982" s="152">
        <v>0</v>
      </c>
    </row>
    <row r="7983" spans="1:10" ht="15.75" hidden="1" thickBot="1" x14ac:dyDescent="0.3">
      <c r="A7983" s="170" t="s">
        <v>6925</v>
      </c>
      <c r="B7983" s="173" t="str">
        <f>INDEX(Orçamentária!A:B,MATCH(Composições!A7983,Orçamentária!A:A,0),2)</f>
        <v>Cap PVC esgoto ou águas pluviais 75 mm</v>
      </c>
      <c r="C7983" s="40"/>
      <c r="D7983" s="25" t="s">
        <v>16</v>
      </c>
      <c r="E7983" s="26"/>
      <c r="F7983" s="41" t="s">
        <v>416</v>
      </c>
      <c r="G7983" s="27" t="str">
        <f>IF(ISNUMBER(F7983),E7983*F7983,"")</f>
        <v/>
      </c>
      <c r="H7983" s="28"/>
      <c r="I7983" s="29"/>
      <c r="J7983" s="152">
        <v>0</v>
      </c>
    </row>
    <row r="7984" spans="1:10" ht="15.75" hidden="1" thickBot="1" x14ac:dyDescent="0.3">
      <c r="A7984" s="171"/>
      <c r="B7984" s="174"/>
      <c r="C7984" s="31"/>
      <c r="D7984" s="31"/>
      <c r="E7984" s="32"/>
      <c r="F7984" s="42" t="s">
        <v>416</v>
      </c>
      <c r="G7984" s="33" t="str">
        <f>IF(ISNUMBER(F7984),E7984*F7984,"")</f>
        <v/>
      </c>
      <c r="H7984" s="34"/>
      <c r="I7984" s="30"/>
      <c r="J7984" s="152">
        <v>0</v>
      </c>
    </row>
    <row r="7985" spans="1:10" ht="15.75" hidden="1" thickBot="1" x14ac:dyDescent="0.3">
      <c r="A7985" s="171"/>
      <c r="B7985" s="174"/>
      <c r="C7985" s="35" t="s">
        <v>8048</v>
      </c>
      <c r="D7985" s="35" t="s">
        <v>213</v>
      </c>
      <c r="E7985" s="36">
        <v>1</v>
      </c>
      <c r="F7985" s="30">
        <v>10.45</v>
      </c>
      <c r="G7985" s="33">
        <f>IF(ISNUMBER(F7985),E7985*F7985,"")</f>
        <v>10.45</v>
      </c>
      <c r="H7985" s="38">
        <f>SUM(G7985:G7985)</f>
        <v>10.45</v>
      </c>
      <c r="I7985" s="39"/>
      <c r="J7985" s="152">
        <v>0</v>
      </c>
    </row>
    <row r="7986" spans="1:10" ht="15.75" hidden="1" thickBot="1" x14ac:dyDescent="0.3">
      <c r="A7986" s="172"/>
      <c r="B7986" s="175"/>
      <c r="C7986" s="54"/>
      <c r="D7986" s="54"/>
      <c r="E7986" s="65"/>
      <c r="F7986" s="66" t="s">
        <v>416</v>
      </c>
      <c r="G7986" s="67" t="str">
        <f>IF(ISNUMBER(F7986),E7986*F7986,"")</f>
        <v/>
      </c>
      <c r="H7986" s="68"/>
      <c r="I7986" s="30"/>
      <c r="J7986" s="152">
        <v>0</v>
      </c>
    </row>
    <row r="7987" spans="1:10" ht="15.75" hidden="1" thickBot="1" x14ac:dyDescent="0.3">
      <c r="A7987" s="170" t="s">
        <v>6926</v>
      </c>
      <c r="B7987" s="173" t="str">
        <f>INDEX(Orçamentária!A:B,MATCH(Composições!A7987,Orçamentária!A:A,0),2)</f>
        <v>Redução Excêntrica PVC esgoto ou águas pluviais 75 x 50 mm</v>
      </c>
      <c r="C7987" s="40"/>
      <c r="D7987" s="25" t="s">
        <v>16</v>
      </c>
      <c r="E7987" s="26"/>
      <c r="F7987" s="41" t="s">
        <v>416</v>
      </c>
      <c r="G7987" s="27" t="str">
        <f>IF(ISNUMBER(F7987),E7987*F7987,"")</f>
        <v/>
      </c>
      <c r="H7987" s="28"/>
      <c r="I7987" s="29"/>
      <c r="J7987" s="152">
        <v>0</v>
      </c>
    </row>
    <row r="7988" spans="1:10" ht="15.75" hidden="1" thickBot="1" x14ac:dyDescent="0.3">
      <c r="A7988" s="171"/>
      <c r="B7988" s="174"/>
      <c r="C7988" s="31"/>
      <c r="D7988" s="31"/>
      <c r="E7988" s="32"/>
      <c r="F7988" s="42" t="s">
        <v>416</v>
      </c>
      <c r="G7988" s="33" t="str">
        <f>IF(ISNUMBER(F7988),E7988*F7988,"")</f>
        <v/>
      </c>
      <c r="H7988" s="34"/>
      <c r="I7988" s="30"/>
      <c r="J7988" s="152">
        <v>0</v>
      </c>
    </row>
    <row r="7989" spans="1:10" ht="26.25" hidden="1" thickBot="1" x14ac:dyDescent="0.3">
      <c r="A7989" s="171"/>
      <c r="B7989" s="174"/>
      <c r="C7989" s="35" t="s">
        <v>8350</v>
      </c>
      <c r="D7989" s="35" t="s">
        <v>213</v>
      </c>
      <c r="E7989" s="36">
        <v>1</v>
      </c>
      <c r="F7989" s="30">
        <v>7.6475</v>
      </c>
      <c r="G7989" s="33">
        <f>IF(ISNUMBER(F7989),E7989*F7989,"")</f>
        <v>7.6475</v>
      </c>
      <c r="H7989" s="38">
        <f>SUM(G7989:G7989)</f>
        <v>7.6475</v>
      </c>
      <c r="I7989" s="39"/>
      <c r="J7989" s="152">
        <v>0</v>
      </c>
    </row>
    <row r="7990" spans="1:10" ht="15.75" hidden="1" thickBot="1" x14ac:dyDescent="0.3">
      <c r="A7990" s="172"/>
      <c r="B7990" s="175"/>
      <c r="C7990" s="54"/>
      <c r="D7990" s="54"/>
      <c r="E7990" s="65"/>
      <c r="F7990" s="66" t="s">
        <v>416</v>
      </c>
      <c r="G7990" s="67" t="str">
        <f>IF(ISNUMBER(F7990),E7990*F7990,"")</f>
        <v/>
      </c>
      <c r="H7990" s="68"/>
      <c r="I7990" s="30"/>
      <c r="J7990" s="152">
        <v>0</v>
      </c>
    </row>
    <row r="7991" spans="1:10" ht="15.75" hidden="1" thickBot="1" x14ac:dyDescent="0.3">
      <c r="A7991" s="170" t="s">
        <v>6927</v>
      </c>
      <c r="B7991" s="173" t="str">
        <f>INDEX(Orçamentária!A:B,MATCH(Composições!A7991,Orçamentária!A:A,0),2)</f>
        <v>Luva simples PVC esgoto ou águas pluviais 100 mm</v>
      </c>
      <c r="C7991" s="40"/>
      <c r="D7991" s="25" t="s">
        <v>16</v>
      </c>
      <c r="E7991" s="26"/>
      <c r="F7991" s="41" t="s">
        <v>416</v>
      </c>
      <c r="G7991" s="27" t="str">
        <f>IF(ISNUMBER(F7991),E7991*F7991,"")</f>
        <v/>
      </c>
      <c r="H7991" s="28"/>
      <c r="I7991" s="29"/>
      <c r="J7991" s="152">
        <v>0</v>
      </c>
    </row>
    <row r="7992" spans="1:10" ht="15.75" hidden="1" thickBot="1" x14ac:dyDescent="0.3">
      <c r="A7992" s="171"/>
      <c r="B7992" s="174"/>
      <c r="C7992" s="31"/>
      <c r="D7992" s="31"/>
      <c r="E7992" s="32"/>
      <c r="F7992" s="42" t="s">
        <v>416</v>
      </c>
      <c r="G7992" s="33" t="str">
        <f>IF(ISNUMBER(F7992),E7992*F7992,"")</f>
        <v/>
      </c>
      <c r="H7992" s="34"/>
      <c r="I7992" s="30"/>
      <c r="J7992" s="152">
        <v>0</v>
      </c>
    </row>
    <row r="7993" spans="1:10" ht="26.25" hidden="1" thickBot="1" x14ac:dyDescent="0.3">
      <c r="A7993" s="171"/>
      <c r="B7993" s="174"/>
      <c r="C7993" s="35" t="s">
        <v>8276</v>
      </c>
      <c r="D7993" s="35" t="s">
        <v>213</v>
      </c>
      <c r="E7993" s="36">
        <v>1</v>
      </c>
      <c r="F7993" s="30">
        <v>6.4409999999999998</v>
      </c>
      <c r="G7993" s="33">
        <f>IF(ISNUMBER(F7993),E7993*F7993,"")</f>
        <v>6.4409999999999998</v>
      </c>
      <c r="H7993" s="38">
        <f>SUM(G7993:G7993)</f>
        <v>6.4409999999999998</v>
      </c>
      <c r="I7993" s="39"/>
      <c r="J7993" s="152">
        <v>0</v>
      </c>
    </row>
    <row r="7994" spans="1:10" ht="15.75" hidden="1" thickBot="1" x14ac:dyDescent="0.3">
      <c r="A7994" s="172"/>
      <c r="B7994" s="175"/>
      <c r="C7994" s="54"/>
      <c r="D7994" s="54"/>
      <c r="E7994" s="65"/>
      <c r="F7994" s="66" t="s">
        <v>416</v>
      </c>
      <c r="G7994" s="67" t="str">
        <f>IF(ISNUMBER(F7994),E7994*F7994,"")</f>
        <v/>
      </c>
      <c r="H7994" s="68"/>
      <c r="I7994" s="30"/>
      <c r="J7994" s="152">
        <v>0</v>
      </c>
    </row>
    <row r="7995" spans="1:10" ht="15.75" hidden="1" thickBot="1" x14ac:dyDescent="0.3">
      <c r="A7995" s="170" t="s">
        <v>6987</v>
      </c>
      <c r="B7995" s="173" t="str">
        <f>INDEX(Orçamentária!A:B,MATCH(Composições!A7995,Orçamentária!A:A,0),2)</f>
        <v>Joelho 90° PVC esgoto ou águas pluviais 100 mm</v>
      </c>
      <c r="C7995" s="40"/>
      <c r="D7995" s="25" t="s">
        <v>16</v>
      </c>
      <c r="E7995" s="26"/>
      <c r="F7995" s="41" t="s">
        <v>416</v>
      </c>
      <c r="G7995" s="27" t="str">
        <f>IF(ISNUMBER(F7995),E7995*F7995,"")</f>
        <v/>
      </c>
      <c r="H7995" s="28"/>
      <c r="I7995" s="29"/>
      <c r="J7995" s="152">
        <v>0</v>
      </c>
    </row>
    <row r="7996" spans="1:10" ht="15.75" hidden="1" thickBot="1" x14ac:dyDescent="0.3">
      <c r="A7996" s="171"/>
      <c r="B7996" s="174"/>
      <c r="C7996" s="31"/>
      <c r="D7996" s="31"/>
      <c r="E7996" s="32"/>
      <c r="F7996" s="42" t="s">
        <v>416</v>
      </c>
      <c r="G7996" s="33" t="str">
        <f>IF(ISNUMBER(F7996),E7996*F7996,"")</f>
        <v/>
      </c>
      <c r="H7996" s="34"/>
      <c r="I7996" s="30"/>
      <c r="J7996" s="152">
        <v>0</v>
      </c>
    </row>
    <row r="7997" spans="1:10" ht="26.25" hidden="1" thickBot="1" x14ac:dyDescent="0.3">
      <c r="A7997" s="171"/>
      <c r="B7997" s="174"/>
      <c r="C7997" s="35" t="s">
        <v>8193</v>
      </c>
      <c r="D7997" s="35" t="s">
        <v>213</v>
      </c>
      <c r="E7997" s="36">
        <v>1</v>
      </c>
      <c r="F7997" s="30">
        <v>8.17</v>
      </c>
      <c r="G7997" s="33">
        <f>IF(ISNUMBER(F7997),E7997*F7997,"")</f>
        <v>8.17</v>
      </c>
      <c r="H7997" s="38">
        <f>SUM(G7997:G7997)</f>
        <v>8.17</v>
      </c>
      <c r="I7997" s="39"/>
      <c r="J7997" s="152">
        <v>0</v>
      </c>
    </row>
    <row r="7998" spans="1:10" ht="15.75" hidden="1" thickBot="1" x14ac:dyDescent="0.3">
      <c r="A7998" s="172"/>
      <c r="B7998" s="175"/>
      <c r="C7998" s="54"/>
      <c r="D7998" s="54"/>
      <c r="E7998" s="65"/>
      <c r="F7998" s="66" t="s">
        <v>416</v>
      </c>
      <c r="G7998" s="67" t="str">
        <f>IF(ISNUMBER(F7998),E7998*F7998,"")</f>
        <v/>
      </c>
      <c r="H7998" s="68"/>
      <c r="I7998" s="30"/>
      <c r="J7998" s="152">
        <v>0</v>
      </c>
    </row>
    <row r="7999" spans="1:10" ht="15.75" hidden="1" thickBot="1" x14ac:dyDescent="0.3">
      <c r="A7999" s="170" t="s">
        <v>6988</v>
      </c>
      <c r="B7999" s="173" t="str">
        <f>INDEX(Orçamentária!A:B,MATCH(Composições!A7999,Orçamentária!A:A,0),2)</f>
        <v>Curva longa 90° PVC esgoto ou águas pluviais 100 mm</v>
      </c>
      <c r="C7999" s="40"/>
      <c r="D7999" s="25" t="s">
        <v>16</v>
      </c>
      <c r="E7999" s="26"/>
      <c r="F7999" s="41" t="s">
        <v>416</v>
      </c>
      <c r="G7999" s="27" t="str">
        <f>IF(ISNUMBER(F7999),E7999*F7999,"")</f>
        <v/>
      </c>
      <c r="H7999" s="28"/>
      <c r="I7999" s="29"/>
      <c r="J7999" s="152">
        <v>0</v>
      </c>
    </row>
    <row r="8000" spans="1:10" ht="15.75" hidden="1" thickBot="1" x14ac:dyDescent="0.3">
      <c r="A8000" s="171"/>
      <c r="B8000" s="174"/>
      <c r="C8000" s="31"/>
      <c r="D8000" s="31"/>
      <c r="E8000" s="32"/>
      <c r="F8000" s="42" t="s">
        <v>416</v>
      </c>
      <c r="G8000" s="33" t="str">
        <f>IF(ISNUMBER(F8000),E8000*F8000,"")</f>
        <v/>
      </c>
      <c r="H8000" s="34"/>
      <c r="I8000" s="30"/>
      <c r="J8000" s="152">
        <v>0</v>
      </c>
    </row>
    <row r="8001" spans="1:10" ht="15.75" hidden="1" thickBot="1" x14ac:dyDescent="0.3">
      <c r="A8001" s="171"/>
      <c r="B8001" s="174"/>
      <c r="C8001" s="35" t="s">
        <v>8112</v>
      </c>
      <c r="D8001" s="35" t="s">
        <v>213</v>
      </c>
      <c r="E8001" s="36">
        <v>1</v>
      </c>
      <c r="F8001" s="30">
        <v>57.294499999999999</v>
      </c>
      <c r="G8001" s="33">
        <f>IF(ISNUMBER(F8001),E8001*F8001,"")</f>
        <v>57.294499999999999</v>
      </c>
      <c r="H8001" s="38">
        <f>SUM(G8001:G8001)</f>
        <v>57.294499999999999</v>
      </c>
      <c r="I8001" s="39"/>
      <c r="J8001" s="152">
        <v>0</v>
      </c>
    </row>
    <row r="8002" spans="1:10" ht="15.75" hidden="1" thickBot="1" x14ac:dyDescent="0.3">
      <c r="A8002" s="172"/>
      <c r="B8002" s="175"/>
      <c r="C8002" s="54"/>
      <c r="D8002" s="54"/>
      <c r="E8002" s="65"/>
      <c r="F8002" s="66" t="s">
        <v>416</v>
      </c>
      <c r="G8002" s="67" t="str">
        <f>IF(ISNUMBER(F8002),E8002*F8002,"")</f>
        <v/>
      </c>
      <c r="H8002" s="68"/>
      <c r="I8002" s="30"/>
      <c r="J8002" s="152">
        <v>0</v>
      </c>
    </row>
    <row r="8003" spans="1:10" ht="15.75" hidden="1" thickBot="1" x14ac:dyDescent="0.3">
      <c r="A8003" s="170" t="s">
        <v>6989</v>
      </c>
      <c r="B8003" s="173" t="str">
        <f>INDEX(Orçamentária!A:B,MATCH(Composições!A8003,Orçamentária!A:A,0),2)</f>
        <v>Joelho 45° PVC esgoto ou águas pluviais 100 mm</v>
      </c>
      <c r="C8003" s="40"/>
      <c r="D8003" s="25" t="s">
        <v>16</v>
      </c>
      <c r="E8003" s="26"/>
      <c r="F8003" s="41" t="s">
        <v>416</v>
      </c>
      <c r="G8003" s="27" t="str">
        <f>IF(ISNUMBER(F8003),E8003*F8003,"")</f>
        <v/>
      </c>
      <c r="H8003" s="28"/>
      <c r="I8003" s="29"/>
      <c r="J8003" s="152">
        <v>0</v>
      </c>
    </row>
    <row r="8004" spans="1:10" ht="15.75" hidden="1" thickBot="1" x14ac:dyDescent="0.3">
      <c r="A8004" s="171"/>
      <c r="B8004" s="174"/>
      <c r="C8004" s="31"/>
      <c r="D8004" s="31"/>
      <c r="E8004" s="32"/>
      <c r="F8004" s="42" t="s">
        <v>416</v>
      </c>
      <c r="G8004" s="33" t="str">
        <f>IF(ISNUMBER(F8004),E8004*F8004,"")</f>
        <v/>
      </c>
      <c r="H8004" s="34"/>
      <c r="I8004" s="30"/>
      <c r="J8004" s="152">
        <v>0</v>
      </c>
    </row>
    <row r="8005" spans="1:10" ht="26.25" hidden="1" thickBot="1" x14ac:dyDescent="0.3">
      <c r="A8005" s="171"/>
      <c r="B8005" s="174"/>
      <c r="C8005" s="35" t="s">
        <v>8188</v>
      </c>
      <c r="D8005" s="35" t="s">
        <v>213</v>
      </c>
      <c r="E8005" s="36">
        <v>1</v>
      </c>
      <c r="F8005" s="30">
        <v>8.9870000000000001</v>
      </c>
      <c r="G8005" s="33">
        <f>IF(ISNUMBER(F8005),E8005*F8005,"")</f>
        <v>8.9870000000000001</v>
      </c>
      <c r="H8005" s="38">
        <f>SUM(G8005:G8005)</f>
        <v>8.9870000000000001</v>
      </c>
      <c r="I8005" s="39"/>
      <c r="J8005" s="152">
        <v>0</v>
      </c>
    </row>
    <row r="8006" spans="1:10" ht="15.75" hidden="1" thickBot="1" x14ac:dyDescent="0.3">
      <c r="A8006" s="172"/>
      <c r="B8006" s="175"/>
      <c r="C8006" s="54"/>
      <c r="D8006" s="54"/>
      <c r="E8006" s="65"/>
      <c r="F8006" s="66" t="s">
        <v>416</v>
      </c>
      <c r="G8006" s="67" t="str">
        <f>IF(ISNUMBER(F8006),E8006*F8006,"")</f>
        <v/>
      </c>
      <c r="H8006" s="68"/>
      <c r="I8006" s="30"/>
      <c r="J8006" s="152">
        <v>0</v>
      </c>
    </row>
    <row r="8007" spans="1:10" ht="15.75" hidden="1" thickBot="1" x14ac:dyDescent="0.3">
      <c r="A8007" s="170" t="s">
        <v>6990</v>
      </c>
      <c r="B8007" s="173" t="str">
        <f>INDEX(Orçamentária!A:B,MATCH(Composições!A8007,Orçamentária!A:A,0),2)</f>
        <v>Junção dupla PVC esgoto ou águas pluviais 100 mm</v>
      </c>
      <c r="C8007" s="40"/>
      <c r="D8007" s="25" t="s">
        <v>16</v>
      </c>
      <c r="E8007" s="26"/>
      <c r="F8007" s="41" t="s">
        <v>416</v>
      </c>
      <c r="G8007" s="27" t="str">
        <f>IF(ISNUMBER(F8007),E8007*F8007,"")</f>
        <v/>
      </c>
      <c r="H8007" s="28"/>
      <c r="I8007" s="29"/>
      <c r="J8007" s="152">
        <v>0</v>
      </c>
    </row>
    <row r="8008" spans="1:10" ht="15.75" hidden="1" thickBot="1" x14ac:dyDescent="0.3">
      <c r="A8008" s="171"/>
      <c r="B8008" s="174"/>
      <c r="C8008" s="31"/>
      <c r="D8008" s="31"/>
      <c r="E8008" s="32"/>
      <c r="F8008" s="42" t="s">
        <v>416</v>
      </c>
      <c r="G8008" s="33" t="str">
        <f>IF(ISNUMBER(F8008),E8008*F8008,"")</f>
        <v/>
      </c>
      <c r="H8008" s="34"/>
      <c r="I8008" s="30"/>
      <c r="J8008" s="152">
        <v>0</v>
      </c>
    </row>
    <row r="8009" spans="1:10" ht="26.25" hidden="1" thickBot="1" x14ac:dyDescent="0.3">
      <c r="A8009" s="171"/>
      <c r="B8009" s="174"/>
      <c r="C8009" s="35" t="s">
        <v>8213</v>
      </c>
      <c r="D8009" s="35" t="s">
        <v>213</v>
      </c>
      <c r="E8009" s="36">
        <v>1</v>
      </c>
      <c r="F8009" s="30">
        <v>41.163499999999999</v>
      </c>
      <c r="G8009" s="33">
        <f>IF(ISNUMBER(F8009),E8009*F8009,"")</f>
        <v>41.163499999999999</v>
      </c>
      <c r="H8009" s="38">
        <f>SUM(G8009:G8009)</f>
        <v>41.163499999999999</v>
      </c>
      <c r="I8009" s="39"/>
      <c r="J8009" s="152">
        <v>0</v>
      </c>
    </row>
    <row r="8010" spans="1:10" ht="15.75" hidden="1" thickBot="1" x14ac:dyDescent="0.3">
      <c r="A8010" s="172"/>
      <c r="B8010" s="175"/>
      <c r="C8010" s="54"/>
      <c r="D8010" s="54"/>
      <c r="E8010" s="65"/>
      <c r="F8010" s="66" t="s">
        <v>416</v>
      </c>
      <c r="G8010" s="67" t="str">
        <f>IF(ISNUMBER(F8010),E8010*F8010,"")</f>
        <v/>
      </c>
      <c r="H8010" s="68"/>
      <c r="I8010" s="30"/>
      <c r="J8010" s="152">
        <v>0</v>
      </c>
    </row>
    <row r="8011" spans="1:10" ht="15.75" hidden="1" thickBot="1" x14ac:dyDescent="0.3">
      <c r="A8011" s="170" t="s">
        <v>6991</v>
      </c>
      <c r="B8011" s="173" t="str">
        <f>INDEX(Orçamentária!A:B,MATCH(Composições!A8011,Orçamentária!A:A,0),2)</f>
        <v>Junção Simples 100 x 100 mm</v>
      </c>
      <c r="C8011" s="40"/>
      <c r="D8011" s="25" t="s">
        <v>16</v>
      </c>
      <c r="E8011" s="26"/>
      <c r="F8011" s="41" t="s">
        <v>416</v>
      </c>
      <c r="G8011" s="27" t="str">
        <f>IF(ISNUMBER(F8011),E8011*F8011,"")</f>
        <v/>
      </c>
      <c r="H8011" s="28"/>
      <c r="I8011" s="29"/>
      <c r="J8011" s="152">
        <v>0</v>
      </c>
    </row>
    <row r="8012" spans="1:10" ht="15.75" hidden="1" thickBot="1" x14ac:dyDescent="0.3">
      <c r="A8012" s="171"/>
      <c r="B8012" s="174"/>
      <c r="C8012" s="31"/>
      <c r="D8012" s="31"/>
      <c r="E8012" s="32"/>
      <c r="F8012" s="42" t="s">
        <v>416</v>
      </c>
      <c r="G8012" s="33" t="str">
        <f>IF(ISNUMBER(F8012),E8012*F8012,"")</f>
        <v/>
      </c>
      <c r="H8012" s="34"/>
      <c r="I8012" s="30"/>
      <c r="J8012" s="152">
        <v>0</v>
      </c>
    </row>
    <row r="8013" spans="1:10" ht="26.25" hidden="1" thickBot="1" x14ac:dyDescent="0.3">
      <c r="A8013" s="171"/>
      <c r="B8013" s="174"/>
      <c r="C8013" s="35" t="s">
        <v>8216</v>
      </c>
      <c r="D8013" s="35" t="s">
        <v>213</v>
      </c>
      <c r="E8013" s="36">
        <v>1</v>
      </c>
      <c r="F8013" s="30">
        <v>23.607500000000002</v>
      </c>
      <c r="G8013" s="33">
        <f>IF(ISNUMBER(F8013),E8013*F8013,"")</f>
        <v>23.607500000000002</v>
      </c>
      <c r="H8013" s="38">
        <f>SUM(G8013:G8013)</f>
        <v>23.607500000000002</v>
      </c>
      <c r="I8013" s="39"/>
      <c r="J8013" s="152">
        <v>0</v>
      </c>
    </row>
    <row r="8014" spans="1:10" ht="15.75" hidden="1" thickBot="1" x14ac:dyDescent="0.3">
      <c r="A8014" s="172"/>
      <c r="B8014" s="175"/>
      <c r="C8014" s="54"/>
      <c r="D8014" s="54"/>
      <c r="E8014" s="65"/>
      <c r="F8014" s="66" t="s">
        <v>416</v>
      </c>
      <c r="G8014" s="67" t="str">
        <f>IF(ISNUMBER(F8014),E8014*F8014,"")</f>
        <v/>
      </c>
      <c r="H8014" s="68"/>
      <c r="I8014" s="30"/>
      <c r="J8014" s="152">
        <v>0</v>
      </c>
    </row>
    <row r="8015" spans="1:10" ht="15.75" hidden="1" thickBot="1" x14ac:dyDescent="0.3">
      <c r="A8015" s="170" t="s">
        <v>6992</v>
      </c>
      <c r="B8015" s="173" t="str">
        <f>INDEX(Orçamentária!A:B,MATCH(Composições!A8015,Orçamentária!A:A,0),2)</f>
        <v>Cap PVC esgoto ou águas pluviais 100 mm</v>
      </c>
      <c r="C8015" s="40"/>
      <c r="D8015" s="25" t="s">
        <v>16</v>
      </c>
      <c r="E8015" s="26"/>
      <c r="F8015" s="41" t="s">
        <v>416</v>
      </c>
      <c r="G8015" s="27" t="str">
        <f>IF(ISNUMBER(F8015),E8015*F8015,"")</f>
        <v/>
      </c>
      <c r="H8015" s="28"/>
      <c r="I8015" s="29"/>
      <c r="J8015" s="152">
        <v>0</v>
      </c>
    </row>
    <row r="8016" spans="1:10" ht="15.75" hidden="1" thickBot="1" x14ac:dyDescent="0.3">
      <c r="A8016" s="171"/>
      <c r="B8016" s="174"/>
      <c r="C8016" s="31"/>
      <c r="D8016" s="31"/>
      <c r="E8016" s="32"/>
      <c r="F8016" s="42" t="s">
        <v>416</v>
      </c>
      <c r="G8016" s="33" t="str">
        <f>IF(ISNUMBER(F8016),E8016*F8016,"")</f>
        <v/>
      </c>
      <c r="H8016" s="34"/>
      <c r="I8016" s="30"/>
      <c r="J8016" s="152">
        <v>0</v>
      </c>
    </row>
    <row r="8017" spans="1:10" ht="15.75" hidden="1" thickBot="1" x14ac:dyDescent="0.3">
      <c r="A8017" s="171"/>
      <c r="B8017" s="174"/>
      <c r="C8017" s="35" t="s">
        <v>8046</v>
      </c>
      <c r="D8017" s="35" t="s">
        <v>213</v>
      </c>
      <c r="E8017" s="36">
        <v>1</v>
      </c>
      <c r="F8017" s="30">
        <v>12.625499999999999</v>
      </c>
      <c r="G8017" s="33">
        <f>IF(ISNUMBER(F8017),E8017*F8017,"")</f>
        <v>12.625499999999999</v>
      </c>
      <c r="H8017" s="38">
        <f>SUM(G8017:G8017)</f>
        <v>12.625499999999999</v>
      </c>
      <c r="I8017" s="39"/>
      <c r="J8017" s="152">
        <v>0</v>
      </c>
    </row>
    <row r="8018" spans="1:10" ht="15.75" hidden="1" thickBot="1" x14ac:dyDescent="0.3">
      <c r="A8018" s="172"/>
      <c r="B8018" s="175"/>
      <c r="C8018" s="54"/>
      <c r="D8018" s="54"/>
      <c r="E8018" s="65"/>
      <c r="F8018" s="66" t="s">
        <v>416</v>
      </c>
      <c r="G8018" s="67" t="str">
        <f>IF(ISNUMBER(F8018),E8018*F8018,"")</f>
        <v/>
      </c>
      <c r="H8018" s="68"/>
      <c r="I8018" s="30"/>
      <c r="J8018" s="152">
        <v>0</v>
      </c>
    </row>
    <row r="8019" spans="1:10" ht="15.75" hidden="1" thickBot="1" x14ac:dyDescent="0.3">
      <c r="A8019" s="170" t="s">
        <v>6993</v>
      </c>
      <c r="B8019" s="173" t="str">
        <f>INDEX(Orçamentária!A:B,MATCH(Composições!A8019,Orçamentária!A:A,0),2)</f>
        <v>Tê PVC esgoto ou águas pluviais 100 mm</v>
      </c>
      <c r="C8019" s="40"/>
      <c r="D8019" s="25" t="s">
        <v>16</v>
      </c>
      <c r="E8019" s="26"/>
      <c r="F8019" s="41" t="s">
        <v>416</v>
      </c>
      <c r="G8019" s="27" t="str">
        <f>IF(ISNUMBER(F8019),E8019*F8019,"")</f>
        <v/>
      </c>
      <c r="H8019" s="28"/>
      <c r="I8019" s="29"/>
      <c r="J8019" s="152">
        <v>0</v>
      </c>
    </row>
    <row r="8020" spans="1:10" ht="15.75" hidden="1" thickBot="1" x14ac:dyDescent="0.3">
      <c r="A8020" s="171"/>
      <c r="B8020" s="174"/>
      <c r="C8020" s="31"/>
      <c r="D8020" s="31"/>
      <c r="E8020" s="32"/>
      <c r="F8020" s="42" t="s">
        <v>416</v>
      </c>
      <c r="G8020" s="33" t="str">
        <f>IF(ISNUMBER(F8020),E8020*F8020,"")</f>
        <v/>
      </c>
      <c r="H8020" s="34"/>
      <c r="I8020" s="30"/>
      <c r="J8020" s="152">
        <v>0</v>
      </c>
    </row>
    <row r="8021" spans="1:10" ht="15.75" hidden="1" thickBot="1" x14ac:dyDescent="0.3">
      <c r="A8021" s="171"/>
      <c r="B8021" s="174"/>
      <c r="C8021" s="35" t="s">
        <v>8420</v>
      </c>
      <c r="D8021" s="35" t="s">
        <v>213</v>
      </c>
      <c r="E8021" s="36">
        <v>1</v>
      </c>
      <c r="F8021" s="30">
        <v>43.025499999999994</v>
      </c>
      <c r="G8021" s="33">
        <f>IF(ISNUMBER(F8021),E8021*F8021,"")</f>
        <v>43.025499999999994</v>
      </c>
      <c r="H8021" s="38">
        <f>SUM(G8021:G8021)</f>
        <v>43.025499999999994</v>
      </c>
      <c r="I8021" s="39"/>
      <c r="J8021" s="152">
        <v>0</v>
      </c>
    </row>
    <row r="8022" spans="1:10" ht="15.75" hidden="1" thickBot="1" x14ac:dyDescent="0.3">
      <c r="A8022" s="172"/>
      <c r="B8022" s="175"/>
      <c r="C8022" s="54"/>
      <c r="D8022" s="54"/>
      <c r="E8022" s="65"/>
      <c r="F8022" s="66" t="s">
        <v>416</v>
      </c>
      <c r="G8022" s="67" t="str">
        <f>IF(ISNUMBER(F8022),E8022*F8022,"")</f>
        <v/>
      </c>
      <c r="H8022" s="68"/>
      <c r="I8022" s="30"/>
      <c r="J8022" s="152">
        <v>0</v>
      </c>
    </row>
    <row r="8023" spans="1:10" ht="15.75" hidden="1" thickBot="1" x14ac:dyDescent="0.3">
      <c r="A8023" s="170" t="s">
        <v>6994</v>
      </c>
      <c r="B8023" s="173" t="str">
        <f>INDEX(Orçamentária!A:B,MATCH(Composições!A8023,Orçamentária!A:A,0),2)</f>
        <v>Tê inspeção PVC esgoto ou águas pluviais 100 mm</v>
      </c>
      <c r="C8023" s="40"/>
      <c r="D8023" s="25" t="s">
        <v>16</v>
      </c>
      <c r="E8023" s="26"/>
      <c r="F8023" s="41" t="s">
        <v>416</v>
      </c>
      <c r="G8023" s="27" t="str">
        <f>IF(ISNUMBER(F8023),E8023*F8023,"")</f>
        <v/>
      </c>
      <c r="H8023" s="28"/>
      <c r="I8023" s="29"/>
      <c r="J8023" s="152">
        <v>0</v>
      </c>
    </row>
    <row r="8024" spans="1:10" ht="15.75" hidden="1" thickBot="1" x14ac:dyDescent="0.3">
      <c r="A8024" s="171"/>
      <c r="B8024" s="174"/>
      <c r="C8024" s="31"/>
      <c r="D8024" s="31"/>
      <c r="E8024" s="32"/>
      <c r="F8024" s="42" t="s">
        <v>416</v>
      </c>
      <c r="G8024" s="33" t="str">
        <f>IF(ISNUMBER(F8024),E8024*F8024,"")</f>
        <v/>
      </c>
      <c r="H8024" s="34"/>
      <c r="I8024" s="30"/>
      <c r="J8024" s="152">
        <v>0</v>
      </c>
    </row>
    <row r="8025" spans="1:10" ht="26.25" hidden="1" thickBot="1" x14ac:dyDescent="0.3">
      <c r="A8025" s="171"/>
      <c r="B8025" s="174"/>
      <c r="C8025" s="35" t="s">
        <v>8572</v>
      </c>
      <c r="D8025" s="35" t="s">
        <v>213</v>
      </c>
      <c r="E8025" s="36">
        <v>1</v>
      </c>
      <c r="F8025" s="30">
        <v>40.336999999999996</v>
      </c>
      <c r="G8025" s="33">
        <f>IF(ISNUMBER(F8025),E8025*F8025,"")</f>
        <v>40.336999999999996</v>
      </c>
      <c r="H8025" s="38">
        <f>SUM(G8025:G8025)</f>
        <v>40.336999999999996</v>
      </c>
      <c r="I8025" s="39"/>
      <c r="J8025" s="152">
        <v>0</v>
      </c>
    </row>
    <row r="8026" spans="1:10" ht="15.75" hidden="1" thickBot="1" x14ac:dyDescent="0.3">
      <c r="A8026" s="172"/>
      <c r="B8026" s="175"/>
      <c r="C8026" s="54"/>
      <c r="D8026" s="54"/>
      <c r="E8026" s="65"/>
      <c r="F8026" s="66" t="s">
        <v>416</v>
      </c>
      <c r="G8026" s="67" t="str">
        <f>IF(ISNUMBER(F8026),E8026*F8026,"")</f>
        <v/>
      </c>
      <c r="H8026" s="68"/>
      <c r="I8026" s="30"/>
      <c r="J8026" s="152">
        <v>0</v>
      </c>
    </row>
    <row r="8027" spans="1:10" ht="15.75" hidden="1" thickBot="1" x14ac:dyDescent="0.3">
      <c r="A8027" s="170" t="s">
        <v>6995</v>
      </c>
      <c r="B8027" s="173" t="str">
        <f>INDEX(Orçamentária!A:B,MATCH(Composições!A8027,Orçamentária!A:A,0),2)</f>
        <v>Joelho com visita PVC esgoto ou águas pluviais 100x75 mm</v>
      </c>
      <c r="C8027" s="40"/>
      <c r="D8027" s="25" t="s">
        <v>16</v>
      </c>
      <c r="E8027" s="26"/>
      <c r="F8027" s="41" t="s">
        <v>416</v>
      </c>
      <c r="G8027" s="27" t="str">
        <f>IF(ISNUMBER(F8027),E8027*F8027,"")</f>
        <v/>
      </c>
      <c r="H8027" s="28"/>
      <c r="I8027" s="29"/>
      <c r="J8027" s="152">
        <v>0</v>
      </c>
    </row>
    <row r="8028" spans="1:10" ht="15.75" hidden="1" thickBot="1" x14ac:dyDescent="0.3">
      <c r="A8028" s="171"/>
      <c r="B8028" s="174"/>
      <c r="C8028" s="31"/>
      <c r="D8028" s="31"/>
      <c r="E8028" s="32"/>
      <c r="F8028" s="42" t="s">
        <v>416</v>
      </c>
      <c r="G8028" s="33" t="str">
        <f>IF(ISNUMBER(F8028),E8028*F8028,"")</f>
        <v/>
      </c>
      <c r="H8028" s="34"/>
      <c r="I8028" s="30"/>
      <c r="J8028" s="152">
        <v>0</v>
      </c>
    </row>
    <row r="8029" spans="1:10" ht="26.25" hidden="1" thickBot="1" x14ac:dyDescent="0.3">
      <c r="A8029" s="171"/>
      <c r="B8029" s="174"/>
      <c r="C8029" s="35" t="s">
        <v>8183</v>
      </c>
      <c r="D8029" s="35" t="s">
        <v>213</v>
      </c>
      <c r="E8029" s="36">
        <v>1</v>
      </c>
      <c r="F8029" s="30">
        <v>19.959500000000002</v>
      </c>
      <c r="G8029" s="33">
        <f>IF(ISNUMBER(F8029),E8029*F8029,"")</f>
        <v>19.959500000000002</v>
      </c>
      <c r="H8029" s="38">
        <f>SUM(G8029:G8029)</f>
        <v>19.959500000000002</v>
      </c>
      <c r="I8029" s="39"/>
      <c r="J8029" s="152">
        <v>0</v>
      </c>
    </row>
    <row r="8030" spans="1:10" ht="15.75" hidden="1" thickBot="1" x14ac:dyDescent="0.3">
      <c r="A8030" s="172"/>
      <c r="B8030" s="175"/>
      <c r="C8030" s="54"/>
      <c r="D8030" s="54"/>
      <c r="E8030" s="65"/>
      <c r="F8030" s="66" t="s">
        <v>416</v>
      </c>
      <c r="G8030" s="67" t="str">
        <f>IF(ISNUMBER(F8030),E8030*F8030,"")</f>
        <v/>
      </c>
      <c r="H8030" s="68"/>
      <c r="I8030" s="30"/>
      <c r="J8030" s="152">
        <v>0</v>
      </c>
    </row>
    <row r="8031" spans="1:10" ht="15.75" hidden="1" thickBot="1" x14ac:dyDescent="0.3">
      <c r="A8031" s="170" t="s">
        <v>6996</v>
      </c>
      <c r="B8031" s="173" t="str">
        <f>INDEX(Orçamentária!A:B,MATCH(Composições!A8031,Orçamentária!A:A,0),2)</f>
        <v>Redução PVC esgoto ou águas pluviais 100x75 mm</v>
      </c>
      <c r="C8031" s="40"/>
      <c r="D8031" s="25" t="s">
        <v>16</v>
      </c>
      <c r="E8031" s="26"/>
      <c r="F8031" s="41" t="s">
        <v>416</v>
      </c>
      <c r="G8031" s="27" t="str">
        <f>IF(ISNUMBER(F8031),E8031*F8031,"")</f>
        <v/>
      </c>
      <c r="H8031" s="28"/>
      <c r="I8031" s="29"/>
      <c r="J8031" s="152">
        <v>0</v>
      </c>
    </row>
    <row r="8032" spans="1:10" ht="15.75" hidden="1" thickBot="1" x14ac:dyDescent="0.3">
      <c r="A8032" s="171"/>
      <c r="B8032" s="174"/>
      <c r="C8032" s="31"/>
      <c r="D8032" s="31"/>
      <c r="E8032" s="32"/>
      <c r="F8032" s="42" t="s">
        <v>416</v>
      </c>
      <c r="G8032" s="33" t="str">
        <f>IF(ISNUMBER(F8032),E8032*F8032,"")</f>
        <v/>
      </c>
      <c r="H8032" s="34"/>
      <c r="I8032" s="30"/>
      <c r="J8032" s="152">
        <v>0</v>
      </c>
    </row>
    <row r="8033" spans="1:10" ht="26.25" hidden="1" thickBot="1" x14ac:dyDescent="0.3">
      <c r="A8033" s="171"/>
      <c r="B8033" s="174"/>
      <c r="C8033" s="35" t="s">
        <v>8349</v>
      </c>
      <c r="D8033" s="35" t="s">
        <v>213</v>
      </c>
      <c r="E8033" s="36">
        <v>1</v>
      </c>
      <c r="F8033" s="30">
        <v>10.222</v>
      </c>
      <c r="G8033" s="33">
        <f>IF(ISNUMBER(F8033),E8033*F8033,"")</f>
        <v>10.222</v>
      </c>
      <c r="H8033" s="38">
        <f>SUM(G8033:G8033)</f>
        <v>10.222</v>
      </c>
      <c r="I8033" s="39"/>
      <c r="J8033" s="152">
        <v>0</v>
      </c>
    </row>
    <row r="8034" spans="1:10" ht="15.75" hidden="1" thickBot="1" x14ac:dyDescent="0.3">
      <c r="A8034" s="172"/>
      <c r="B8034" s="175"/>
      <c r="C8034" s="54"/>
      <c r="D8034" s="54"/>
      <c r="E8034" s="65"/>
      <c r="F8034" s="66" t="s">
        <v>416</v>
      </c>
      <c r="G8034" s="67" t="str">
        <f>IF(ISNUMBER(F8034),E8034*F8034,"")</f>
        <v/>
      </c>
      <c r="H8034" s="68"/>
      <c r="I8034" s="30"/>
      <c r="J8034" s="152">
        <v>0</v>
      </c>
    </row>
    <row r="8035" spans="1:10" ht="15.75" hidden="1" thickBot="1" x14ac:dyDescent="0.3">
      <c r="A8035" s="170" t="s">
        <v>6997</v>
      </c>
      <c r="B8035" s="173" t="str">
        <f>INDEX(Orçamentária!A:B,MATCH(Composições!A8035,Orçamentária!A:A,0),2)</f>
        <v>Luva simples PVC esgoto ou águas pluviais 150 mm</v>
      </c>
      <c r="C8035" s="40"/>
      <c r="D8035" s="25" t="s">
        <v>16</v>
      </c>
      <c r="E8035" s="26"/>
      <c r="F8035" s="41" t="s">
        <v>416</v>
      </c>
      <c r="G8035" s="27" t="str">
        <f>IF(ISNUMBER(F8035),E8035*F8035,"")</f>
        <v/>
      </c>
      <c r="H8035" s="28"/>
      <c r="I8035" s="29"/>
      <c r="J8035" s="152">
        <v>0</v>
      </c>
    </row>
    <row r="8036" spans="1:10" ht="15.75" hidden="1" thickBot="1" x14ac:dyDescent="0.3">
      <c r="A8036" s="171"/>
      <c r="B8036" s="174"/>
      <c r="C8036" s="31"/>
      <c r="D8036" s="31"/>
      <c r="E8036" s="32"/>
      <c r="F8036" s="42" t="s">
        <v>416</v>
      </c>
      <c r="G8036" s="33" t="str">
        <f>IF(ISNUMBER(F8036),E8036*F8036,"")</f>
        <v/>
      </c>
      <c r="H8036" s="34"/>
      <c r="I8036" s="30"/>
      <c r="J8036" s="152">
        <v>0</v>
      </c>
    </row>
    <row r="8037" spans="1:10" ht="26.25" hidden="1" thickBot="1" x14ac:dyDescent="0.3">
      <c r="A8037" s="171"/>
      <c r="B8037" s="174"/>
      <c r="C8037" s="35" t="s">
        <v>8277</v>
      </c>
      <c r="D8037" s="35" t="s">
        <v>213</v>
      </c>
      <c r="E8037" s="36">
        <v>1</v>
      </c>
      <c r="F8037" s="30">
        <v>32.242999999999995</v>
      </c>
      <c r="G8037" s="33">
        <f>IF(ISNUMBER(F8037),E8037*F8037,"")</f>
        <v>32.242999999999995</v>
      </c>
      <c r="H8037" s="38">
        <f>SUM(G8037:G8037)</f>
        <v>32.242999999999995</v>
      </c>
      <c r="I8037" s="39"/>
      <c r="J8037" s="152">
        <v>0</v>
      </c>
    </row>
    <row r="8038" spans="1:10" ht="15.75" hidden="1" thickBot="1" x14ac:dyDescent="0.3">
      <c r="A8038" s="172"/>
      <c r="B8038" s="175"/>
      <c r="C8038" s="54"/>
      <c r="D8038" s="54"/>
      <c r="E8038" s="65"/>
      <c r="F8038" s="66" t="s">
        <v>416</v>
      </c>
      <c r="G8038" s="67" t="str">
        <f>IF(ISNUMBER(F8038),E8038*F8038,"")</f>
        <v/>
      </c>
      <c r="H8038" s="68"/>
      <c r="I8038" s="30"/>
      <c r="J8038" s="152">
        <v>0</v>
      </c>
    </row>
    <row r="8039" spans="1:10" ht="15.75" hidden="1" thickBot="1" x14ac:dyDescent="0.3">
      <c r="A8039" s="170" t="s">
        <v>6998</v>
      </c>
      <c r="B8039" s="173" t="str">
        <f>INDEX(Orçamentária!A:B,MATCH(Composições!A8039,Orçamentária!A:A,0),2)</f>
        <v>Luva de correr PVC esgoto ou águas pluviais 150 mm</v>
      </c>
      <c r="C8039" s="40"/>
      <c r="D8039" s="25" t="s">
        <v>16</v>
      </c>
      <c r="E8039" s="26"/>
      <c r="F8039" s="41" t="s">
        <v>416</v>
      </c>
      <c r="G8039" s="27" t="str">
        <f>IF(ISNUMBER(F8039),E8039*F8039,"")</f>
        <v/>
      </c>
      <c r="H8039" s="28"/>
      <c r="I8039" s="29"/>
      <c r="J8039" s="152">
        <v>0</v>
      </c>
    </row>
    <row r="8040" spans="1:10" ht="15.75" hidden="1" thickBot="1" x14ac:dyDescent="0.3">
      <c r="A8040" s="171"/>
      <c r="B8040" s="174"/>
      <c r="C8040" s="31"/>
      <c r="D8040" s="31"/>
      <c r="E8040" s="32"/>
      <c r="F8040" s="42" t="s">
        <v>416</v>
      </c>
      <c r="G8040" s="33" t="str">
        <f>IF(ISNUMBER(F8040),E8040*F8040,"")</f>
        <v/>
      </c>
      <c r="H8040" s="34"/>
      <c r="I8040" s="30"/>
      <c r="J8040" s="152">
        <v>0</v>
      </c>
    </row>
    <row r="8041" spans="1:10" ht="15.75" hidden="1" thickBot="1" x14ac:dyDescent="0.3">
      <c r="A8041" s="171"/>
      <c r="B8041" s="174"/>
      <c r="C8041" s="35" t="s">
        <v>8249</v>
      </c>
      <c r="D8041" s="35" t="s">
        <v>213</v>
      </c>
      <c r="E8041" s="36">
        <v>1</v>
      </c>
      <c r="F8041" s="30">
        <v>73.558500000000009</v>
      </c>
      <c r="G8041" s="33">
        <f>IF(ISNUMBER(F8041),E8041*F8041,"")</f>
        <v>73.558500000000009</v>
      </c>
      <c r="H8041" s="38">
        <f>SUM(G8041:G8041)</f>
        <v>73.558500000000009</v>
      </c>
      <c r="I8041" s="39"/>
      <c r="J8041" s="152">
        <v>0</v>
      </c>
    </row>
    <row r="8042" spans="1:10" ht="15.75" hidden="1" thickBot="1" x14ac:dyDescent="0.3">
      <c r="A8042" s="172"/>
      <c r="B8042" s="175"/>
      <c r="C8042" s="54"/>
      <c r="D8042" s="54"/>
      <c r="E8042" s="65"/>
      <c r="F8042" s="66" t="s">
        <v>416</v>
      </c>
      <c r="G8042" s="67" t="str">
        <f>IF(ISNUMBER(F8042),E8042*F8042,"")</f>
        <v/>
      </c>
      <c r="H8042" s="68"/>
      <c r="I8042" s="30"/>
      <c r="J8042" s="152">
        <v>0</v>
      </c>
    </row>
    <row r="8043" spans="1:10" ht="15.75" hidden="1" thickBot="1" x14ac:dyDescent="0.3">
      <c r="A8043" s="170" t="s">
        <v>6999</v>
      </c>
      <c r="B8043" s="173" t="str">
        <f>INDEX(Orçamentária!A:B,MATCH(Composições!A8043,Orçamentária!A:A,0),2)</f>
        <v>Junção PVC esgoto ou águas pluviais 150 mm</v>
      </c>
      <c r="C8043" s="40"/>
      <c r="D8043" s="25" t="s">
        <v>16</v>
      </c>
      <c r="E8043" s="26"/>
      <c r="F8043" s="41" t="s">
        <v>416</v>
      </c>
      <c r="G8043" s="27" t="str">
        <f>IF(ISNUMBER(F8043),E8043*F8043,"")</f>
        <v/>
      </c>
      <c r="H8043" s="28"/>
      <c r="I8043" s="29"/>
      <c r="J8043" s="152">
        <v>0</v>
      </c>
    </row>
    <row r="8044" spans="1:10" ht="15.75" hidden="1" thickBot="1" x14ac:dyDescent="0.3">
      <c r="A8044" s="171"/>
      <c r="B8044" s="174"/>
      <c r="C8044" s="31"/>
      <c r="D8044" s="31"/>
      <c r="E8044" s="32"/>
      <c r="F8044" s="42" t="s">
        <v>416</v>
      </c>
      <c r="G8044" s="33" t="str">
        <f>IF(ISNUMBER(F8044),E8044*F8044,"")</f>
        <v/>
      </c>
      <c r="H8044" s="34"/>
      <c r="I8044" s="30"/>
      <c r="J8044" s="152">
        <v>0</v>
      </c>
    </row>
    <row r="8045" spans="1:10" ht="26.25" hidden="1" thickBot="1" x14ac:dyDescent="0.3">
      <c r="A8045" s="171"/>
      <c r="B8045" s="174"/>
      <c r="C8045" s="35" t="s">
        <v>8214</v>
      </c>
      <c r="D8045" s="35" t="s">
        <v>213</v>
      </c>
      <c r="E8045" s="36">
        <v>1</v>
      </c>
      <c r="F8045" s="30">
        <v>179.64499999999998</v>
      </c>
      <c r="G8045" s="33">
        <f>IF(ISNUMBER(F8045),E8045*F8045,"")</f>
        <v>179.64499999999998</v>
      </c>
      <c r="H8045" s="38">
        <f>SUM(G8045:G8045)</f>
        <v>179.64499999999998</v>
      </c>
      <c r="I8045" s="39"/>
      <c r="J8045" s="152">
        <v>0</v>
      </c>
    </row>
    <row r="8046" spans="1:10" ht="15.75" hidden="1" thickBot="1" x14ac:dyDescent="0.3">
      <c r="A8046" s="172"/>
      <c r="B8046" s="175"/>
      <c r="C8046" s="54"/>
      <c r="D8046" s="54"/>
      <c r="E8046" s="65"/>
      <c r="F8046" s="66" t="s">
        <v>416</v>
      </c>
      <c r="G8046" s="67" t="str">
        <f>IF(ISNUMBER(F8046),E8046*F8046,"")</f>
        <v/>
      </c>
      <c r="H8046" s="68"/>
      <c r="I8046" s="30"/>
      <c r="J8046" s="152">
        <v>0</v>
      </c>
    </row>
    <row r="8047" spans="1:10" ht="15.75" hidden="1" thickBot="1" x14ac:dyDescent="0.3">
      <c r="A8047" s="170" t="s">
        <v>7000</v>
      </c>
      <c r="B8047" s="173" t="str">
        <f>INDEX(Orçamentária!A:B,MATCH(Composições!A8047,Orçamentária!A:A,0),2)</f>
        <v>Tê PVC esgoto ou águas pluviais 150 mm</v>
      </c>
      <c r="C8047" s="40"/>
      <c r="D8047" s="25" t="s">
        <v>16</v>
      </c>
      <c r="E8047" s="26"/>
      <c r="F8047" s="41" t="s">
        <v>416</v>
      </c>
      <c r="G8047" s="27" t="str">
        <f>IF(ISNUMBER(F8047),E8047*F8047,"")</f>
        <v/>
      </c>
      <c r="H8047" s="28"/>
      <c r="I8047" s="29"/>
      <c r="J8047" s="152">
        <v>0</v>
      </c>
    </row>
    <row r="8048" spans="1:10" ht="15.75" hidden="1" thickBot="1" x14ac:dyDescent="0.3">
      <c r="A8048" s="171"/>
      <c r="B8048" s="174"/>
      <c r="C8048" s="31"/>
      <c r="D8048" s="31"/>
      <c r="E8048" s="32"/>
      <c r="F8048" s="42" t="s">
        <v>416</v>
      </c>
      <c r="G8048" s="33" t="str">
        <f>IF(ISNUMBER(F8048),E8048*F8048,"")</f>
        <v/>
      </c>
      <c r="H8048" s="34"/>
      <c r="I8048" s="30"/>
      <c r="J8048" s="152">
        <v>0</v>
      </c>
    </row>
    <row r="8049" spans="1:10" ht="15.75" hidden="1" thickBot="1" x14ac:dyDescent="0.3">
      <c r="A8049" s="171"/>
      <c r="B8049" s="174"/>
      <c r="C8049" s="35" t="s">
        <v>8421</v>
      </c>
      <c r="D8049" s="35" t="s">
        <v>213</v>
      </c>
      <c r="E8049" s="36">
        <v>1</v>
      </c>
      <c r="F8049" s="30">
        <v>113.96199999999999</v>
      </c>
      <c r="G8049" s="33">
        <f>IF(ISNUMBER(F8049),E8049*F8049,"")</f>
        <v>113.96199999999999</v>
      </c>
      <c r="H8049" s="38">
        <f>SUM(G8049:G8049)</f>
        <v>113.96199999999999</v>
      </c>
      <c r="I8049" s="39"/>
      <c r="J8049" s="152">
        <v>0</v>
      </c>
    </row>
    <row r="8050" spans="1:10" ht="15.75" hidden="1" thickBot="1" x14ac:dyDescent="0.3">
      <c r="A8050" s="172"/>
      <c r="B8050" s="175"/>
      <c r="C8050" s="54"/>
      <c r="D8050" s="54"/>
      <c r="E8050" s="65"/>
      <c r="F8050" s="66" t="s">
        <v>416</v>
      </c>
      <c r="G8050" s="67" t="str">
        <f>IF(ISNUMBER(F8050),E8050*F8050,"")</f>
        <v/>
      </c>
      <c r="H8050" s="68"/>
      <c r="I8050" s="30"/>
      <c r="J8050" s="152">
        <v>0</v>
      </c>
    </row>
    <row r="8051" spans="1:10" ht="15.75" hidden="1" thickBot="1" x14ac:dyDescent="0.3">
      <c r="A8051" s="170" t="s">
        <v>7001</v>
      </c>
      <c r="B8051" s="173" t="str">
        <f>INDEX(Orçamentária!A:B,MATCH(Composições!A8051,Orçamentária!A:A,0),2)</f>
        <v>Joelho 90° PVC esgoto ou águas pluviais 150 mm</v>
      </c>
      <c r="C8051" s="40"/>
      <c r="D8051" s="25" t="s">
        <v>16</v>
      </c>
      <c r="E8051" s="26"/>
      <c r="F8051" s="41" t="s">
        <v>416</v>
      </c>
      <c r="G8051" s="27" t="str">
        <f>IF(ISNUMBER(F8051),E8051*F8051,"")</f>
        <v/>
      </c>
      <c r="H8051" s="28"/>
      <c r="I8051" s="29"/>
      <c r="J8051" s="152">
        <v>0</v>
      </c>
    </row>
    <row r="8052" spans="1:10" ht="15.75" hidden="1" thickBot="1" x14ac:dyDescent="0.3">
      <c r="A8052" s="171"/>
      <c r="B8052" s="174"/>
      <c r="C8052" s="31"/>
      <c r="D8052" s="31"/>
      <c r="E8052" s="32"/>
      <c r="F8052" s="42" t="s">
        <v>416</v>
      </c>
      <c r="G8052" s="33" t="str">
        <f>IF(ISNUMBER(F8052),E8052*F8052,"")</f>
        <v/>
      </c>
      <c r="H8052" s="34"/>
      <c r="I8052" s="30"/>
      <c r="J8052" s="152">
        <v>0</v>
      </c>
    </row>
    <row r="8053" spans="1:10" ht="26.25" hidden="1" thickBot="1" x14ac:dyDescent="0.3">
      <c r="A8053" s="171"/>
      <c r="B8053" s="174"/>
      <c r="C8053" s="35" t="s">
        <v>8194</v>
      </c>
      <c r="D8053" s="35" t="s">
        <v>213</v>
      </c>
      <c r="E8053" s="36">
        <v>1</v>
      </c>
      <c r="F8053" s="30">
        <v>59.289499999999997</v>
      </c>
      <c r="G8053" s="33">
        <f>IF(ISNUMBER(F8053),E8053*F8053,"")</f>
        <v>59.289499999999997</v>
      </c>
      <c r="H8053" s="38">
        <f>SUM(G8053:G8053)</f>
        <v>59.289499999999997</v>
      </c>
      <c r="I8053" s="39"/>
      <c r="J8053" s="152">
        <v>0</v>
      </c>
    </row>
    <row r="8054" spans="1:10" ht="15.75" hidden="1" thickBot="1" x14ac:dyDescent="0.3">
      <c r="A8054" s="172"/>
      <c r="B8054" s="175"/>
      <c r="C8054" s="54"/>
      <c r="D8054" s="54"/>
      <c r="E8054" s="65"/>
      <c r="F8054" s="66" t="s">
        <v>416</v>
      </c>
      <c r="G8054" s="67" t="str">
        <f>IF(ISNUMBER(F8054),E8054*F8054,"")</f>
        <v/>
      </c>
      <c r="H8054" s="68"/>
      <c r="I8054" s="30"/>
      <c r="J8054" s="152">
        <v>0</v>
      </c>
    </row>
    <row r="8055" spans="1:10" ht="15.75" hidden="1" thickBot="1" x14ac:dyDescent="0.3">
      <c r="A8055" s="170" t="s">
        <v>7002</v>
      </c>
      <c r="B8055" s="173" t="str">
        <f>INDEX(Orçamentária!A:B,MATCH(Composições!A8055,Orçamentária!A:A,0),2)</f>
        <v>Joelho 45° PVC esgoto ou águas pluviais 150 mm</v>
      </c>
      <c r="C8055" s="40"/>
      <c r="D8055" s="25" t="s">
        <v>16</v>
      </c>
      <c r="E8055" s="26"/>
      <c r="F8055" s="41" t="s">
        <v>416</v>
      </c>
      <c r="G8055" s="27" t="str">
        <f>IF(ISNUMBER(F8055),E8055*F8055,"")</f>
        <v/>
      </c>
      <c r="H8055" s="28"/>
      <c r="I8055" s="29"/>
      <c r="J8055" s="152">
        <v>0</v>
      </c>
    </row>
    <row r="8056" spans="1:10" ht="15.75" hidden="1" thickBot="1" x14ac:dyDescent="0.3">
      <c r="A8056" s="171"/>
      <c r="B8056" s="174"/>
      <c r="C8056" s="31"/>
      <c r="D8056" s="31"/>
      <c r="E8056" s="32"/>
      <c r="F8056" s="42" t="s">
        <v>416</v>
      </c>
      <c r="G8056" s="33" t="str">
        <f>IF(ISNUMBER(F8056),E8056*F8056,"")</f>
        <v/>
      </c>
      <c r="H8056" s="34"/>
      <c r="I8056" s="30"/>
      <c r="J8056" s="152">
        <v>0</v>
      </c>
    </row>
    <row r="8057" spans="1:10" ht="26.25" hidden="1" thickBot="1" x14ac:dyDescent="0.3">
      <c r="A8057" s="171"/>
      <c r="B8057" s="174"/>
      <c r="C8057" s="35" t="s">
        <v>8189</v>
      </c>
      <c r="D8057" s="35" t="s">
        <v>213</v>
      </c>
      <c r="E8057" s="36">
        <v>1</v>
      </c>
      <c r="F8057" s="30">
        <v>64.400500000000008</v>
      </c>
      <c r="G8057" s="33">
        <f>IF(ISNUMBER(F8057),E8057*F8057,"")</f>
        <v>64.400500000000008</v>
      </c>
      <c r="H8057" s="38">
        <f>SUM(G8057:G8057)</f>
        <v>64.400500000000008</v>
      </c>
      <c r="I8057" s="39"/>
      <c r="J8057" s="152">
        <v>0</v>
      </c>
    </row>
    <row r="8058" spans="1:10" ht="15.75" hidden="1" thickBot="1" x14ac:dyDescent="0.3">
      <c r="A8058" s="172"/>
      <c r="B8058" s="175"/>
      <c r="C8058" s="54"/>
      <c r="D8058" s="54"/>
      <c r="E8058" s="65"/>
      <c r="F8058" s="66" t="s">
        <v>416</v>
      </c>
      <c r="G8058" s="67" t="str">
        <f>IF(ISNUMBER(F8058),E8058*F8058,"")</f>
        <v/>
      </c>
      <c r="H8058" s="68"/>
      <c r="I8058" s="30"/>
      <c r="J8058" s="152">
        <v>0</v>
      </c>
    </row>
    <row r="8059" spans="1:10" ht="15.75" hidden="1" thickBot="1" x14ac:dyDescent="0.3">
      <c r="A8059" s="170" t="s">
        <v>7003</v>
      </c>
      <c r="B8059" s="173" t="str">
        <f>INDEX(Orçamentária!A:B,MATCH(Composições!A8059,Orçamentária!A:A,0),2)</f>
        <v>Curva longa 90° PVC esgoto ou águas pluviais 150 mm</v>
      </c>
      <c r="C8059" s="40"/>
      <c r="D8059" s="25" t="s">
        <v>16</v>
      </c>
      <c r="E8059" s="26"/>
      <c r="F8059" s="41" t="s">
        <v>416</v>
      </c>
      <c r="G8059" s="27" t="str">
        <f>IF(ISNUMBER(F8059),E8059*F8059,"")</f>
        <v/>
      </c>
      <c r="H8059" s="28"/>
      <c r="I8059" s="29"/>
      <c r="J8059" s="152">
        <v>0</v>
      </c>
    </row>
    <row r="8060" spans="1:10" ht="15.75" hidden="1" thickBot="1" x14ac:dyDescent="0.3">
      <c r="A8060" s="171"/>
      <c r="B8060" s="174"/>
      <c r="C8060" s="31"/>
      <c r="D8060" s="31"/>
      <c r="E8060" s="32"/>
      <c r="F8060" s="42" t="s">
        <v>416</v>
      </c>
      <c r="G8060" s="33" t="str">
        <f>IF(ISNUMBER(F8060),E8060*F8060,"")</f>
        <v/>
      </c>
      <c r="H8060" s="34"/>
      <c r="I8060" s="30"/>
      <c r="J8060" s="152">
        <v>0</v>
      </c>
    </row>
    <row r="8061" spans="1:10" ht="26.25" hidden="1" thickBot="1" x14ac:dyDescent="0.3">
      <c r="A8061" s="171"/>
      <c r="B8061" s="174"/>
      <c r="C8061" s="35" t="s">
        <v>8111</v>
      </c>
      <c r="D8061" s="35" t="s">
        <v>213</v>
      </c>
      <c r="E8061" s="36">
        <v>1</v>
      </c>
      <c r="F8061" s="30">
        <v>149.75799999999998</v>
      </c>
      <c r="G8061" s="33">
        <f>IF(ISNUMBER(F8061),E8061*F8061,"")</f>
        <v>149.75799999999998</v>
      </c>
      <c r="H8061" s="38">
        <f>SUM(G8061:G8061)</f>
        <v>149.75799999999998</v>
      </c>
      <c r="I8061" s="39"/>
      <c r="J8061" s="152">
        <v>0</v>
      </c>
    </row>
    <row r="8062" spans="1:10" ht="15.75" hidden="1" thickBot="1" x14ac:dyDescent="0.3">
      <c r="A8062" s="172"/>
      <c r="B8062" s="175"/>
      <c r="C8062" s="54"/>
      <c r="D8062" s="54"/>
      <c r="E8062" s="65"/>
      <c r="F8062" s="66" t="s">
        <v>416</v>
      </c>
      <c r="G8062" s="67" t="str">
        <f>IF(ISNUMBER(F8062),E8062*F8062,"")</f>
        <v/>
      </c>
      <c r="H8062" s="68"/>
      <c r="I8062" s="30"/>
      <c r="J8062" s="152">
        <v>0</v>
      </c>
    </row>
    <row r="8063" spans="1:10" ht="15.75" hidden="1" thickBot="1" x14ac:dyDescent="0.3">
      <c r="A8063" s="170" t="s">
        <v>7004</v>
      </c>
      <c r="B8063" s="173" t="str">
        <f>INDEX(Orçamentária!A:B,MATCH(Composições!A8063,Orçamentária!A:A,0),2)</f>
        <v>Cap PVC esgoto ou águas pluviais 150 mm</v>
      </c>
      <c r="C8063" s="40"/>
      <c r="D8063" s="25" t="s">
        <v>16</v>
      </c>
      <c r="E8063" s="26"/>
      <c r="F8063" s="41" t="s">
        <v>416</v>
      </c>
      <c r="G8063" s="27" t="str">
        <f>IF(ISNUMBER(F8063),E8063*F8063,"")</f>
        <v/>
      </c>
      <c r="H8063" s="28"/>
      <c r="I8063" s="29"/>
      <c r="J8063" s="152">
        <v>0</v>
      </c>
    </row>
    <row r="8064" spans="1:10" ht="15.75" hidden="1" thickBot="1" x14ac:dyDescent="0.3">
      <c r="A8064" s="171"/>
      <c r="B8064" s="174"/>
      <c r="C8064" s="31"/>
      <c r="D8064" s="31"/>
      <c r="E8064" s="32"/>
      <c r="F8064" s="42" t="s">
        <v>416</v>
      </c>
      <c r="G8064" s="33" t="str">
        <f>IF(ISNUMBER(F8064),E8064*F8064,"")</f>
        <v/>
      </c>
      <c r="H8064" s="34"/>
      <c r="I8064" s="30"/>
      <c r="J8064" s="152">
        <v>0</v>
      </c>
    </row>
    <row r="8065" spans="1:10" ht="15.75" hidden="1" thickBot="1" x14ac:dyDescent="0.3">
      <c r="A8065" s="171"/>
      <c r="B8065" s="174"/>
      <c r="C8065" s="35" t="s">
        <v>8047</v>
      </c>
      <c r="D8065" s="35" t="s">
        <v>213</v>
      </c>
      <c r="E8065" s="36">
        <v>1</v>
      </c>
      <c r="F8065" s="30">
        <v>61.901999999999994</v>
      </c>
      <c r="G8065" s="33">
        <f>IF(ISNUMBER(F8065),E8065*F8065,"")</f>
        <v>61.901999999999994</v>
      </c>
      <c r="H8065" s="38">
        <f>SUM(G8065:G8065)</f>
        <v>61.901999999999994</v>
      </c>
      <c r="I8065" s="39"/>
      <c r="J8065" s="152">
        <v>0</v>
      </c>
    </row>
    <row r="8066" spans="1:10" ht="15.75" hidden="1" thickBot="1" x14ac:dyDescent="0.3">
      <c r="A8066" s="172"/>
      <c r="B8066" s="175"/>
      <c r="C8066" s="54"/>
      <c r="D8066" s="54"/>
      <c r="E8066" s="65"/>
      <c r="F8066" s="66" t="s">
        <v>416</v>
      </c>
      <c r="G8066" s="67" t="str">
        <f>IF(ISNUMBER(F8066),E8066*F8066,"")</f>
        <v/>
      </c>
      <c r="H8066" s="68"/>
      <c r="I8066" s="30"/>
      <c r="J8066" s="152">
        <v>0</v>
      </c>
    </row>
    <row r="8067" spans="1:10" ht="15.75" hidden="1" thickBot="1" x14ac:dyDescent="0.3">
      <c r="A8067" s="170" t="s">
        <v>7005</v>
      </c>
      <c r="B8067" s="173" t="str">
        <f>INDEX(Orçamentária!A:B,MATCH(Composições!A8067,Orçamentária!A:A,0),2)</f>
        <v>Redução PVC esgoto ou águas pluviais 150 mm x 100 mm</v>
      </c>
      <c r="C8067" s="40"/>
      <c r="D8067" s="25" t="s">
        <v>16</v>
      </c>
      <c r="E8067" s="26"/>
      <c r="F8067" s="41" t="s">
        <v>416</v>
      </c>
      <c r="G8067" s="27" t="str">
        <f>IF(ISNUMBER(F8067),E8067*F8067,"")</f>
        <v/>
      </c>
      <c r="H8067" s="28"/>
      <c r="I8067" s="29"/>
      <c r="J8067" s="152">
        <v>0</v>
      </c>
    </row>
    <row r="8068" spans="1:10" ht="15.75" hidden="1" thickBot="1" x14ac:dyDescent="0.3">
      <c r="A8068" s="171"/>
      <c r="B8068" s="174"/>
      <c r="C8068" s="31"/>
      <c r="D8068" s="31"/>
      <c r="E8068" s="32"/>
      <c r="F8068" s="42" t="s">
        <v>416</v>
      </c>
      <c r="G8068" s="33" t="str">
        <f>IF(ISNUMBER(F8068),E8068*F8068,"")</f>
        <v/>
      </c>
      <c r="H8068" s="34"/>
      <c r="I8068" s="30"/>
      <c r="J8068" s="152">
        <v>0</v>
      </c>
    </row>
    <row r="8069" spans="1:10" ht="26.25" hidden="1" thickBot="1" x14ac:dyDescent="0.3">
      <c r="A8069" s="171"/>
      <c r="B8069" s="174"/>
      <c r="C8069" s="35" t="s">
        <v>1192</v>
      </c>
      <c r="D8069" s="35" t="s">
        <v>213</v>
      </c>
      <c r="E8069" s="36">
        <v>1</v>
      </c>
      <c r="F8069" s="30">
        <v>54.301999999999992</v>
      </c>
      <c r="G8069" s="33">
        <f>IF(ISNUMBER(F8069),E8069*F8069,"")</f>
        <v>54.301999999999992</v>
      </c>
      <c r="H8069" s="38">
        <f>SUM(G8069:G8069)</f>
        <v>54.301999999999992</v>
      </c>
      <c r="I8069" s="39"/>
      <c r="J8069" s="152">
        <v>0</v>
      </c>
    </row>
    <row r="8070" spans="1:10" ht="15.75" hidden="1" thickBot="1" x14ac:dyDescent="0.3">
      <c r="A8070" s="172"/>
      <c r="B8070" s="175"/>
      <c r="C8070" s="54"/>
      <c r="D8070" s="54"/>
      <c r="E8070" s="65"/>
      <c r="F8070" s="66" t="s">
        <v>416</v>
      </c>
      <c r="G8070" s="67" t="str">
        <f>IF(ISNUMBER(F8070),E8070*F8070,"")</f>
        <v/>
      </c>
      <c r="H8070" s="68"/>
      <c r="I8070" s="30"/>
      <c r="J8070" s="152">
        <v>0</v>
      </c>
    </row>
    <row r="8071" spans="1:10" ht="15.75" hidden="1" thickBot="1" x14ac:dyDescent="0.3">
      <c r="A8071" s="170" t="s">
        <v>7007</v>
      </c>
      <c r="B8071" s="173" t="str">
        <f>INDEX(Orçamentária!A:B,MATCH(Composições!A8071,Orçamentária!A:A,0),2)</f>
        <v>Joelho 90° cobre 35 mm</v>
      </c>
      <c r="C8071" s="40"/>
      <c r="D8071" s="25" t="s">
        <v>16</v>
      </c>
      <c r="E8071" s="26"/>
      <c r="F8071" s="41" t="s">
        <v>416</v>
      </c>
      <c r="G8071" s="27" t="str">
        <f>IF(ISNUMBER(F8071),E8071*F8071,"")</f>
        <v/>
      </c>
      <c r="H8071" s="28"/>
      <c r="I8071" s="29"/>
      <c r="J8071" s="152">
        <v>0</v>
      </c>
    </row>
    <row r="8072" spans="1:10" ht="15.75" hidden="1" thickBot="1" x14ac:dyDescent="0.3">
      <c r="A8072" s="171"/>
      <c r="B8072" s="174"/>
      <c r="C8072" s="31"/>
      <c r="D8072" s="31"/>
      <c r="E8072" s="32"/>
      <c r="F8072" s="42" t="s">
        <v>416</v>
      </c>
      <c r="G8072" s="33" t="str">
        <f>IF(ISNUMBER(F8072),E8072*F8072,"")</f>
        <v/>
      </c>
      <c r="H8072" s="34"/>
      <c r="I8072" s="30"/>
      <c r="J8072" s="152">
        <v>0</v>
      </c>
    </row>
    <row r="8073" spans="1:10" ht="26.25" hidden="1" thickBot="1" x14ac:dyDescent="0.3">
      <c r="A8073" s="171"/>
      <c r="B8073" s="174"/>
      <c r="C8073" s="35" t="s">
        <v>1047</v>
      </c>
      <c r="D8073" s="35" t="s">
        <v>213</v>
      </c>
      <c r="E8073" s="36">
        <v>1</v>
      </c>
      <c r="F8073" s="30">
        <v>41.742999999999995</v>
      </c>
      <c r="G8073" s="33">
        <f>IF(ISNUMBER(F8073),E8073*F8073,"")</f>
        <v>41.742999999999995</v>
      </c>
      <c r="H8073" s="38">
        <f>SUM(G8073:G8073)</f>
        <v>41.742999999999995</v>
      </c>
      <c r="I8073" s="39"/>
      <c r="J8073" s="152">
        <v>0</v>
      </c>
    </row>
    <row r="8074" spans="1:10" ht="15.75" hidden="1" thickBot="1" x14ac:dyDescent="0.3">
      <c r="A8074" s="172"/>
      <c r="B8074" s="175"/>
      <c r="C8074" s="54"/>
      <c r="D8074" s="54"/>
      <c r="E8074" s="65"/>
      <c r="F8074" s="66" t="s">
        <v>416</v>
      </c>
      <c r="G8074" s="67" t="str">
        <f>IF(ISNUMBER(F8074),E8074*F8074,"")</f>
        <v/>
      </c>
      <c r="H8074" s="68"/>
      <c r="I8074" s="30"/>
      <c r="J8074" s="152">
        <v>0</v>
      </c>
    </row>
    <row r="8075" spans="1:10" ht="15.75" hidden="1" thickBot="1" x14ac:dyDescent="0.3">
      <c r="A8075" s="170" t="s">
        <v>7008</v>
      </c>
      <c r="B8075" s="173" t="str">
        <f>INDEX(Orçamentária!A:B,MATCH(Composições!A8075,Orçamentária!A:A,0),2)</f>
        <v>Luva cobre 35 mm</v>
      </c>
      <c r="C8075" s="40"/>
      <c r="D8075" s="25" t="s">
        <v>16</v>
      </c>
      <c r="E8075" s="26"/>
      <c r="F8075" s="41" t="s">
        <v>416</v>
      </c>
      <c r="G8075" s="27" t="str">
        <f>IF(ISNUMBER(F8075),E8075*F8075,"")</f>
        <v/>
      </c>
      <c r="H8075" s="28"/>
      <c r="I8075" s="29"/>
      <c r="J8075" s="152">
        <v>0</v>
      </c>
    </row>
    <row r="8076" spans="1:10" ht="15.75" hidden="1" thickBot="1" x14ac:dyDescent="0.3">
      <c r="A8076" s="171"/>
      <c r="B8076" s="174"/>
      <c r="C8076" s="31"/>
      <c r="D8076" s="31"/>
      <c r="E8076" s="32"/>
      <c r="F8076" s="42" t="s">
        <v>416</v>
      </c>
      <c r="G8076" s="33" t="str">
        <f>IF(ISNUMBER(F8076),E8076*F8076,"")</f>
        <v/>
      </c>
      <c r="H8076" s="34"/>
      <c r="I8076" s="30"/>
      <c r="J8076" s="152">
        <v>0</v>
      </c>
    </row>
    <row r="8077" spans="1:10" ht="26.25" hidden="1" thickBot="1" x14ac:dyDescent="0.3">
      <c r="A8077" s="171"/>
      <c r="B8077" s="174"/>
      <c r="C8077" s="35" t="s">
        <v>1055</v>
      </c>
      <c r="D8077" s="35" t="s">
        <v>213</v>
      </c>
      <c r="E8077" s="36">
        <v>1</v>
      </c>
      <c r="F8077" s="30">
        <v>25.934999999999999</v>
      </c>
      <c r="G8077" s="33">
        <f>IF(ISNUMBER(F8077),E8077*F8077,"")</f>
        <v>25.934999999999999</v>
      </c>
      <c r="H8077" s="38">
        <f>SUM(G8077:G8077)</f>
        <v>25.934999999999999</v>
      </c>
      <c r="I8077" s="39"/>
      <c r="J8077" s="152">
        <v>0</v>
      </c>
    </row>
    <row r="8078" spans="1:10" ht="15.75" hidden="1" thickBot="1" x14ac:dyDescent="0.3">
      <c r="A8078" s="172"/>
      <c r="B8078" s="175"/>
      <c r="C8078" s="54"/>
      <c r="D8078" s="54"/>
      <c r="E8078" s="65"/>
      <c r="F8078" s="66" t="s">
        <v>416</v>
      </c>
      <c r="G8078" s="67" t="str">
        <f>IF(ISNUMBER(F8078),E8078*F8078,"")</f>
        <v/>
      </c>
      <c r="H8078" s="68"/>
      <c r="I8078" s="30"/>
      <c r="J8078" s="152">
        <v>0</v>
      </c>
    </row>
    <row r="8079" spans="1:10" ht="15.75" hidden="1" thickBot="1" x14ac:dyDescent="0.3">
      <c r="A8079" s="170" t="s">
        <v>7009</v>
      </c>
      <c r="B8079" s="173" t="str">
        <f>INDEX(Orçamentária!A:B,MATCH(Composições!A8079,Orçamentária!A:A,0),2)</f>
        <v>Tê cobre 35 mm</v>
      </c>
      <c r="C8079" s="40"/>
      <c r="D8079" s="25" t="s">
        <v>16</v>
      </c>
      <c r="E8079" s="26"/>
      <c r="F8079" s="41" t="s">
        <v>416</v>
      </c>
      <c r="G8079" s="27" t="str">
        <f>IF(ISNUMBER(F8079),E8079*F8079,"")</f>
        <v/>
      </c>
      <c r="H8079" s="28"/>
      <c r="I8079" s="29"/>
      <c r="J8079" s="152">
        <v>0</v>
      </c>
    </row>
    <row r="8080" spans="1:10" ht="15.75" hidden="1" thickBot="1" x14ac:dyDescent="0.3">
      <c r="A8080" s="171"/>
      <c r="B8080" s="174"/>
      <c r="C8080" s="31"/>
      <c r="D8080" s="31"/>
      <c r="E8080" s="32"/>
      <c r="F8080" s="42" t="s">
        <v>416</v>
      </c>
      <c r="G8080" s="33" t="str">
        <f>IF(ISNUMBER(F8080),E8080*F8080,"")</f>
        <v/>
      </c>
      <c r="H8080" s="34"/>
      <c r="I8080" s="30"/>
      <c r="J8080" s="152">
        <v>0</v>
      </c>
    </row>
    <row r="8081" spans="1:10" ht="26.25" hidden="1" thickBot="1" x14ac:dyDescent="0.3">
      <c r="A8081" s="171"/>
      <c r="B8081" s="174"/>
      <c r="C8081" s="35" t="s">
        <v>8396</v>
      </c>
      <c r="D8081" s="35" t="s">
        <v>213</v>
      </c>
      <c r="E8081" s="36">
        <v>1</v>
      </c>
      <c r="F8081" s="30">
        <v>59.716999999999999</v>
      </c>
      <c r="G8081" s="33">
        <f>IF(ISNUMBER(F8081),E8081*F8081,"")</f>
        <v>59.716999999999999</v>
      </c>
      <c r="H8081" s="38">
        <f>SUM(G8081:G8081)</f>
        <v>59.716999999999999</v>
      </c>
      <c r="I8081" s="39"/>
      <c r="J8081" s="152">
        <v>0</v>
      </c>
    </row>
    <row r="8082" spans="1:10" ht="15.75" hidden="1" thickBot="1" x14ac:dyDescent="0.3">
      <c r="A8082" s="172"/>
      <c r="B8082" s="175"/>
      <c r="C8082" s="54"/>
      <c r="D8082" s="54"/>
      <c r="E8082" s="65"/>
      <c r="F8082" s="66" t="s">
        <v>416</v>
      </c>
      <c r="G8082" s="67" t="str">
        <f>IF(ISNUMBER(F8082),E8082*F8082,"")</f>
        <v/>
      </c>
      <c r="H8082" s="68"/>
      <c r="I8082" s="30"/>
      <c r="J8082" s="152">
        <v>0</v>
      </c>
    </row>
    <row r="8083" spans="1:10" ht="15.75" hidden="1" thickBot="1" x14ac:dyDescent="0.3">
      <c r="A8083" s="170" t="s">
        <v>7014</v>
      </c>
      <c r="B8083" s="173" t="str">
        <f>INDEX(Orçamentária!A:B,MATCH(Composições!A8083,Orçamentária!A:A,0),2)</f>
        <v>Joelho 90° cobre 42 mm</v>
      </c>
      <c r="C8083" s="40"/>
      <c r="D8083" s="25" t="s">
        <v>16</v>
      </c>
      <c r="E8083" s="26"/>
      <c r="F8083" s="41" t="s">
        <v>416</v>
      </c>
      <c r="G8083" s="27" t="str">
        <f>IF(ISNUMBER(F8083),E8083*F8083,"")</f>
        <v/>
      </c>
      <c r="H8083" s="28"/>
      <c r="I8083" s="29"/>
      <c r="J8083" s="152">
        <v>0</v>
      </c>
    </row>
    <row r="8084" spans="1:10" ht="15.75" hidden="1" thickBot="1" x14ac:dyDescent="0.3">
      <c r="A8084" s="171"/>
      <c r="B8084" s="174"/>
      <c r="C8084" s="31"/>
      <c r="D8084" s="31"/>
      <c r="E8084" s="32"/>
      <c r="F8084" s="42" t="s">
        <v>416</v>
      </c>
      <c r="G8084" s="33" t="str">
        <f>IF(ISNUMBER(F8084),E8084*F8084,"")</f>
        <v/>
      </c>
      <c r="H8084" s="34"/>
      <c r="I8084" s="30"/>
      <c r="J8084" s="152">
        <v>0</v>
      </c>
    </row>
    <row r="8085" spans="1:10" ht="26.25" hidden="1" thickBot="1" x14ac:dyDescent="0.3">
      <c r="A8085" s="171"/>
      <c r="B8085" s="174"/>
      <c r="C8085" s="35" t="s">
        <v>1051</v>
      </c>
      <c r="D8085" s="35" t="s">
        <v>213</v>
      </c>
      <c r="E8085" s="36">
        <v>1</v>
      </c>
      <c r="F8085" s="30">
        <v>64.067999999999998</v>
      </c>
      <c r="G8085" s="33">
        <f>IF(ISNUMBER(F8085),E8085*F8085,"")</f>
        <v>64.067999999999998</v>
      </c>
      <c r="H8085" s="38">
        <f>SUM(G8085:G8085)</f>
        <v>64.067999999999998</v>
      </c>
      <c r="I8085" s="39"/>
      <c r="J8085" s="152">
        <v>0</v>
      </c>
    </row>
    <row r="8086" spans="1:10" ht="15.75" hidden="1" thickBot="1" x14ac:dyDescent="0.3">
      <c r="A8086" s="172"/>
      <c r="B8086" s="175"/>
      <c r="C8086" s="54"/>
      <c r="D8086" s="54"/>
      <c r="E8086" s="65"/>
      <c r="F8086" s="66" t="s">
        <v>416</v>
      </c>
      <c r="G8086" s="67" t="str">
        <f>IF(ISNUMBER(F8086),E8086*F8086,"")</f>
        <v/>
      </c>
      <c r="H8086" s="68"/>
      <c r="I8086" s="30"/>
      <c r="J8086" s="152">
        <v>0</v>
      </c>
    </row>
    <row r="8087" spans="1:10" ht="15.75" hidden="1" thickBot="1" x14ac:dyDescent="0.3">
      <c r="A8087" s="170" t="s">
        <v>7015</v>
      </c>
      <c r="B8087" s="173" t="str">
        <f>INDEX(Orçamentária!A:B,MATCH(Composições!A8087,Orçamentária!A:A,0),2)</f>
        <v>Luva cobre 42 mm</v>
      </c>
      <c r="C8087" s="40"/>
      <c r="D8087" s="25" t="s">
        <v>16</v>
      </c>
      <c r="E8087" s="26"/>
      <c r="F8087" s="41" t="s">
        <v>416</v>
      </c>
      <c r="G8087" s="27" t="str">
        <f>IF(ISNUMBER(F8087),E8087*F8087,"")</f>
        <v/>
      </c>
      <c r="H8087" s="28"/>
      <c r="I8087" s="29"/>
      <c r="J8087" s="152">
        <v>0</v>
      </c>
    </row>
    <row r="8088" spans="1:10" ht="15.75" hidden="1" thickBot="1" x14ac:dyDescent="0.3">
      <c r="A8088" s="171"/>
      <c r="B8088" s="174"/>
      <c r="C8088" s="31"/>
      <c r="D8088" s="31"/>
      <c r="E8088" s="32"/>
      <c r="F8088" s="42" t="s">
        <v>416</v>
      </c>
      <c r="G8088" s="33" t="str">
        <f>IF(ISNUMBER(F8088),E8088*F8088,"")</f>
        <v/>
      </c>
      <c r="H8088" s="34"/>
      <c r="I8088" s="30"/>
      <c r="J8088" s="152">
        <v>0</v>
      </c>
    </row>
    <row r="8089" spans="1:10" ht="26.25" hidden="1" thickBot="1" x14ac:dyDescent="0.3">
      <c r="A8089" s="171"/>
      <c r="B8089" s="174"/>
      <c r="C8089" s="35" t="s">
        <v>1057</v>
      </c>
      <c r="D8089" s="35" t="s">
        <v>213</v>
      </c>
      <c r="E8089" s="36">
        <v>1</v>
      </c>
      <c r="F8089" s="30">
        <v>32.888999999999996</v>
      </c>
      <c r="G8089" s="33">
        <f>IF(ISNUMBER(F8089),E8089*F8089,"")</f>
        <v>32.888999999999996</v>
      </c>
      <c r="H8089" s="38">
        <f>SUM(G8089:G8089)</f>
        <v>32.888999999999996</v>
      </c>
      <c r="I8089" s="39"/>
      <c r="J8089" s="152">
        <v>0</v>
      </c>
    </row>
    <row r="8090" spans="1:10" ht="15.75" hidden="1" thickBot="1" x14ac:dyDescent="0.3">
      <c r="A8090" s="172"/>
      <c r="B8090" s="175"/>
      <c r="C8090" s="54"/>
      <c r="D8090" s="54"/>
      <c r="E8090" s="65"/>
      <c r="F8090" s="66" t="s">
        <v>416</v>
      </c>
      <c r="G8090" s="67" t="str">
        <f>IF(ISNUMBER(F8090),E8090*F8090,"")</f>
        <v/>
      </c>
      <c r="H8090" s="68"/>
      <c r="I8090" s="30"/>
      <c r="J8090" s="152">
        <v>0</v>
      </c>
    </row>
    <row r="8091" spans="1:10" ht="15.75" hidden="1" thickBot="1" x14ac:dyDescent="0.3">
      <c r="A8091" s="170" t="s">
        <v>7016</v>
      </c>
      <c r="B8091" s="173" t="str">
        <f>INDEX(Orçamentária!A:B,MATCH(Composições!A8091,Orçamentária!A:A,0),2)</f>
        <v>Tê cobre 42 mm</v>
      </c>
      <c r="C8091" s="40"/>
      <c r="D8091" s="25" t="s">
        <v>16</v>
      </c>
      <c r="E8091" s="26"/>
      <c r="F8091" s="41" t="s">
        <v>416</v>
      </c>
      <c r="G8091" s="27" t="str">
        <f>IF(ISNUMBER(F8091),E8091*F8091,"")</f>
        <v/>
      </c>
      <c r="H8091" s="28"/>
      <c r="I8091" s="29"/>
      <c r="J8091" s="152">
        <v>0</v>
      </c>
    </row>
    <row r="8092" spans="1:10" ht="15.75" hidden="1" thickBot="1" x14ac:dyDescent="0.3">
      <c r="A8092" s="171"/>
      <c r="B8092" s="174"/>
      <c r="C8092" s="31"/>
      <c r="D8092" s="31"/>
      <c r="E8092" s="32"/>
      <c r="F8092" s="42" t="s">
        <v>416</v>
      </c>
      <c r="G8092" s="33" t="str">
        <f>IF(ISNUMBER(F8092),E8092*F8092,"")</f>
        <v/>
      </c>
      <c r="H8092" s="34"/>
      <c r="I8092" s="30"/>
      <c r="J8092" s="152">
        <v>0</v>
      </c>
    </row>
    <row r="8093" spans="1:10" ht="26.25" hidden="1" thickBot="1" x14ac:dyDescent="0.3">
      <c r="A8093" s="171"/>
      <c r="B8093" s="174"/>
      <c r="C8093" s="35" t="s">
        <v>8397</v>
      </c>
      <c r="D8093" s="35" t="s">
        <v>213</v>
      </c>
      <c r="E8093" s="36">
        <v>1</v>
      </c>
      <c r="F8093" s="30">
        <v>76.930999999999997</v>
      </c>
      <c r="G8093" s="33">
        <f>IF(ISNUMBER(F8093),E8093*F8093,"")</f>
        <v>76.930999999999997</v>
      </c>
      <c r="H8093" s="38">
        <f>SUM(G8093:G8093)</f>
        <v>76.930999999999997</v>
      </c>
      <c r="I8093" s="39"/>
      <c r="J8093" s="152">
        <v>0</v>
      </c>
    </row>
    <row r="8094" spans="1:10" ht="15.75" hidden="1" thickBot="1" x14ac:dyDescent="0.3">
      <c r="A8094" s="172"/>
      <c r="B8094" s="175"/>
      <c r="C8094" s="54"/>
      <c r="D8094" s="54"/>
      <c r="E8094" s="65"/>
      <c r="F8094" s="66" t="s">
        <v>416</v>
      </c>
      <c r="G8094" s="67" t="str">
        <f>IF(ISNUMBER(F8094),E8094*F8094,"")</f>
        <v/>
      </c>
      <c r="H8094" s="68"/>
      <c r="I8094" s="30"/>
      <c r="J8094" s="152">
        <v>0</v>
      </c>
    </row>
    <row r="8095" spans="1:10" ht="15.75" hidden="1" thickBot="1" x14ac:dyDescent="0.3">
      <c r="A8095" s="170" t="s">
        <v>7018</v>
      </c>
      <c r="B8095" s="173" t="str">
        <f>INDEX(Orçamentária!A:B,MATCH(Composições!A8095,Orçamentária!A:A,0),2)</f>
        <v>Redução cobre 42 mm x 35 mm</v>
      </c>
      <c r="C8095" s="40"/>
      <c r="D8095" s="25" t="s">
        <v>16</v>
      </c>
      <c r="E8095" s="26"/>
      <c r="F8095" s="41" t="s">
        <v>416</v>
      </c>
      <c r="G8095" s="27" t="str">
        <f>IF(ISNUMBER(F8095),E8095*F8095,"")</f>
        <v/>
      </c>
      <c r="H8095" s="28"/>
      <c r="I8095" s="29"/>
      <c r="J8095" s="152">
        <v>0</v>
      </c>
    </row>
    <row r="8096" spans="1:10" ht="15.75" hidden="1" thickBot="1" x14ac:dyDescent="0.3">
      <c r="A8096" s="171"/>
      <c r="B8096" s="174"/>
      <c r="C8096" s="31"/>
      <c r="D8096" s="31"/>
      <c r="E8096" s="32"/>
      <c r="F8096" s="42" t="s">
        <v>416</v>
      </c>
      <c r="G8096" s="33" t="str">
        <f>IF(ISNUMBER(F8096),E8096*F8096,"")</f>
        <v/>
      </c>
      <c r="H8096" s="34"/>
      <c r="I8096" s="30"/>
      <c r="J8096" s="152">
        <v>0</v>
      </c>
    </row>
    <row r="8097" spans="1:10" ht="26.25" hidden="1" thickBot="1" x14ac:dyDescent="0.3">
      <c r="A8097" s="171"/>
      <c r="B8097" s="174"/>
      <c r="C8097" s="35" t="s">
        <v>8012</v>
      </c>
      <c r="D8097" s="35" t="s">
        <v>213</v>
      </c>
      <c r="E8097" s="36">
        <v>1</v>
      </c>
      <c r="F8097" s="30">
        <v>36.898000000000003</v>
      </c>
      <c r="G8097" s="33">
        <f>IF(ISNUMBER(F8097),E8097*F8097,"")</f>
        <v>36.898000000000003</v>
      </c>
      <c r="H8097" s="38">
        <f>SUM(G8097:G8097)</f>
        <v>36.898000000000003</v>
      </c>
      <c r="I8097" s="39"/>
      <c r="J8097" s="152">
        <v>0</v>
      </c>
    </row>
    <row r="8098" spans="1:10" ht="15.75" hidden="1" thickBot="1" x14ac:dyDescent="0.3">
      <c r="A8098" s="172"/>
      <c r="B8098" s="175"/>
      <c r="C8098" s="54"/>
      <c r="D8098" s="54"/>
      <c r="E8098" s="65"/>
      <c r="F8098" s="66" t="s">
        <v>416</v>
      </c>
      <c r="G8098" s="67" t="str">
        <f>IF(ISNUMBER(F8098),E8098*F8098,"")</f>
        <v/>
      </c>
      <c r="H8098" s="68"/>
      <c r="I8098" s="30"/>
      <c r="J8098" s="152">
        <v>0</v>
      </c>
    </row>
    <row r="8099" spans="1:10" ht="15.75" hidden="1" thickBot="1" x14ac:dyDescent="0.3">
      <c r="A8099" s="170" t="s">
        <v>7020</v>
      </c>
      <c r="B8099" s="173" t="str">
        <f>INDEX(Orçamentária!A:B,MATCH(Composições!A8099,Orçamentária!A:A,0),2)</f>
        <v>Joelho 90° cobre 54 mm</v>
      </c>
      <c r="C8099" s="40"/>
      <c r="D8099" s="25" t="s">
        <v>16</v>
      </c>
      <c r="E8099" s="26"/>
      <c r="F8099" s="41" t="s">
        <v>416</v>
      </c>
      <c r="G8099" s="27" t="str">
        <f>IF(ISNUMBER(F8099),E8099*F8099,"")</f>
        <v/>
      </c>
      <c r="H8099" s="28"/>
      <c r="I8099" s="29"/>
      <c r="J8099" s="152">
        <v>0</v>
      </c>
    </row>
    <row r="8100" spans="1:10" ht="15.75" hidden="1" thickBot="1" x14ac:dyDescent="0.3">
      <c r="A8100" s="171"/>
      <c r="B8100" s="174"/>
      <c r="C8100" s="31"/>
      <c r="D8100" s="31"/>
      <c r="E8100" s="32"/>
      <c r="F8100" s="42" t="s">
        <v>416</v>
      </c>
      <c r="G8100" s="33" t="str">
        <f>IF(ISNUMBER(F8100),E8100*F8100,"")</f>
        <v/>
      </c>
      <c r="H8100" s="34"/>
      <c r="I8100" s="30"/>
      <c r="J8100" s="152">
        <v>0</v>
      </c>
    </row>
    <row r="8101" spans="1:10" ht="26.25" hidden="1" thickBot="1" x14ac:dyDescent="0.3">
      <c r="A8101" s="171"/>
      <c r="B8101" s="174"/>
      <c r="C8101" s="35" t="s">
        <v>8098</v>
      </c>
      <c r="D8101" s="35" t="s">
        <v>213</v>
      </c>
      <c r="E8101" s="36">
        <v>1</v>
      </c>
      <c r="F8101" s="30">
        <v>101.69749999999999</v>
      </c>
      <c r="G8101" s="33">
        <f>IF(ISNUMBER(F8101),E8101*F8101,"")</f>
        <v>101.69749999999999</v>
      </c>
      <c r="H8101" s="38">
        <f>SUM(G8101:G8101)</f>
        <v>101.69749999999999</v>
      </c>
      <c r="I8101" s="39"/>
      <c r="J8101" s="152">
        <v>0</v>
      </c>
    </row>
    <row r="8102" spans="1:10" ht="15.75" hidden="1" thickBot="1" x14ac:dyDescent="0.3">
      <c r="A8102" s="172"/>
      <c r="B8102" s="175"/>
      <c r="C8102" s="54"/>
      <c r="D8102" s="54"/>
      <c r="E8102" s="65"/>
      <c r="F8102" s="66" t="s">
        <v>416</v>
      </c>
      <c r="G8102" s="67" t="str">
        <f>IF(ISNUMBER(F8102),E8102*F8102,"")</f>
        <v/>
      </c>
      <c r="H8102" s="68"/>
      <c r="I8102" s="30"/>
      <c r="J8102" s="152">
        <v>0</v>
      </c>
    </row>
    <row r="8103" spans="1:10" ht="15.75" hidden="1" thickBot="1" x14ac:dyDescent="0.3">
      <c r="A8103" s="170" t="s">
        <v>7022</v>
      </c>
      <c r="B8103" s="173" t="str">
        <f>INDEX(Orçamentária!A:B,MATCH(Composições!A8103,Orçamentária!A:A,0),2)</f>
        <v>Luva cobre 54 mm</v>
      </c>
      <c r="C8103" s="40"/>
      <c r="D8103" s="25" t="s">
        <v>16</v>
      </c>
      <c r="E8103" s="26"/>
      <c r="F8103" s="41" t="s">
        <v>416</v>
      </c>
      <c r="G8103" s="27" t="str">
        <f>IF(ISNUMBER(F8103),E8103*F8103,"")</f>
        <v/>
      </c>
      <c r="H8103" s="28"/>
      <c r="I8103" s="29"/>
      <c r="J8103" s="152">
        <v>0</v>
      </c>
    </row>
    <row r="8104" spans="1:10" ht="15.75" hidden="1" thickBot="1" x14ac:dyDescent="0.3">
      <c r="A8104" s="171"/>
      <c r="B8104" s="174"/>
      <c r="C8104" s="31"/>
      <c r="D8104" s="31"/>
      <c r="E8104" s="32"/>
      <c r="F8104" s="42" t="s">
        <v>416</v>
      </c>
      <c r="G8104" s="33" t="str">
        <f>IF(ISNUMBER(F8104),E8104*F8104,"")</f>
        <v/>
      </c>
      <c r="H8104" s="34"/>
      <c r="I8104" s="30"/>
      <c r="J8104" s="152">
        <v>0</v>
      </c>
    </row>
    <row r="8105" spans="1:10" ht="26.25" hidden="1" thickBot="1" x14ac:dyDescent="0.3">
      <c r="A8105" s="171"/>
      <c r="B8105" s="174"/>
      <c r="C8105" s="35" t="s">
        <v>8234</v>
      </c>
      <c r="D8105" s="35" t="s">
        <v>213</v>
      </c>
      <c r="E8105" s="36">
        <v>1</v>
      </c>
      <c r="F8105" s="30">
        <v>53.712999999999994</v>
      </c>
      <c r="G8105" s="33">
        <f>IF(ISNUMBER(F8105),E8105*F8105,"")</f>
        <v>53.712999999999994</v>
      </c>
      <c r="H8105" s="38">
        <f>SUM(G8105:G8105)</f>
        <v>53.712999999999994</v>
      </c>
      <c r="I8105" s="39"/>
      <c r="J8105" s="152">
        <v>0</v>
      </c>
    </row>
    <row r="8106" spans="1:10" ht="15.75" hidden="1" thickBot="1" x14ac:dyDescent="0.3">
      <c r="A8106" s="172"/>
      <c r="B8106" s="175"/>
      <c r="C8106" s="54"/>
      <c r="D8106" s="54"/>
      <c r="E8106" s="65"/>
      <c r="F8106" s="66" t="s">
        <v>416</v>
      </c>
      <c r="G8106" s="67" t="str">
        <f>IF(ISNUMBER(F8106),E8106*F8106,"")</f>
        <v/>
      </c>
      <c r="H8106" s="68"/>
      <c r="I8106" s="30"/>
      <c r="J8106" s="152">
        <v>0</v>
      </c>
    </row>
    <row r="8107" spans="1:10" ht="15.75" hidden="1" thickBot="1" x14ac:dyDescent="0.3">
      <c r="A8107" s="170" t="s">
        <v>7023</v>
      </c>
      <c r="B8107" s="173" t="str">
        <f>INDEX(Orçamentária!A:B,MATCH(Composições!A8107,Orçamentária!A:A,0),2)</f>
        <v>Tê cobre 54 mm</v>
      </c>
      <c r="C8107" s="40"/>
      <c r="D8107" s="25" t="s">
        <v>16</v>
      </c>
      <c r="E8107" s="26"/>
      <c r="F8107" s="41" t="s">
        <v>416</v>
      </c>
      <c r="G8107" s="27" t="str">
        <f>IF(ISNUMBER(F8107),E8107*F8107,"")</f>
        <v/>
      </c>
      <c r="H8107" s="28"/>
      <c r="I8107" s="29"/>
      <c r="J8107" s="152">
        <v>0</v>
      </c>
    </row>
    <row r="8108" spans="1:10" ht="15.75" hidden="1" thickBot="1" x14ac:dyDescent="0.3">
      <c r="A8108" s="171"/>
      <c r="B8108" s="174"/>
      <c r="C8108" s="31"/>
      <c r="D8108" s="31"/>
      <c r="E8108" s="32"/>
      <c r="F8108" s="42" t="s">
        <v>416</v>
      </c>
      <c r="G8108" s="33" t="str">
        <f>IF(ISNUMBER(F8108),E8108*F8108,"")</f>
        <v/>
      </c>
      <c r="H8108" s="34"/>
      <c r="I8108" s="30"/>
      <c r="J8108" s="152">
        <v>0</v>
      </c>
    </row>
    <row r="8109" spans="1:10" ht="26.25" hidden="1" thickBot="1" x14ac:dyDescent="0.3">
      <c r="A8109" s="171"/>
      <c r="B8109" s="174"/>
      <c r="C8109" s="35" t="s">
        <v>8398</v>
      </c>
      <c r="D8109" s="35" t="s">
        <v>213</v>
      </c>
      <c r="E8109" s="36">
        <v>1</v>
      </c>
      <c r="F8109" s="30">
        <v>152.04750000000001</v>
      </c>
      <c r="G8109" s="33">
        <f>IF(ISNUMBER(F8109),E8109*F8109,"")</f>
        <v>152.04750000000001</v>
      </c>
      <c r="H8109" s="38">
        <f>SUM(G8109:G8109)</f>
        <v>152.04750000000001</v>
      </c>
      <c r="I8109" s="39"/>
      <c r="J8109" s="152">
        <v>0</v>
      </c>
    </row>
    <row r="8110" spans="1:10" ht="15.75" hidden="1" thickBot="1" x14ac:dyDescent="0.3">
      <c r="A8110" s="172"/>
      <c r="B8110" s="175"/>
      <c r="C8110" s="54"/>
      <c r="D8110" s="54"/>
      <c r="E8110" s="65"/>
      <c r="F8110" s="66" t="s">
        <v>416</v>
      </c>
      <c r="G8110" s="67" t="str">
        <f>IF(ISNUMBER(F8110),E8110*F8110,"")</f>
        <v/>
      </c>
      <c r="H8110" s="68"/>
      <c r="I8110" s="30"/>
      <c r="J8110" s="152">
        <v>0</v>
      </c>
    </row>
    <row r="8111" spans="1:10" ht="15.75" hidden="1" thickBot="1" x14ac:dyDescent="0.3">
      <c r="A8111" s="170" t="s">
        <v>7025</v>
      </c>
      <c r="B8111" s="173" t="str">
        <f>INDEX(Orçamentária!A:B,MATCH(Composições!A8111,Orçamentária!A:A,0),2)</f>
        <v>Redução cobre 54 mm x 42 mm</v>
      </c>
      <c r="C8111" s="40"/>
      <c r="D8111" s="25" t="s">
        <v>16</v>
      </c>
      <c r="E8111" s="26"/>
      <c r="F8111" s="41" t="s">
        <v>416</v>
      </c>
      <c r="G8111" s="27" t="str">
        <f>IF(ISNUMBER(F8111),E8111*F8111,"")</f>
        <v/>
      </c>
      <c r="H8111" s="28"/>
      <c r="I8111" s="29"/>
      <c r="J8111" s="152">
        <v>0</v>
      </c>
    </row>
    <row r="8112" spans="1:10" ht="15.75" hidden="1" thickBot="1" x14ac:dyDescent="0.3">
      <c r="A8112" s="171"/>
      <c r="B8112" s="174"/>
      <c r="C8112" s="31"/>
      <c r="D8112" s="31"/>
      <c r="E8112" s="32"/>
      <c r="F8112" s="42" t="s">
        <v>416</v>
      </c>
      <c r="G8112" s="33" t="str">
        <f>IF(ISNUMBER(F8112),E8112*F8112,"")</f>
        <v/>
      </c>
      <c r="H8112" s="34"/>
      <c r="I8112" s="30"/>
      <c r="J8112" s="152">
        <v>0</v>
      </c>
    </row>
    <row r="8113" spans="1:10" ht="26.25" hidden="1" thickBot="1" x14ac:dyDescent="0.3">
      <c r="A8113" s="171"/>
      <c r="B8113" s="174"/>
      <c r="C8113" s="35" t="s">
        <v>8013</v>
      </c>
      <c r="D8113" s="35" t="s">
        <v>213</v>
      </c>
      <c r="E8113" s="36">
        <v>1</v>
      </c>
      <c r="F8113" s="30">
        <v>52.021999999999998</v>
      </c>
      <c r="G8113" s="33">
        <f>IF(ISNUMBER(F8113),E8113*F8113,"")</f>
        <v>52.021999999999998</v>
      </c>
      <c r="H8113" s="38">
        <f>SUM(G8113:G8113)</f>
        <v>52.021999999999998</v>
      </c>
      <c r="I8113" s="39"/>
      <c r="J8113" s="152">
        <v>0</v>
      </c>
    </row>
    <row r="8114" spans="1:10" ht="15.75" hidden="1" thickBot="1" x14ac:dyDescent="0.3">
      <c r="A8114" s="172"/>
      <c r="B8114" s="175"/>
      <c r="C8114" s="54"/>
      <c r="D8114" s="54"/>
      <c r="E8114" s="65"/>
      <c r="F8114" s="66" t="s">
        <v>416</v>
      </c>
      <c r="G8114" s="67" t="str">
        <f>IF(ISNUMBER(F8114),E8114*F8114,"")</f>
        <v/>
      </c>
      <c r="H8114" s="68"/>
      <c r="I8114" s="30"/>
      <c r="J8114" s="152">
        <v>0</v>
      </c>
    </row>
    <row r="8115" spans="1:10" ht="15.75" hidden="1" thickBot="1" x14ac:dyDescent="0.3">
      <c r="A8115" s="170" t="s">
        <v>7027</v>
      </c>
      <c r="B8115" s="173" t="str">
        <f>INDEX(Orçamentária!A:B,MATCH(Composições!A8115,Orçamentária!A:A,0),2)</f>
        <v>Joelho 90° cobre 66 mm</v>
      </c>
      <c r="C8115" s="40"/>
      <c r="D8115" s="25" t="s">
        <v>16</v>
      </c>
      <c r="E8115" s="26"/>
      <c r="F8115" s="41" t="s">
        <v>416</v>
      </c>
      <c r="G8115" s="27" t="str">
        <f>IF(ISNUMBER(F8115),E8115*F8115,"")</f>
        <v/>
      </c>
      <c r="H8115" s="28"/>
      <c r="I8115" s="29"/>
      <c r="J8115" s="152">
        <v>0</v>
      </c>
    </row>
    <row r="8116" spans="1:10" ht="15.75" hidden="1" thickBot="1" x14ac:dyDescent="0.3">
      <c r="A8116" s="171"/>
      <c r="B8116" s="174"/>
      <c r="C8116" s="31"/>
      <c r="D8116" s="31"/>
      <c r="E8116" s="32"/>
      <c r="F8116" s="42" t="s">
        <v>416</v>
      </c>
      <c r="G8116" s="33" t="str">
        <f>IF(ISNUMBER(F8116),E8116*F8116,"")</f>
        <v/>
      </c>
      <c r="H8116" s="34"/>
      <c r="I8116" s="30"/>
      <c r="J8116" s="152">
        <v>0</v>
      </c>
    </row>
    <row r="8117" spans="1:10" ht="26.25" hidden="1" thickBot="1" x14ac:dyDescent="0.3">
      <c r="A8117" s="171"/>
      <c r="B8117" s="174"/>
      <c r="C8117" s="35" t="s">
        <v>8099</v>
      </c>
      <c r="D8117" s="35" t="s">
        <v>213</v>
      </c>
      <c r="E8117" s="36">
        <v>1</v>
      </c>
      <c r="F8117" s="30">
        <v>354.12199999999996</v>
      </c>
      <c r="G8117" s="33">
        <f>IF(ISNUMBER(F8117),E8117*F8117,"")</f>
        <v>354.12199999999996</v>
      </c>
      <c r="H8117" s="38">
        <f>SUM(G8117:G8117)</f>
        <v>354.12199999999996</v>
      </c>
      <c r="I8117" s="39"/>
      <c r="J8117" s="152">
        <v>0</v>
      </c>
    </row>
    <row r="8118" spans="1:10" ht="15.75" hidden="1" thickBot="1" x14ac:dyDescent="0.3">
      <c r="A8118" s="172"/>
      <c r="B8118" s="175"/>
      <c r="C8118" s="54"/>
      <c r="D8118" s="54"/>
      <c r="E8118" s="65"/>
      <c r="F8118" s="66" t="s">
        <v>416</v>
      </c>
      <c r="G8118" s="67" t="str">
        <f>IF(ISNUMBER(F8118),E8118*F8118,"")</f>
        <v/>
      </c>
      <c r="H8118" s="68"/>
      <c r="I8118" s="30"/>
      <c r="J8118" s="152">
        <v>0</v>
      </c>
    </row>
    <row r="8119" spans="1:10" ht="15.75" hidden="1" thickBot="1" x14ac:dyDescent="0.3">
      <c r="A8119" s="170" t="s">
        <v>7029</v>
      </c>
      <c r="B8119" s="173" t="str">
        <f>INDEX(Orçamentária!A:B,MATCH(Composições!A8119,Orçamentária!A:A,0),2)</f>
        <v>Luva cobre 66 mm</v>
      </c>
      <c r="C8119" s="40"/>
      <c r="D8119" s="25" t="s">
        <v>16</v>
      </c>
      <c r="E8119" s="26"/>
      <c r="F8119" s="41" t="s">
        <v>416</v>
      </c>
      <c r="G8119" s="27" t="str">
        <f>IF(ISNUMBER(F8119),E8119*F8119,"")</f>
        <v/>
      </c>
      <c r="H8119" s="28"/>
      <c r="I8119" s="29"/>
      <c r="J8119" s="152">
        <v>0</v>
      </c>
    </row>
    <row r="8120" spans="1:10" ht="15.75" hidden="1" thickBot="1" x14ac:dyDescent="0.3">
      <c r="A8120" s="171"/>
      <c r="B8120" s="174"/>
      <c r="C8120" s="31"/>
      <c r="D8120" s="31"/>
      <c r="E8120" s="32"/>
      <c r="F8120" s="42" t="s">
        <v>416</v>
      </c>
      <c r="G8120" s="33" t="str">
        <f>IF(ISNUMBER(F8120),E8120*F8120,"")</f>
        <v/>
      </c>
      <c r="H8120" s="34"/>
      <c r="I8120" s="30"/>
      <c r="J8120" s="152">
        <v>0</v>
      </c>
    </row>
    <row r="8121" spans="1:10" ht="26.25" hidden="1" thickBot="1" x14ac:dyDescent="0.3">
      <c r="A8121" s="171"/>
      <c r="B8121" s="174"/>
      <c r="C8121" s="35" t="s">
        <v>8235</v>
      </c>
      <c r="D8121" s="35" t="s">
        <v>213</v>
      </c>
      <c r="E8121" s="36">
        <v>1</v>
      </c>
      <c r="F8121" s="30">
        <v>176.0635</v>
      </c>
      <c r="G8121" s="33">
        <f>IF(ISNUMBER(F8121),E8121*F8121,"")</f>
        <v>176.0635</v>
      </c>
      <c r="H8121" s="38">
        <f>SUM(G8121:G8121)</f>
        <v>176.0635</v>
      </c>
      <c r="I8121" s="39"/>
      <c r="J8121" s="152">
        <v>0</v>
      </c>
    </row>
    <row r="8122" spans="1:10" ht="15.75" hidden="1" thickBot="1" x14ac:dyDescent="0.3">
      <c r="A8122" s="172"/>
      <c r="B8122" s="175"/>
      <c r="C8122" s="54"/>
      <c r="D8122" s="54"/>
      <c r="E8122" s="65"/>
      <c r="F8122" s="66" t="s">
        <v>416</v>
      </c>
      <c r="G8122" s="67" t="str">
        <f>IF(ISNUMBER(F8122),E8122*F8122,"")</f>
        <v/>
      </c>
      <c r="H8122" s="68"/>
      <c r="I8122" s="30"/>
      <c r="J8122" s="152">
        <v>0</v>
      </c>
    </row>
    <row r="8123" spans="1:10" ht="15.75" hidden="1" thickBot="1" x14ac:dyDescent="0.3">
      <c r="A8123" s="170" t="s">
        <v>7030</v>
      </c>
      <c r="B8123" s="173" t="str">
        <f>INDEX(Orçamentária!A:B,MATCH(Composições!A8123,Orçamentária!A:A,0),2)</f>
        <v>Tê cobre 66 mm</v>
      </c>
      <c r="C8123" s="40"/>
      <c r="D8123" s="25" t="s">
        <v>16</v>
      </c>
      <c r="E8123" s="26"/>
      <c r="F8123" s="41" t="s">
        <v>416</v>
      </c>
      <c r="G8123" s="27" t="str">
        <f>IF(ISNUMBER(F8123),E8123*F8123,"")</f>
        <v/>
      </c>
      <c r="H8123" s="28"/>
      <c r="I8123" s="29"/>
      <c r="J8123" s="152">
        <v>0</v>
      </c>
    </row>
    <row r="8124" spans="1:10" ht="15.75" hidden="1" thickBot="1" x14ac:dyDescent="0.3">
      <c r="A8124" s="171"/>
      <c r="B8124" s="174"/>
      <c r="C8124" s="31"/>
      <c r="D8124" s="31"/>
      <c r="E8124" s="32"/>
      <c r="F8124" s="42" t="s">
        <v>416</v>
      </c>
      <c r="G8124" s="33" t="str">
        <f>IF(ISNUMBER(F8124),E8124*F8124,"")</f>
        <v/>
      </c>
      <c r="H8124" s="34"/>
      <c r="I8124" s="30"/>
      <c r="J8124" s="152">
        <v>0</v>
      </c>
    </row>
    <row r="8125" spans="1:10" ht="26.25" hidden="1" thickBot="1" x14ac:dyDescent="0.3">
      <c r="A8125" s="171"/>
      <c r="B8125" s="174"/>
      <c r="C8125" s="35" t="s">
        <v>8399</v>
      </c>
      <c r="D8125" s="35" t="s">
        <v>213</v>
      </c>
      <c r="E8125" s="36">
        <v>1</v>
      </c>
      <c r="F8125" s="30">
        <v>432.82</v>
      </c>
      <c r="G8125" s="33">
        <f>IF(ISNUMBER(F8125),E8125*F8125,"")</f>
        <v>432.82</v>
      </c>
      <c r="H8125" s="38">
        <f>SUM(G8125:G8125)</f>
        <v>432.82</v>
      </c>
      <c r="I8125" s="39"/>
      <c r="J8125" s="152">
        <v>0</v>
      </c>
    </row>
    <row r="8126" spans="1:10" ht="15.75" hidden="1" thickBot="1" x14ac:dyDescent="0.3">
      <c r="A8126" s="172"/>
      <c r="B8126" s="175"/>
      <c r="C8126" s="54"/>
      <c r="D8126" s="54"/>
      <c r="E8126" s="65"/>
      <c r="F8126" s="66" t="s">
        <v>416</v>
      </c>
      <c r="G8126" s="67" t="str">
        <f>IF(ISNUMBER(F8126),E8126*F8126,"")</f>
        <v/>
      </c>
      <c r="H8126" s="68"/>
      <c r="I8126" s="30"/>
      <c r="J8126" s="152">
        <v>0</v>
      </c>
    </row>
    <row r="8127" spans="1:10" ht="15.75" hidden="1" thickBot="1" x14ac:dyDescent="0.3">
      <c r="A8127" s="170" t="s">
        <v>7032</v>
      </c>
      <c r="B8127" s="173" t="str">
        <f>INDEX(Orçamentária!A:B,MATCH(Composições!A8127,Orçamentária!A:A,0),2)</f>
        <v>Redução cobre 66 mm x 54 mm</v>
      </c>
      <c r="C8127" s="40"/>
      <c r="D8127" s="25" t="s">
        <v>16</v>
      </c>
      <c r="E8127" s="26"/>
      <c r="F8127" s="41" t="s">
        <v>416</v>
      </c>
      <c r="G8127" s="27" t="str">
        <f>IF(ISNUMBER(F8127),E8127*F8127,"")</f>
        <v/>
      </c>
      <c r="H8127" s="28"/>
      <c r="I8127" s="29"/>
      <c r="J8127" s="152">
        <v>0</v>
      </c>
    </row>
    <row r="8128" spans="1:10" ht="15.75" hidden="1" thickBot="1" x14ac:dyDescent="0.3">
      <c r="A8128" s="171"/>
      <c r="B8128" s="174"/>
      <c r="C8128" s="31"/>
      <c r="D8128" s="31"/>
      <c r="E8128" s="32"/>
      <c r="F8128" s="42" t="s">
        <v>416</v>
      </c>
      <c r="G8128" s="33" t="str">
        <f>IF(ISNUMBER(F8128),E8128*F8128,"")</f>
        <v/>
      </c>
      <c r="H8128" s="34"/>
      <c r="I8128" s="30"/>
      <c r="J8128" s="152">
        <v>0</v>
      </c>
    </row>
    <row r="8129" spans="1:10" ht="26.25" hidden="1" thickBot="1" x14ac:dyDescent="0.3">
      <c r="A8129" s="171"/>
      <c r="B8129" s="174"/>
      <c r="C8129" s="35" t="s">
        <v>8014</v>
      </c>
      <c r="D8129" s="35" t="s">
        <v>213</v>
      </c>
      <c r="E8129" s="36">
        <v>1</v>
      </c>
      <c r="F8129" s="30">
        <v>162.15549999999999</v>
      </c>
      <c r="G8129" s="33">
        <f>IF(ISNUMBER(F8129),E8129*F8129,"")</f>
        <v>162.15549999999999</v>
      </c>
      <c r="H8129" s="38">
        <f>SUM(G8129:G8129)</f>
        <v>162.15549999999999</v>
      </c>
      <c r="I8129" s="39"/>
      <c r="J8129" s="152">
        <v>0</v>
      </c>
    </row>
    <row r="8130" spans="1:10" ht="15.75" hidden="1" thickBot="1" x14ac:dyDescent="0.3">
      <c r="A8130" s="172"/>
      <c r="B8130" s="175"/>
      <c r="C8130" s="54"/>
      <c r="D8130" s="54"/>
      <c r="E8130" s="65"/>
      <c r="F8130" s="66" t="s">
        <v>416</v>
      </c>
      <c r="G8130" s="67" t="str">
        <f>IF(ISNUMBER(F8130),E8130*F8130,"")</f>
        <v/>
      </c>
      <c r="H8130" s="68"/>
      <c r="I8130" s="30"/>
      <c r="J8130" s="152">
        <v>0</v>
      </c>
    </row>
    <row r="8131" spans="1:10" ht="15.75" hidden="1" thickBot="1" x14ac:dyDescent="0.3">
      <c r="A8131" s="170" t="s">
        <v>7034</v>
      </c>
      <c r="B8131" s="173" t="str">
        <f>INDEX(Orçamentária!A:B,MATCH(Composições!A8131,Orçamentária!A:A,0),2)</f>
        <v>Joelho 90° cobre 79 mm</v>
      </c>
      <c r="C8131" s="40"/>
      <c r="D8131" s="25" t="s">
        <v>16</v>
      </c>
      <c r="E8131" s="26"/>
      <c r="F8131" s="41" t="s">
        <v>416</v>
      </c>
      <c r="G8131" s="27" t="str">
        <f>IF(ISNUMBER(F8131),E8131*F8131,"")</f>
        <v/>
      </c>
      <c r="H8131" s="28"/>
      <c r="I8131" s="29"/>
      <c r="J8131" s="152">
        <v>0</v>
      </c>
    </row>
    <row r="8132" spans="1:10" ht="15.75" hidden="1" thickBot="1" x14ac:dyDescent="0.3">
      <c r="A8132" s="171"/>
      <c r="B8132" s="174"/>
      <c r="C8132" s="31"/>
      <c r="D8132" s="31"/>
      <c r="E8132" s="32"/>
      <c r="F8132" s="42" t="s">
        <v>416</v>
      </c>
      <c r="G8132" s="33" t="str">
        <f>IF(ISNUMBER(F8132),E8132*F8132,"")</f>
        <v/>
      </c>
      <c r="H8132" s="34"/>
      <c r="I8132" s="30"/>
      <c r="J8132" s="152">
        <v>0</v>
      </c>
    </row>
    <row r="8133" spans="1:10" ht="26.25" hidden="1" thickBot="1" x14ac:dyDescent="0.3">
      <c r="A8133" s="171"/>
      <c r="B8133" s="174"/>
      <c r="C8133" s="35" t="s">
        <v>8100</v>
      </c>
      <c r="D8133" s="35" t="s">
        <v>213</v>
      </c>
      <c r="E8133" s="36">
        <v>1</v>
      </c>
      <c r="F8133" s="30">
        <v>339.57749999999999</v>
      </c>
      <c r="G8133" s="33">
        <f>IF(ISNUMBER(F8133),E8133*F8133,"")</f>
        <v>339.57749999999999</v>
      </c>
      <c r="H8133" s="38">
        <f>SUM(G8133:G8133)</f>
        <v>339.57749999999999</v>
      </c>
      <c r="I8133" s="39"/>
      <c r="J8133" s="152">
        <v>0</v>
      </c>
    </row>
    <row r="8134" spans="1:10" ht="15.75" hidden="1" thickBot="1" x14ac:dyDescent="0.3">
      <c r="A8134" s="172"/>
      <c r="B8134" s="175"/>
      <c r="C8134" s="54"/>
      <c r="D8134" s="54"/>
      <c r="E8134" s="65"/>
      <c r="F8134" s="66" t="s">
        <v>416</v>
      </c>
      <c r="G8134" s="67" t="str">
        <f>IF(ISNUMBER(F8134),E8134*F8134,"")</f>
        <v/>
      </c>
      <c r="H8134" s="68"/>
      <c r="I8134" s="30"/>
      <c r="J8134" s="152">
        <v>0</v>
      </c>
    </row>
    <row r="8135" spans="1:10" ht="15.75" hidden="1" thickBot="1" x14ac:dyDescent="0.3">
      <c r="A8135" s="170" t="s">
        <v>7036</v>
      </c>
      <c r="B8135" s="173" t="str">
        <f>INDEX(Orçamentária!A:B,MATCH(Composições!A8135,Orçamentária!A:A,0),2)</f>
        <v>Luva cobre 79 mm</v>
      </c>
      <c r="C8135" s="40"/>
      <c r="D8135" s="25" t="s">
        <v>16</v>
      </c>
      <c r="E8135" s="26"/>
      <c r="F8135" s="41" t="s">
        <v>416</v>
      </c>
      <c r="G8135" s="27" t="str">
        <f>IF(ISNUMBER(F8135),E8135*F8135,"")</f>
        <v/>
      </c>
      <c r="H8135" s="28"/>
      <c r="I8135" s="29"/>
      <c r="J8135" s="152">
        <v>0</v>
      </c>
    </row>
    <row r="8136" spans="1:10" ht="15.75" hidden="1" thickBot="1" x14ac:dyDescent="0.3">
      <c r="A8136" s="171"/>
      <c r="B8136" s="174"/>
      <c r="C8136" s="31"/>
      <c r="D8136" s="31"/>
      <c r="E8136" s="32"/>
      <c r="F8136" s="42" t="s">
        <v>416</v>
      </c>
      <c r="G8136" s="33" t="str">
        <f>IF(ISNUMBER(F8136),E8136*F8136,"")</f>
        <v/>
      </c>
      <c r="H8136" s="34"/>
      <c r="I8136" s="30"/>
      <c r="J8136" s="152">
        <v>0</v>
      </c>
    </row>
    <row r="8137" spans="1:10" ht="26.25" hidden="1" thickBot="1" x14ac:dyDescent="0.3">
      <c r="A8137" s="171"/>
      <c r="B8137" s="174"/>
      <c r="C8137" s="35" t="s">
        <v>8236</v>
      </c>
      <c r="D8137" s="35" t="s">
        <v>213</v>
      </c>
      <c r="E8137" s="36">
        <v>1</v>
      </c>
      <c r="F8137" s="30">
        <v>269.5625</v>
      </c>
      <c r="G8137" s="33">
        <f>IF(ISNUMBER(F8137),E8137*F8137,"")</f>
        <v>269.5625</v>
      </c>
      <c r="H8137" s="38">
        <f>SUM(G8137:G8137)</f>
        <v>269.5625</v>
      </c>
      <c r="I8137" s="39"/>
      <c r="J8137" s="152">
        <v>0</v>
      </c>
    </row>
    <row r="8138" spans="1:10" ht="15.75" hidden="1" thickBot="1" x14ac:dyDescent="0.3">
      <c r="A8138" s="172"/>
      <c r="B8138" s="175"/>
      <c r="C8138" s="54"/>
      <c r="D8138" s="54"/>
      <c r="E8138" s="65"/>
      <c r="F8138" s="66" t="s">
        <v>416</v>
      </c>
      <c r="G8138" s="67" t="str">
        <f>IF(ISNUMBER(F8138),E8138*F8138,"")</f>
        <v/>
      </c>
      <c r="H8138" s="68"/>
      <c r="I8138" s="30"/>
      <c r="J8138" s="152">
        <v>0</v>
      </c>
    </row>
    <row r="8139" spans="1:10" ht="15.75" hidden="1" thickBot="1" x14ac:dyDescent="0.3">
      <c r="A8139" s="170" t="s">
        <v>7037</v>
      </c>
      <c r="B8139" s="173" t="str">
        <f>INDEX(Orçamentária!A:B,MATCH(Composições!A8139,Orçamentária!A:A,0),2)</f>
        <v>Tê cobre 79 mm</v>
      </c>
      <c r="C8139" s="40"/>
      <c r="D8139" s="25" t="s">
        <v>16</v>
      </c>
      <c r="E8139" s="26"/>
      <c r="F8139" s="41" t="s">
        <v>416</v>
      </c>
      <c r="G8139" s="27" t="str">
        <f>IF(ISNUMBER(F8139),E8139*F8139,"")</f>
        <v/>
      </c>
      <c r="H8139" s="28"/>
      <c r="I8139" s="29"/>
      <c r="J8139" s="152">
        <v>0</v>
      </c>
    </row>
    <row r="8140" spans="1:10" ht="15.75" hidden="1" thickBot="1" x14ac:dyDescent="0.3">
      <c r="A8140" s="171"/>
      <c r="B8140" s="174"/>
      <c r="C8140" s="31"/>
      <c r="D8140" s="31"/>
      <c r="E8140" s="32"/>
      <c r="F8140" s="42" t="s">
        <v>416</v>
      </c>
      <c r="G8140" s="33" t="str">
        <f>IF(ISNUMBER(F8140),E8140*F8140,"")</f>
        <v/>
      </c>
      <c r="H8140" s="34"/>
      <c r="I8140" s="30"/>
      <c r="J8140" s="152">
        <v>0</v>
      </c>
    </row>
    <row r="8141" spans="1:10" ht="26.25" hidden="1" thickBot="1" x14ac:dyDescent="0.3">
      <c r="A8141" s="171"/>
      <c r="B8141" s="174"/>
      <c r="C8141" s="35" t="s">
        <v>8400</v>
      </c>
      <c r="D8141" s="35" t="s">
        <v>213</v>
      </c>
      <c r="E8141" s="36">
        <v>1</v>
      </c>
      <c r="F8141" s="30">
        <v>677.16949999999997</v>
      </c>
      <c r="G8141" s="33">
        <f>IF(ISNUMBER(F8141),E8141*F8141,"")</f>
        <v>677.16949999999997</v>
      </c>
      <c r="H8141" s="38">
        <f>SUM(G8141:G8141)</f>
        <v>677.16949999999997</v>
      </c>
      <c r="I8141" s="39"/>
      <c r="J8141" s="152">
        <v>0</v>
      </c>
    </row>
    <row r="8142" spans="1:10" ht="15.75" hidden="1" thickBot="1" x14ac:dyDescent="0.3">
      <c r="A8142" s="172"/>
      <c r="B8142" s="175"/>
      <c r="C8142" s="54"/>
      <c r="D8142" s="54"/>
      <c r="E8142" s="65"/>
      <c r="F8142" s="66" t="s">
        <v>416</v>
      </c>
      <c r="G8142" s="67" t="str">
        <f>IF(ISNUMBER(F8142),E8142*F8142,"")</f>
        <v/>
      </c>
      <c r="H8142" s="68"/>
      <c r="I8142" s="30"/>
      <c r="J8142" s="152">
        <v>0</v>
      </c>
    </row>
    <row r="8143" spans="1:10" ht="15.75" hidden="1" thickBot="1" x14ac:dyDescent="0.3">
      <c r="A8143" s="170" t="s">
        <v>7041</v>
      </c>
      <c r="B8143" s="173" t="str">
        <f>INDEX(Orçamentária!A:B,MATCH(Composições!A8143,Orçamentária!A:A,0),2)</f>
        <v>Torneira metal de jardim com bico 1/2”</v>
      </c>
      <c r="C8143" s="40"/>
      <c r="D8143" s="25" t="s">
        <v>16</v>
      </c>
      <c r="E8143" s="26"/>
      <c r="F8143" s="41" t="s">
        <v>416</v>
      </c>
      <c r="G8143" s="27" t="str">
        <f>IF(ISNUMBER(F8143),E8143*F8143,"")</f>
        <v/>
      </c>
      <c r="H8143" s="28"/>
      <c r="I8143" s="29"/>
      <c r="J8143" s="152">
        <v>0</v>
      </c>
    </row>
    <row r="8144" spans="1:10" ht="15.75" hidden="1" thickBot="1" x14ac:dyDescent="0.3">
      <c r="A8144" s="171"/>
      <c r="B8144" s="174"/>
      <c r="C8144" s="31"/>
      <c r="D8144" s="31"/>
      <c r="E8144" s="32"/>
      <c r="F8144" s="42" t="s">
        <v>416</v>
      </c>
      <c r="G8144" s="33" t="str">
        <f>IF(ISNUMBER(F8144),E8144*F8144,"")</f>
        <v/>
      </c>
      <c r="H8144" s="34"/>
      <c r="I8144" s="30"/>
      <c r="J8144" s="152">
        <v>0</v>
      </c>
    </row>
    <row r="8145" spans="1:10" ht="39" hidden="1" thickBot="1" x14ac:dyDescent="0.3">
      <c r="A8145" s="171"/>
      <c r="B8145" s="174"/>
      <c r="C8145" s="35" t="s">
        <v>8450</v>
      </c>
      <c r="D8145" s="35" t="s">
        <v>213</v>
      </c>
      <c r="E8145" s="36">
        <v>1</v>
      </c>
      <c r="F8145" s="30">
        <v>45.884999999999998</v>
      </c>
      <c r="G8145" s="33">
        <f>IF(ISNUMBER(F8145),E8145*F8145,"")</f>
        <v>45.884999999999998</v>
      </c>
      <c r="H8145" s="38">
        <f>SUM(G8145:G8145)</f>
        <v>45.884999999999998</v>
      </c>
      <c r="I8145" s="39"/>
      <c r="J8145" s="152">
        <v>0</v>
      </c>
    </row>
    <row r="8146" spans="1:10" ht="15.75" hidden="1" thickBot="1" x14ac:dyDescent="0.3">
      <c r="A8146" s="172"/>
      <c r="B8146" s="175"/>
      <c r="C8146" s="54"/>
      <c r="D8146" s="54"/>
      <c r="E8146" s="65"/>
      <c r="F8146" s="66" t="s">
        <v>416</v>
      </c>
      <c r="G8146" s="67" t="str">
        <f>IF(ISNUMBER(F8146),E8146*F8146,"")</f>
        <v/>
      </c>
      <c r="H8146" s="68"/>
      <c r="I8146" s="30"/>
      <c r="J8146" s="152">
        <v>0</v>
      </c>
    </row>
    <row r="8147" spans="1:10" ht="15.75" hidden="1" thickBot="1" x14ac:dyDescent="0.3">
      <c r="A8147" s="170" t="s">
        <v>7043</v>
      </c>
      <c r="B8147" s="173" t="str">
        <f>INDEX(Orçamentária!A:B,MATCH(Composições!A8147,Orçamentária!A:A,0),2)</f>
        <v>Niple de aço-carbono galvanizado 1/2”</v>
      </c>
      <c r="C8147" s="40"/>
      <c r="D8147" s="25" t="s">
        <v>16</v>
      </c>
      <c r="E8147" s="26"/>
      <c r="F8147" s="41" t="s">
        <v>416</v>
      </c>
      <c r="G8147" s="27" t="str">
        <f>IF(ISNUMBER(F8147),E8147*F8147,"")</f>
        <v/>
      </c>
      <c r="H8147" s="28"/>
      <c r="I8147" s="29"/>
      <c r="J8147" s="152">
        <v>0</v>
      </c>
    </row>
    <row r="8148" spans="1:10" ht="15.75" hidden="1" thickBot="1" x14ac:dyDescent="0.3">
      <c r="A8148" s="171"/>
      <c r="B8148" s="174"/>
      <c r="C8148" s="31"/>
      <c r="D8148" s="31"/>
      <c r="E8148" s="32"/>
      <c r="F8148" s="42" t="s">
        <v>416</v>
      </c>
      <c r="G8148" s="33" t="str">
        <f>IF(ISNUMBER(F8148),E8148*F8148,"")</f>
        <v/>
      </c>
      <c r="H8148" s="34"/>
      <c r="I8148" s="30"/>
      <c r="J8148" s="152">
        <v>0</v>
      </c>
    </row>
    <row r="8149" spans="1:10" ht="26.25" hidden="1" thickBot="1" x14ac:dyDescent="0.3">
      <c r="A8149" s="171"/>
      <c r="B8149" s="174"/>
      <c r="C8149" s="35" t="s">
        <v>8300</v>
      </c>
      <c r="D8149" s="35" t="s">
        <v>213</v>
      </c>
      <c r="E8149" s="36">
        <v>1</v>
      </c>
      <c r="F8149" s="30">
        <v>13.727499999999999</v>
      </c>
      <c r="G8149" s="33">
        <f>IF(ISNUMBER(F8149),E8149*F8149,"")</f>
        <v>13.727499999999999</v>
      </c>
      <c r="H8149" s="38">
        <f>SUM(G8149:G8149)</f>
        <v>13.727499999999999</v>
      </c>
      <c r="I8149" s="39"/>
      <c r="J8149" s="152">
        <v>0</v>
      </c>
    </row>
    <row r="8150" spans="1:10" ht="15.75" hidden="1" thickBot="1" x14ac:dyDescent="0.3">
      <c r="A8150" s="172"/>
      <c r="B8150" s="175"/>
      <c r="C8150" s="54"/>
      <c r="D8150" s="54"/>
      <c r="E8150" s="65"/>
      <c r="F8150" s="66" t="s">
        <v>416</v>
      </c>
      <c r="G8150" s="67" t="str">
        <f>IF(ISNUMBER(F8150),E8150*F8150,"")</f>
        <v/>
      </c>
      <c r="H8150" s="68"/>
      <c r="I8150" s="30"/>
      <c r="J8150" s="152">
        <v>0</v>
      </c>
    </row>
    <row r="8151" spans="1:10" ht="15.75" hidden="1" thickBot="1" x14ac:dyDescent="0.3">
      <c r="A8151" s="170" t="s">
        <v>7045</v>
      </c>
      <c r="B8151" s="173" t="str">
        <f>INDEX(Orçamentária!A:B,MATCH(Composições!A8151,Orçamentária!A:A,0),2)</f>
        <v>Niple de aço-carbono galvanizado 3/4”</v>
      </c>
      <c r="C8151" s="40"/>
      <c r="D8151" s="25" t="s">
        <v>16</v>
      </c>
      <c r="E8151" s="26"/>
      <c r="F8151" s="41" t="s">
        <v>416</v>
      </c>
      <c r="G8151" s="27" t="str">
        <f>IF(ISNUMBER(F8151),E8151*F8151,"")</f>
        <v/>
      </c>
      <c r="H8151" s="28"/>
      <c r="I8151" s="29"/>
      <c r="J8151" s="152">
        <v>0</v>
      </c>
    </row>
    <row r="8152" spans="1:10" ht="15.75" hidden="1" thickBot="1" x14ac:dyDescent="0.3">
      <c r="A8152" s="171"/>
      <c r="B8152" s="174"/>
      <c r="C8152" s="31"/>
      <c r="D8152" s="31"/>
      <c r="E8152" s="32"/>
      <c r="F8152" s="42" t="s">
        <v>416</v>
      </c>
      <c r="G8152" s="33" t="str">
        <f>IF(ISNUMBER(F8152),E8152*F8152,"")</f>
        <v/>
      </c>
      <c r="H8152" s="34"/>
      <c r="I8152" s="30"/>
      <c r="J8152" s="152">
        <v>0</v>
      </c>
    </row>
    <row r="8153" spans="1:10" ht="26.25" hidden="1" thickBot="1" x14ac:dyDescent="0.3">
      <c r="A8153" s="171"/>
      <c r="B8153" s="174"/>
      <c r="C8153" s="35" t="s">
        <v>8301</v>
      </c>
      <c r="D8153" s="35" t="s">
        <v>213</v>
      </c>
      <c r="E8153" s="36">
        <v>1</v>
      </c>
      <c r="F8153" s="30">
        <v>17.736499999999999</v>
      </c>
      <c r="G8153" s="33">
        <f>IF(ISNUMBER(F8153),E8153*F8153,"")</f>
        <v>17.736499999999999</v>
      </c>
      <c r="H8153" s="38">
        <f>SUM(G8153:G8153)</f>
        <v>17.736499999999999</v>
      </c>
      <c r="I8153" s="39"/>
      <c r="J8153" s="152">
        <v>0</v>
      </c>
    </row>
    <row r="8154" spans="1:10" ht="15.75" hidden="1" thickBot="1" x14ac:dyDescent="0.3">
      <c r="A8154" s="172"/>
      <c r="B8154" s="175"/>
      <c r="C8154" s="54"/>
      <c r="D8154" s="54"/>
      <c r="E8154" s="65"/>
      <c r="F8154" s="66" t="s">
        <v>416</v>
      </c>
      <c r="G8154" s="67" t="str">
        <f>IF(ISNUMBER(F8154),E8154*F8154,"")</f>
        <v/>
      </c>
      <c r="H8154" s="68"/>
      <c r="I8154" s="30"/>
      <c r="J8154" s="152">
        <v>0</v>
      </c>
    </row>
    <row r="8155" spans="1:10" ht="15.75" hidden="1" thickBot="1" x14ac:dyDescent="0.3">
      <c r="A8155" s="170" t="s">
        <v>7047</v>
      </c>
      <c r="B8155" s="173" t="str">
        <f>INDEX(Orçamentária!A:B,MATCH(Composições!A8155,Orçamentária!A:A,0),2)</f>
        <v>Bucha de redução em ferro galvanizado 3/4” x 1/2”</v>
      </c>
      <c r="C8155" s="40"/>
      <c r="D8155" s="25" t="s">
        <v>16</v>
      </c>
      <c r="E8155" s="26"/>
      <c r="F8155" s="41" t="s">
        <v>416</v>
      </c>
      <c r="G8155" s="27" t="str">
        <f>IF(ISNUMBER(F8155),E8155*F8155,"")</f>
        <v/>
      </c>
      <c r="H8155" s="28"/>
      <c r="I8155" s="29"/>
      <c r="J8155" s="152">
        <v>0</v>
      </c>
    </row>
    <row r="8156" spans="1:10" ht="15.75" hidden="1" thickBot="1" x14ac:dyDescent="0.3">
      <c r="A8156" s="171"/>
      <c r="B8156" s="174"/>
      <c r="C8156" s="31"/>
      <c r="D8156" s="31"/>
      <c r="E8156" s="32"/>
      <c r="F8156" s="42" t="s">
        <v>416</v>
      </c>
      <c r="G8156" s="33" t="str">
        <f>IF(ISNUMBER(F8156),E8156*F8156,"")</f>
        <v/>
      </c>
      <c r="H8156" s="34"/>
      <c r="I8156" s="30"/>
      <c r="J8156" s="152">
        <v>0</v>
      </c>
    </row>
    <row r="8157" spans="1:10" ht="26.25" hidden="1" thickBot="1" x14ac:dyDescent="0.3">
      <c r="A8157" s="171"/>
      <c r="B8157" s="174"/>
      <c r="C8157" s="35" t="s">
        <v>8015</v>
      </c>
      <c r="D8157" s="35" t="s">
        <v>213</v>
      </c>
      <c r="E8157" s="36">
        <v>1</v>
      </c>
      <c r="F8157" s="30">
        <v>6.8780000000000001</v>
      </c>
      <c r="G8157" s="33">
        <f>IF(ISNUMBER(F8157),E8157*F8157,"")</f>
        <v>6.8780000000000001</v>
      </c>
      <c r="H8157" s="38">
        <f>SUM(G8157:G8157)</f>
        <v>6.8780000000000001</v>
      </c>
      <c r="I8157" s="39"/>
      <c r="J8157" s="152">
        <v>0</v>
      </c>
    </row>
    <row r="8158" spans="1:10" ht="15.75" hidden="1" thickBot="1" x14ac:dyDescent="0.3">
      <c r="A8158" s="172"/>
      <c r="B8158" s="175"/>
      <c r="C8158" s="54"/>
      <c r="D8158" s="54"/>
      <c r="E8158" s="65"/>
      <c r="F8158" s="66" t="s">
        <v>416</v>
      </c>
      <c r="G8158" s="67" t="str">
        <f>IF(ISNUMBER(F8158),E8158*F8158,"")</f>
        <v/>
      </c>
      <c r="H8158" s="68"/>
      <c r="I8158" s="30"/>
      <c r="J8158" s="152">
        <v>0</v>
      </c>
    </row>
    <row r="8159" spans="1:10" ht="15.75" hidden="1" thickBot="1" x14ac:dyDescent="0.3">
      <c r="A8159" s="170" t="s">
        <v>7048</v>
      </c>
      <c r="B8159" s="173" t="str">
        <f>INDEX(Orçamentária!A:B,MATCH(Composições!A8159,Orçamentária!A:A,0),2)</f>
        <v>Bucha de redução PVC roscável 3/4” x 1/2”</v>
      </c>
      <c r="C8159" s="40"/>
      <c r="D8159" s="25" t="s">
        <v>16</v>
      </c>
      <c r="E8159" s="26"/>
      <c r="F8159" s="41" t="s">
        <v>416</v>
      </c>
      <c r="G8159" s="27" t="str">
        <f>IF(ISNUMBER(F8159),E8159*F8159,"")</f>
        <v/>
      </c>
      <c r="H8159" s="28"/>
      <c r="I8159" s="29"/>
      <c r="J8159" s="152">
        <v>0</v>
      </c>
    </row>
    <row r="8160" spans="1:10" ht="15.75" hidden="1" thickBot="1" x14ac:dyDescent="0.3">
      <c r="A8160" s="171"/>
      <c r="B8160" s="174"/>
      <c r="C8160" s="31"/>
      <c r="D8160" s="31"/>
      <c r="E8160" s="32"/>
      <c r="F8160" s="42" t="s">
        <v>416</v>
      </c>
      <c r="G8160" s="33" t="str">
        <f>IF(ISNUMBER(F8160),E8160*F8160,"")</f>
        <v/>
      </c>
      <c r="H8160" s="34"/>
      <c r="I8160" s="30"/>
      <c r="J8160" s="152">
        <v>0</v>
      </c>
    </row>
    <row r="8161" spans="1:10" ht="15.75" hidden="1" thickBot="1" x14ac:dyDescent="0.3">
      <c r="A8161" s="171"/>
      <c r="B8161" s="174"/>
      <c r="C8161" s="35" t="s">
        <v>8022</v>
      </c>
      <c r="D8161" s="35" t="s">
        <v>213</v>
      </c>
      <c r="E8161" s="36">
        <v>1</v>
      </c>
      <c r="F8161" s="30">
        <v>1.159</v>
      </c>
      <c r="G8161" s="33">
        <f>IF(ISNUMBER(F8161),E8161*F8161,"")</f>
        <v>1.159</v>
      </c>
      <c r="H8161" s="38">
        <f>SUM(G8161:G8161)</f>
        <v>1.159</v>
      </c>
      <c r="I8161" s="39"/>
      <c r="J8161" s="152">
        <v>0</v>
      </c>
    </row>
    <row r="8162" spans="1:10" ht="15.75" hidden="1" thickBot="1" x14ac:dyDescent="0.3">
      <c r="A8162" s="172"/>
      <c r="B8162" s="175"/>
      <c r="C8162" s="54"/>
      <c r="D8162" s="54"/>
      <c r="E8162" s="65"/>
      <c r="F8162" s="66" t="s">
        <v>416</v>
      </c>
      <c r="G8162" s="67" t="str">
        <f>IF(ISNUMBER(F8162),E8162*F8162,"")</f>
        <v/>
      </c>
      <c r="H8162" s="68"/>
      <c r="I8162" s="30"/>
      <c r="J8162" s="152">
        <v>0</v>
      </c>
    </row>
    <row r="8163" spans="1:10" ht="15.75" hidden="1" thickBot="1" x14ac:dyDescent="0.3">
      <c r="A8163" s="170" t="s">
        <v>7049</v>
      </c>
      <c r="B8163" s="173" t="str">
        <f>INDEX(Orçamentária!A:B,MATCH(Composições!A8163,Orçamentária!A:A,0),2)</f>
        <v>Luva de correr PVC roscável 3/4”</v>
      </c>
      <c r="C8163" s="40"/>
      <c r="D8163" s="25" t="s">
        <v>16</v>
      </c>
      <c r="E8163" s="26"/>
      <c r="F8163" s="41" t="s">
        <v>416</v>
      </c>
      <c r="G8163" s="27" t="str">
        <f>IF(ISNUMBER(F8163),E8163*F8163,"")</f>
        <v/>
      </c>
      <c r="H8163" s="28"/>
      <c r="I8163" s="29"/>
      <c r="J8163" s="152">
        <v>0</v>
      </c>
    </row>
    <row r="8164" spans="1:10" ht="15.75" hidden="1" thickBot="1" x14ac:dyDescent="0.3">
      <c r="A8164" s="171"/>
      <c r="B8164" s="174"/>
      <c r="C8164" s="31"/>
      <c r="D8164" s="31"/>
      <c r="E8164" s="32"/>
      <c r="F8164" s="42" t="s">
        <v>416</v>
      </c>
      <c r="G8164" s="33" t="str">
        <f>IF(ISNUMBER(F8164),E8164*F8164,"")</f>
        <v/>
      </c>
      <c r="H8164" s="34"/>
      <c r="I8164" s="30"/>
      <c r="J8164" s="152">
        <v>0</v>
      </c>
    </row>
    <row r="8165" spans="1:10" ht="26.25" hidden="1" thickBot="1" x14ac:dyDescent="0.3">
      <c r="A8165" s="171"/>
      <c r="B8165" s="174"/>
      <c r="C8165" s="35" t="s">
        <v>8238</v>
      </c>
      <c r="D8165" s="35" t="s">
        <v>213</v>
      </c>
      <c r="E8165" s="36">
        <v>1</v>
      </c>
      <c r="F8165" s="30">
        <v>18.3825</v>
      </c>
      <c r="G8165" s="33">
        <f>IF(ISNUMBER(F8165),E8165*F8165,"")</f>
        <v>18.3825</v>
      </c>
      <c r="H8165" s="38">
        <f>SUM(G8165:G8165)</f>
        <v>18.3825</v>
      </c>
      <c r="I8165" s="39"/>
      <c r="J8165" s="152">
        <v>0</v>
      </c>
    </row>
    <row r="8166" spans="1:10" ht="15.75" hidden="1" thickBot="1" x14ac:dyDescent="0.3">
      <c r="A8166" s="172"/>
      <c r="B8166" s="175"/>
      <c r="C8166" s="54"/>
      <c r="D8166" s="54"/>
      <c r="E8166" s="65"/>
      <c r="F8166" s="66" t="s">
        <v>416</v>
      </c>
      <c r="G8166" s="67" t="str">
        <f>IF(ISNUMBER(F8166),E8166*F8166,"")</f>
        <v/>
      </c>
      <c r="H8166" s="68"/>
      <c r="I8166" s="30"/>
      <c r="J8166" s="152">
        <v>0</v>
      </c>
    </row>
    <row r="8167" spans="1:10" ht="15.75" hidden="1" thickBot="1" x14ac:dyDescent="0.3">
      <c r="A8167" s="170" t="s">
        <v>7051</v>
      </c>
      <c r="B8167" s="173" t="str">
        <f>INDEX(Orçamentária!A:B,MATCH(Composições!A8167,Orçamentária!A:A,0),2)</f>
        <v>Luva de correr PVC roscável 1 1/2”</v>
      </c>
      <c r="C8167" s="40"/>
      <c r="D8167" s="25" t="s">
        <v>16</v>
      </c>
      <c r="E8167" s="26"/>
      <c r="F8167" s="41" t="s">
        <v>416</v>
      </c>
      <c r="G8167" s="27" t="str">
        <f>IF(ISNUMBER(F8167),E8167*F8167,"")</f>
        <v/>
      </c>
      <c r="H8167" s="28"/>
      <c r="I8167" s="29"/>
      <c r="J8167" s="152">
        <v>0</v>
      </c>
    </row>
    <row r="8168" spans="1:10" ht="15.75" hidden="1" thickBot="1" x14ac:dyDescent="0.3">
      <c r="A8168" s="171"/>
      <c r="B8168" s="174"/>
      <c r="C8168" s="31"/>
      <c r="D8168" s="31"/>
      <c r="E8168" s="32"/>
      <c r="F8168" s="42" t="s">
        <v>416</v>
      </c>
      <c r="G8168" s="33" t="str">
        <f>IF(ISNUMBER(F8168),E8168*F8168,"")</f>
        <v/>
      </c>
      <c r="H8168" s="34"/>
      <c r="I8168" s="30"/>
      <c r="J8168" s="152">
        <v>0</v>
      </c>
    </row>
    <row r="8169" spans="1:10" ht="26.25" hidden="1" thickBot="1" x14ac:dyDescent="0.3">
      <c r="A8169" s="171"/>
      <c r="B8169" s="174"/>
      <c r="C8169" s="35" t="s">
        <v>8237</v>
      </c>
      <c r="D8169" s="35" t="s">
        <v>213</v>
      </c>
      <c r="E8169" s="36">
        <v>1</v>
      </c>
      <c r="F8169" s="30">
        <v>46.074999999999996</v>
      </c>
      <c r="G8169" s="33">
        <f>IF(ISNUMBER(F8169),E8169*F8169,"")</f>
        <v>46.074999999999996</v>
      </c>
      <c r="H8169" s="38">
        <f>SUM(G8169:G8169)</f>
        <v>46.074999999999996</v>
      </c>
      <c r="I8169" s="39"/>
      <c r="J8169" s="152">
        <v>0</v>
      </c>
    </row>
    <row r="8170" spans="1:10" ht="15.75" hidden="1" thickBot="1" x14ac:dyDescent="0.3">
      <c r="A8170" s="172"/>
      <c r="B8170" s="175"/>
      <c r="C8170" s="54"/>
      <c r="D8170" s="54"/>
      <c r="E8170" s="65"/>
      <c r="F8170" s="66" t="s">
        <v>416</v>
      </c>
      <c r="G8170" s="67" t="str">
        <f>IF(ISNUMBER(F8170),E8170*F8170,"")</f>
        <v/>
      </c>
      <c r="H8170" s="68"/>
      <c r="I8170" s="30"/>
      <c r="J8170" s="152">
        <v>0</v>
      </c>
    </row>
    <row r="8171" spans="1:10" ht="15.75" hidden="1" thickBot="1" x14ac:dyDescent="0.3">
      <c r="A8171" s="170" t="s">
        <v>7055</v>
      </c>
      <c r="B8171" s="173" t="str">
        <f>INDEX(Orçamentária!A:B,MATCH(Composições!A8171,Orçamentária!A:A,0),2)</f>
        <v>Luva de correr CPVC 22 mm – Linha Residencial</v>
      </c>
      <c r="C8171" s="40"/>
      <c r="D8171" s="25" t="s">
        <v>16</v>
      </c>
      <c r="E8171" s="26"/>
      <c r="F8171" s="41" t="s">
        <v>416</v>
      </c>
      <c r="G8171" s="27" t="str">
        <f>IF(ISNUMBER(F8171),E8171*F8171,"")</f>
        <v/>
      </c>
      <c r="H8171" s="28"/>
      <c r="I8171" s="29"/>
      <c r="J8171" s="152">
        <v>0</v>
      </c>
    </row>
    <row r="8172" spans="1:10" ht="15.75" hidden="1" thickBot="1" x14ac:dyDescent="0.3">
      <c r="A8172" s="171"/>
      <c r="B8172" s="174"/>
      <c r="C8172" s="31"/>
      <c r="D8172" s="31"/>
      <c r="E8172" s="32"/>
      <c r="F8172" s="42" t="s">
        <v>416</v>
      </c>
      <c r="G8172" s="33" t="str">
        <f>IF(ISNUMBER(F8172),E8172*F8172,"")</f>
        <v/>
      </c>
      <c r="H8172" s="34"/>
      <c r="I8172" s="30"/>
      <c r="J8172" s="152">
        <v>0</v>
      </c>
    </row>
    <row r="8173" spans="1:10" ht="26.25" hidden="1" thickBot="1" x14ac:dyDescent="0.3">
      <c r="A8173" s="171"/>
      <c r="B8173" s="174"/>
      <c r="C8173" s="35" t="s">
        <v>8244</v>
      </c>
      <c r="D8173" s="35" t="s">
        <v>213</v>
      </c>
      <c r="E8173" s="36">
        <v>1</v>
      </c>
      <c r="F8173" s="30">
        <v>6.9349999999999996</v>
      </c>
      <c r="G8173" s="33">
        <f>IF(ISNUMBER(F8173),E8173*F8173,"")</f>
        <v>6.9349999999999996</v>
      </c>
      <c r="H8173" s="38">
        <f>SUM(G8173:G8173)</f>
        <v>6.9349999999999996</v>
      </c>
      <c r="I8173" s="39"/>
      <c r="J8173" s="152">
        <v>0</v>
      </c>
    </row>
    <row r="8174" spans="1:10" ht="15.75" hidden="1" thickBot="1" x14ac:dyDescent="0.3">
      <c r="A8174" s="172"/>
      <c r="B8174" s="175"/>
      <c r="C8174" s="54"/>
      <c r="D8174" s="54"/>
      <c r="E8174" s="65"/>
      <c r="F8174" s="66" t="s">
        <v>416</v>
      </c>
      <c r="G8174" s="67" t="str">
        <f>IF(ISNUMBER(F8174),E8174*F8174,"")</f>
        <v/>
      </c>
      <c r="H8174" s="68"/>
      <c r="I8174" s="30"/>
      <c r="J8174" s="152">
        <v>0</v>
      </c>
    </row>
    <row r="8175" spans="1:10" ht="15.75" hidden="1" thickBot="1" x14ac:dyDescent="0.3">
      <c r="A8175" s="170" t="s">
        <v>7056</v>
      </c>
      <c r="B8175" s="173" t="str">
        <f>INDEX(Orçamentária!A:B,MATCH(Composições!A8175,Orçamentária!A:A,0),2)</f>
        <v>Luva de correr CPVC 28 mm – Linha Residencial</v>
      </c>
      <c r="C8175" s="40"/>
      <c r="D8175" s="25" t="s">
        <v>16</v>
      </c>
      <c r="E8175" s="26"/>
      <c r="F8175" s="41" t="s">
        <v>416</v>
      </c>
      <c r="G8175" s="27" t="str">
        <f>IF(ISNUMBER(F8175),E8175*F8175,"")</f>
        <v/>
      </c>
      <c r="H8175" s="28"/>
      <c r="I8175" s="29"/>
      <c r="J8175" s="152">
        <v>0</v>
      </c>
    </row>
    <row r="8176" spans="1:10" ht="15.75" hidden="1" thickBot="1" x14ac:dyDescent="0.3">
      <c r="A8176" s="171"/>
      <c r="B8176" s="174"/>
      <c r="C8176" s="31"/>
      <c r="D8176" s="31"/>
      <c r="E8176" s="32"/>
      <c r="F8176" s="42" t="s">
        <v>416</v>
      </c>
      <c r="G8176" s="33" t="str">
        <f>IF(ISNUMBER(F8176),E8176*F8176,"")</f>
        <v/>
      </c>
      <c r="H8176" s="34"/>
      <c r="I8176" s="30"/>
      <c r="J8176" s="152">
        <v>0</v>
      </c>
    </row>
    <row r="8177" spans="1:10" ht="26.25" hidden="1" thickBot="1" x14ac:dyDescent="0.3">
      <c r="A8177" s="171"/>
      <c r="B8177" s="174"/>
      <c r="C8177" s="35" t="s">
        <v>8245</v>
      </c>
      <c r="D8177" s="35" t="s">
        <v>213</v>
      </c>
      <c r="E8177" s="36">
        <v>1</v>
      </c>
      <c r="F8177" s="30">
        <v>10.250499999999999</v>
      </c>
      <c r="G8177" s="33">
        <f>IF(ISNUMBER(F8177),E8177*F8177,"")</f>
        <v>10.250499999999999</v>
      </c>
      <c r="H8177" s="38">
        <f>SUM(G8177:G8177)</f>
        <v>10.250499999999999</v>
      </c>
      <c r="I8177" s="39"/>
      <c r="J8177" s="152">
        <v>0</v>
      </c>
    </row>
    <row r="8178" spans="1:10" ht="15.75" hidden="1" thickBot="1" x14ac:dyDescent="0.3">
      <c r="A8178" s="172"/>
      <c r="B8178" s="175"/>
      <c r="C8178" s="54"/>
      <c r="D8178" s="54"/>
      <c r="E8178" s="65"/>
      <c r="F8178" s="66" t="s">
        <v>416</v>
      </c>
      <c r="G8178" s="67" t="str">
        <f>IF(ISNUMBER(F8178),E8178*F8178,"")</f>
        <v/>
      </c>
      <c r="H8178" s="68"/>
      <c r="I8178" s="30"/>
      <c r="J8178" s="152">
        <v>0</v>
      </c>
    </row>
    <row r="8179" spans="1:10" ht="15.75" hidden="1" thickBot="1" x14ac:dyDescent="0.3">
      <c r="A8179" s="170" t="s">
        <v>7069</v>
      </c>
      <c r="B8179" s="173" t="str">
        <f>INDEX(Orçamentária!A:B,MATCH(Composições!A8179,Orçamentária!A:A,0),2)</f>
        <v>Vidro temperado incolor com 6 mm de espessura</v>
      </c>
      <c r="C8179" s="40"/>
      <c r="D8179" s="25" t="s">
        <v>70</v>
      </c>
      <c r="E8179" s="26"/>
      <c r="F8179" s="41" t="s">
        <v>416</v>
      </c>
      <c r="G8179" s="27" t="str">
        <f>IF(ISNUMBER(F8179),E8179*F8179,"")</f>
        <v/>
      </c>
      <c r="H8179" s="28"/>
      <c r="I8179" s="29"/>
      <c r="J8179" s="152">
        <v>0</v>
      </c>
    </row>
    <row r="8180" spans="1:10" ht="15.75" hidden="1" thickBot="1" x14ac:dyDescent="0.3">
      <c r="A8180" s="171"/>
      <c r="B8180" s="174"/>
      <c r="C8180" s="31"/>
      <c r="D8180" s="31"/>
      <c r="E8180" s="32"/>
      <c r="F8180" s="42" t="s">
        <v>416</v>
      </c>
      <c r="G8180" s="33" t="str">
        <f>IF(ISNUMBER(F8180),E8180*F8180,"")</f>
        <v/>
      </c>
      <c r="H8180" s="34"/>
      <c r="I8180" s="30"/>
      <c r="J8180" s="152">
        <v>0</v>
      </c>
    </row>
    <row r="8181" spans="1:10" ht="15.75" hidden="1" thickBot="1" x14ac:dyDescent="0.3">
      <c r="A8181" s="171"/>
      <c r="B8181" s="174"/>
      <c r="C8181" s="35" t="s">
        <v>8506</v>
      </c>
      <c r="D8181" s="35" t="s">
        <v>861</v>
      </c>
      <c r="E8181" s="36">
        <v>1</v>
      </c>
      <c r="F8181" s="30">
        <v>121.78999999999998</v>
      </c>
      <c r="G8181" s="33">
        <f>IF(ISNUMBER(F8181),E8181*F8181,"")</f>
        <v>121.78999999999998</v>
      </c>
      <c r="H8181" s="38">
        <f>SUM(G8181:G8187)</f>
        <v>248.84394999999998</v>
      </c>
      <c r="I8181" s="39"/>
      <c r="J8181" s="152">
        <v>0</v>
      </c>
    </row>
    <row r="8182" spans="1:10" ht="39" hidden="1" thickBot="1" x14ac:dyDescent="0.3">
      <c r="A8182" s="171"/>
      <c r="B8182" s="174"/>
      <c r="C8182" s="35" t="s">
        <v>8010</v>
      </c>
      <c r="D8182" s="35" t="s">
        <v>213</v>
      </c>
      <c r="E8182" s="36">
        <v>2.1960000000000002</v>
      </c>
      <c r="F8182" s="30">
        <v>0.3705</v>
      </c>
      <c r="G8182" s="33">
        <f>IF(ISNUMBER(F8182),E8182*F8182,"")</f>
        <v>0.81361800000000006</v>
      </c>
      <c r="H8182" s="34"/>
      <c r="I8182" s="39"/>
      <c r="J8182" s="152">
        <v>0</v>
      </c>
    </row>
    <row r="8183" spans="1:10" ht="15.75" hidden="1" thickBot="1" x14ac:dyDescent="0.3">
      <c r="A8183" s="171"/>
      <c r="B8183" s="174"/>
      <c r="C8183" s="35" t="s">
        <v>709</v>
      </c>
      <c r="D8183" s="35" t="s">
        <v>773</v>
      </c>
      <c r="E8183" s="36">
        <v>0.96399999999999997</v>
      </c>
      <c r="F8183" s="30">
        <v>39.063999999999993</v>
      </c>
      <c r="G8183" s="33">
        <f>IF(ISNUMBER(F8183),E8183*F8183,"")</f>
        <v>37.657695999999994</v>
      </c>
      <c r="H8183" s="34"/>
      <c r="I8183" s="39"/>
      <c r="J8183" s="152">
        <v>0</v>
      </c>
    </row>
    <row r="8184" spans="1:10" ht="26.25" hidden="1" thickBot="1" x14ac:dyDescent="0.3">
      <c r="A8184" s="171"/>
      <c r="B8184" s="174"/>
      <c r="C8184" s="35" t="s">
        <v>8168</v>
      </c>
      <c r="D8184" s="35" t="s">
        <v>385</v>
      </c>
      <c r="E8184" s="36">
        <v>2.992</v>
      </c>
      <c r="F8184" s="30">
        <v>2.4319999999999999</v>
      </c>
      <c r="G8184" s="33">
        <f>IF(ISNUMBER(F8184),E8184*F8184,"")</f>
        <v>7.2765439999999995</v>
      </c>
      <c r="H8184" s="34"/>
      <c r="I8184" s="39"/>
      <c r="J8184" s="152">
        <v>0</v>
      </c>
    </row>
    <row r="8185" spans="1:10" ht="15.75" hidden="1" thickBot="1" x14ac:dyDescent="0.3">
      <c r="A8185" s="171"/>
      <c r="B8185" s="174"/>
      <c r="C8185" s="35" t="s">
        <v>8373</v>
      </c>
      <c r="D8185" s="35" t="s">
        <v>213</v>
      </c>
      <c r="E8185" s="36">
        <v>0.39700000000000002</v>
      </c>
      <c r="F8185" s="30">
        <v>26.125</v>
      </c>
      <c r="G8185" s="33">
        <f>IF(ISNUMBER(F8185),E8185*F8185,"")</f>
        <v>10.371625</v>
      </c>
      <c r="H8185" s="34"/>
      <c r="I8185" s="39"/>
      <c r="J8185" s="152">
        <v>0</v>
      </c>
    </row>
    <row r="8186" spans="1:10" ht="15.75" hidden="1" thickBot="1" x14ac:dyDescent="0.3">
      <c r="A8186" s="171"/>
      <c r="B8186" s="174"/>
      <c r="C8186" s="35" t="s">
        <v>584</v>
      </c>
      <c r="D8186" s="35" t="s">
        <v>583</v>
      </c>
      <c r="E8186" s="36">
        <v>1.542</v>
      </c>
      <c r="F8186" s="30">
        <v>20.225499999999997</v>
      </c>
      <c r="G8186" s="33">
        <f>IF(ISNUMBER(F8186),E8186*F8186,"")</f>
        <v>31.187720999999996</v>
      </c>
      <c r="H8186" s="34"/>
      <c r="I8186" s="39"/>
      <c r="J8186" s="152">
        <v>0</v>
      </c>
    </row>
    <row r="8187" spans="1:10" ht="15.75" hidden="1" thickBot="1" x14ac:dyDescent="0.3">
      <c r="A8187" s="171"/>
      <c r="B8187" s="174"/>
      <c r="C8187" s="35" t="s">
        <v>2909</v>
      </c>
      <c r="D8187" s="35" t="s">
        <v>583</v>
      </c>
      <c r="E8187" s="36">
        <v>1.5860000000000001</v>
      </c>
      <c r="F8187" s="30">
        <v>25.060999999999996</v>
      </c>
      <c r="G8187" s="33">
        <f>IF(ISNUMBER(F8187),E8187*F8187,"")</f>
        <v>39.746745999999995</v>
      </c>
      <c r="H8187" s="34"/>
      <c r="I8187" s="39"/>
      <c r="J8187" s="152">
        <v>0</v>
      </c>
    </row>
    <row r="8188" spans="1:10" ht="15.75" hidden="1" thickBot="1" x14ac:dyDescent="0.3">
      <c r="A8188" s="172"/>
      <c r="B8188" s="175"/>
      <c r="C8188" s="54"/>
      <c r="D8188" s="54"/>
      <c r="E8188" s="65"/>
      <c r="F8188" s="66" t="s">
        <v>416</v>
      </c>
      <c r="G8188" s="67" t="str">
        <f>IF(ISNUMBER(F8188),E8188*F8188,"")</f>
        <v/>
      </c>
      <c r="H8188" s="68"/>
      <c r="I8188" s="30"/>
      <c r="J8188" s="152">
        <v>0</v>
      </c>
    </row>
    <row r="8189" spans="1:10" ht="15.75" hidden="1" thickBot="1" x14ac:dyDescent="0.3">
      <c r="A8189" s="170" t="s">
        <v>7070</v>
      </c>
      <c r="B8189" s="173" t="str">
        <f>INDEX(Orçamentária!A:B,MATCH(Composições!A8189,Orçamentária!A:A,0),2)</f>
        <v>Vidro temperado incolor com 6 mm de espessura, tipo JUMBO</v>
      </c>
      <c r="C8189" s="40"/>
      <c r="D8189" s="25" t="s">
        <v>70</v>
      </c>
      <c r="E8189" s="26"/>
      <c r="F8189" s="41" t="s">
        <v>416</v>
      </c>
      <c r="G8189" s="27" t="str">
        <f>IF(ISNUMBER(F8189),E8189*F8189,"")</f>
        <v/>
      </c>
      <c r="H8189" s="28"/>
      <c r="I8189" s="29"/>
      <c r="J8189" s="152">
        <v>0</v>
      </c>
    </row>
    <row r="8190" spans="1:10" ht="15.75" hidden="1" thickBot="1" x14ac:dyDescent="0.3">
      <c r="A8190" s="171"/>
      <c r="B8190" s="174"/>
      <c r="C8190" s="31"/>
      <c r="D8190" s="31"/>
      <c r="E8190" s="32"/>
      <c r="F8190" s="42" t="s">
        <v>416</v>
      </c>
      <c r="G8190" s="33" t="str">
        <f>IF(ISNUMBER(F8190),E8190*F8190,"")</f>
        <v/>
      </c>
      <c r="H8190" s="34"/>
      <c r="I8190" s="30"/>
      <c r="J8190" s="152">
        <v>0</v>
      </c>
    </row>
    <row r="8191" spans="1:10" ht="15.75" hidden="1" thickBot="1" x14ac:dyDescent="0.3">
      <c r="A8191" s="171"/>
      <c r="B8191" s="174"/>
      <c r="C8191" s="35" t="s">
        <v>8506</v>
      </c>
      <c r="D8191" s="35" t="s">
        <v>861</v>
      </c>
      <c r="E8191" s="36">
        <v>1</v>
      </c>
      <c r="F8191" s="30">
        <v>121.78999999999998</v>
      </c>
      <c r="G8191" s="33">
        <f>IF(ISNUMBER(F8191),E8191*F8191,"")</f>
        <v>121.78999999999998</v>
      </c>
      <c r="H8191" s="38">
        <f>SUM(G8191:G8197)</f>
        <v>248.84394999999998</v>
      </c>
      <c r="I8191" s="39"/>
      <c r="J8191" s="152">
        <v>0</v>
      </c>
    </row>
    <row r="8192" spans="1:10" ht="39" hidden="1" thickBot="1" x14ac:dyDescent="0.3">
      <c r="A8192" s="171"/>
      <c r="B8192" s="174"/>
      <c r="C8192" s="35" t="s">
        <v>8010</v>
      </c>
      <c r="D8192" s="35" t="s">
        <v>213</v>
      </c>
      <c r="E8192" s="36">
        <v>2.1960000000000002</v>
      </c>
      <c r="F8192" s="30">
        <v>0.3705</v>
      </c>
      <c r="G8192" s="33">
        <f>IF(ISNUMBER(F8192),E8192*F8192,"")</f>
        <v>0.81361800000000006</v>
      </c>
      <c r="H8192" s="34"/>
      <c r="I8192" s="39"/>
      <c r="J8192" s="152">
        <v>0</v>
      </c>
    </row>
    <row r="8193" spans="1:10" ht="15.75" hidden="1" thickBot="1" x14ac:dyDescent="0.3">
      <c r="A8193" s="171"/>
      <c r="B8193" s="174"/>
      <c r="C8193" s="35" t="s">
        <v>709</v>
      </c>
      <c r="D8193" s="35" t="s">
        <v>773</v>
      </c>
      <c r="E8193" s="36">
        <v>0.96399999999999997</v>
      </c>
      <c r="F8193" s="30">
        <v>39.063999999999993</v>
      </c>
      <c r="G8193" s="33">
        <f>IF(ISNUMBER(F8193),E8193*F8193,"")</f>
        <v>37.657695999999994</v>
      </c>
      <c r="H8193" s="34"/>
      <c r="I8193" s="39"/>
      <c r="J8193" s="152">
        <v>0</v>
      </c>
    </row>
    <row r="8194" spans="1:10" ht="26.25" hidden="1" thickBot="1" x14ac:dyDescent="0.3">
      <c r="A8194" s="171"/>
      <c r="B8194" s="174"/>
      <c r="C8194" s="35" t="s">
        <v>8168</v>
      </c>
      <c r="D8194" s="35" t="s">
        <v>385</v>
      </c>
      <c r="E8194" s="36">
        <v>2.992</v>
      </c>
      <c r="F8194" s="30">
        <v>2.4319999999999999</v>
      </c>
      <c r="G8194" s="33">
        <f>IF(ISNUMBER(F8194),E8194*F8194,"")</f>
        <v>7.2765439999999995</v>
      </c>
      <c r="H8194" s="34"/>
      <c r="I8194" s="39"/>
      <c r="J8194" s="152">
        <v>0</v>
      </c>
    </row>
    <row r="8195" spans="1:10" ht="15.75" hidden="1" thickBot="1" x14ac:dyDescent="0.3">
      <c r="A8195" s="171"/>
      <c r="B8195" s="174"/>
      <c r="C8195" s="35" t="s">
        <v>8373</v>
      </c>
      <c r="D8195" s="35" t="s">
        <v>213</v>
      </c>
      <c r="E8195" s="36">
        <v>0.39700000000000002</v>
      </c>
      <c r="F8195" s="30">
        <v>26.125</v>
      </c>
      <c r="G8195" s="33">
        <f>IF(ISNUMBER(F8195),E8195*F8195,"")</f>
        <v>10.371625</v>
      </c>
      <c r="H8195" s="34"/>
      <c r="I8195" s="39"/>
      <c r="J8195" s="152">
        <v>0</v>
      </c>
    </row>
    <row r="8196" spans="1:10" ht="15.75" hidden="1" thickBot="1" x14ac:dyDescent="0.3">
      <c r="A8196" s="171"/>
      <c r="B8196" s="174"/>
      <c r="C8196" s="35" t="s">
        <v>584</v>
      </c>
      <c r="D8196" s="35" t="s">
        <v>583</v>
      </c>
      <c r="E8196" s="36">
        <v>1.542</v>
      </c>
      <c r="F8196" s="30">
        <v>20.225499999999997</v>
      </c>
      <c r="G8196" s="33">
        <f>IF(ISNUMBER(F8196),E8196*F8196,"")</f>
        <v>31.187720999999996</v>
      </c>
      <c r="H8196" s="34"/>
      <c r="I8196" s="39"/>
      <c r="J8196" s="152">
        <v>0</v>
      </c>
    </row>
    <row r="8197" spans="1:10" ht="15.75" hidden="1" thickBot="1" x14ac:dyDescent="0.3">
      <c r="A8197" s="171"/>
      <c r="B8197" s="174"/>
      <c r="C8197" s="35" t="s">
        <v>2909</v>
      </c>
      <c r="D8197" s="35" t="s">
        <v>583</v>
      </c>
      <c r="E8197" s="36">
        <v>1.5860000000000001</v>
      </c>
      <c r="F8197" s="30">
        <v>25.060999999999996</v>
      </c>
      <c r="G8197" s="33">
        <f>IF(ISNUMBER(F8197),E8197*F8197,"")</f>
        <v>39.746745999999995</v>
      </c>
      <c r="H8197" s="34"/>
      <c r="I8197" s="39"/>
      <c r="J8197" s="152">
        <v>0</v>
      </c>
    </row>
    <row r="8198" spans="1:10" ht="15.75" hidden="1" thickBot="1" x14ac:dyDescent="0.3">
      <c r="A8198" s="172"/>
      <c r="B8198" s="175"/>
      <c r="C8198" s="54"/>
      <c r="D8198" s="54"/>
      <c r="E8198" s="65"/>
      <c r="F8198" s="66" t="s">
        <v>416</v>
      </c>
      <c r="G8198" s="67" t="str">
        <f>IF(ISNUMBER(F8198),E8198*F8198,"")</f>
        <v/>
      </c>
      <c r="H8198" s="68"/>
      <c r="I8198" s="30"/>
      <c r="J8198" s="152">
        <v>0</v>
      </c>
    </row>
    <row r="8199" spans="1:10" ht="15.75" hidden="1" thickBot="1" x14ac:dyDescent="0.3">
      <c r="A8199" s="170" t="s">
        <v>7073</v>
      </c>
      <c r="B8199" s="173" t="str">
        <f>INDEX(Orçamentária!A:B,MATCH(Composições!A8199,Orçamentária!A:A,0),2)</f>
        <v>Tapume em telha metálica</v>
      </c>
      <c r="C8199" s="40"/>
      <c r="D8199" s="25" t="s">
        <v>70</v>
      </c>
      <c r="E8199" s="26"/>
      <c r="F8199" s="41" t="s">
        <v>416</v>
      </c>
      <c r="G8199" s="27" t="str">
        <f>IF(ISNUMBER(F8199),E8199*F8199,"")</f>
        <v/>
      </c>
      <c r="H8199" s="28"/>
      <c r="I8199" s="29"/>
      <c r="J8199" s="152">
        <v>0</v>
      </c>
    </row>
    <row r="8200" spans="1:10" ht="15.75" hidden="1" thickBot="1" x14ac:dyDescent="0.3">
      <c r="A8200" s="171"/>
      <c r="B8200" s="174"/>
      <c r="C8200" s="31"/>
      <c r="D8200" s="31"/>
      <c r="E8200" s="32"/>
      <c r="F8200" s="42" t="s">
        <v>416</v>
      </c>
      <c r="G8200" s="33" t="str">
        <f>IF(ISNUMBER(F8200),E8200*F8200,"")</f>
        <v/>
      </c>
      <c r="H8200" s="34"/>
      <c r="I8200" s="30"/>
      <c r="J8200" s="152">
        <v>0</v>
      </c>
    </row>
    <row r="8201" spans="1:10" ht="26.25" hidden="1" thickBot="1" x14ac:dyDescent="0.3">
      <c r="A8201" s="171"/>
      <c r="B8201" s="174"/>
      <c r="C8201" s="35" t="s">
        <v>8380</v>
      </c>
      <c r="D8201" s="35" t="s">
        <v>385</v>
      </c>
      <c r="E8201" s="36">
        <v>1</v>
      </c>
      <c r="F8201" s="30">
        <v>38.417999999999999</v>
      </c>
      <c r="G8201" s="33">
        <f>IF(ISNUMBER(F8201),E8201*F8201,"")</f>
        <v>38.417999999999999</v>
      </c>
      <c r="H8201" s="38">
        <f>SUM(G8201:G8209)</f>
        <v>133.75771362031705</v>
      </c>
      <c r="I8201" s="39"/>
      <c r="J8201" s="152">
        <v>0</v>
      </c>
    </row>
    <row r="8202" spans="1:10" ht="26.25" hidden="1" thickBot="1" x14ac:dyDescent="0.3">
      <c r="A8202" s="171"/>
      <c r="B8202" s="174"/>
      <c r="C8202" s="35" t="s">
        <v>8030</v>
      </c>
      <c r="D8202" s="35" t="s">
        <v>385</v>
      </c>
      <c r="E8202" s="36">
        <v>1.2273000000000001</v>
      </c>
      <c r="F8202" s="30">
        <v>32.375999999999998</v>
      </c>
      <c r="G8202" s="33">
        <f>IF(ISNUMBER(F8202),E8202*F8202,"")</f>
        <v>39.735064799999996</v>
      </c>
      <c r="H8202" s="34"/>
      <c r="I8202" s="39"/>
      <c r="J8202" s="152">
        <v>0</v>
      </c>
    </row>
    <row r="8203" spans="1:10" ht="15.75" hidden="1" thickBot="1" x14ac:dyDescent="0.3">
      <c r="A8203" s="171"/>
      <c r="B8203" s="174"/>
      <c r="C8203" s="35" t="s">
        <v>8339</v>
      </c>
      <c r="D8203" s="35" t="s">
        <v>773</v>
      </c>
      <c r="E8203" s="36">
        <v>4.2799999999999998E-2</v>
      </c>
      <c r="F8203" s="30">
        <v>21.232500000000002</v>
      </c>
      <c r="G8203" s="33">
        <f>IF(ISNUMBER(F8203),E8203*F8203,"")</f>
        <v>0.90875099999999998</v>
      </c>
      <c r="H8203" s="34"/>
      <c r="I8203" s="39"/>
      <c r="J8203" s="152">
        <v>0</v>
      </c>
    </row>
    <row r="8204" spans="1:10" ht="39" hidden="1" thickBot="1" x14ac:dyDescent="0.3">
      <c r="A8204" s="171"/>
      <c r="B8204" s="174"/>
      <c r="C8204" s="35" t="s">
        <v>2946</v>
      </c>
      <c r="D8204" s="35" t="s">
        <v>861</v>
      </c>
      <c r="E8204" s="36">
        <v>0.58530000000000004</v>
      </c>
      <c r="F8204" s="30">
        <v>58.320499999999996</v>
      </c>
      <c r="G8204" s="33">
        <f>IF(ISNUMBER(F8204),E8204*F8204,"")</f>
        <v>34.134988649999997</v>
      </c>
      <c r="H8204" s="34"/>
      <c r="I8204" s="39"/>
      <c r="J8204" s="152">
        <v>0</v>
      </c>
    </row>
    <row r="8205" spans="1:10" ht="15.75" hidden="1" thickBot="1" x14ac:dyDescent="0.3">
      <c r="A8205" s="171"/>
      <c r="B8205" s="174"/>
      <c r="C8205" s="35" t="s">
        <v>660</v>
      </c>
      <c r="D8205" s="35" t="s">
        <v>583</v>
      </c>
      <c r="E8205" s="36">
        <v>0.18970000000000001</v>
      </c>
      <c r="F8205" s="30">
        <v>21.337</v>
      </c>
      <c r="G8205" s="33">
        <f>IF(ISNUMBER(F8205),E8205*F8205,"")</f>
        <v>4.0476289000000003</v>
      </c>
      <c r="H8205" s="34"/>
      <c r="I8205" s="39"/>
      <c r="J8205" s="152">
        <v>0</v>
      </c>
    </row>
    <row r="8206" spans="1:10" ht="15.75" hidden="1" thickBot="1" x14ac:dyDescent="0.3">
      <c r="A8206" s="171"/>
      <c r="B8206" s="174"/>
      <c r="C8206" s="35" t="s">
        <v>862</v>
      </c>
      <c r="D8206" s="35" t="s">
        <v>583</v>
      </c>
      <c r="E8206" s="36">
        <v>0.56910000000000005</v>
      </c>
      <c r="F8206" s="30">
        <v>26.799499999999998</v>
      </c>
      <c r="G8206" s="33">
        <f>IF(ISNUMBER(F8206),E8206*F8206,"")</f>
        <v>15.25159545</v>
      </c>
      <c r="H8206" s="34"/>
      <c r="I8206" s="39"/>
      <c r="J8206" s="152">
        <v>0</v>
      </c>
    </row>
    <row r="8207" spans="1:10" ht="26.25" hidden="1" thickBot="1" x14ac:dyDescent="0.3">
      <c r="A8207" s="171"/>
      <c r="B8207" s="174"/>
      <c r="C8207" s="35" t="s">
        <v>1013</v>
      </c>
      <c r="D8207" s="35" t="s">
        <v>813</v>
      </c>
      <c r="E8207" s="36">
        <v>4.4000000000000003E-3</v>
      </c>
      <c r="F8207" s="30">
        <v>22.210999999999999</v>
      </c>
      <c r="G8207" s="33">
        <f>IF(ISNUMBER(F8207),E8207*F8207,"")</f>
        <v>9.7728399999999993E-2</v>
      </c>
      <c r="H8207" s="34"/>
      <c r="I8207" s="39"/>
      <c r="J8207" s="152">
        <v>0</v>
      </c>
    </row>
    <row r="8208" spans="1:10" ht="26.25" hidden="1" thickBot="1" x14ac:dyDescent="0.3">
      <c r="A8208" s="171"/>
      <c r="B8208" s="174"/>
      <c r="C8208" s="35" t="s">
        <v>1014</v>
      </c>
      <c r="D8208" s="35" t="s">
        <v>815</v>
      </c>
      <c r="E8208" s="36">
        <v>1.9099999999999999E-2</v>
      </c>
      <c r="F8208" s="30">
        <v>21.2895</v>
      </c>
      <c r="G8208" s="33">
        <f>IF(ISNUMBER(F8208),E8208*F8208,"")</f>
        <v>0.40662945</v>
      </c>
      <c r="H8208" s="34"/>
      <c r="I8208" s="39"/>
      <c r="J8208" s="152">
        <v>0</v>
      </c>
    </row>
    <row r="8209" spans="1:10" ht="39" hidden="1" thickBot="1" x14ac:dyDescent="0.3">
      <c r="A8209" s="171"/>
      <c r="B8209" s="174"/>
      <c r="C8209" s="35" t="s">
        <v>5740</v>
      </c>
      <c r="D8209" s="35" t="s">
        <v>87</v>
      </c>
      <c r="E8209" s="36">
        <v>1.1999999999999999E-3</v>
      </c>
      <c r="F8209" s="30">
        <v>631.10580859755498</v>
      </c>
      <c r="G8209" s="33">
        <f>IF(ISNUMBER(F8209),E8209*F8209,"")</f>
        <v>0.75732697031706586</v>
      </c>
      <c r="H8209" s="34"/>
      <c r="I8209" s="39"/>
      <c r="J8209" s="152">
        <v>0</v>
      </c>
    </row>
    <row r="8210" spans="1:10" ht="15.75" hidden="1" thickBot="1" x14ac:dyDescent="0.3">
      <c r="A8210" s="172"/>
      <c r="B8210" s="175"/>
      <c r="C8210" s="54"/>
      <c r="D8210" s="54"/>
      <c r="E8210" s="65"/>
      <c r="F8210" s="66" t="s">
        <v>416</v>
      </c>
      <c r="G8210" s="67" t="str">
        <f>IF(ISNUMBER(F8210),E8210*F8210,"")</f>
        <v/>
      </c>
      <c r="H8210" s="68"/>
      <c r="I8210" s="30"/>
      <c r="J8210" s="152">
        <v>0</v>
      </c>
    </row>
    <row r="8211" spans="1:10" ht="15.75" hidden="1" thickBot="1" x14ac:dyDescent="0.3">
      <c r="A8211" s="170" t="s">
        <v>7075</v>
      </c>
      <c r="B8211" s="173" t="str">
        <f>INDEX(Orçamentária!A:B,MATCH(Composições!A8211,Orçamentária!A:A,0),2)</f>
        <v>Solo para aterro (com transporte)</v>
      </c>
      <c r="C8211" s="40"/>
      <c r="D8211" s="25" t="s">
        <v>80</v>
      </c>
      <c r="E8211" s="26"/>
      <c r="F8211" s="41" t="s">
        <v>416</v>
      </c>
      <c r="G8211" s="27" t="str">
        <f>IF(ISNUMBER(F8211),E8211*F8211,"")</f>
        <v/>
      </c>
      <c r="H8211" s="28"/>
      <c r="I8211" s="29"/>
      <c r="J8211" s="152">
        <v>0</v>
      </c>
    </row>
    <row r="8212" spans="1:10" ht="15.75" hidden="1" thickBot="1" x14ac:dyDescent="0.3">
      <c r="A8212" s="171"/>
      <c r="B8212" s="174"/>
      <c r="C8212" s="31"/>
      <c r="D8212" s="31"/>
      <c r="E8212" s="32"/>
      <c r="F8212" s="42" t="s">
        <v>416</v>
      </c>
      <c r="G8212" s="33" t="str">
        <f>IF(ISNUMBER(F8212),E8212*F8212,"")</f>
        <v/>
      </c>
      <c r="H8212" s="34"/>
      <c r="I8212" s="30"/>
      <c r="J8212" s="152">
        <v>0</v>
      </c>
    </row>
    <row r="8213" spans="1:10" ht="26.25" hidden="1" thickBot="1" x14ac:dyDescent="0.3">
      <c r="A8213" s="171"/>
      <c r="B8213" s="174"/>
      <c r="C8213" s="35" t="s">
        <v>7992</v>
      </c>
      <c r="D8213" s="35" t="s">
        <v>87</v>
      </c>
      <c r="E8213" s="36">
        <v>1</v>
      </c>
      <c r="F8213" s="30">
        <v>127.01499999999999</v>
      </c>
      <c r="G8213" s="33">
        <f>IF(ISNUMBER(F8213),E8213*F8213,"")</f>
        <v>127.01499999999999</v>
      </c>
      <c r="H8213" s="38">
        <f>SUM(G8213:G8213)</f>
        <v>127.01499999999999</v>
      </c>
      <c r="I8213" s="39"/>
      <c r="J8213" s="152">
        <v>0</v>
      </c>
    </row>
    <row r="8214" spans="1:10" ht="15.75" hidden="1" thickBot="1" x14ac:dyDescent="0.3">
      <c r="A8214" s="172"/>
      <c r="B8214" s="175"/>
      <c r="C8214" s="54"/>
      <c r="D8214" s="54"/>
      <c r="E8214" s="65"/>
      <c r="F8214" s="66" t="s">
        <v>416</v>
      </c>
      <c r="G8214" s="67" t="str">
        <f>IF(ISNUMBER(F8214),E8214*F8214,"")</f>
        <v/>
      </c>
      <c r="H8214" s="68"/>
      <c r="I8214" s="30"/>
      <c r="J8214" s="152">
        <v>0</v>
      </c>
    </row>
    <row r="8215" spans="1:10" ht="15.75" hidden="1" thickBot="1" x14ac:dyDescent="0.3">
      <c r="A8215" s="170" t="s">
        <v>7077</v>
      </c>
      <c r="B8215" s="173" t="str">
        <f>INDEX(Orçamentária!A:B,MATCH(Composições!A8215,Orçamentária!A:A,0),2)</f>
        <v>Rejunte resinado acrílico - Aplicação/Substituição</v>
      </c>
      <c r="C8215" s="40"/>
      <c r="D8215" s="25" t="s">
        <v>28</v>
      </c>
      <c r="E8215" s="26"/>
      <c r="F8215" s="48" t="s">
        <v>416</v>
      </c>
      <c r="G8215" s="27" t="str">
        <f>IF(ISNUMBER(F8215),E8215*F8215,"")</f>
        <v/>
      </c>
      <c r="H8215" s="28"/>
      <c r="I8215" s="29"/>
      <c r="J8215" s="152">
        <v>0</v>
      </c>
    </row>
    <row r="8216" spans="1:10" ht="15.75" hidden="1" thickBot="1" x14ac:dyDescent="0.3">
      <c r="A8216" s="171"/>
      <c r="B8216" s="174"/>
      <c r="C8216" s="31"/>
      <c r="D8216" s="31"/>
      <c r="E8216" s="32"/>
      <c r="F8216" s="53" t="s">
        <v>416</v>
      </c>
      <c r="G8216" s="53" t="str">
        <f>IF(ISNUMBER(F8216),E8216*F8216,"")</f>
        <v/>
      </c>
      <c r="H8216" s="72"/>
      <c r="I8216" s="73"/>
      <c r="J8216" s="152">
        <v>0</v>
      </c>
    </row>
    <row r="8217" spans="1:10" ht="15.75" hidden="1" thickBot="1" x14ac:dyDescent="0.3">
      <c r="A8217" s="171"/>
      <c r="B8217" s="174"/>
      <c r="C8217" s="35" t="s">
        <v>8513</v>
      </c>
      <c r="D8217" s="35" t="s">
        <v>773</v>
      </c>
      <c r="E8217" s="36">
        <v>1</v>
      </c>
      <c r="F8217" s="53" t="s">
        <v>416</v>
      </c>
      <c r="G8217" s="53" t="str">
        <f>IF(ISNUMBER(F8217),E8217*F8217,"")</f>
        <v/>
      </c>
      <c r="H8217" s="38">
        <f>SUM(G8217:G8218)</f>
        <v>19.116729678638936</v>
      </c>
      <c r="I8217" s="39"/>
      <c r="J8217" s="152">
        <v>0</v>
      </c>
    </row>
    <row r="8218" spans="1:10" ht="15.75" hidden="1" thickBot="1" x14ac:dyDescent="0.3">
      <c r="A8218" s="171"/>
      <c r="B8218" s="174"/>
      <c r="C8218" s="35" t="s">
        <v>584</v>
      </c>
      <c r="D8218" s="35" t="s">
        <v>583</v>
      </c>
      <c r="E8218" s="36">
        <f>0.5/0.529</f>
        <v>0.94517958412098291</v>
      </c>
      <c r="F8218" s="53">
        <v>20.225499999999997</v>
      </c>
      <c r="G8218" s="53">
        <f>IF(ISNUMBER(F8218),E8218*F8218,"")</f>
        <v>19.116729678638936</v>
      </c>
      <c r="H8218" s="72"/>
      <c r="I8218" s="73"/>
      <c r="J8218" s="152">
        <v>0</v>
      </c>
    </row>
    <row r="8219" spans="1:10" ht="15.75" hidden="1" thickBot="1" x14ac:dyDescent="0.3">
      <c r="A8219" s="172"/>
      <c r="B8219" s="175"/>
      <c r="C8219" s="35"/>
      <c r="D8219" s="35"/>
      <c r="E8219" s="36"/>
      <c r="F8219" s="53" t="s">
        <v>416</v>
      </c>
      <c r="G8219" s="53" t="str">
        <f>IF(ISNUMBER(F8219),E8219*F8219,"")</f>
        <v/>
      </c>
      <c r="H8219" s="72"/>
      <c r="I8219" s="73"/>
      <c r="J8219" s="152">
        <v>0</v>
      </c>
    </row>
    <row r="8220" spans="1:10" ht="15.75" thickBot="1" x14ac:dyDescent="0.3">
      <c r="A8220" s="170" t="s">
        <v>7078</v>
      </c>
      <c r="B8220" s="173" t="str">
        <f>INDEX(Orçamentária!A:B,MATCH(Composições!A8220,Orçamentária!A:A,0),2)</f>
        <v>Remoção de splitão/fan-coil</v>
      </c>
      <c r="C8220" s="40"/>
      <c r="D8220" s="25" t="s">
        <v>16</v>
      </c>
      <c r="E8220" s="26"/>
      <c r="F8220" s="41" t="s">
        <v>416</v>
      </c>
      <c r="G8220" s="27" t="str">
        <f>IF(ISNUMBER(F8220),E8220*F8220,"")</f>
        <v/>
      </c>
      <c r="H8220" s="28"/>
      <c r="I8220" s="29"/>
      <c r="J8220" s="152">
        <v>2</v>
      </c>
    </row>
    <row r="8221" spans="1:10" x14ac:dyDescent="0.25">
      <c r="A8221" s="171"/>
      <c r="B8221" s="174"/>
      <c r="C8221" s="31"/>
      <c r="D8221" s="31"/>
      <c r="E8221" s="32"/>
      <c r="F8221" s="42" t="s">
        <v>416</v>
      </c>
      <c r="G8221" s="33" t="str">
        <f>IF(ISNUMBER(F8221),E8221*F8221,"")</f>
        <v/>
      </c>
      <c r="H8221" s="34"/>
      <c r="I8221" s="30"/>
      <c r="J8221" s="152">
        <v>2</v>
      </c>
    </row>
    <row r="8222" spans="1:10" x14ac:dyDescent="0.25">
      <c r="A8222" s="171"/>
      <c r="B8222" s="174"/>
      <c r="C8222" s="35" t="s">
        <v>584</v>
      </c>
      <c r="D8222" s="35" t="s">
        <v>583</v>
      </c>
      <c r="E8222" s="36">
        <v>19.401</v>
      </c>
      <c r="F8222" s="30">
        <v>20.225499999999997</v>
      </c>
      <c r="G8222" s="33">
        <f>IF(ISNUMBER(F8222),E8222*F8222,"")</f>
        <v>392.39492549999994</v>
      </c>
      <c r="H8222" s="38">
        <f>SUM(G8222:G8223)</f>
        <v>531.36692949999997</v>
      </c>
      <c r="I8222" s="39"/>
      <c r="J8222" s="152">
        <v>2</v>
      </c>
    </row>
    <row r="8223" spans="1:10" ht="25.5" x14ac:dyDescent="0.25">
      <c r="A8223" s="171"/>
      <c r="B8223" s="174"/>
      <c r="C8223" s="35" t="s">
        <v>2907</v>
      </c>
      <c r="D8223" s="35" t="s">
        <v>583</v>
      </c>
      <c r="E8223" s="36">
        <v>4.9039999999999999</v>
      </c>
      <c r="F8223" s="30">
        <v>28.338499999999996</v>
      </c>
      <c r="G8223" s="33">
        <f>IF(ISNUMBER(F8223),E8223*F8223,"")</f>
        <v>138.97200399999997</v>
      </c>
      <c r="H8223" s="34"/>
      <c r="I8223" s="39"/>
      <c r="J8223" s="152">
        <v>2</v>
      </c>
    </row>
    <row r="8224" spans="1:10" ht="15.75" thickBot="1" x14ac:dyDescent="0.3">
      <c r="A8224" s="172"/>
      <c r="B8224" s="175"/>
      <c r="C8224" s="54"/>
      <c r="D8224" s="54"/>
      <c r="E8224" s="65"/>
      <c r="F8224" s="66" t="s">
        <v>416</v>
      </c>
      <c r="G8224" s="67" t="str">
        <f>IF(ISNUMBER(F8224),E8224*F8224,"")</f>
        <v/>
      </c>
      <c r="H8224" s="68"/>
      <c r="I8224" s="30"/>
      <c r="J8224" s="152">
        <v>2</v>
      </c>
    </row>
    <row r="8225" spans="1:10" ht="15.75" thickBot="1" x14ac:dyDescent="0.3">
      <c r="A8225" s="170" t="s">
        <v>7080</v>
      </c>
      <c r="B8225" s="173" t="str">
        <f>INDEX(Orçamentária!A:B,MATCH(Composições!A8225,Orçamentária!A:A,0),2)</f>
        <v>Projeto executivo de engenharia elétrica – Climatização do Bloco 17 por split</v>
      </c>
      <c r="C8225" s="40"/>
      <c r="D8225" s="25" t="s">
        <v>16</v>
      </c>
      <c r="E8225" s="26"/>
      <c r="F8225" s="41" t="s">
        <v>416</v>
      </c>
      <c r="G8225" s="27" t="str">
        <f>IF(ISNUMBER(F8225),E8225*F8225,"")</f>
        <v/>
      </c>
      <c r="H8225" s="28"/>
      <c r="I8225" s="29"/>
      <c r="J8225" s="152">
        <v>1</v>
      </c>
    </row>
    <row r="8226" spans="1:10" x14ac:dyDescent="0.25">
      <c r="A8226" s="171"/>
      <c r="B8226" s="174"/>
      <c r="C8226" s="31"/>
      <c r="D8226" s="31"/>
      <c r="E8226" s="32"/>
      <c r="F8226" s="42" t="s">
        <v>416</v>
      </c>
      <c r="G8226" s="33" t="str">
        <f>IF(ISNUMBER(F8226),E8226*F8226,"")</f>
        <v/>
      </c>
      <c r="H8226" s="34"/>
      <c r="I8226" s="30"/>
      <c r="J8226" s="152">
        <v>1</v>
      </c>
    </row>
    <row r="8227" spans="1:10" x14ac:dyDescent="0.25">
      <c r="A8227" s="171"/>
      <c r="B8227" s="174"/>
      <c r="C8227" s="35" t="s">
        <v>2917</v>
      </c>
      <c r="D8227" s="35" t="s">
        <v>583</v>
      </c>
      <c r="E8227" s="36">
        <v>40</v>
      </c>
      <c r="F8227" s="30">
        <v>124.203</v>
      </c>
      <c r="G8227" s="33">
        <f>IF(ISNUMBER(F8227),E8227*F8227,"")</f>
        <v>4968.12</v>
      </c>
      <c r="H8227" s="38">
        <f>SUM(G8227:G8229)</f>
        <v>5540.96</v>
      </c>
      <c r="I8227" s="39"/>
      <c r="J8227" s="152">
        <v>1</v>
      </c>
    </row>
    <row r="8228" spans="1:10" x14ac:dyDescent="0.25">
      <c r="A8228" s="171"/>
      <c r="B8228" s="174"/>
      <c r="C8228" s="35" t="s">
        <v>2912</v>
      </c>
      <c r="D8228" s="35" t="s">
        <v>583</v>
      </c>
      <c r="E8228" s="36">
        <v>20</v>
      </c>
      <c r="F8228" s="30">
        <v>15.9125</v>
      </c>
      <c r="G8228" s="33">
        <f>IF(ISNUMBER(F8228),E8228*F8228,"")</f>
        <v>318.25</v>
      </c>
      <c r="H8228" s="34"/>
      <c r="I8228" s="39"/>
      <c r="J8228" s="152">
        <v>1</v>
      </c>
    </row>
    <row r="8229" spans="1:10" x14ac:dyDescent="0.25">
      <c r="A8229" s="171"/>
      <c r="B8229" s="174"/>
      <c r="C8229" s="35" t="s">
        <v>15</v>
      </c>
      <c r="D8229" s="35" t="s">
        <v>16</v>
      </c>
      <c r="E8229" s="36">
        <v>1</v>
      </c>
      <c r="F8229" s="33">
        <v>254.59</v>
      </c>
      <c r="G8229" s="33">
        <f>IF(ISNUMBER(F8229),E8229*F8229,"")</f>
        <v>254.59</v>
      </c>
      <c r="H8229" s="34"/>
      <c r="I8229" s="39"/>
      <c r="J8229" s="152">
        <v>1</v>
      </c>
    </row>
    <row r="8230" spans="1:10" ht="15.75" thickBot="1" x14ac:dyDescent="0.3">
      <c r="A8230" s="172"/>
      <c r="B8230" s="175"/>
      <c r="C8230" s="54"/>
      <c r="D8230" s="54"/>
      <c r="E8230" s="65"/>
      <c r="F8230" s="66" t="s">
        <v>416</v>
      </c>
      <c r="G8230" s="67" t="str">
        <f>IF(ISNUMBER(F8230),E8230*F8230,"")</f>
        <v/>
      </c>
      <c r="H8230" s="68"/>
      <c r="I8230" s="30"/>
      <c r="J8230" s="152">
        <v>1</v>
      </c>
    </row>
    <row r="8231" spans="1:10" ht="15.75" thickBot="1" x14ac:dyDescent="0.3">
      <c r="A8231" s="170" t="s">
        <v>7081</v>
      </c>
      <c r="B8231" s="173" t="str">
        <f>INDEX(Orçamentária!A:B,MATCH(Composições!A8231,Orçamentária!A:A,0),2)</f>
        <v>Quadro elétrico TTA - Sistema de climatização do Bloco 17 por split</v>
      </c>
      <c r="C8231" s="40"/>
      <c r="D8231" s="25" t="s">
        <v>16</v>
      </c>
      <c r="E8231" s="26"/>
      <c r="F8231" s="41" t="s">
        <v>416</v>
      </c>
      <c r="G8231" s="27" t="str">
        <f>IF(ISNUMBER(F8231),E8231*F8231,"")</f>
        <v/>
      </c>
      <c r="H8231" s="28"/>
      <c r="I8231" s="29"/>
      <c r="J8231" s="152">
        <v>1</v>
      </c>
    </row>
    <row r="8232" spans="1:10" x14ac:dyDescent="0.25">
      <c r="A8232" s="176"/>
      <c r="B8232" s="174"/>
      <c r="C8232" s="31"/>
      <c r="D8232" s="31"/>
      <c r="E8232" s="32"/>
      <c r="F8232" s="42" t="s">
        <v>416</v>
      </c>
      <c r="G8232" s="30" t="str">
        <f>IF(ISNUMBER(F8232),E8232*F8232,"")</f>
        <v/>
      </c>
      <c r="H8232" s="34"/>
      <c r="I8232" s="30"/>
      <c r="J8232" s="152">
        <v>1</v>
      </c>
    </row>
    <row r="8233" spans="1:10" ht="38.25" x14ac:dyDescent="0.25">
      <c r="A8233" s="176"/>
      <c r="B8233" s="174"/>
      <c r="C8233" s="35" t="s">
        <v>8512</v>
      </c>
      <c r="D8233" s="46" t="s">
        <v>16</v>
      </c>
      <c r="E8233" s="36">
        <v>1</v>
      </c>
      <c r="F8233" s="33">
        <v>25487.3</v>
      </c>
      <c r="G8233" s="30">
        <f>IF(ISNUMBER(F8233),E8233*F8233,"")</f>
        <v>25487.3</v>
      </c>
      <c r="H8233" s="38">
        <f>SUM(G8233:G8236)</f>
        <v>25534.717608440253</v>
      </c>
      <c r="I8233" s="39"/>
      <c r="J8233" s="152">
        <v>1</v>
      </c>
    </row>
    <row r="8234" spans="1:10" ht="38.25" x14ac:dyDescent="0.25">
      <c r="A8234" s="176"/>
      <c r="B8234" s="174"/>
      <c r="C8234" s="35" t="s">
        <v>2897</v>
      </c>
      <c r="D8234" s="46" t="s">
        <v>87</v>
      </c>
      <c r="E8234" s="36">
        <v>1.9199999999999998E-2</v>
      </c>
      <c r="F8234" s="30">
        <v>838.58271563799997</v>
      </c>
      <c r="G8234" s="30">
        <f>IF(ISNUMBER(F8234),E8234*F8234,"")</f>
        <v>16.100788140249598</v>
      </c>
      <c r="H8234" s="34"/>
      <c r="I8234" s="30"/>
      <c r="J8234" s="152">
        <v>1</v>
      </c>
    </row>
    <row r="8235" spans="1:10" x14ac:dyDescent="0.25">
      <c r="A8235" s="176"/>
      <c r="B8235" s="174"/>
      <c r="C8235" s="35" t="s">
        <v>1017</v>
      </c>
      <c r="D8235" s="35" t="s">
        <v>583</v>
      </c>
      <c r="E8235" s="36">
        <v>0.63370000000000004</v>
      </c>
      <c r="F8235" s="30">
        <v>21.584</v>
      </c>
      <c r="G8235" s="30">
        <f>IF(ISNUMBER(F8235),E8235*F8235,"")</f>
        <v>13.677780800000001</v>
      </c>
      <c r="H8235" s="34"/>
      <c r="I8235" s="30"/>
      <c r="J8235" s="152">
        <v>1</v>
      </c>
    </row>
    <row r="8236" spans="1:10" x14ac:dyDescent="0.25">
      <c r="A8236" s="176"/>
      <c r="B8236" s="174"/>
      <c r="C8236" s="35" t="s">
        <v>1018</v>
      </c>
      <c r="D8236" s="35" t="s">
        <v>583</v>
      </c>
      <c r="E8236" s="36">
        <v>0.63370000000000004</v>
      </c>
      <c r="F8236" s="30">
        <v>27.835000000000001</v>
      </c>
      <c r="G8236" s="33">
        <f>IF(ISNUMBER(F8236),E8236*F8236,"")</f>
        <v>17.639039500000003</v>
      </c>
      <c r="H8236" s="34"/>
      <c r="I8236" s="30"/>
      <c r="J8236" s="152">
        <v>1</v>
      </c>
    </row>
    <row r="8237" spans="1:10" ht="15.75" thickBot="1" x14ac:dyDescent="0.3">
      <c r="A8237" s="177"/>
      <c r="B8237" s="175"/>
      <c r="C8237" s="54"/>
      <c r="D8237" s="54"/>
      <c r="E8237" s="65"/>
      <c r="F8237" s="66" t="s">
        <v>416</v>
      </c>
      <c r="G8237" s="66" t="str">
        <f>IF(ISNUMBER(F8237),E8237*F8237,"")</f>
        <v/>
      </c>
      <c r="H8237" s="68"/>
      <c r="I8237" s="30"/>
      <c r="J8237" s="152">
        <v>1</v>
      </c>
    </row>
  </sheetData>
  <protectedRanges>
    <protectedRange sqref="C3261 C3256" name="COTACOES_92_6"/>
    <protectedRange sqref="C422 C401" name="COTACOES_92_13_1"/>
    <protectedRange sqref="C1230" name="COTACOES_91_1_2_1"/>
    <protectedRange sqref="C1224" name="COTACOES_91_1_3_1"/>
    <protectedRange sqref="C1391:C1392" name="COTACOES_68_1_1"/>
    <protectedRange sqref="F1525 F1537 F1519 F1513 F1531" name="COTACOES_27_1_2_1_8_1"/>
    <protectedRange sqref="C1525 C1537 C1519 C1513 C1531" name="COTACOES_5_1_8_1"/>
    <protectedRange sqref="C1410:C1412 C1425:C1427 C1440:C1442 C1455:C1457 C1470:C1472 C1485:C1487 C1500:C1502 C1414 C1429 C1444 C1459 C1474 C1489 C1504" name="COTACOES_32_1_1"/>
    <protectedRange sqref="F1575 F1578 F1581" name="COTACOES_27_1_2_1_17_1"/>
    <protectedRange sqref="C1574:C1576 C1581:C1582 C1578:C1579" name="COTACOES_5_1_17_1"/>
    <protectedRange sqref="C5085" name="COTACOES_15_1_1"/>
    <protectedRange sqref="C1728 C1739 C1730 C1741" name="COTACOES_8_1_1"/>
    <protectedRange sqref="C1706 C4944:C4945 C4959 C4966 C1717 C1708 C1719" name="COTACOES_9_1_1_3"/>
    <protectedRange sqref="C1692" name="COTACOES_10_1_1"/>
    <protectedRange sqref="C1766" name="COTACOES_42_1_3"/>
    <protectedRange sqref="C1780" name="COTACOES_42_1_1_1"/>
    <protectedRange sqref="C1794" name="COTACOES_42_1_2_1"/>
    <protectedRange sqref="F1752" name="COTACOES_27_1_1_3_1"/>
    <protectedRange sqref="F1759" name="COTACOES_27_1_1_4_1"/>
    <protectedRange sqref="C1818" name="COTACOES_37_1_1"/>
    <protectedRange sqref="C1824" name="COTACOES_82_1_1"/>
    <protectedRange sqref="C1837" name="COTACOES_58_1_1"/>
    <protectedRange sqref="C1843" name="COTACOES_61_1_1"/>
    <protectedRange sqref="C1849" name="COTACOES_40_1_1"/>
    <protectedRange sqref="C1855" name="COTACOES_36_1_2"/>
    <protectedRange sqref="C1891" name="COTACOES_41_1_2"/>
    <protectedRange sqref="C1867 C1885" name="COTACOES_41_1_1_1"/>
    <protectedRange sqref="C1861" name="COTACOES_36_1_1_1"/>
    <protectedRange sqref="C1873 C1879" name="COTACOES_44_1_1"/>
    <protectedRange sqref="C1897" name="COTACOES_51_1_1"/>
    <protectedRange sqref="F1897" name="COTACOES_54_1_1"/>
    <protectedRange sqref="C1903 C2393 C3085 C3211" name="COTACOES_55_1_3"/>
    <protectedRange sqref="F1903" name="COTACOES_57_1_1"/>
    <protectedRange sqref="C1947" name="COTACOES_75_1_2"/>
    <protectedRange sqref="C1953" name="COTACOES_75_1_1_1"/>
    <protectedRange sqref="C1983 C1975" name="COTACOES_78_1_1"/>
    <protectedRange sqref="C1966" name="COTACOES_80_1_2"/>
    <protectedRange sqref="C1959" name="COTACOES_80_1_1_1"/>
    <protectedRange sqref="C2324" name="COTACOES_62_1_1"/>
    <protectedRange sqref="C3357" name="COTACOES_92_2_3_2"/>
    <protectedRange sqref="C3365" name="COTACOES_92_2_5_1"/>
    <protectedRange sqref="C3673:C3675" name="COTACOES_55_1_1_1_1"/>
    <protectedRange sqref="C3693:C3695 C3708" name="COTACOES_55_1_1_2_1"/>
    <protectedRange sqref="C3827 C3767 C3706:C3707 C3709 C3773 C3779 C3785 C3791 C3797 C3803 C3809 C3815 C3821" name="COTACOES_55_1_1_4_1"/>
    <protectedRange sqref="C3950" name="COTACOES_9_1_1_1_1"/>
    <protectedRange sqref="C4149 C4197" name="COTACOES_55_1_7_1_2"/>
    <protectedRange sqref="C2575:C2576 C2583:C2584 C2591:C2592 C7294 C2609 C7298 C7302 C7306 C7253 C7805 C7845 C7857 C7893 C7941" name="COTACOES_92_5_2"/>
    <protectedRange sqref="C4105:C4106 C4111" name="COTACOES_55_1_7_1_1_1_1"/>
    <protectedRange sqref="C4364" name="COTACOES_92_17_1_1_1"/>
    <protectedRange sqref="C2658:C2659 C2664:C2665 C2670:C2671 C2676:C2677 C2682:C2683 C2688:C2689 C2700:C2701 C2706:C2707 C2712:C2713 C2694:C2695 C7149:C7150 C7155:C7156 C7161:C7162 C7167:C7168 C7173:C7174" name="COTACOES_92_3_2_1"/>
    <protectedRange sqref="C1729" name="COTACOES_9_1_1_3_1"/>
    <protectedRange sqref="C1740" name="COTACOES_9_1_1_3_2"/>
    <protectedRange sqref="C1707 C1718" name="COTACOES_9_1_1_3_3"/>
    <protectedRange sqref="C5394 C5396 C5453 C5447 C5472" name="COTACOES_8_1_1_1"/>
    <protectedRange sqref="C5395" name="COTACOES_9_1_1_3_4"/>
    <protectedRange sqref="C6388 C6395" name="COTACOES_8_1_1_2"/>
    <protectedRange sqref="C6469" name="COTACOES_9_1_1_3_5_2"/>
    <protectedRange sqref="C7226" name="COTACOES_51_1_1_1"/>
    <protectedRange sqref="F7226" name="COTACOES_54_1_1_1"/>
    <protectedRange sqref="F7398 F7404 F7410 F7416" name="COTACOES_27_1_2_1_8_1_1"/>
    <protectedRange sqref="C7404 C7410 C7416 C7398" name="COTACOES_5_1_8_1_1"/>
  </protectedRanges>
  <autoFilter ref="A5:J8237">
    <filterColumn colId="9">
      <filters>
        <filter val="1,00"/>
        <filter val="1,50"/>
        <filter val="10,00"/>
        <filter val="105,00"/>
        <filter val="107,00"/>
        <filter val="11,00"/>
        <filter val="110,00"/>
        <filter val="118,00"/>
        <filter val="12,00"/>
        <filter val="120,00"/>
        <filter val="122,00"/>
        <filter val="15,00"/>
        <filter val="17,00"/>
        <filter val="2,00"/>
        <filter val="21,00"/>
        <filter val="2200,00"/>
        <filter val="222,00"/>
        <filter val="24,00"/>
        <filter val="271,00"/>
        <filter val="28,00"/>
        <filter val="30,00"/>
        <filter val="31,00"/>
        <filter val="32,00"/>
        <filter val="356,00"/>
        <filter val="388,00"/>
        <filter val="4,00"/>
        <filter val="40,00"/>
        <filter val="480,00"/>
        <filter val="500,00"/>
        <filter val="504,00"/>
        <filter val="6,00"/>
        <filter val="60,00"/>
        <filter val="71,00"/>
        <filter val="76,00"/>
        <filter val="890,00"/>
      </filters>
    </filterColumn>
  </autoFilter>
  <mergeCells count="2790">
    <mergeCell ref="A7074:A7077"/>
    <mergeCell ref="B7074:B7077"/>
    <mergeCell ref="A7078:A7081"/>
    <mergeCell ref="B7078:B7081"/>
    <mergeCell ref="A7082:A7085"/>
    <mergeCell ref="B7082:B7085"/>
    <mergeCell ref="A4732:A4735"/>
    <mergeCell ref="B4732:B4735"/>
    <mergeCell ref="A4736:A4739"/>
    <mergeCell ref="B4736:B4739"/>
    <mergeCell ref="A7296:A7299"/>
    <mergeCell ref="B7296:B7299"/>
    <mergeCell ref="A7110:A7113"/>
    <mergeCell ref="B7110:B7113"/>
    <mergeCell ref="A7126:A7129"/>
    <mergeCell ref="B7126:B7129"/>
    <mergeCell ref="A7200:A7205"/>
    <mergeCell ref="B7200:B7205"/>
    <mergeCell ref="A7182:A7187"/>
    <mergeCell ref="B7182:B7187"/>
    <mergeCell ref="A7214:A7217"/>
    <mergeCell ref="B7214:B7217"/>
    <mergeCell ref="A7122:A7125"/>
    <mergeCell ref="B7122:B7125"/>
    <mergeCell ref="A6914:A6917"/>
    <mergeCell ref="B6914:B6917"/>
    <mergeCell ref="A7086:A7089"/>
    <mergeCell ref="B7086:B7089"/>
    <mergeCell ref="A7090:A7093"/>
    <mergeCell ref="B7090:B7093"/>
    <mergeCell ref="A7018:A7021"/>
    <mergeCell ref="B7018:B7021"/>
    <mergeCell ref="A7300:A7303"/>
    <mergeCell ref="B7300:B7303"/>
    <mergeCell ref="A7304:A7307"/>
    <mergeCell ref="B7304:B7307"/>
    <mergeCell ref="A7222:A7227"/>
    <mergeCell ref="B7222:B7227"/>
    <mergeCell ref="A7228:A7233"/>
    <mergeCell ref="B7228:B7233"/>
    <mergeCell ref="A4752:A4755"/>
    <mergeCell ref="B4752:B4755"/>
    <mergeCell ref="A7234:A7240"/>
    <mergeCell ref="B7234:B7240"/>
    <mergeCell ref="A6862:A6865"/>
    <mergeCell ref="B6862:B6865"/>
    <mergeCell ref="A6846:A6849"/>
    <mergeCell ref="B6846:B6849"/>
    <mergeCell ref="A6886:A6889"/>
    <mergeCell ref="B6886:B6889"/>
    <mergeCell ref="A7130:A7133"/>
    <mergeCell ref="B7130:B7133"/>
    <mergeCell ref="A7134:A7137"/>
    <mergeCell ref="B7134:B7137"/>
    <mergeCell ref="A7138:A7141"/>
    <mergeCell ref="B7138:B7141"/>
    <mergeCell ref="A7142:A7145"/>
    <mergeCell ref="B7142:B7145"/>
    <mergeCell ref="A7114:A7117"/>
    <mergeCell ref="B7114:B7117"/>
    <mergeCell ref="A7118:A7121"/>
    <mergeCell ref="B7118:B7121"/>
    <mergeCell ref="A7106:A7109"/>
    <mergeCell ref="B7106:B7109"/>
    <mergeCell ref="A2715:A2718"/>
    <mergeCell ref="B2715:B2718"/>
    <mergeCell ref="A2719:A2722"/>
    <mergeCell ref="B2719:B2722"/>
    <mergeCell ref="A2723:A2726"/>
    <mergeCell ref="B2723:B2726"/>
    <mergeCell ref="A2743:A2746"/>
    <mergeCell ref="B2743:B2746"/>
    <mergeCell ref="A2755:A2758"/>
    <mergeCell ref="B2755:B2758"/>
    <mergeCell ref="A3462:A3472"/>
    <mergeCell ref="B3462:B3472"/>
    <mergeCell ref="A3533:A3541"/>
    <mergeCell ref="B3533:B3541"/>
    <mergeCell ref="A2812:A2816"/>
    <mergeCell ref="B2812:B2816"/>
    <mergeCell ref="A2817:A2821"/>
    <mergeCell ref="B2817:B2821"/>
    <mergeCell ref="A2822:A2826"/>
    <mergeCell ref="B2822:B2826"/>
    <mergeCell ref="A2776:A2785"/>
    <mergeCell ref="B2776:B2785"/>
    <mergeCell ref="A2786:A2791"/>
    <mergeCell ref="B2786:B2791"/>
    <mergeCell ref="A2797:A2801"/>
    <mergeCell ref="B2797:B2801"/>
    <mergeCell ref="A2912:A2919"/>
    <mergeCell ref="B2912:B2919"/>
    <mergeCell ref="A2920:A2927"/>
    <mergeCell ref="B2920:B2927"/>
    <mergeCell ref="A2928:A2935"/>
    <mergeCell ref="B2928:B2935"/>
    <mergeCell ref="A7006:A7009"/>
    <mergeCell ref="B7006:B7009"/>
    <mergeCell ref="A7022:A7025"/>
    <mergeCell ref="B7022:B7025"/>
    <mergeCell ref="A2802:A2811"/>
    <mergeCell ref="B2802:B2811"/>
    <mergeCell ref="A2792:A2796"/>
    <mergeCell ref="B2792:B2796"/>
    <mergeCell ref="A2739:A2742"/>
    <mergeCell ref="B2739:B2742"/>
    <mergeCell ref="A2747:A2750"/>
    <mergeCell ref="B2747:B2750"/>
    <mergeCell ref="A2751:A2754"/>
    <mergeCell ref="B2751:B2754"/>
    <mergeCell ref="A2966:A2970"/>
    <mergeCell ref="B2966:B2970"/>
    <mergeCell ref="A2971:A2975"/>
    <mergeCell ref="B2971:B2975"/>
    <mergeCell ref="A2976:A2980"/>
    <mergeCell ref="B2976:B2980"/>
    <mergeCell ref="A2951:A2955"/>
    <mergeCell ref="B2951:B2955"/>
    <mergeCell ref="A2956:A2960"/>
    <mergeCell ref="B2956:B2960"/>
    <mergeCell ref="A7014:A7017"/>
    <mergeCell ref="B7014:B7017"/>
    <mergeCell ref="A7002:A7005"/>
    <mergeCell ref="B7002:B7005"/>
    <mergeCell ref="A6998:A7001"/>
    <mergeCell ref="B6998:B7001"/>
    <mergeCell ref="A6850:A6853"/>
    <mergeCell ref="B6850:B6853"/>
    <mergeCell ref="A7218:A7221"/>
    <mergeCell ref="B7218:B7221"/>
    <mergeCell ref="A7206:A7209"/>
    <mergeCell ref="B7206:B7209"/>
    <mergeCell ref="A7210:A7213"/>
    <mergeCell ref="B7210:B7213"/>
    <mergeCell ref="A7146:A7151"/>
    <mergeCell ref="B7146:B7151"/>
    <mergeCell ref="A7152:A7157"/>
    <mergeCell ref="B7152:B7157"/>
    <mergeCell ref="A7158:A7163"/>
    <mergeCell ref="B7158:B7163"/>
    <mergeCell ref="A7164:A7169"/>
    <mergeCell ref="B7164:B7169"/>
    <mergeCell ref="A7170:A7175"/>
    <mergeCell ref="B7170:B7175"/>
    <mergeCell ref="A7176:A7181"/>
    <mergeCell ref="B7176:B7181"/>
    <mergeCell ref="A7188:A7193"/>
    <mergeCell ref="B7188:B7193"/>
    <mergeCell ref="A7194:A7199"/>
    <mergeCell ref="B7194:B7199"/>
    <mergeCell ref="A7026:A7029"/>
    <mergeCell ref="B7026:B7029"/>
    <mergeCell ref="A7030:A7033"/>
    <mergeCell ref="B7030:B7033"/>
    <mergeCell ref="A7034:A7037"/>
    <mergeCell ref="B7034:B7037"/>
    <mergeCell ref="A7050:A7053"/>
    <mergeCell ref="B7050:B7053"/>
    <mergeCell ref="A7094:A7097"/>
    <mergeCell ref="B7094:B7097"/>
    <mergeCell ref="A7098:A7101"/>
    <mergeCell ref="B7098:B7101"/>
    <mergeCell ref="A7102:A7105"/>
    <mergeCell ref="B7102:B7105"/>
    <mergeCell ref="A7010:A7013"/>
    <mergeCell ref="B7010:B7013"/>
    <mergeCell ref="A7038:A7041"/>
    <mergeCell ref="B7038:B7041"/>
    <mergeCell ref="A7042:A7045"/>
    <mergeCell ref="B7042:B7045"/>
    <mergeCell ref="A7046:A7049"/>
    <mergeCell ref="B7046:B7049"/>
    <mergeCell ref="A7054:A7057"/>
    <mergeCell ref="B7054:B7057"/>
    <mergeCell ref="A7058:A7061"/>
    <mergeCell ref="B7058:B7061"/>
    <mergeCell ref="A7062:A7065"/>
    <mergeCell ref="B7062:B7065"/>
    <mergeCell ref="A7066:A7069"/>
    <mergeCell ref="B7066:B7069"/>
    <mergeCell ref="A7070:A7073"/>
    <mergeCell ref="B7070:B7073"/>
    <mergeCell ref="A6902:A6905"/>
    <mergeCell ref="B6902:B6905"/>
    <mergeCell ref="A6906:A6909"/>
    <mergeCell ref="B6906:B6909"/>
    <mergeCell ref="A6918:A6921"/>
    <mergeCell ref="B6918:B6921"/>
    <mergeCell ref="A6922:A6925"/>
    <mergeCell ref="B6922:B6925"/>
    <mergeCell ref="A6958:A6961"/>
    <mergeCell ref="B6958:B6961"/>
    <mergeCell ref="A6890:A6893"/>
    <mergeCell ref="B6890:B6893"/>
    <mergeCell ref="A6870:A6873"/>
    <mergeCell ref="B6870:B6873"/>
    <mergeCell ref="A6874:A6877"/>
    <mergeCell ref="B6874:B6877"/>
    <mergeCell ref="A6878:A6881"/>
    <mergeCell ref="B6878:B6881"/>
    <mergeCell ref="A6882:A6885"/>
    <mergeCell ref="B6882:B6885"/>
    <mergeCell ref="A6986:A6989"/>
    <mergeCell ref="B6986:B6989"/>
    <mergeCell ref="A6990:A6993"/>
    <mergeCell ref="B6990:B6993"/>
    <mergeCell ref="A6854:A6857"/>
    <mergeCell ref="B6854:B6857"/>
    <mergeCell ref="A6910:A6913"/>
    <mergeCell ref="B6910:B6913"/>
    <mergeCell ref="A6934:A6937"/>
    <mergeCell ref="B6934:B6937"/>
    <mergeCell ref="A6938:A6941"/>
    <mergeCell ref="B6938:B6941"/>
    <mergeCell ref="A6942:A6945"/>
    <mergeCell ref="B6942:B6945"/>
    <mergeCell ref="A6946:A6949"/>
    <mergeCell ref="B6946:B6949"/>
    <mergeCell ref="A6950:A6953"/>
    <mergeCell ref="B6950:B6953"/>
    <mergeCell ref="A6954:A6957"/>
    <mergeCell ref="B6954:B6957"/>
    <mergeCell ref="A6962:A6965"/>
    <mergeCell ref="B6962:B6965"/>
    <mergeCell ref="A6970:A6973"/>
    <mergeCell ref="B6970:B6973"/>
    <mergeCell ref="A6926:A6929"/>
    <mergeCell ref="B6926:B6929"/>
    <mergeCell ref="A6966:A6969"/>
    <mergeCell ref="B6966:B6969"/>
    <mergeCell ref="A6866:A6869"/>
    <mergeCell ref="B6866:B6869"/>
    <mergeCell ref="A6930:A6933"/>
    <mergeCell ref="B6930:B6933"/>
    <mergeCell ref="A6994:A6997"/>
    <mergeCell ref="B6994:B6997"/>
    <mergeCell ref="A6974:A6977"/>
    <mergeCell ref="B6974:B6977"/>
    <mergeCell ref="A6978:A6981"/>
    <mergeCell ref="B6978:B6981"/>
    <mergeCell ref="A6982:A6985"/>
    <mergeCell ref="B6982:B6985"/>
    <mergeCell ref="A6818:A6821"/>
    <mergeCell ref="B6818:B6821"/>
    <mergeCell ref="A6822:A6825"/>
    <mergeCell ref="B6822:B6825"/>
    <mergeCell ref="A6826:A6829"/>
    <mergeCell ref="B6826:B6829"/>
    <mergeCell ref="A6830:A6833"/>
    <mergeCell ref="B6830:B6833"/>
    <mergeCell ref="A6810:A6813"/>
    <mergeCell ref="B6810:B6813"/>
    <mergeCell ref="A6814:A6817"/>
    <mergeCell ref="B6814:B6817"/>
    <mergeCell ref="A6898:A6901"/>
    <mergeCell ref="B6898:B6901"/>
    <mergeCell ref="A6834:A6837"/>
    <mergeCell ref="B6834:B6837"/>
    <mergeCell ref="A6838:A6841"/>
    <mergeCell ref="B6838:B6841"/>
    <mergeCell ref="A6842:A6845"/>
    <mergeCell ref="B6842:B6845"/>
    <mergeCell ref="A6858:A6861"/>
    <mergeCell ref="B6858:B6861"/>
    <mergeCell ref="A6894:A6897"/>
    <mergeCell ref="B6894:B6897"/>
    <mergeCell ref="A6794:A6797"/>
    <mergeCell ref="B6794:B6797"/>
    <mergeCell ref="A6798:A6801"/>
    <mergeCell ref="B6798:B6801"/>
    <mergeCell ref="A6802:A6805"/>
    <mergeCell ref="B6802:B6805"/>
    <mergeCell ref="A6722:A6725"/>
    <mergeCell ref="B6722:B6725"/>
    <mergeCell ref="A6750:A6753"/>
    <mergeCell ref="B6750:B6753"/>
    <mergeCell ref="A6754:A6757"/>
    <mergeCell ref="B6754:B6757"/>
    <mergeCell ref="A6758:A6761"/>
    <mergeCell ref="B6758:B6761"/>
    <mergeCell ref="A6762:A6765"/>
    <mergeCell ref="B6762:B6765"/>
    <mergeCell ref="A6766:A6769"/>
    <mergeCell ref="B6766:B6769"/>
    <mergeCell ref="A6726:A6729"/>
    <mergeCell ref="B6726:B6729"/>
    <mergeCell ref="A6730:A6733"/>
    <mergeCell ref="B6730:B6733"/>
    <mergeCell ref="A6734:A6737"/>
    <mergeCell ref="B6734:B6737"/>
    <mergeCell ref="A6770:A6773"/>
    <mergeCell ref="B6770:B6773"/>
    <mergeCell ref="A6774:A6777"/>
    <mergeCell ref="B6774:B6777"/>
    <mergeCell ref="A6778:A6781"/>
    <mergeCell ref="B6778:B6781"/>
    <mergeCell ref="A4740:A4743"/>
    <mergeCell ref="B4740:B4743"/>
    <mergeCell ref="A2874:A2880"/>
    <mergeCell ref="B2874:B2880"/>
    <mergeCell ref="A2881:A2885"/>
    <mergeCell ref="B2881:B2885"/>
    <mergeCell ref="A2886:A2890"/>
    <mergeCell ref="B2886:B2890"/>
    <mergeCell ref="A6638:A6641"/>
    <mergeCell ref="B6638:B6641"/>
    <mergeCell ref="A6642:A6645"/>
    <mergeCell ref="B6642:B6645"/>
    <mergeCell ref="A6646:A6649"/>
    <mergeCell ref="B6646:B6649"/>
    <mergeCell ref="A6566:A6569"/>
    <mergeCell ref="B6566:B6569"/>
    <mergeCell ref="A6570:A6573"/>
    <mergeCell ref="B6570:B6573"/>
    <mergeCell ref="A6574:A6577"/>
    <mergeCell ref="B6574:B6577"/>
    <mergeCell ref="A6578:A6581"/>
    <mergeCell ref="B6578:B6581"/>
    <mergeCell ref="A6041:A6044"/>
    <mergeCell ref="B6041:B6044"/>
    <mergeCell ref="A6057:A6060"/>
    <mergeCell ref="B6057:B6060"/>
    <mergeCell ref="A6125:A6128"/>
    <mergeCell ref="B6125:B6128"/>
    <mergeCell ref="A4744:A4747"/>
    <mergeCell ref="B4744:B4747"/>
    <mergeCell ref="A4748:A4751"/>
    <mergeCell ref="B4748:B4751"/>
    <mergeCell ref="A2891:A2895"/>
    <mergeCell ref="B2891:B2895"/>
    <mergeCell ref="A2896:A2903"/>
    <mergeCell ref="B2896:B2903"/>
    <mergeCell ref="A2904:A2911"/>
    <mergeCell ref="B2904:B2911"/>
    <mergeCell ref="A3810:A3815"/>
    <mergeCell ref="B3810:B3815"/>
    <mergeCell ref="A2961:A2965"/>
    <mergeCell ref="B2961:B2965"/>
    <mergeCell ref="A2936:A2940"/>
    <mergeCell ref="B2936:B2940"/>
    <mergeCell ref="A2941:A2945"/>
    <mergeCell ref="B2941:B2945"/>
    <mergeCell ref="A2946:A2950"/>
    <mergeCell ref="B2946:B2950"/>
    <mergeCell ref="A3016:A3020"/>
    <mergeCell ref="B3016:B3020"/>
    <mergeCell ref="A3021:A3025"/>
    <mergeCell ref="B3021:B3025"/>
    <mergeCell ref="A3026:A3030"/>
    <mergeCell ref="B3026:B3030"/>
    <mergeCell ref="A3001:A3005"/>
    <mergeCell ref="B3001:B3005"/>
    <mergeCell ref="A3006:A3010"/>
    <mergeCell ref="B3006:B3010"/>
    <mergeCell ref="A3011:A3015"/>
    <mergeCell ref="B3011:B3015"/>
    <mergeCell ref="A2981:A2985"/>
    <mergeCell ref="B2981:B2985"/>
    <mergeCell ref="A2986:A2995"/>
    <mergeCell ref="B2986:B2995"/>
    <mergeCell ref="A6706:A6709"/>
    <mergeCell ref="B6706:B6709"/>
    <mergeCell ref="A6710:A6713"/>
    <mergeCell ref="B6710:B6713"/>
    <mergeCell ref="A6782:A6785"/>
    <mergeCell ref="B6782:B6785"/>
    <mergeCell ref="A6714:A6717"/>
    <mergeCell ref="B6714:B6717"/>
    <mergeCell ref="A6718:A6721"/>
    <mergeCell ref="B6718:B6721"/>
    <mergeCell ref="A6738:A6741"/>
    <mergeCell ref="B6738:B6741"/>
    <mergeCell ref="A6742:A6745"/>
    <mergeCell ref="B6742:B6745"/>
    <mergeCell ref="A6746:A6749"/>
    <mergeCell ref="B6746:B6749"/>
    <mergeCell ref="A4756:A4759"/>
    <mergeCell ref="B4756:B4759"/>
    <mergeCell ref="A6618:A6621"/>
    <mergeCell ref="B6618:B6621"/>
    <mergeCell ref="A6622:A6625"/>
    <mergeCell ref="B6622:B6625"/>
    <mergeCell ref="A6634:A6637"/>
    <mergeCell ref="B6634:B6637"/>
    <mergeCell ref="A6650:A6653"/>
    <mergeCell ref="B6650:B6653"/>
    <mergeCell ref="A6654:A6657"/>
    <mergeCell ref="B6654:B6657"/>
    <mergeCell ref="A6674:A6677"/>
    <mergeCell ref="B6674:B6677"/>
    <mergeCell ref="A6666:A6669"/>
    <mergeCell ref="B6666:B6669"/>
    <mergeCell ref="A6806:A6809"/>
    <mergeCell ref="B6806:B6809"/>
    <mergeCell ref="A6678:A6681"/>
    <mergeCell ref="B6678:B6681"/>
    <mergeCell ref="A6662:A6665"/>
    <mergeCell ref="B6662:B6665"/>
    <mergeCell ref="A6630:A6633"/>
    <mergeCell ref="B6630:B6633"/>
    <mergeCell ref="A6786:A6789"/>
    <mergeCell ref="B6786:B6789"/>
    <mergeCell ref="A6790:A6793"/>
    <mergeCell ref="B6790:B6793"/>
    <mergeCell ref="A6582:A6585"/>
    <mergeCell ref="B6582:B6585"/>
    <mergeCell ref="A6590:A6593"/>
    <mergeCell ref="B6590:B6593"/>
    <mergeCell ref="A6594:A6597"/>
    <mergeCell ref="B6594:B6597"/>
    <mergeCell ref="A6586:A6589"/>
    <mergeCell ref="B6586:B6589"/>
    <mergeCell ref="A6682:A6685"/>
    <mergeCell ref="B6682:B6685"/>
    <mergeCell ref="A6686:A6689"/>
    <mergeCell ref="B6686:B6689"/>
    <mergeCell ref="A6690:A6693"/>
    <mergeCell ref="B6690:B6693"/>
    <mergeCell ref="A6694:A6697"/>
    <mergeCell ref="B6694:B6697"/>
    <mergeCell ref="A6698:A6701"/>
    <mergeCell ref="B6698:B6701"/>
    <mergeCell ref="A6702:A6705"/>
    <mergeCell ref="B6702:B6705"/>
    <mergeCell ref="A6670:A6673"/>
    <mergeCell ref="B6670:B6673"/>
    <mergeCell ref="A6598:A6601"/>
    <mergeCell ref="B6598:B6601"/>
    <mergeCell ref="A6610:A6613"/>
    <mergeCell ref="B6610:B6613"/>
    <mergeCell ref="A6614:A6617"/>
    <mergeCell ref="B6614:B6617"/>
    <mergeCell ref="A6526:A6529"/>
    <mergeCell ref="B6526:B6529"/>
    <mergeCell ref="A6530:A6533"/>
    <mergeCell ref="B6530:B6533"/>
    <mergeCell ref="A6534:A6537"/>
    <mergeCell ref="B6534:B6537"/>
    <mergeCell ref="A6542:A6545"/>
    <mergeCell ref="B6542:B6545"/>
    <mergeCell ref="A6546:A6549"/>
    <mergeCell ref="B6546:B6549"/>
    <mergeCell ref="A6550:A6553"/>
    <mergeCell ref="B6550:B6553"/>
    <mergeCell ref="A6554:A6557"/>
    <mergeCell ref="B6554:B6557"/>
    <mergeCell ref="A6538:A6541"/>
    <mergeCell ref="B6538:B6541"/>
    <mergeCell ref="A6658:A6661"/>
    <mergeCell ref="B6658:B6661"/>
    <mergeCell ref="A6626:A6629"/>
    <mergeCell ref="B6626:B6629"/>
    <mergeCell ref="A6562:A6565"/>
    <mergeCell ref="B6562:B6565"/>
    <mergeCell ref="A6602:A6605"/>
    <mergeCell ref="B6602:B6605"/>
    <mergeCell ref="A5621:A5624"/>
    <mergeCell ref="B5621:B5624"/>
    <mergeCell ref="A5625:A5628"/>
    <mergeCell ref="B5625:B5628"/>
    <mergeCell ref="A5629:A5632"/>
    <mergeCell ref="B5629:B5632"/>
    <mergeCell ref="A6445:A6449"/>
    <mergeCell ref="B6445:B6449"/>
    <mergeCell ref="A6450:A6458"/>
    <mergeCell ref="B6450:B6458"/>
    <mergeCell ref="A6399:A6405"/>
    <mergeCell ref="B6399:B6405"/>
    <mergeCell ref="A6406:A6409"/>
    <mergeCell ref="B6406:B6409"/>
    <mergeCell ref="A6410:A6414"/>
    <mergeCell ref="B6410:B6414"/>
    <mergeCell ref="A6494:A6497"/>
    <mergeCell ref="B6494:B6497"/>
    <mergeCell ref="A6129:A6132"/>
    <mergeCell ref="B6129:B6132"/>
    <mergeCell ref="A6133:A6136"/>
    <mergeCell ref="B6133:B6136"/>
    <mergeCell ref="A5633:A5636"/>
    <mergeCell ref="B5633:B5636"/>
    <mergeCell ref="A5637:A5640"/>
    <mergeCell ref="B5637:B5640"/>
    <mergeCell ref="A5641:A5644"/>
    <mergeCell ref="B5641:B5644"/>
    <mergeCell ref="A5645:A5648"/>
    <mergeCell ref="B5645:B5648"/>
    <mergeCell ref="A5649:A5652"/>
    <mergeCell ref="B5649:B5652"/>
    <mergeCell ref="A5310:A5315"/>
    <mergeCell ref="B5310:B5315"/>
    <mergeCell ref="A5347:A5353"/>
    <mergeCell ref="B5347:B5353"/>
    <mergeCell ref="A5354:A5360"/>
    <mergeCell ref="B5354:B5360"/>
    <mergeCell ref="A5361:A5366"/>
    <mergeCell ref="B5361:B5366"/>
    <mergeCell ref="A5367:A5372"/>
    <mergeCell ref="B5367:B5372"/>
    <mergeCell ref="A5373:A5379"/>
    <mergeCell ref="B5373:B5379"/>
    <mergeCell ref="A5380:A5385"/>
    <mergeCell ref="B5380:B5385"/>
    <mergeCell ref="A5386:A5391"/>
    <mergeCell ref="B5386:B5391"/>
    <mergeCell ref="A5392:A5399"/>
    <mergeCell ref="B5392:B5399"/>
    <mergeCell ref="A5322:A5327"/>
    <mergeCell ref="B5322:B5327"/>
    <mergeCell ref="A5316:A5321"/>
    <mergeCell ref="B5316:B5321"/>
    <mergeCell ref="A5328:A5333"/>
    <mergeCell ref="B5328:B5333"/>
    <mergeCell ref="A5334:A5339"/>
    <mergeCell ref="B5334:B5339"/>
    <mergeCell ref="A5340:A5346"/>
    <mergeCell ref="B5340:B5346"/>
    <mergeCell ref="A5400:A5407"/>
    <mergeCell ref="B5400:B5407"/>
    <mergeCell ref="A5252:A5257"/>
    <mergeCell ref="B5252:B5257"/>
    <mergeCell ref="A5258:A5264"/>
    <mergeCell ref="B5258:B5264"/>
    <mergeCell ref="A5265:A5276"/>
    <mergeCell ref="B5265:B5276"/>
    <mergeCell ref="A5285:A5290"/>
    <mergeCell ref="B5285:B5290"/>
    <mergeCell ref="A5291:A5297"/>
    <mergeCell ref="B5291:B5297"/>
    <mergeCell ref="A5298:A5303"/>
    <mergeCell ref="B5298:B5303"/>
    <mergeCell ref="A5304:A5309"/>
    <mergeCell ref="B5304:B5309"/>
    <mergeCell ref="A5178:A5185"/>
    <mergeCell ref="B5178:B5185"/>
    <mergeCell ref="A5186:A5193"/>
    <mergeCell ref="B5186:B5193"/>
    <mergeCell ref="A5194:A5201"/>
    <mergeCell ref="B5194:B5201"/>
    <mergeCell ref="A5202:A5216"/>
    <mergeCell ref="B5202:B5216"/>
    <mergeCell ref="A5217:A5231"/>
    <mergeCell ref="B5217:B5231"/>
    <mergeCell ref="A5232:A5238"/>
    <mergeCell ref="B5232:B5238"/>
    <mergeCell ref="A5239:A5245"/>
    <mergeCell ref="B5239:B5245"/>
    <mergeCell ref="A5246:A5251"/>
    <mergeCell ref="B5246:B5251"/>
    <mergeCell ref="A5277:A5284"/>
    <mergeCell ref="B5277:B5284"/>
    <mergeCell ref="A5142:A5149"/>
    <mergeCell ref="B5142:B5149"/>
    <mergeCell ref="A5150:A5157"/>
    <mergeCell ref="B5150:B5157"/>
    <mergeCell ref="A5158:A5163"/>
    <mergeCell ref="B5158:B5163"/>
    <mergeCell ref="A5164:A5171"/>
    <mergeCell ref="B5164:B5171"/>
    <mergeCell ref="A5172:A5177"/>
    <mergeCell ref="B5172:B5177"/>
    <mergeCell ref="B136:B139"/>
    <mergeCell ref="A184:A190"/>
    <mergeCell ref="B184:B190"/>
    <mergeCell ref="A191:A197"/>
    <mergeCell ref="B191:B197"/>
    <mergeCell ref="A198:A201"/>
    <mergeCell ref="B198:B201"/>
    <mergeCell ref="A215:A219"/>
    <mergeCell ref="B215:B219"/>
    <mergeCell ref="A220:A224"/>
    <mergeCell ref="B220:B224"/>
    <mergeCell ref="A225:A228"/>
    <mergeCell ref="B225:B228"/>
    <mergeCell ref="A202:A205"/>
    <mergeCell ref="B202:B205"/>
    <mergeCell ref="A206:A210"/>
    <mergeCell ref="B162:B166"/>
    <mergeCell ref="A167:A171"/>
    <mergeCell ref="B167:B171"/>
    <mergeCell ref="A237:A240"/>
    <mergeCell ref="B237:B240"/>
    <mergeCell ref="A269:A276"/>
    <mergeCell ref="A98:A102"/>
    <mergeCell ref="B98:B102"/>
    <mergeCell ref="A103:A106"/>
    <mergeCell ref="B103:B106"/>
    <mergeCell ref="A107:A111"/>
    <mergeCell ref="B107:B111"/>
    <mergeCell ref="B70:B77"/>
    <mergeCell ref="A78:A82"/>
    <mergeCell ref="B78:B82"/>
    <mergeCell ref="A88:A92"/>
    <mergeCell ref="B88:B92"/>
    <mergeCell ref="A93:A97"/>
    <mergeCell ref="B93:B97"/>
    <mergeCell ref="A5120:A5125"/>
    <mergeCell ref="B5120:B5125"/>
    <mergeCell ref="A127:A131"/>
    <mergeCell ref="B127:B131"/>
    <mergeCell ref="A132:A135"/>
    <mergeCell ref="B132:B135"/>
    <mergeCell ref="A136:A139"/>
    <mergeCell ref="A112:A116"/>
    <mergeCell ref="B112:B116"/>
    <mergeCell ref="A117:A121"/>
    <mergeCell ref="B117:B121"/>
    <mergeCell ref="A122:A126"/>
    <mergeCell ref="B122:B126"/>
    <mergeCell ref="B249:B263"/>
    <mergeCell ref="A264:A268"/>
    <mergeCell ref="B264:B268"/>
    <mergeCell ref="A291:A305"/>
    <mergeCell ref="B291:B305"/>
    <mergeCell ref="A306:A320"/>
    <mergeCell ref="A5126:A5133"/>
    <mergeCell ref="B5126:B5133"/>
    <mergeCell ref="A140:A144"/>
    <mergeCell ref="B140:B144"/>
    <mergeCell ref="A145:A149"/>
    <mergeCell ref="B145:B149"/>
    <mergeCell ref="A150:A154"/>
    <mergeCell ref="B150:B154"/>
    <mergeCell ref="A172:A175"/>
    <mergeCell ref="B172:B175"/>
    <mergeCell ref="A176:A179"/>
    <mergeCell ref="B176:B179"/>
    <mergeCell ref="A180:A183"/>
    <mergeCell ref="B180:B183"/>
    <mergeCell ref="A155:A161"/>
    <mergeCell ref="B155:B161"/>
    <mergeCell ref="A162:A166"/>
    <mergeCell ref="B206:B210"/>
    <mergeCell ref="A211:A214"/>
    <mergeCell ref="B211:B214"/>
    <mergeCell ref="A229:A232"/>
    <mergeCell ref="B229:B232"/>
    <mergeCell ref="A233:A236"/>
    <mergeCell ref="B233:B236"/>
    <mergeCell ref="B269:B276"/>
    <mergeCell ref="A277:A283"/>
    <mergeCell ref="B277:B283"/>
    <mergeCell ref="A284:A290"/>
    <mergeCell ref="B284:B290"/>
    <mergeCell ref="A241:A248"/>
    <mergeCell ref="B241:B248"/>
    <mergeCell ref="A249:A263"/>
    <mergeCell ref="A6:A9"/>
    <mergeCell ref="B6:B9"/>
    <mergeCell ref="A10:A13"/>
    <mergeCell ref="B10:B13"/>
    <mergeCell ref="A14:A17"/>
    <mergeCell ref="B14:B17"/>
    <mergeCell ref="A48:A52"/>
    <mergeCell ref="B48:B52"/>
    <mergeCell ref="A53:A59"/>
    <mergeCell ref="B53:B59"/>
    <mergeCell ref="A60:A64"/>
    <mergeCell ref="B60:B64"/>
    <mergeCell ref="A33:A37"/>
    <mergeCell ref="B33:B37"/>
    <mergeCell ref="A38:A42"/>
    <mergeCell ref="A83:A87"/>
    <mergeCell ref="B83:B87"/>
    <mergeCell ref="A65:A69"/>
    <mergeCell ref="B65:B69"/>
    <mergeCell ref="A70:A77"/>
    <mergeCell ref="B38:B42"/>
    <mergeCell ref="A43:A47"/>
    <mergeCell ref="B43:B47"/>
    <mergeCell ref="A18:A22"/>
    <mergeCell ref="B18:B22"/>
    <mergeCell ref="A23:A27"/>
    <mergeCell ref="B23:B27"/>
    <mergeCell ref="A28:A32"/>
    <mergeCell ref="B28:B32"/>
    <mergeCell ref="B306:B320"/>
    <mergeCell ref="A321:A326"/>
    <mergeCell ref="B321:B326"/>
    <mergeCell ref="A366:A371"/>
    <mergeCell ref="B366:B371"/>
    <mergeCell ref="A372:A380"/>
    <mergeCell ref="B372:B380"/>
    <mergeCell ref="A381:A394"/>
    <mergeCell ref="B381:B394"/>
    <mergeCell ref="A327:A341"/>
    <mergeCell ref="B327:B341"/>
    <mergeCell ref="A342:A351"/>
    <mergeCell ref="B342:B351"/>
    <mergeCell ref="A352:A365"/>
    <mergeCell ref="B352:B365"/>
    <mergeCell ref="A395:A401"/>
    <mergeCell ref="B395:B401"/>
    <mergeCell ref="A402:A415"/>
    <mergeCell ref="B402:B415"/>
    <mergeCell ref="A416:A422"/>
    <mergeCell ref="B416:B422"/>
    <mergeCell ref="A607:A615"/>
    <mergeCell ref="B607:B615"/>
    <mergeCell ref="A562:A569"/>
    <mergeCell ref="B562:B569"/>
    <mergeCell ref="A570:A579"/>
    <mergeCell ref="B570:B579"/>
    <mergeCell ref="A447:A454"/>
    <mergeCell ref="B447:B454"/>
    <mergeCell ref="A455:A464"/>
    <mergeCell ref="B455:B464"/>
    <mergeCell ref="A465:A471"/>
    <mergeCell ref="B465:B471"/>
    <mergeCell ref="A423:A434"/>
    <mergeCell ref="B423:B434"/>
    <mergeCell ref="A435:A440"/>
    <mergeCell ref="B435:B440"/>
    <mergeCell ref="A441:A446"/>
    <mergeCell ref="B441:B446"/>
    <mergeCell ref="A472:A483"/>
    <mergeCell ref="B472:B483"/>
    <mergeCell ref="A484:A489"/>
    <mergeCell ref="B484:B489"/>
    <mergeCell ref="A490:A497"/>
    <mergeCell ref="B490:B497"/>
    <mergeCell ref="A638:A644"/>
    <mergeCell ref="B638:B644"/>
    <mergeCell ref="A645:A648"/>
    <mergeCell ref="B645:B648"/>
    <mergeCell ref="A649:A652"/>
    <mergeCell ref="B649:B652"/>
    <mergeCell ref="A518:A524"/>
    <mergeCell ref="B518:B524"/>
    <mergeCell ref="A525:A531"/>
    <mergeCell ref="B525:B531"/>
    <mergeCell ref="A532:A537"/>
    <mergeCell ref="B532:B537"/>
    <mergeCell ref="A498:A504"/>
    <mergeCell ref="B498:B504"/>
    <mergeCell ref="A505:A511"/>
    <mergeCell ref="B505:B511"/>
    <mergeCell ref="A512:A517"/>
    <mergeCell ref="B512:B517"/>
    <mergeCell ref="A616:A621"/>
    <mergeCell ref="B616:B621"/>
    <mergeCell ref="A622:A629"/>
    <mergeCell ref="B622:B629"/>
    <mergeCell ref="A538:A545"/>
    <mergeCell ref="B538:B545"/>
    <mergeCell ref="A546:A553"/>
    <mergeCell ref="B546:B553"/>
    <mergeCell ref="A554:A561"/>
    <mergeCell ref="B554:B561"/>
    <mergeCell ref="A589:A596"/>
    <mergeCell ref="B589:B596"/>
    <mergeCell ref="A597:A606"/>
    <mergeCell ref="B597:B606"/>
    <mergeCell ref="A737:A744"/>
    <mergeCell ref="B737:B744"/>
    <mergeCell ref="A745:A748"/>
    <mergeCell ref="B745:B748"/>
    <mergeCell ref="A749:A755"/>
    <mergeCell ref="B749:B755"/>
    <mergeCell ref="A580:A588"/>
    <mergeCell ref="B580:B588"/>
    <mergeCell ref="A724:A730"/>
    <mergeCell ref="B724:B730"/>
    <mergeCell ref="A731:A736"/>
    <mergeCell ref="B731:B736"/>
    <mergeCell ref="A687:A696"/>
    <mergeCell ref="B687:B696"/>
    <mergeCell ref="A697:A704"/>
    <mergeCell ref="B697:B704"/>
    <mergeCell ref="A705:A714"/>
    <mergeCell ref="B705:B714"/>
    <mergeCell ref="A665:A668"/>
    <mergeCell ref="B665:B668"/>
    <mergeCell ref="A669:A676"/>
    <mergeCell ref="B669:B676"/>
    <mergeCell ref="A677:A686"/>
    <mergeCell ref="B677:B686"/>
    <mergeCell ref="A630:A637"/>
    <mergeCell ref="B630:B637"/>
    <mergeCell ref="A653:A656"/>
    <mergeCell ref="B653:B656"/>
    <mergeCell ref="A657:A660"/>
    <mergeCell ref="B657:B660"/>
    <mergeCell ref="A661:A664"/>
    <mergeCell ref="B661:B664"/>
    <mergeCell ref="A715:A723"/>
    <mergeCell ref="B715:B723"/>
    <mergeCell ref="A846:A850"/>
    <mergeCell ref="B846:B850"/>
    <mergeCell ref="A851:A856"/>
    <mergeCell ref="B851:B856"/>
    <mergeCell ref="A857:A862"/>
    <mergeCell ref="B857:B862"/>
    <mergeCell ref="A828:A832"/>
    <mergeCell ref="B828:B832"/>
    <mergeCell ref="A833:A839"/>
    <mergeCell ref="B833:B839"/>
    <mergeCell ref="A840:A845"/>
    <mergeCell ref="B840:B845"/>
    <mergeCell ref="A815:A818"/>
    <mergeCell ref="B815:B818"/>
    <mergeCell ref="A819:A823"/>
    <mergeCell ref="B819:B823"/>
    <mergeCell ref="A824:A827"/>
    <mergeCell ref="B824:B827"/>
    <mergeCell ref="A784:A790"/>
    <mergeCell ref="B784:B790"/>
    <mergeCell ref="A791:A804"/>
    <mergeCell ref="B791:B804"/>
    <mergeCell ref="A805:A814"/>
    <mergeCell ref="B805:B814"/>
    <mergeCell ref="A756:A766"/>
    <mergeCell ref="B756:B766"/>
    <mergeCell ref="A767:A772"/>
    <mergeCell ref="B767:B772"/>
    <mergeCell ref="A773:A783"/>
    <mergeCell ref="B773:B783"/>
    <mergeCell ref="A904:A907"/>
    <mergeCell ref="B904:B907"/>
    <mergeCell ref="A908:A913"/>
    <mergeCell ref="B908:B913"/>
    <mergeCell ref="A914:A922"/>
    <mergeCell ref="B914:B922"/>
    <mergeCell ref="A884:A891"/>
    <mergeCell ref="B884:B891"/>
    <mergeCell ref="A892:A896"/>
    <mergeCell ref="B892:B896"/>
    <mergeCell ref="A897:A903"/>
    <mergeCell ref="B897:B903"/>
    <mergeCell ref="A863:A867"/>
    <mergeCell ref="B863:B867"/>
    <mergeCell ref="A868:A875"/>
    <mergeCell ref="B868:B875"/>
    <mergeCell ref="A876:A883"/>
    <mergeCell ref="B876:B883"/>
    <mergeCell ref="A967:A973"/>
    <mergeCell ref="B967:B973"/>
    <mergeCell ref="A974:A980"/>
    <mergeCell ref="B974:B980"/>
    <mergeCell ref="A981:A991"/>
    <mergeCell ref="B981:B991"/>
    <mergeCell ref="A948:A953"/>
    <mergeCell ref="B948:B953"/>
    <mergeCell ref="A954:A959"/>
    <mergeCell ref="B954:B959"/>
    <mergeCell ref="A960:A966"/>
    <mergeCell ref="B960:B966"/>
    <mergeCell ref="A923:A929"/>
    <mergeCell ref="B923:B929"/>
    <mergeCell ref="A930:A938"/>
    <mergeCell ref="B930:B938"/>
    <mergeCell ref="A939:A947"/>
    <mergeCell ref="B939:B947"/>
    <mergeCell ref="A1037:A1045"/>
    <mergeCell ref="B1037:B1045"/>
    <mergeCell ref="A1046:A1052"/>
    <mergeCell ref="B1046:B1052"/>
    <mergeCell ref="A1053:A1059"/>
    <mergeCell ref="B1053:B1059"/>
    <mergeCell ref="A1013:A1021"/>
    <mergeCell ref="B1013:B1021"/>
    <mergeCell ref="A1022:A1026"/>
    <mergeCell ref="B1022:B1026"/>
    <mergeCell ref="A1027:A1036"/>
    <mergeCell ref="B1027:B1036"/>
    <mergeCell ref="A992:A1002"/>
    <mergeCell ref="B992:B1002"/>
    <mergeCell ref="A1003:A1007"/>
    <mergeCell ref="B1003:B1007"/>
    <mergeCell ref="A1008:A1012"/>
    <mergeCell ref="B1008:B1012"/>
    <mergeCell ref="A1109:A1116"/>
    <mergeCell ref="B1109:B1116"/>
    <mergeCell ref="A1117:A1121"/>
    <mergeCell ref="B1117:B1121"/>
    <mergeCell ref="A1122:A1126"/>
    <mergeCell ref="B1122:B1126"/>
    <mergeCell ref="A1083:A1090"/>
    <mergeCell ref="B1083:B1090"/>
    <mergeCell ref="A1091:A1098"/>
    <mergeCell ref="B1091:B1098"/>
    <mergeCell ref="A1099:A1108"/>
    <mergeCell ref="B1099:B1108"/>
    <mergeCell ref="A1060:A1066"/>
    <mergeCell ref="B1060:B1066"/>
    <mergeCell ref="A1067:A1073"/>
    <mergeCell ref="B1067:B1073"/>
    <mergeCell ref="A1074:A1082"/>
    <mergeCell ref="B1074:B1082"/>
    <mergeCell ref="A1166:A1172"/>
    <mergeCell ref="B1166:B1172"/>
    <mergeCell ref="A1173:A1179"/>
    <mergeCell ref="B1173:B1179"/>
    <mergeCell ref="A1180:A1186"/>
    <mergeCell ref="B1180:B1186"/>
    <mergeCell ref="A1145:A1151"/>
    <mergeCell ref="B1145:B1151"/>
    <mergeCell ref="A1152:A1158"/>
    <mergeCell ref="B1152:B1158"/>
    <mergeCell ref="A1159:A1165"/>
    <mergeCell ref="B1159:B1165"/>
    <mergeCell ref="A1127:A1132"/>
    <mergeCell ref="B1127:B1132"/>
    <mergeCell ref="A1133:A1137"/>
    <mergeCell ref="B1133:B1137"/>
    <mergeCell ref="A1138:A1144"/>
    <mergeCell ref="B1138:B1144"/>
    <mergeCell ref="A1228:A1233"/>
    <mergeCell ref="B1228:B1233"/>
    <mergeCell ref="A1234:A1239"/>
    <mergeCell ref="B1234:B1239"/>
    <mergeCell ref="A1240:A1245"/>
    <mergeCell ref="B1240:B1245"/>
    <mergeCell ref="A1208:A1214"/>
    <mergeCell ref="B1208:B1214"/>
    <mergeCell ref="A1215:A1221"/>
    <mergeCell ref="B1215:B1221"/>
    <mergeCell ref="A1222:A1227"/>
    <mergeCell ref="B1222:B1227"/>
    <mergeCell ref="A1187:A1193"/>
    <mergeCell ref="B1187:B1193"/>
    <mergeCell ref="A1194:A1200"/>
    <mergeCell ref="B1194:B1200"/>
    <mergeCell ref="A1201:A1207"/>
    <mergeCell ref="B1201:B1207"/>
    <mergeCell ref="A1287:A1293"/>
    <mergeCell ref="B1287:B1293"/>
    <mergeCell ref="A1294:A1300"/>
    <mergeCell ref="B1294:B1300"/>
    <mergeCell ref="A1301:A1308"/>
    <mergeCell ref="B1301:B1308"/>
    <mergeCell ref="A1267:A1272"/>
    <mergeCell ref="B1267:B1272"/>
    <mergeCell ref="A1273:A1279"/>
    <mergeCell ref="B1273:B1279"/>
    <mergeCell ref="A1280:A1286"/>
    <mergeCell ref="B1280:B1286"/>
    <mergeCell ref="A1246:A1252"/>
    <mergeCell ref="B1246:B1252"/>
    <mergeCell ref="A1253:A1259"/>
    <mergeCell ref="B1253:B1259"/>
    <mergeCell ref="A1260:A1266"/>
    <mergeCell ref="B1260:B1266"/>
    <mergeCell ref="A1349:A1354"/>
    <mergeCell ref="B1349:B1354"/>
    <mergeCell ref="A1355:A1361"/>
    <mergeCell ref="B1355:B1361"/>
    <mergeCell ref="A1362:A1367"/>
    <mergeCell ref="B1362:B1367"/>
    <mergeCell ref="A1330:A1335"/>
    <mergeCell ref="B1330:B1335"/>
    <mergeCell ref="A1336:A1341"/>
    <mergeCell ref="B1336:B1341"/>
    <mergeCell ref="A1342:A1348"/>
    <mergeCell ref="B1342:B1348"/>
    <mergeCell ref="A1309:A1317"/>
    <mergeCell ref="B1309:B1317"/>
    <mergeCell ref="A1318:A1323"/>
    <mergeCell ref="B1318:B1323"/>
    <mergeCell ref="A1324:A1329"/>
    <mergeCell ref="B1324:B1329"/>
    <mergeCell ref="A1406:A1420"/>
    <mergeCell ref="B1406:B1420"/>
    <mergeCell ref="A1421:A1435"/>
    <mergeCell ref="B1421:B1435"/>
    <mergeCell ref="A1436:A1450"/>
    <mergeCell ref="B1436:B1450"/>
    <mergeCell ref="A1387:A1392"/>
    <mergeCell ref="B1387:B1392"/>
    <mergeCell ref="A1393:A1398"/>
    <mergeCell ref="B1393:B1398"/>
    <mergeCell ref="A1399:A1405"/>
    <mergeCell ref="B1399:B1405"/>
    <mergeCell ref="A1368:A1373"/>
    <mergeCell ref="B1368:B1373"/>
    <mergeCell ref="A1374:A1380"/>
    <mergeCell ref="B1374:B1380"/>
    <mergeCell ref="A1381:A1386"/>
    <mergeCell ref="B1381:B1386"/>
    <mergeCell ref="A1523:A1528"/>
    <mergeCell ref="B1523:B1528"/>
    <mergeCell ref="A1529:A1534"/>
    <mergeCell ref="B1529:B1534"/>
    <mergeCell ref="A1535:A1540"/>
    <mergeCell ref="B1535:B1540"/>
    <mergeCell ref="A1496:A1510"/>
    <mergeCell ref="B1496:B1510"/>
    <mergeCell ref="A1511:A1516"/>
    <mergeCell ref="B1511:B1516"/>
    <mergeCell ref="A1517:A1522"/>
    <mergeCell ref="B1517:B1522"/>
    <mergeCell ref="A1451:A1465"/>
    <mergeCell ref="B1451:B1465"/>
    <mergeCell ref="A1466:A1480"/>
    <mergeCell ref="B1466:B1480"/>
    <mergeCell ref="A1481:A1495"/>
    <mergeCell ref="B1481:B1495"/>
    <mergeCell ref="A1590:A1595"/>
    <mergeCell ref="B1590:B1595"/>
    <mergeCell ref="A1596:A1601"/>
    <mergeCell ref="B1596:B1601"/>
    <mergeCell ref="A1602:A1608"/>
    <mergeCell ref="B1602:B1608"/>
    <mergeCell ref="A1562:A1568"/>
    <mergeCell ref="B1562:B1568"/>
    <mergeCell ref="A1569:A1583"/>
    <mergeCell ref="B1569:B1583"/>
    <mergeCell ref="A1584:A1589"/>
    <mergeCell ref="B1584:B1589"/>
    <mergeCell ref="A1541:A1547"/>
    <mergeCell ref="B1541:B1547"/>
    <mergeCell ref="A1548:A1554"/>
    <mergeCell ref="B1548:B1554"/>
    <mergeCell ref="A1555:A1561"/>
    <mergeCell ref="B1555:B1561"/>
    <mergeCell ref="A1643:A1648"/>
    <mergeCell ref="B1643:B1648"/>
    <mergeCell ref="A1649:A1654"/>
    <mergeCell ref="B1649:B1654"/>
    <mergeCell ref="A1655:A1659"/>
    <mergeCell ref="B1655:B1659"/>
    <mergeCell ref="A1626:A1630"/>
    <mergeCell ref="B1626:B1630"/>
    <mergeCell ref="A1631:A1636"/>
    <mergeCell ref="B1631:B1636"/>
    <mergeCell ref="A1637:A1642"/>
    <mergeCell ref="B1637:B1642"/>
    <mergeCell ref="A1609:A1613"/>
    <mergeCell ref="B1609:B1613"/>
    <mergeCell ref="A1614:A1619"/>
    <mergeCell ref="B1614:B1619"/>
    <mergeCell ref="A1620:A1625"/>
    <mergeCell ref="B1620:B1625"/>
    <mergeCell ref="A1696:A1703"/>
    <mergeCell ref="B1696:B1703"/>
    <mergeCell ref="A1704:A1714"/>
    <mergeCell ref="B1704:B1714"/>
    <mergeCell ref="A1715:A1725"/>
    <mergeCell ref="B1715:B1725"/>
    <mergeCell ref="A1676:A1682"/>
    <mergeCell ref="B1676:B1682"/>
    <mergeCell ref="A1683:A1689"/>
    <mergeCell ref="B1683:B1689"/>
    <mergeCell ref="A1690:A1695"/>
    <mergeCell ref="B1690:B1695"/>
    <mergeCell ref="A1660:A1664"/>
    <mergeCell ref="B1660:B1664"/>
    <mergeCell ref="A1665:A1669"/>
    <mergeCell ref="B1665:B1669"/>
    <mergeCell ref="A1670:A1675"/>
    <mergeCell ref="B1670:B1675"/>
    <mergeCell ref="A1776:A1782"/>
    <mergeCell ref="B1776:B1782"/>
    <mergeCell ref="A1783:A1789"/>
    <mergeCell ref="B1783:B1789"/>
    <mergeCell ref="A1790:A1796"/>
    <mergeCell ref="B1790:B1796"/>
    <mergeCell ref="A1755:A1761"/>
    <mergeCell ref="B1755:B1761"/>
    <mergeCell ref="A1762:A1768"/>
    <mergeCell ref="B1762:B1768"/>
    <mergeCell ref="A1769:A1775"/>
    <mergeCell ref="B1769:B1775"/>
    <mergeCell ref="A1726:A1736"/>
    <mergeCell ref="B1726:B1736"/>
    <mergeCell ref="A1737:A1747"/>
    <mergeCell ref="B1737:B1747"/>
    <mergeCell ref="A1748:A1754"/>
    <mergeCell ref="B1748:B1754"/>
    <mergeCell ref="A1833:A1838"/>
    <mergeCell ref="B1833:B1838"/>
    <mergeCell ref="A1839:A1844"/>
    <mergeCell ref="B1839:B1844"/>
    <mergeCell ref="A1845:A1850"/>
    <mergeCell ref="B1845:B1850"/>
    <mergeCell ref="A1814:A1819"/>
    <mergeCell ref="B1814:B1819"/>
    <mergeCell ref="A1820:A1825"/>
    <mergeCell ref="B1820:B1825"/>
    <mergeCell ref="A1826:A1832"/>
    <mergeCell ref="B1826:B1832"/>
    <mergeCell ref="A1797:A1803"/>
    <mergeCell ref="B1797:B1803"/>
    <mergeCell ref="A1804:A1808"/>
    <mergeCell ref="B1804:B1808"/>
    <mergeCell ref="A1809:A1813"/>
    <mergeCell ref="B1809:B1813"/>
    <mergeCell ref="A1887:A1892"/>
    <mergeCell ref="B1887:B1892"/>
    <mergeCell ref="A1893:A1898"/>
    <mergeCell ref="B1893:B1898"/>
    <mergeCell ref="A1899:A1904"/>
    <mergeCell ref="B1899:B1904"/>
    <mergeCell ref="A1869:A1874"/>
    <mergeCell ref="B1869:B1874"/>
    <mergeCell ref="A1875:A1880"/>
    <mergeCell ref="B1875:B1880"/>
    <mergeCell ref="A1881:A1886"/>
    <mergeCell ref="B1881:B1886"/>
    <mergeCell ref="A1851:A1856"/>
    <mergeCell ref="B1851:B1856"/>
    <mergeCell ref="A1857:A1862"/>
    <mergeCell ref="B1857:B1862"/>
    <mergeCell ref="A1863:A1868"/>
    <mergeCell ref="B1863:B1868"/>
    <mergeCell ref="A1936:A1942"/>
    <mergeCell ref="B1936:B1942"/>
    <mergeCell ref="A1943:A1948"/>
    <mergeCell ref="B1943:B1948"/>
    <mergeCell ref="A1949:A1954"/>
    <mergeCell ref="B1949:B1954"/>
    <mergeCell ref="A1920:A1925"/>
    <mergeCell ref="B1920:B1925"/>
    <mergeCell ref="A1926:A1930"/>
    <mergeCell ref="B1926:B1930"/>
    <mergeCell ref="A1931:A1935"/>
    <mergeCell ref="B1931:B1935"/>
    <mergeCell ref="A1905:A1909"/>
    <mergeCell ref="B1905:B1909"/>
    <mergeCell ref="A1910:A1914"/>
    <mergeCell ref="B1910:B1914"/>
    <mergeCell ref="A1915:A1919"/>
    <mergeCell ref="B1915:B1919"/>
    <mergeCell ref="A1999:A2005"/>
    <mergeCell ref="B1999:B2005"/>
    <mergeCell ref="A2006:A2012"/>
    <mergeCell ref="B2006:B2012"/>
    <mergeCell ref="A2013:A2018"/>
    <mergeCell ref="B2013:B2018"/>
    <mergeCell ref="A1977:A1984"/>
    <mergeCell ref="B1977:B1984"/>
    <mergeCell ref="A1985:A1991"/>
    <mergeCell ref="B1985:B1991"/>
    <mergeCell ref="A1992:A1998"/>
    <mergeCell ref="B1992:B1998"/>
    <mergeCell ref="A1955:A1961"/>
    <mergeCell ref="B1955:B1961"/>
    <mergeCell ref="A1962:A1968"/>
    <mergeCell ref="B1962:B1968"/>
    <mergeCell ref="A1969:A1976"/>
    <mergeCell ref="B1969:B1976"/>
    <mergeCell ref="A2067:A2074"/>
    <mergeCell ref="B2067:B2074"/>
    <mergeCell ref="A2075:A2082"/>
    <mergeCell ref="B2075:B2082"/>
    <mergeCell ref="A2083:A2090"/>
    <mergeCell ref="B2083:B2090"/>
    <mergeCell ref="A2043:A2050"/>
    <mergeCell ref="B2043:B2050"/>
    <mergeCell ref="A2051:A2058"/>
    <mergeCell ref="B2051:B2058"/>
    <mergeCell ref="A2059:A2066"/>
    <mergeCell ref="B2059:B2066"/>
    <mergeCell ref="A2019:A2026"/>
    <mergeCell ref="B2019:B2026"/>
    <mergeCell ref="A2027:A2034"/>
    <mergeCell ref="B2027:B2034"/>
    <mergeCell ref="A2035:A2042"/>
    <mergeCell ref="B2035:B2042"/>
    <mergeCell ref="A2131:A2136"/>
    <mergeCell ref="B2131:B2136"/>
    <mergeCell ref="A2137:A2144"/>
    <mergeCell ref="B2137:B2144"/>
    <mergeCell ref="A2145:A2152"/>
    <mergeCell ref="B2145:B2152"/>
    <mergeCell ref="A2113:A2118"/>
    <mergeCell ref="B2113:B2118"/>
    <mergeCell ref="A2119:A2124"/>
    <mergeCell ref="B2119:B2124"/>
    <mergeCell ref="A2125:A2130"/>
    <mergeCell ref="B2125:B2130"/>
    <mergeCell ref="A2091:A2098"/>
    <mergeCell ref="B2091:B2098"/>
    <mergeCell ref="A2099:A2106"/>
    <mergeCell ref="B2099:B2106"/>
    <mergeCell ref="A2107:A2112"/>
    <mergeCell ref="B2107:B2112"/>
    <mergeCell ref="A2201:A2205"/>
    <mergeCell ref="B2201:B2205"/>
    <mergeCell ref="A2206:A2212"/>
    <mergeCell ref="B2206:B2212"/>
    <mergeCell ref="A2213:A2219"/>
    <mergeCell ref="B2213:B2219"/>
    <mergeCell ref="A2177:A2184"/>
    <mergeCell ref="B2177:B2184"/>
    <mergeCell ref="A2185:A2192"/>
    <mergeCell ref="B2185:B2192"/>
    <mergeCell ref="A2193:A2200"/>
    <mergeCell ref="B2193:B2200"/>
    <mergeCell ref="A2153:A2160"/>
    <mergeCell ref="B2153:B2160"/>
    <mergeCell ref="A2161:A2168"/>
    <mergeCell ref="B2161:B2168"/>
    <mergeCell ref="A2169:A2176"/>
    <mergeCell ref="B2169:B2176"/>
    <mergeCell ref="A2272:A2281"/>
    <mergeCell ref="B2272:B2281"/>
    <mergeCell ref="A2282:A2291"/>
    <mergeCell ref="B2282:B2291"/>
    <mergeCell ref="A2292:A2301"/>
    <mergeCell ref="B2292:B2301"/>
    <mergeCell ref="A2246:A2251"/>
    <mergeCell ref="B2246:B2251"/>
    <mergeCell ref="A2252:A2261"/>
    <mergeCell ref="B2252:B2261"/>
    <mergeCell ref="A2262:A2271"/>
    <mergeCell ref="B2262:B2271"/>
    <mergeCell ref="A2220:A2225"/>
    <mergeCell ref="B2220:B2225"/>
    <mergeCell ref="A2226:A2231"/>
    <mergeCell ref="B2226:B2231"/>
    <mergeCell ref="A2232:A2245"/>
    <mergeCell ref="B2232:B2245"/>
    <mergeCell ref="A2340:A2344"/>
    <mergeCell ref="B2340:B2344"/>
    <mergeCell ref="A2345:A2349"/>
    <mergeCell ref="B2345:B2349"/>
    <mergeCell ref="A2350:A2354"/>
    <mergeCell ref="B2350:B2354"/>
    <mergeCell ref="A2322:A2327"/>
    <mergeCell ref="B2322:B2327"/>
    <mergeCell ref="A2328:A2333"/>
    <mergeCell ref="B2328:B2333"/>
    <mergeCell ref="A2334:A2339"/>
    <mergeCell ref="B2334:B2339"/>
    <mergeCell ref="A2302:A2308"/>
    <mergeCell ref="B2302:B2308"/>
    <mergeCell ref="A2309:A2315"/>
    <mergeCell ref="B2309:B2315"/>
    <mergeCell ref="A2316:A2321"/>
    <mergeCell ref="B2316:B2321"/>
    <mergeCell ref="A2376:A2381"/>
    <mergeCell ref="B2376:B2381"/>
    <mergeCell ref="A2382:A2388"/>
    <mergeCell ref="B2382:B2388"/>
    <mergeCell ref="A2389:A2394"/>
    <mergeCell ref="B2389:B2394"/>
    <mergeCell ref="A2355:A2360"/>
    <mergeCell ref="B2355:B2360"/>
    <mergeCell ref="A2361:A2368"/>
    <mergeCell ref="B2361:B2368"/>
    <mergeCell ref="A2369:A2375"/>
    <mergeCell ref="B2369:B2375"/>
    <mergeCell ref="A2395:A2398"/>
    <mergeCell ref="B2395:B2398"/>
    <mergeCell ref="A2399:A2402"/>
    <mergeCell ref="B2399:B2402"/>
    <mergeCell ref="A2403:A2406"/>
    <mergeCell ref="B2403:B2406"/>
    <mergeCell ref="A2431:A2434"/>
    <mergeCell ref="B2431:B2434"/>
    <mergeCell ref="A2551:A2554"/>
    <mergeCell ref="B2551:B2554"/>
    <mergeCell ref="A2407:A2410"/>
    <mergeCell ref="B2407:B2410"/>
    <mergeCell ref="A2411:A2414"/>
    <mergeCell ref="B2411:B2414"/>
    <mergeCell ref="A2415:A2418"/>
    <mergeCell ref="B2415:B2418"/>
    <mergeCell ref="A2419:A2422"/>
    <mergeCell ref="B2419:B2422"/>
    <mergeCell ref="A2423:A2426"/>
    <mergeCell ref="B2423:B2426"/>
    <mergeCell ref="A2427:A2430"/>
    <mergeCell ref="B2427:B2430"/>
    <mergeCell ref="A2435:A2438"/>
    <mergeCell ref="B2435:B2438"/>
    <mergeCell ref="A2479:A2482"/>
    <mergeCell ref="B2479:B2482"/>
    <mergeCell ref="A2535:A2538"/>
    <mergeCell ref="B2535:B2538"/>
    <mergeCell ref="A2539:A2542"/>
    <mergeCell ref="B2539:B2542"/>
    <mergeCell ref="A2443:A2446"/>
    <mergeCell ref="B2443:B2446"/>
    <mergeCell ref="A2447:A2450"/>
    <mergeCell ref="B2447:B2450"/>
    <mergeCell ref="A2439:A2442"/>
    <mergeCell ref="B2439:B2442"/>
    <mergeCell ref="A2451:A2454"/>
    <mergeCell ref="B2451:B2454"/>
    <mergeCell ref="A2611:A2614"/>
    <mergeCell ref="B2611:B2614"/>
    <mergeCell ref="A2587:A2594"/>
    <mergeCell ref="B2587:B2594"/>
    <mergeCell ref="A2595:A2598"/>
    <mergeCell ref="B2595:B2598"/>
    <mergeCell ref="A2599:A2602"/>
    <mergeCell ref="B2599:B2602"/>
    <mergeCell ref="A2567:A2570"/>
    <mergeCell ref="B2567:B2570"/>
    <mergeCell ref="A2571:A2578"/>
    <mergeCell ref="B2571:B2578"/>
    <mergeCell ref="A2579:A2586"/>
    <mergeCell ref="B2579:B2586"/>
    <mergeCell ref="A2555:A2558"/>
    <mergeCell ref="B2555:B2558"/>
    <mergeCell ref="A2559:A2562"/>
    <mergeCell ref="B2559:B2562"/>
    <mergeCell ref="A2563:A2566"/>
    <mergeCell ref="B2563:B2566"/>
    <mergeCell ref="A2685:A2690"/>
    <mergeCell ref="B2685:B2690"/>
    <mergeCell ref="A2691:A2696"/>
    <mergeCell ref="B2691:B2696"/>
    <mergeCell ref="A2697:A2702"/>
    <mergeCell ref="B2697:B2702"/>
    <mergeCell ref="A2667:A2672"/>
    <mergeCell ref="B2667:B2672"/>
    <mergeCell ref="A2673:A2678"/>
    <mergeCell ref="B2673:B2678"/>
    <mergeCell ref="A2679:A2684"/>
    <mergeCell ref="B2679:B2684"/>
    <mergeCell ref="A2647:A2650"/>
    <mergeCell ref="B2647:B2650"/>
    <mergeCell ref="A2655:A2660"/>
    <mergeCell ref="B2655:B2660"/>
    <mergeCell ref="A2661:A2666"/>
    <mergeCell ref="B2661:B2666"/>
    <mergeCell ref="A2651:A2654"/>
    <mergeCell ref="B2651:B2654"/>
    <mergeCell ref="A2703:A2708"/>
    <mergeCell ref="B2703:B2708"/>
    <mergeCell ref="A2709:A2714"/>
    <mergeCell ref="B2709:B2714"/>
    <mergeCell ref="A2771:A2775"/>
    <mergeCell ref="B2771:B2775"/>
    <mergeCell ref="A2763:A2766"/>
    <mergeCell ref="B2763:B2766"/>
    <mergeCell ref="A2859:A2863"/>
    <mergeCell ref="B2859:B2863"/>
    <mergeCell ref="A2864:A2868"/>
    <mergeCell ref="B2864:B2868"/>
    <mergeCell ref="A2869:A2873"/>
    <mergeCell ref="B2869:B2873"/>
    <mergeCell ref="A2844:A2848"/>
    <mergeCell ref="B2844:B2848"/>
    <mergeCell ref="A2849:A2853"/>
    <mergeCell ref="B2849:B2853"/>
    <mergeCell ref="A2854:A2858"/>
    <mergeCell ref="B2854:B2858"/>
    <mergeCell ref="A2827:A2833"/>
    <mergeCell ref="B2827:B2833"/>
    <mergeCell ref="A2834:A2838"/>
    <mergeCell ref="B2834:B2838"/>
    <mergeCell ref="A2839:A2843"/>
    <mergeCell ref="B2839:B2843"/>
    <mergeCell ref="A2727:A2730"/>
    <mergeCell ref="B2727:B2730"/>
    <mergeCell ref="A2731:A2734"/>
    <mergeCell ref="B2731:B2734"/>
    <mergeCell ref="A2735:A2738"/>
    <mergeCell ref="B2735:B2738"/>
    <mergeCell ref="A3102:A3106"/>
    <mergeCell ref="B3102:B3106"/>
    <mergeCell ref="A3107:A3111"/>
    <mergeCell ref="B3107:B3111"/>
    <mergeCell ref="A3112:A3116"/>
    <mergeCell ref="B3112:B3116"/>
    <mergeCell ref="A3087:A3091"/>
    <mergeCell ref="B3087:B3091"/>
    <mergeCell ref="A3092:A3096"/>
    <mergeCell ref="B3092:B3096"/>
    <mergeCell ref="A3097:A3101"/>
    <mergeCell ref="B3097:B3101"/>
    <mergeCell ref="A2996:A3000"/>
    <mergeCell ref="B2996:B3000"/>
    <mergeCell ref="A3066:A3073"/>
    <mergeCell ref="B3066:B3073"/>
    <mergeCell ref="A3074:A3078"/>
    <mergeCell ref="B3074:B3078"/>
    <mergeCell ref="A3079:A3086"/>
    <mergeCell ref="B3079:B3086"/>
    <mergeCell ref="A3049:A3053"/>
    <mergeCell ref="B3049:B3053"/>
    <mergeCell ref="A3054:A3061"/>
    <mergeCell ref="B3054:B3061"/>
    <mergeCell ref="A3062:A3065"/>
    <mergeCell ref="B3062:B3065"/>
    <mergeCell ref="A3031:A3035"/>
    <mergeCell ref="B3031:B3035"/>
    <mergeCell ref="A3036:A3040"/>
    <mergeCell ref="B3036:B3040"/>
    <mergeCell ref="A3041:A3048"/>
    <mergeCell ref="B3041:B3048"/>
    <mergeCell ref="A3150:A3155"/>
    <mergeCell ref="B3150:B3155"/>
    <mergeCell ref="A3156:A3160"/>
    <mergeCell ref="B3156:B3160"/>
    <mergeCell ref="A3161:A3166"/>
    <mergeCell ref="B3161:B3166"/>
    <mergeCell ref="A3132:A3137"/>
    <mergeCell ref="B3132:B3137"/>
    <mergeCell ref="A3138:A3143"/>
    <mergeCell ref="B3138:B3143"/>
    <mergeCell ref="A3144:A3149"/>
    <mergeCell ref="B3144:B3149"/>
    <mergeCell ref="A3117:A3121"/>
    <mergeCell ref="B3117:B3121"/>
    <mergeCell ref="A3122:A3126"/>
    <mergeCell ref="B3122:B3126"/>
    <mergeCell ref="A3127:A3131"/>
    <mergeCell ref="B3127:B3131"/>
    <mergeCell ref="A3206:A3212"/>
    <mergeCell ref="B3206:B3212"/>
    <mergeCell ref="A3213:A3225"/>
    <mergeCell ref="B3213:B3225"/>
    <mergeCell ref="A3226:A3231"/>
    <mergeCell ref="B3226:B3231"/>
    <mergeCell ref="A3189:A3196"/>
    <mergeCell ref="B3189:B3196"/>
    <mergeCell ref="A3197:A3201"/>
    <mergeCell ref="B3197:B3201"/>
    <mergeCell ref="A3202:A3205"/>
    <mergeCell ref="B3202:B3205"/>
    <mergeCell ref="A3167:A3171"/>
    <mergeCell ref="B3167:B3171"/>
    <mergeCell ref="A3172:A3180"/>
    <mergeCell ref="B3172:B3180"/>
    <mergeCell ref="A3181:A3188"/>
    <mergeCell ref="B3181:B3188"/>
    <mergeCell ref="A3273:A3279"/>
    <mergeCell ref="B3273:B3279"/>
    <mergeCell ref="A3280:A3286"/>
    <mergeCell ref="B3280:B3286"/>
    <mergeCell ref="A3287:A3293"/>
    <mergeCell ref="B3287:B3293"/>
    <mergeCell ref="A3254:A3258"/>
    <mergeCell ref="B3254:B3258"/>
    <mergeCell ref="A3259:A3265"/>
    <mergeCell ref="B3259:B3265"/>
    <mergeCell ref="A3266:A3272"/>
    <mergeCell ref="B3266:B3272"/>
    <mergeCell ref="A3232:A3237"/>
    <mergeCell ref="B3232:B3237"/>
    <mergeCell ref="A3238:A3243"/>
    <mergeCell ref="B3238:B3243"/>
    <mergeCell ref="A3244:A3253"/>
    <mergeCell ref="B3244:B3253"/>
    <mergeCell ref="A3335:A3340"/>
    <mergeCell ref="B3335:B3340"/>
    <mergeCell ref="A3341:A3349"/>
    <mergeCell ref="B3341:B3349"/>
    <mergeCell ref="A3350:A3354"/>
    <mergeCell ref="B3350:B3354"/>
    <mergeCell ref="A3315:A3321"/>
    <mergeCell ref="B3315:B3321"/>
    <mergeCell ref="A3322:A3328"/>
    <mergeCell ref="B3322:B3328"/>
    <mergeCell ref="A3329:A3334"/>
    <mergeCell ref="B3329:B3334"/>
    <mergeCell ref="A3294:A3300"/>
    <mergeCell ref="B3294:B3300"/>
    <mergeCell ref="A3301:A3307"/>
    <mergeCell ref="B3301:B3307"/>
    <mergeCell ref="A3308:A3314"/>
    <mergeCell ref="B3308:B3314"/>
    <mergeCell ref="A3389:A3392"/>
    <mergeCell ref="B3389:B3392"/>
    <mergeCell ref="A3393:A3396"/>
    <mergeCell ref="B3393:B3396"/>
    <mergeCell ref="A3397:A3403"/>
    <mergeCell ref="B3397:B3403"/>
    <mergeCell ref="A3376:A3379"/>
    <mergeCell ref="B3376:B3379"/>
    <mergeCell ref="A3380:A3383"/>
    <mergeCell ref="B3380:B3383"/>
    <mergeCell ref="A3384:A3388"/>
    <mergeCell ref="B3384:B3388"/>
    <mergeCell ref="A3355:A3361"/>
    <mergeCell ref="B3355:B3361"/>
    <mergeCell ref="A3362:A3368"/>
    <mergeCell ref="B3362:B3368"/>
    <mergeCell ref="A3369:A3375"/>
    <mergeCell ref="B3369:B3375"/>
    <mergeCell ref="A3437:A3440"/>
    <mergeCell ref="B3437:B3440"/>
    <mergeCell ref="A3441:A3450"/>
    <mergeCell ref="B3441:B3450"/>
    <mergeCell ref="A3451:A3461"/>
    <mergeCell ref="B3451:B3461"/>
    <mergeCell ref="A3423:A3427"/>
    <mergeCell ref="B3423:B3427"/>
    <mergeCell ref="A3428:A3432"/>
    <mergeCell ref="B3428:B3432"/>
    <mergeCell ref="A3433:A3436"/>
    <mergeCell ref="B3433:B3436"/>
    <mergeCell ref="A3404:A3410"/>
    <mergeCell ref="B3404:B3410"/>
    <mergeCell ref="A3411:A3417"/>
    <mergeCell ref="B3411:B3417"/>
    <mergeCell ref="A3418:A3422"/>
    <mergeCell ref="B3418:B3422"/>
    <mergeCell ref="A3549:A3564"/>
    <mergeCell ref="B3549:B3564"/>
    <mergeCell ref="A3565:A3570"/>
    <mergeCell ref="B3565:B3570"/>
    <mergeCell ref="A3571:A3576"/>
    <mergeCell ref="B3571:B3576"/>
    <mergeCell ref="A3506:A3522"/>
    <mergeCell ref="B3506:B3522"/>
    <mergeCell ref="A3523:A3532"/>
    <mergeCell ref="B3523:B3532"/>
    <mergeCell ref="A3542:A3548"/>
    <mergeCell ref="B3542:B3548"/>
    <mergeCell ref="A3473:A3480"/>
    <mergeCell ref="B3473:B3480"/>
    <mergeCell ref="A3481:A3497"/>
    <mergeCell ref="B3481:B3497"/>
    <mergeCell ref="A3498:A3505"/>
    <mergeCell ref="B3498:B3505"/>
    <mergeCell ref="A3577:A3584"/>
    <mergeCell ref="B3577:B3584"/>
    <mergeCell ref="A3585:A3591"/>
    <mergeCell ref="B3585:B3591"/>
    <mergeCell ref="A3592:A3596"/>
    <mergeCell ref="B3592:B3596"/>
    <mergeCell ref="A3639:A3643"/>
    <mergeCell ref="B3639:B3643"/>
    <mergeCell ref="A3644:A3651"/>
    <mergeCell ref="B3644:B3651"/>
    <mergeCell ref="A3652:A3655"/>
    <mergeCell ref="B3652:B3655"/>
    <mergeCell ref="A3618:A3623"/>
    <mergeCell ref="B3618:B3623"/>
    <mergeCell ref="A3624:A3633"/>
    <mergeCell ref="B3624:B3633"/>
    <mergeCell ref="A3634:A3638"/>
    <mergeCell ref="B3634:B3638"/>
    <mergeCell ref="A3597:A3604"/>
    <mergeCell ref="B3597:B3604"/>
    <mergeCell ref="A3605:A3610"/>
    <mergeCell ref="B3605:B3610"/>
    <mergeCell ref="A3611:A3617"/>
    <mergeCell ref="B3611:B3617"/>
    <mergeCell ref="A3656:A3661"/>
    <mergeCell ref="B3656:B3661"/>
    <mergeCell ref="A3662:A3676"/>
    <mergeCell ref="B3662:B3676"/>
    <mergeCell ref="A3677:A3684"/>
    <mergeCell ref="B3677:B3684"/>
    <mergeCell ref="A3822:A3827"/>
    <mergeCell ref="B3822:B3827"/>
    <mergeCell ref="A3804:A3809"/>
    <mergeCell ref="B3804:B3809"/>
    <mergeCell ref="A3828:A3832"/>
    <mergeCell ref="B3828:B3832"/>
    <mergeCell ref="A3833:A3843"/>
    <mergeCell ref="B3833:B3843"/>
    <mergeCell ref="A3816:A3821"/>
    <mergeCell ref="B3816:B3821"/>
    <mergeCell ref="A3721:A3724"/>
    <mergeCell ref="B3721:B3724"/>
    <mergeCell ref="A3725:A3734"/>
    <mergeCell ref="B3725:B3734"/>
    <mergeCell ref="A3735:A3739"/>
    <mergeCell ref="B3735:B3739"/>
    <mergeCell ref="A3685:A3696"/>
    <mergeCell ref="B3685:B3696"/>
    <mergeCell ref="A3697:A3709"/>
    <mergeCell ref="B3697:B3709"/>
    <mergeCell ref="A3710:A3720"/>
    <mergeCell ref="B3710:B3720"/>
    <mergeCell ref="A3764:A3767"/>
    <mergeCell ref="B3764:B3767"/>
    <mergeCell ref="A3844:A3853"/>
    <mergeCell ref="B3844:B3853"/>
    <mergeCell ref="A3740:A3748"/>
    <mergeCell ref="B3740:B3748"/>
    <mergeCell ref="A3749:A3755"/>
    <mergeCell ref="B3749:B3755"/>
    <mergeCell ref="A3756:A3759"/>
    <mergeCell ref="B3756:B3759"/>
    <mergeCell ref="A3768:A3773"/>
    <mergeCell ref="B3768:B3773"/>
    <mergeCell ref="A3774:A3779"/>
    <mergeCell ref="B3774:B3779"/>
    <mergeCell ref="A3780:A3785"/>
    <mergeCell ref="B3780:B3785"/>
    <mergeCell ref="A3786:A3791"/>
    <mergeCell ref="B3786:B3791"/>
    <mergeCell ref="A3792:A3797"/>
    <mergeCell ref="B3792:B3797"/>
    <mergeCell ref="A3798:A3803"/>
    <mergeCell ref="B3798:B3803"/>
    <mergeCell ref="A3760:A3763"/>
    <mergeCell ref="B3760:B3763"/>
    <mergeCell ref="A3957:A3964"/>
    <mergeCell ref="B3957:B3964"/>
    <mergeCell ref="A3990:A4002"/>
    <mergeCell ref="B3990:B4002"/>
    <mergeCell ref="A4003:A4015"/>
    <mergeCell ref="B4003:B4015"/>
    <mergeCell ref="A4016:A4020"/>
    <mergeCell ref="B4016:B4020"/>
    <mergeCell ref="A3965:A3974"/>
    <mergeCell ref="B3965:B3974"/>
    <mergeCell ref="A3883:A3897"/>
    <mergeCell ref="B3883:B3897"/>
    <mergeCell ref="A3898:A3904"/>
    <mergeCell ref="B3898:B3904"/>
    <mergeCell ref="A3905:A3922"/>
    <mergeCell ref="B3905:B3922"/>
    <mergeCell ref="A3854:A3862"/>
    <mergeCell ref="B3854:B3862"/>
    <mergeCell ref="A3863:A3870"/>
    <mergeCell ref="B3863:B3870"/>
    <mergeCell ref="A3871:A3882"/>
    <mergeCell ref="B3871:B3882"/>
    <mergeCell ref="A3923:A3928"/>
    <mergeCell ref="B3923:B3928"/>
    <mergeCell ref="A3929:A3934"/>
    <mergeCell ref="B3929:B3934"/>
    <mergeCell ref="A4112:A4118"/>
    <mergeCell ref="B4112:B4118"/>
    <mergeCell ref="A4119:A4126"/>
    <mergeCell ref="B4119:B4126"/>
    <mergeCell ref="A4089:A4094"/>
    <mergeCell ref="B4089:B4094"/>
    <mergeCell ref="A4095:A4101"/>
    <mergeCell ref="B4095:B4101"/>
    <mergeCell ref="A4102:A4107"/>
    <mergeCell ref="B4102:B4107"/>
    <mergeCell ref="A3935:A3940"/>
    <mergeCell ref="B3935:B3940"/>
    <mergeCell ref="A4038:A4046"/>
    <mergeCell ref="B4038:B4046"/>
    <mergeCell ref="A4047:A4055"/>
    <mergeCell ref="B4047:B4055"/>
    <mergeCell ref="A4056:A4064"/>
    <mergeCell ref="B4056:B4064"/>
    <mergeCell ref="A4021:A4024"/>
    <mergeCell ref="B4021:B4024"/>
    <mergeCell ref="A4025:A4028"/>
    <mergeCell ref="B4025:B4028"/>
    <mergeCell ref="A4029:A4037"/>
    <mergeCell ref="B4029:B4037"/>
    <mergeCell ref="A3975:A3981"/>
    <mergeCell ref="B3975:B3981"/>
    <mergeCell ref="A3982:A3989"/>
    <mergeCell ref="B3982:B3989"/>
    <mergeCell ref="A3941:A3947"/>
    <mergeCell ref="B3941:B3947"/>
    <mergeCell ref="A3948:A3956"/>
    <mergeCell ref="B3948:B3956"/>
    <mergeCell ref="A4065:A4073"/>
    <mergeCell ref="B4065:B4073"/>
    <mergeCell ref="A4074:A4082"/>
    <mergeCell ref="B4074:B4082"/>
    <mergeCell ref="A4083:A4088"/>
    <mergeCell ref="B4083:B4088"/>
    <mergeCell ref="A4195:A4200"/>
    <mergeCell ref="B4195:B4200"/>
    <mergeCell ref="A4201:A4206"/>
    <mergeCell ref="B4201:B4206"/>
    <mergeCell ref="A4207:A4212"/>
    <mergeCell ref="B4207:B4212"/>
    <mergeCell ref="A4177:A4180"/>
    <mergeCell ref="B4177:B4180"/>
    <mergeCell ref="A4181:A4187"/>
    <mergeCell ref="B4181:B4187"/>
    <mergeCell ref="A4188:A4194"/>
    <mergeCell ref="B4188:B4194"/>
    <mergeCell ref="A4147:A4154"/>
    <mergeCell ref="B4147:B4154"/>
    <mergeCell ref="A4155:A4165"/>
    <mergeCell ref="B4155:B4165"/>
    <mergeCell ref="A4166:A4176"/>
    <mergeCell ref="B4166:B4176"/>
    <mergeCell ref="A4127:A4134"/>
    <mergeCell ref="B4127:B4134"/>
    <mergeCell ref="A4135:A4142"/>
    <mergeCell ref="B4135:B4142"/>
    <mergeCell ref="A4143:A4146"/>
    <mergeCell ref="B4143:B4146"/>
    <mergeCell ref="A4108:A4111"/>
    <mergeCell ref="B4108:B4111"/>
    <mergeCell ref="A4274:A4282"/>
    <mergeCell ref="B4274:B4282"/>
    <mergeCell ref="A4283:A4298"/>
    <mergeCell ref="B4283:B4298"/>
    <mergeCell ref="A4299:A4325"/>
    <mergeCell ref="B4299:B4325"/>
    <mergeCell ref="A4254:A4260"/>
    <mergeCell ref="B4254:B4260"/>
    <mergeCell ref="A4261:A4265"/>
    <mergeCell ref="B4261:B4265"/>
    <mergeCell ref="A4266:A4273"/>
    <mergeCell ref="B4266:B4273"/>
    <mergeCell ref="A4237:A4244"/>
    <mergeCell ref="B4237:B4244"/>
    <mergeCell ref="A4245:A4253"/>
    <mergeCell ref="B4245:B4253"/>
    <mergeCell ref="A4213:A4222"/>
    <mergeCell ref="B4213:B4222"/>
    <mergeCell ref="A4223:A4228"/>
    <mergeCell ref="B4223:B4228"/>
    <mergeCell ref="A4229:A4236"/>
    <mergeCell ref="B4229:B4236"/>
    <mergeCell ref="A4380:A4389"/>
    <mergeCell ref="B4380:B4389"/>
    <mergeCell ref="A4390:A4397"/>
    <mergeCell ref="B4390:B4397"/>
    <mergeCell ref="A4398:A4405"/>
    <mergeCell ref="B4398:B4405"/>
    <mergeCell ref="A4353:A4361"/>
    <mergeCell ref="B4353:B4361"/>
    <mergeCell ref="A4362:A4370"/>
    <mergeCell ref="B4362:B4370"/>
    <mergeCell ref="A4371:A4379"/>
    <mergeCell ref="B4371:B4379"/>
    <mergeCell ref="A4326:A4332"/>
    <mergeCell ref="B4326:B4332"/>
    <mergeCell ref="A4333:A4343"/>
    <mergeCell ref="B4333:B4343"/>
    <mergeCell ref="A4344:A4352"/>
    <mergeCell ref="B4344:B4352"/>
    <mergeCell ref="A4468:A4473"/>
    <mergeCell ref="B4468:B4473"/>
    <mergeCell ref="A4474:A4493"/>
    <mergeCell ref="B4474:B4493"/>
    <mergeCell ref="A4494:A4501"/>
    <mergeCell ref="B4494:B4501"/>
    <mergeCell ref="A4436:A4443"/>
    <mergeCell ref="B4436:B4443"/>
    <mergeCell ref="A4444:A4455"/>
    <mergeCell ref="B4444:B4455"/>
    <mergeCell ref="A4456:A4467"/>
    <mergeCell ref="B4456:B4467"/>
    <mergeCell ref="A4406:A4415"/>
    <mergeCell ref="B4406:B4415"/>
    <mergeCell ref="A4416:A4425"/>
    <mergeCell ref="B4416:B4425"/>
    <mergeCell ref="A4426:A4435"/>
    <mergeCell ref="B4426:B4435"/>
    <mergeCell ref="A4542:A4546"/>
    <mergeCell ref="B4542:B4546"/>
    <mergeCell ref="A4547:A4552"/>
    <mergeCell ref="B4547:B4552"/>
    <mergeCell ref="A4553:A4564"/>
    <mergeCell ref="B4553:B4564"/>
    <mergeCell ref="A4521:A4525"/>
    <mergeCell ref="B4521:B4525"/>
    <mergeCell ref="A4526:A4533"/>
    <mergeCell ref="B4526:B4533"/>
    <mergeCell ref="A4534:A4541"/>
    <mergeCell ref="B4534:B4541"/>
    <mergeCell ref="A4502:A4509"/>
    <mergeCell ref="B4502:B4509"/>
    <mergeCell ref="A4510:A4515"/>
    <mergeCell ref="B4510:B4515"/>
    <mergeCell ref="A4516:A4520"/>
    <mergeCell ref="B4516:B4520"/>
    <mergeCell ref="A4627:A4638"/>
    <mergeCell ref="B4627:B4638"/>
    <mergeCell ref="A4639:A4646"/>
    <mergeCell ref="B4639:B4646"/>
    <mergeCell ref="A4647:A4652"/>
    <mergeCell ref="B4647:B4652"/>
    <mergeCell ref="A4604:A4612"/>
    <mergeCell ref="B4604:B4612"/>
    <mergeCell ref="A4613:A4620"/>
    <mergeCell ref="B4613:B4620"/>
    <mergeCell ref="A4621:A4626"/>
    <mergeCell ref="B4621:B4626"/>
    <mergeCell ref="A4565:A4576"/>
    <mergeCell ref="B4565:B4576"/>
    <mergeCell ref="A4577:A4595"/>
    <mergeCell ref="B4577:B4595"/>
    <mergeCell ref="A4596:A4603"/>
    <mergeCell ref="B4596:B4603"/>
    <mergeCell ref="A4702:A4713"/>
    <mergeCell ref="B4702:B4713"/>
    <mergeCell ref="A4718:A4723"/>
    <mergeCell ref="B4718:B4723"/>
    <mergeCell ref="A4724:A4731"/>
    <mergeCell ref="B4724:B4731"/>
    <mergeCell ref="A4679:A4684"/>
    <mergeCell ref="B4679:B4684"/>
    <mergeCell ref="A4685:A4692"/>
    <mergeCell ref="B4685:B4692"/>
    <mergeCell ref="A4693:A4701"/>
    <mergeCell ref="B4693:B4701"/>
    <mergeCell ref="A4653:A4660"/>
    <mergeCell ref="B4653:B4660"/>
    <mergeCell ref="A4661:A4668"/>
    <mergeCell ref="B4661:B4668"/>
    <mergeCell ref="A4669:A4678"/>
    <mergeCell ref="B4669:B4678"/>
    <mergeCell ref="A4714:A4717"/>
    <mergeCell ref="B4714:B4717"/>
    <mergeCell ref="A4784:A4793"/>
    <mergeCell ref="B4784:B4793"/>
    <mergeCell ref="A4794:A4803"/>
    <mergeCell ref="B4794:B4803"/>
    <mergeCell ref="A4804:A4808"/>
    <mergeCell ref="B4804:B4808"/>
    <mergeCell ref="A4809:A4813"/>
    <mergeCell ref="B4809:B4813"/>
    <mergeCell ref="A4814:A4818"/>
    <mergeCell ref="B4814:B4818"/>
    <mergeCell ref="A4827:A4834"/>
    <mergeCell ref="B4827:B4834"/>
    <mergeCell ref="A4835:A4842"/>
    <mergeCell ref="B4835:B4842"/>
    <mergeCell ref="A4843:A4850"/>
    <mergeCell ref="B4843:B4850"/>
    <mergeCell ref="A4768:A4778"/>
    <mergeCell ref="B4768:B4778"/>
    <mergeCell ref="A4779:A4783"/>
    <mergeCell ref="B4779:B4783"/>
    <mergeCell ref="A4851:A4858"/>
    <mergeCell ref="B4851:B4858"/>
    <mergeCell ref="A4859:A4866"/>
    <mergeCell ref="B4859:B4866"/>
    <mergeCell ref="A4867:A4874"/>
    <mergeCell ref="B4867:B4874"/>
    <mergeCell ref="A4875:A4882"/>
    <mergeCell ref="B4875:B4882"/>
    <mergeCell ref="A4819:A4826"/>
    <mergeCell ref="B4819:B4826"/>
    <mergeCell ref="A4883:A4892"/>
    <mergeCell ref="B4883:B4892"/>
    <mergeCell ref="A4893:A4901"/>
    <mergeCell ref="B4893:B4901"/>
    <mergeCell ref="A4902:A4908"/>
    <mergeCell ref="B4902:B4908"/>
    <mergeCell ref="A4909:A4915"/>
    <mergeCell ref="B4909:B4915"/>
    <mergeCell ref="A4916:A4922"/>
    <mergeCell ref="B4916:B4922"/>
    <mergeCell ref="A4923:A4929"/>
    <mergeCell ref="B4923:B4929"/>
    <mergeCell ref="A4930:A4936"/>
    <mergeCell ref="B4930:B4936"/>
    <mergeCell ref="A4937:A4941"/>
    <mergeCell ref="B4937:B4941"/>
    <mergeCell ref="A4942:A4948"/>
    <mergeCell ref="B4942:B4948"/>
    <mergeCell ref="B4949:B4955"/>
    <mergeCell ref="A4949:A4955"/>
    <mergeCell ref="A4956:A4962"/>
    <mergeCell ref="B4956:B4962"/>
    <mergeCell ref="A4963:A4969"/>
    <mergeCell ref="B4963:B4969"/>
    <mergeCell ref="A4970:A4974"/>
    <mergeCell ref="B4970:B4974"/>
    <mergeCell ref="A5063:A5070"/>
    <mergeCell ref="B5063:B5070"/>
    <mergeCell ref="A5071:A5076"/>
    <mergeCell ref="B5071:B5076"/>
    <mergeCell ref="A5077:A5082"/>
    <mergeCell ref="B5077:B5082"/>
    <mergeCell ref="A5083:A5088"/>
    <mergeCell ref="B5083:B5088"/>
    <mergeCell ref="A4975:A4980"/>
    <mergeCell ref="B4975:B4980"/>
    <mergeCell ref="A4981:A4986"/>
    <mergeCell ref="B4981:B4986"/>
    <mergeCell ref="A4987:A4992"/>
    <mergeCell ref="B4987:B4992"/>
    <mergeCell ref="A4993:A4998"/>
    <mergeCell ref="B4993:B4998"/>
    <mergeCell ref="A4999:A5005"/>
    <mergeCell ref="B4999:B5005"/>
    <mergeCell ref="A5006:A5010"/>
    <mergeCell ref="B5006:B5010"/>
    <mergeCell ref="A5011:A5018"/>
    <mergeCell ref="B5011:B5018"/>
    <mergeCell ref="A5019:A5024"/>
    <mergeCell ref="B5019:B5024"/>
    <mergeCell ref="A5025:A5028"/>
    <mergeCell ref="B5025:B5028"/>
    <mergeCell ref="A2531:A2534"/>
    <mergeCell ref="B2531:B2534"/>
    <mergeCell ref="A2547:A2550"/>
    <mergeCell ref="B2547:B2550"/>
    <mergeCell ref="A2615:A2618"/>
    <mergeCell ref="B2615:B2618"/>
    <mergeCell ref="A2619:A2622"/>
    <mergeCell ref="B2619:B2622"/>
    <mergeCell ref="A2623:A2626"/>
    <mergeCell ref="B2623:B2626"/>
    <mergeCell ref="A2603:A2606"/>
    <mergeCell ref="B2603:B2606"/>
    <mergeCell ref="A2607:A2610"/>
    <mergeCell ref="B2607:B2610"/>
    <mergeCell ref="A5102:A5108"/>
    <mergeCell ref="B5102:B5108"/>
    <mergeCell ref="A5109:A5119"/>
    <mergeCell ref="B5109:B5119"/>
    <mergeCell ref="A5089:A5094"/>
    <mergeCell ref="B5089:B5094"/>
    <mergeCell ref="A5095:A5101"/>
    <mergeCell ref="B5095:B5101"/>
    <mergeCell ref="A5029:A5034"/>
    <mergeCell ref="B5029:B5034"/>
    <mergeCell ref="A5035:A5040"/>
    <mergeCell ref="B5035:B5040"/>
    <mergeCell ref="A5041:A5048"/>
    <mergeCell ref="B5041:B5048"/>
    <mergeCell ref="A5049:A5055"/>
    <mergeCell ref="B5049:B5055"/>
    <mergeCell ref="A5056:A5062"/>
    <mergeCell ref="B5056:B5062"/>
    <mergeCell ref="A2635:A2638"/>
    <mergeCell ref="B2635:B2638"/>
    <mergeCell ref="A2483:A2486"/>
    <mergeCell ref="B2483:B2486"/>
    <mergeCell ref="A2487:A2490"/>
    <mergeCell ref="B2487:B2490"/>
    <mergeCell ref="A2491:A2494"/>
    <mergeCell ref="B2491:B2494"/>
    <mergeCell ref="A2495:A2498"/>
    <mergeCell ref="B2495:B2498"/>
    <mergeCell ref="A2499:A2502"/>
    <mergeCell ref="B2499:B2502"/>
    <mergeCell ref="A2503:A2506"/>
    <mergeCell ref="B2503:B2506"/>
    <mergeCell ref="A2543:A2546"/>
    <mergeCell ref="B2543:B2546"/>
    <mergeCell ref="A5134:A5141"/>
    <mergeCell ref="B5134:B5141"/>
    <mergeCell ref="A2643:A2646"/>
    <mergeCell ref="B2643:B2646"/>
    <mergeCell ref="A2507:A2510"/>
    <mergeCell ref="B2507:B2510"/>
    <mergeCell ref="A2511:A2514"/>
    <mergeCell ref="B2511:B2514"/>
    <mergeCell ref="A2515:A2518"/>
    <mergeCell ref="B2515:B2518"/>
    <mergeCell ref="A2519:A2522"/>
    <mergeCell ref="B2519:B2522"/>
    <mergeCell ref="A2523:A2526"/>
    <mergeCell ref="B2523:B2526"/>
    <mergeCell ref="A2527:A2530"/>
    <mergeCell ref="B2527:B2530"/>
    <mergeCell ref="A5464:A5469"/>
    <mergeCell ref="B5464:B5469"/>
    <mergeCell ref="A5470:A5475"/>
    <mergeCell ref="B5470:B5475"/>
    <mergeCell ref="A5476:A5481"/>
    <mergeCell ref="B5476:B5481"/>
    <mergeCell ref="A5482:A5485"/>
    <mergeCell ref="B5482:B5485"/>
    <mergeCell ref="A5493:A5496"/>
    <mergeCell ref="B5493:B5496"/>
    <mergeCell ref="A5486:A5492"/>
    <mergeCell ref="B5486:B5492"/>
    <mergeCell ref="A5617:A5620"/>
    <mergeCell ref="B5617:B5620"/>
    <mergeCell ref="A2455:A2458"/>
    <mergeCell ref="B2455:B2458"/>
    <mergeCell ref="A2459:A2462"/>
    <mergeCell ref="B2459:B2462"/>
    <mergeCell ref="A2463:A2466"/>
    <mergeCell ref="B2463:B2466"/>
    <mergeCell ref="A2467:A2470"/>
    <mergeCell ref="B2467:B2470"/>
    <mergeCell ref="A2471:A2474"/>
    <mergeCell ref="B2471:B2474"/>
    <mergeCell ref="A2475:A2478"/>
    <mergeCell ref="B2475:B2478"/>
    <mergeCell ref="A2627:A2630"/>
    <mergeCell ref="B2627:B2630"/>
    <mergeCell ref="A2631:A2634"/>
    <mergeCell ref="B2631:B2634"/>
    <mergeCell ref="A5457:A5463"/>
    <mergeCell ref="B5457:B5463"/>
    <mergeCell ref="A5653:A5656"/>
    <mergeCell ref="B5653:B5656"/>
    <mergeCell ref="A5657:A5660"/>
    <mergeCell ref="B5657:B5660"/>
    <mergeCell ref="A5661:A5664"/>
    <mergeCell ref="B5661:B5664"/>
    <mergeCell ref="A5665:A5668"/>
    <mergeCell ref="B5665:B5668"/>
    <mergeCell ref="A5669:A5672"/>
    <mergeCell ref="B5669:B5672"/>
    <mergeCell ref="A5673:A5676"/>
    <mergeCell ref="B5673:B5676"/>
    <mergeCell ref="A5677:A5680"/>
    <mergeCell ref="B5677:B5680"/>
    <mergeCell ref="A5681:A5684"/>
    <mergeCell ref="B5681:B5684"/>
    <mergeCell ref="A5685:A5688"/>
    <mergeCell ref="B5685:B5688"/>
    <mergeCell ref="A5689:A5692"/>
    <mergeCell ref="B5689:B5692"/>
    <mergeCell ref="A5693:A5696"/>
    <mergeCell ref="B5693:B5696"/>
    <mergeCell ref="A5697:A5700"/>
    <mergeCell ref="B5697:B5700"/>
    <mergeCell ref="A5701:A5704"/>
    <mergeCell ref="B5701:B5704"/>
    <mergeCell ref="A5705:A5708"/>
    <mergeCell ref="B5705:B5708"/>
    <mergeCell ref="A5709:A5712"/>
    <mergeCell ref="B5709:B5712"/>
    <mergeCell ref="A5713:A5716"/>
    <mergeCell ref="B5713:B5716"/>
    <mergeCell ref="A5717:A5720"/>
    <mergeCell ref="B5717:B5720"/>
    <mergeCell ref="A5721:A5724"/>
    <mergeCell ref="B5721:B5724"/>
    <mergeCell ref="A5725:A5728"/>
    <mergeCell ref="B5725:B5728"/>
    <mergeCell ref="A5729:A5732"/>
    <mergeCell ref="B5729:B5732"/>
    <mergeCell ref="A5733:A5736"/>
    <mergeCell ref="B5733:B5736"/>
    <mergeCell ref="A5737:A5740"/>
    <mergeCell ref="B5737:B5740"/>
    <mergeCell ref="A5741:A5744"/>
    <mergeCell ref="B5741:B5744"/>
    <mergeCell ref="A5745:A5748"/>
    <mergeCell ref="B5745:B5748"/>
    <mergeCell ref="A5749:A5752"/>
    <mergeCell ref="B5749:B5752"/>
    <mergeCell ref="A5753:A5756"/>
    <mergeCell ref="B5753:B5756"/>
    <mergeCell ref="A5757:A5760"/>
    <mergeCell ref="B5757:B5760"/>
    <mergeCell ref="A5761:A5764"/>
    <mergeCell ref="B5761:B5764"/>
    <mergeCell ref="A5765:A5768"/>
    <mergeCell ref="B5765:B5768"/>
    <mergeCell ref="A5769:A5772"/>
    <mergeCell ref="B5769:B5772"/>
    <mergeCell ref="A5773:A5776"/>
    <mergeCell ref="B5773:B5776"/>
    <mergeCell ref="A5777:A5780"/>
    <mergeCell ref="B5777:B5780"/>
    <mergeCell ref="A5781:A5784"/>
    <mergeCell ref="B5781:B5784"/>
    <mergeCell ref="A5785:A5788"/>
    <mergeCell ref="B5785:B5788"/>
    <mergeCell ref="A5789:A5792"/>
    <mergeCell ref="B5789:B5792"/>
    <mergeCell ref="A5793:A5796"/>
    <mergeCell ref="B5793:B5796"/>
    <mergeCell ref="A5797:A5800"/>
    <mergeCell ref="B5797:B5800"/>
    <mergeCell ref="A5801:A5804"/>
    <mergeCell ref="B5801:B5804"/>
    <mergeCell ref="A5805:A5808"/>
    <mergeCell ref="B5805:B5808"/>
    <mergeCell ref="A5809:A5812"/>
    <mergeCell ref="B5809:B5812"/>
    <mergeCell ref="A5813:A5816"/>
    <mergeCell ref="B5813:B5816"/>
    <mergeCell ref="A5817:A5820"/>
    <mergeCell ref="B5817:B5820"/>
    <mergeCell ref="A5821:A5824"/>
    <mergeCell ref="B5821:B5824"/>
    <mergeCell ref="A5825:A5828"/>
    <mergeCell ref="B5825:B5828"/>
    <mergeCell ref="A5829:A5832"/>
    <mergeCell ref="B5829:B5832"/>
    <mergeCell ref="A5833:A5836"/>
    <mergeCell ref="B5833:B5836"/>
    <mergeCell ref="A5837:A5840"/>
    <mergeCell ref="B5837:B5840"/>
    <mergeCell ref="A5841:A5844"/>
    <mergeCell ref="B5841:B5844"/>
    <mergeCell ref="A5845:A5848"/>
    <mergeCell ref="B5845:B5848"/>
    <mergeCell ref="A5849:A5852"/>
    <mergeCell ref="B5849:B5852"/>
    <mergeCell ref="A5853:A5856"/>
    <mergeCell ref="B5853:B5856"/>
    <mergeCell ref="A5857:A5860"/>
    <mergeCell ref="B5857:B5860"/>
    <mergeCell ref="A5929:A5932"/>
    <mergeCell ref="B5929:B5932"/>
    <mergeCell ref="A5933:A5936"/>
    <mergeCell ref="B5933:B5936"/>
    <mergeCell ref="A5937:A5940"/>
    <mergeCell ref="B5937:B5940"/>
    <mergeCell ref="A5941:A5944"/>
    <mergeCell ref="B5941:B5944"/>
    <mergeCell ref="A5945:A5948"/>
    <mergeCell ref="B5945:B5948"/>
    <mergeCell ref="A5985:A5988"/>
    <mergeCell ref="B5985:B5988"/>
    <mergeCell ref="A5949:A5952"/>
    <mergeCell ref="B5949:B5952"/>
    <mergeCell ref="A5861:A5864"/>
    <mergeCell ref="B5861:B5864"/>
    <mergeCell ref="A5865:A5868"/>
    <mergeCell ref="B5865:B5868"/>
    <mergeCell ref="A5869:A5872"/>
    <mergeCell ref="B5869:B5872"/>
    <mergeCell ref="A5873:A5876"/>
    <mergeCell ref="B5873:B5876"/>
    <mergeCell ref="A5877:A5880"/>
    <mergeCell ref="B5877:B5880"/>
    <mergeCell ref="A5881:A5884"/>
    <mergeCell ref="B5881:B5884"/>
    <mergeCell ref="A5885:A5888"/>
    <mergeCell ref="B5885:B5888"/>
    <mergeCell ref="A5889:A5892"/>
    <mergeCell ref="B5889:B5892"/>
    <mergeCell ref="A5893:A5896"/>
    <mergeCell ref="B5893:B5896"/>
    <mergeCell ref="A6089:A6092"/>
    <mergeCell ref="B6089:B6092"/>
    <mergeCell ref="A6093:A6096"/>
    <mergeCell ref="B6093:B6096"/>
    <mergeCell ref="A6097:A6100"/>
    <mergeCell ref="B6097:B6100"/>
    <mergeCell ref="A6101:A6104"/>
    <mergeCell ref="B6101:B6104"/>
    <mergeCell ref="A6105:A6108"/>
    <mergeCell ref="B6105:B6108"/>
    <mergeCell ref="A6029:A6032"/>
    <mergeCell ref="B6029:B6032"/>
    <mergeCell ref="A6033:A6036"/>
    <mergeCell ref="B6033:B6036"/>
    <mergeCell ref="A5897:A5900"/>
    <mergeCell ref="B5897:B5900"/>
    <mergeCell ref="A5901:A5904"/>
    <mergeCell ref="B5901:B5904"/>
    <mergeCell ref="A5905:A5908"/>
    <mergeCell ref="B5905:B5908"/>
    <mergeCell ref="A5909:A5912"/>
    <mergeCell ref="B5909:B5912"/>
    <mergeCell ref="A5913:A5916"/>
    <mergeCell ref="B5913:B5916"/>
    <mergeCell ref="A5917:A5920"/>
    <mergeCell ref="B5917:B5920"/>
    <mergeCell ref="A5989:A5992"/>
    <mergeCell ref="B5989:B5992"/>
    <mergeCell ref="A5921:A5924"/>
    <mergeCell ref="B5921:B5924"/>
    <mergeCell ref="A5925:A5928"/>
    <mergeCell ref="B5925:B5928"/>
    <mergeCell ref="A6149:A6152"/>
    <mergeCell ref="B6149:B6152"/>
    <mergeCell ref="A2767:A2770"/>
    <mergeCell ref="B2767:B2770"/>
    <mergeCell ref="B5993:B5996"/>
    <mergeCell ref="B5997:B6000"/>
    <mergeCell ref="A5581:A5586"/>
    <mergeCell ref="B5581:B5586"/>
    <mergeCell ref="A5587:A5592"/>
    <mergeCell ref="B5587:B5592"/>
    <mergeCell ref="A5593:A5598"/>
    <mergeCell ref="B5593:B5598"/>
    <mergeCell ref="A5599:A5604"/>
    <mergeCell ref="B5599:B5604"/>
    <mergeCell ref="A5605:A5610"/>
    <mergeCell ref="B5605:B5610"/>
    <mergeCell ref="A5611:A5616"/>
    <mergeCell ref="B5611:B5616"/>
    <mergeCell ref="A6073:A6076"/>
    <mergeCell ref="B6073:B6076"/>
    <mergeCell ref="A6077:A6080"/>
    <mergeCell ref="B6077:B6080"/>
    <mergeCell ref="A6081:A6084"/>
    <mergeCell ref="B6081:B6084"/>
    <mergeCell ref="A6085:A6088"/>
    <mergeCell ref="B6085:B6088"/>
    <mergeCell ref="A6117:A6120"/>
    <mergeCell ref="B6117:B6120"/>
    <mergeCell ref="A5953:A5956"/>
    <mergeCell ref="B5953:B5956"/>
    <mergeCell ref="A5993:A5996"/>
    <mergeCell ref="A5997:A6000"/>
    <mergeCell ref="A6061:A6064"/>
    <mergeCell ref="B6061:B6064"/>
    <mergeCell ref="A5545:A5550"/>
    <mergeCell ref="B5545:B5550"/>
    <mergeCell ref="A5551:A5556"/>
    <mergeCell ref="B5551:B5556"/>
    <mergeCell ref="A5557:A5562"/>
    <mergeCell ref="B5557:B5562"/>
    <mergeCell ref="A5563:A5568"/>
    <mergeCell ref="B5563:B5568"/>
    <mergeCell ref="A5569:A5574"/>
    <mergeCell ref="B5569:B5574"/>
    <mergeCell ref="A5575:A5580"/>
    <mergeCell ref="B5575:B5580"/>
    <mergeCell ref="A6137:A6144"/>
    <mergeCell ref="B6137:B6144"/>
    <mergeCell ref="A6145:A6148"/>
    <mergeCell ref="B6145:B6148"/>
    <mergeCell ref="A6001:A6004"/>
    <mergeCell ref="B6001:B6004"/>
    <mergeCell ref="A6005:A6008"/>
    <mergeCell ref="B6005:B6008"/>
    <mergeCell ref="A6009:A6012"/>
    <mergeCell ref="B6009:B6012"/>
    <mergeCell ref="A6013:A6016"/>
    <mergeCell ref="B6013:B6016"/>
    <mergeCell ref="A6017:A6020"/>
    <mergeCell ref="B6017:B6020"/>
    <mergeCell ref="A6021:A6024"/>
    <mergeCell ref="B6021:B6024"/>
    <mergeCell ref="A6121:A6124"/>
    <mergeCell ref="B6121:B6124"/>
    <mergeCell ref="A6109:A6112"/>
    <mergeCell ref="B6109:B6112"/>
    <mergeCell ref="A6113:A6116"/>
    <mergeCell ref="B6113:B6116"/>
    <mergeCell ref="A6025:A6028"/>
    <mergeCell ref="B6025:B6028"/>
    <mergeCell ref="A5957:A5960"/>
    <mergeCell ref="B5957:B5960"/>
    <mergeCell ref="A5961:A5964"/>
    <mergeCell ref="B5961:B5964"/>
    <mergeCell ref="A5965:A5968"/>
    <mergeCell ref="B5965:B5968"/>
    <mergeCell ref="A5969:A5972"/>
    <mergeCell ref="B5969:B5972"/>
    <mergeCell ref="A5973:A5976"/>
    <mergeCell ref="B5973:B5976"/>
    <mergeCell ref="A5977:A5980"/>
    <mergeCell ref="B5977:B5980"/>
    <mergeCell ref="A5981:A5984"/>
    <mergeCell ref="B5981:B5984"/>
    <mergeCell ref="A6037:A6040"/>
    <mergeCell ref="B6037:B6040"/>
    <mergeCell ref="A6045:A6048"/>
    <mergeCell ref="B6045:B6048"/>
    <mergeCell ref="A6049:A6052"/>
    <mergeCell ref="B6049:B6052"/>
    <mergeCell ref="A6053:A6056"/>
    <mergeCell ref="B6053:B6056"/>
    <mergeCell ref="A6065:A6068"/>
    <mergeCell ref="B6065:B6068"/>
    <mergeCell ref="A6069:A6072"/>
    <mergeCell ref="B6069:B6072"/>
    <mergeCell ref="A6153:A6156"/>
    <mergeCell ref="B6153:B6156"/>
    <mergeCell ref="A2759:A2762"/>
    <mergeCell ref="B2759:B2762"/>
    <mergeCell ref="A5497:A5502"/>
    <mergeCell ref="B5497:B5502"/>
    <mergeCell ref="A5503:A5508"/>
    <mergeCell ref="B5503:B5508"/>
    <mergeCell ref="A5509:A5514"/>
    <mergeCell ref="B5509:B5514"/>
    <mergeCell ref="A5515:A5520"/>
    <mergeCell ref="B5515:B5520"/>
    <mergeCell ref="A5521:A5526"/>
    <mergeCell ref="B5521:B5526"/>
    <mergeCell ref="A5527:A5532"/>
    <mergeCell ref="B5527:B5532"/>
    <mergeCell ref="A5533:A5538"/>
    <mergeCell ref="B5533:B5538"/>
    <mergeCell ref="A5539:A5544"/>
    <mergeCell ref="B5539:B5544"/>
    <mergeCell ref="A5408:A5415"/>
    <mergeCell ref="B5408:B5415"/>
    <mergeCell ref="A5416:A5422"/>
    <mergeCell ref="B5416:B5422"/>
    <mergeCell ref="A5423:A5432"/>
    <mergeCell ref="B5423:B5432"/>
    <mergeCell ref="A5433:A5444"/>
    <mergeCell ref="B5433:B5444"/>
    <mergeCell ref="A5445:A5450"/>
    <mergeCell ref="B5445:B5450"/>
    <mergeCell ref="A5451:A5456"/>
    <mergeCell ref="B5451:B5456"/>
    <mergeCell ref="A6228:A6233"/>
    <mergeCell ref="B6228:B6233"/>
    <mergeCell ref="A6186:A6190"/>
    <mergeCell ref="B6186:B6190"/>
    <mergeCell ref="A6191:A6195"/>
    <mergeCell ref="B6191:B6195"/>
    <mergeCell ref="A6204:A6211"/>
    <mergeCell ref="B6204:B6211"/>
    <mergeCell ref="A6196:A6203"/>
    <mergeCell ref="B6196:B6203"/>
    <mergeCell ref="A6212:A6220"/>
    <mergeCell ref="B6212:B6220"/>
    <mergeCell ref="A6221:A6227"/>
    <mergeCell ref="B6221:B6227"/>
    <mergeCell ref="A6234:A6240"/>
    <mergeCell ref="B6234:B6240"/>
    <mergeCell ref="A6241:A6246"/>
    <mergeCell ref="B6241:B6246"/>
    <mergeCell ref="A6558:A6561"/>
    <mergeCell ref="B6558:B6561"/>
    <mergeCell ref="A6518:A6521"/>
    <mergeCell ref="B6518:B6521"/>
    <mergeCell ref="A6522:A6525"/>
    <mergeCell ref="B6522:B6525"/>
    <mergeCell ref="A6428:A6432"/>
    <mergeCell ref="B6428:B6432"/>
    <mergeCell ref="A6371:A6385"/>
    <mergeCell ref="B6371:B6385"/>
    <mergeCell ref="A6386:A6392"/>
    <mergeCell ref="B6386:B6392"/>
    <mergeCell ref="A6393:A6398"/>
    <mergeCell ref="B6393:B6398"/>
    <mergeCell ref="A6498:A6501"/>
    <mergeCell ref="B6498:B6501"/>
    <mergeCell ref="A6473:A6479"/>
    <mergeCell ref="B6473:B6479"/>
    <mergeCell ref="A7246:A7250"/>
    <mergeCell ref="B7246:B7250"/>
    <mergeCell ref="A7251:A7255"/>
    <mergeCell ref="B7251:B7255"/>
    <mergeCell ref="A6423:A6427"/>
    <mergeCell ref="B6423:B6427"/>
    <mergeCell ref="A6438:A6444"/>
    <mergeCell ref="B6438:B6444"/>
    <mergeCell ref="A6179:A6185"/>
    <mergeCell ref="B6179:B6185"/>
    <mergeCell ref="A6333:A6342"/>
    <mergeCell ref="B6333:B6342"/>
    <mergeCell ref="A6343:A6351"/>
    <mergeCell ref="B6343:B6351"/>
    <mergeCell ref="A7256:A7259"/>
    <mergeCell ref="B7256:B7259"/>
    <mergeCell ref="A6606:A6609"/>
    <mergeCell ref="B6606:B6609"/>
    <mergeCell ref="A6253:A6261"/>
    <mergeCell ref="B6253:B6261"/>
    <mergeCell ref="A6262:A6272"/>
    <mergeCell ref="B6262:B6272"/>
    <mergeCell ref="A6273:A6280"/>
    <mergeCell ref="B6273:B6280"/>
    <mergeCell ref="A6281:A6288"/>
    <mergeCell ref="B6281:B6288"/>
    <mergeCell ref="A6289:A6297"/>
    <mergeCell ref="B6289:B6297"/>
    <mergeCell ref="A6298:A6308"/>
    <mergeCell ref="B6298:B6308"/>
    <mergeCell ref="A6309:A6332"/>
    <mergeCell ref="B6309:B6332"/>
    <mergeCell ref="A2639:A2642"/>
    <mergeCell ref="B2639:B2642"/>
    <mergeCell ref="A4760:A4763"/>
    <mergeCell ref="B4760:B4763"/>
    <mergeCell ref="A4764:A4767"/>
    <mergeCell ref="B4764:B4767"/>
    <mergeCell ref="A7288:A7291"/>
    <mergeCell ref="B7288:B7291"/>
    <mergeCell ref="A7280:A7283"/>
    <mergeCell ref="B7280:B7283"/>
    <mergeCell ref="A7284:A7287"/>
    <mergeCell ref="B7284:B7287"/>
    <mergeCell ref="A6433:A6437"/>
    <mergeCell ref="B6433:B6437"/>
    <mergeCell ref="A6459:A6465"/>
    <mergeCell ref="B6459:B6465"/>
    <mergeCell ref="A6466:A6472"/>
    <mergeCell ref="B6466:B6472"/>
    <mergeCell ref="A6247:A6252"/>
    <mergeCell ref="B6247:B6252"/>
    <mergeCell ref="A6415:A6418"/>
    <mergeCell ref="B6415:B6418"/>
    <mergeCell ref="A6419:A6422"/>
    <mergeCell ref="B6419:B6422"/>
    <mergeCell ref="A6157:A6167"/>
    <mergeCell ref="B6157:B6167"/>
    <mergeCell ref="A6168:A6178"/>
    <mergeCell ref="B6168:B6178"/>
    <mergeCell ref="A7276:A7279"/>
    <mergeCell ref="B7276:B7279"/>
    <mergeCell ref="A7268:A7271"/>
    <mergeCell ref="B7268:B7271"/>
    <mergeCell ref="A7260:A7263"/>
    <mergeCell ref="B7260:B7263"/>
    <mergeCell ref="A7264:A7267"/>
    <mergeCell ref="B7264:B7267"/>
    <mergeCell ref="A7241:A7245"/>
    <mergeCell ref="B7241:B7245"/>
    <mergeCell ref="A6352:A6356"/>
    <mergeCell ref="B6352:B6356"/>
    <mergeCell ref="A6357:A6370"/>
    <mergeCell ref="B6357:B6370"/>
    <mergeCell ref="A7329:A7336"/>
    <mergeCell ref="B7329:B7336"/>
    <mergeCell ref="A7337:A7344"/>
    <mergeCell ref="B7337:B7344"/>
    <mergeCell ref="A7345:A7350"/>
    <mergeCell ref="B7345:B7350"/>
    <mergeCell ref="A6502:A6505"/>
    <mergeCell ref="B6502:B6505"/>
    <mergeCell ref="A6506:A6509"/>
    <mergeCell ref="B6506:B6509"/>
    <mergeCell ref="A6510:A6513"/>
    <mergeCell ref="B6510:B6513"/>
    <mergeCell ref="A6514:A6517"/>
    <mergeCell ref="B6514:B6517"/>
    <mergeCell ref="A6480:A6486"/>
    <mergeCell ref="B6480:B6486"/>
    <mergeCell ref="A6487:A6493"/>
    <mergeCell ref="B6487:B6493"/>
    <mergeCell ref="A7292:A7295"/>
    <mergeCell ref="B7292:B7295"/>
    <mergeCell ref="A7272:A7275"/>
    <mergeCell ref="B7272:B7275"/>
    <mergeCell ref="A7351:A7355"/>
    <mergeCell ref="B7351:B7355"/>
    <mergeCell ref="A7356:A7360"/>
    <mergeCell ref="B7356:B7360"/>
    <mergeCell ref="A7361:A7367"/>
    <mergeCell ref="B7361:B7367"/>
    <mergeCell ref="A7389:A7395"/>
    <mergeCell ref="B7389:B7395"/>
    <mergeCell ref="A7368:A7374"/>
    <mergeCell ref="B7368:B7374"/>
    <mergeCell ref="A7308:A7311"/>
    <mergeCell ref="B7308:B7311"/>
    <mergeCell ref="A7312:A7315"/>
    <mergeCell ref="B7312:B7315"/>
    <mergeCell ref="A7446:A7452"/>
    <mergeCell ref="B7446:B7452"/>
    <mergeCell ref="A7453:A7459"/>
    <mergeCell ref="B7453:B7459"/>
    <mergeCell ref="A7425:A7432"/>
    <mergeCell ref="B7425:B7432"/>
    <mergeCell ref="A7433:A7438"/>
    <mergeCell ref="B7433:B7438"/>
    <mergeCell ref="A7439:A7445"/>
    <mergeCell ref="B7439:B7445"/>
    <mergeCell ref="A7323:A7328"/>
    <mergeCell ref="B7323:B7328"/>
    <mergeCell ref="A7316:A7322"/>
    <mergeCell ref="B7316:B7322"/>
    <mergeCell ref="A7547:A7550"/>
    <mergeCell ref="B7547:B7550"/>
    <mergeCell ref="A7551:A7554"/>
    <mergeCell ref="B7551:B7554"/>
    <mergeCell ref="A7460:A7466"/>
    <mergeCell ref="B7460:B7466"/>
    <mergeCell ref="A7467:A7474"/>
    <mergeCell ref="B7467:B7474"/>
    <mergeCell ref="A7475:A7482"/>
    <mergeCell ref="B7475:B7482"/>
    <mergeCell ref="A7483:A7490"/>
    <mergeCell ref="B7483:B7490"/>
    <mergeCell ref="A7420:A7424"/>
    <mergeCell ref="B7420:B7424"/>
    <mergeCell ref="A7375:A7382"/>
    <mergeCell ref="B7375:B7382"/>
    <mergeCell ref="A7383:A7388"/>
    <mergeCell ref="B7383:B7388"/>
    <mergeCell ref="A7396:A7401"/>
    <mergeCell ref="B7396:B7401"/>
    <mergeCell ref="A7402:A7407"/>
    <mergeCell ref="B7402:B7407"/>
    <mergeCell ref="A7408:A7413"/>
    <mergeCell ref="B7408:B7413"/>
    <mergeCell ref="A7414:A7419"/>
    <mergeCell ref="B7414:B7419"/>
    <mergeCell ref="A7559:A7562"/>
    <mergeCell ref="B7559:B7562"/>
    <mergeCell ref="A7563:A7566"/>
    <mergeCell ref="B7563:B7566"/>
    <mergeCell ref="A7567:A7570"/>
    <mergeCell ref="B7567:B7570"/>
    <mergeCell ref="A7571:A7574"/>
    <mergeCell ref="B7571:B7574"/>
    <mergeCell ref="A7575:A7578"/>
    <mergeCell ref="B7575:B7578"/>
    <mergeCell ref="A7579:A7582"/>
    <mergeCell ref="B7579:B7582"/>
    <mergeCell ref="A7583:A7586"/>
    <mergeCell ref="B7583:B7586"/>
    <mergeCell ref="A7587:A7590"/>
    <mergeCell ref="B7587:B7590"/>
    <mergeCell ref="A7555:A7558"/>
    <mergeCell ref="B7555:B7558"/>
    <mergeCell ref="A7655:A7658"/>
    <mergeCell ref="B7655:B7658"/>
    <mergeCell ref="A7659:A7662"/>
    <mergeCell ref="B7659:B7662"/>
    <mergeCell ref="A7591:A7594"/>
    <mergeCell ref="B7591:B7594"/>
    <mergeCell ref="A7595:A7598"/>
    <mergeCell ref="B7595:B7598"/>
    <mergeCell ref="A7599:A7602"/>
    <mergeCell ref="B7599:B7602"/>
    <mergeCell ref="A7603:A7606"/>
    <mergeCell ref="B7603:B7606"/>
    <mergeCell ref="A7607:A7610"/>
    <mergeCell ref="B7607:B7610"/>
    <mergeCell ref="A7611:A7614"/>
    <mergeCell ref="B7611:B7614"/>
    <mergeCell ref="A7615:A7618"/>
    <mergeCell ref="B7615:B7618"/>
    <mergeCell ref="A7619:A7622"/>
    <mergeCell ref="B7619:B7622"/>
    <mergeCell ref="A7623:A7626"/>
    <mergeCell ref="B7623:B7626"/>
    <mergeCell ref="A7663:A7666"/>
    <mergeCell ref="B7663:B7666"/>
    <mergeCell ref="A7667:A7670"/>
    <mergeCell ref="B7667:B7670"/>
    <mergeCell ref="A7491:A7499"/>
    <mergeCell ref="B7491:B7499"/>
    <mergeCell ref="A7500:A7505"/>
    <mergeCell ref="B7500:B7505"/>
    <mergeCell ref="A7506:A7511"/>
    <mergeCell ref="B7506:B7511"/>
    <mergeCell ref="A7540:A7546"/>
    <mergeCell ref="B7540:B7546"/>
    <mergeCell ref="A7512:A7525"/>
    <mergeCell ref="B7512:B7525"/>
    <mergeCell ref="A7526:A7539"/>
    <mergeCell ref="B7526:B7539"/>
    <mergeCell ref="A7671:A7674"/>
    <mergeCell ref="B7671:B7674"/>
    <mergeCell ref="A7627:A7630"/>
    <mergeCell ref="B7627:B7630"/>
    <mergeCell ref="A7631:A7634"/>
    <mergeCell ref="B7631:B7634"/>
    <mergeCell ref="A7635:A7638"/>
    <mergeCell ref="B7635:B7638"/>
    <mergeCell ref="A7639:A7642"/>
    <mergeCell ref="B7639:B7642"/>
    <mergeCell ref="A7643:A7646"/>
    <mergeCell ref="B7643:B7646"/>
    <mergeCell ref="A7647:A7650"/>
    <mergeCell ref="B7647:B7650"/>
    <mergeCell ref="A7651:A7654"/>
    <mergeCell ref="B7651:B7654"/>
    <mergeCell ref="A7675:A7678"/>
    <mergeCell ref="B7675:B7678"/>
    <mergeCell ref="A7679:A7682"/>
    <mergeCell ref="B7679:B7682"/>
    <mergeCell ref="A7683:A7686"/>
    <mergeCell ref="B7683:B7686"/>
    <mergeCell ref="A7687:A7690"/>
    <mergeCell ref="B7687:B7690"/>
    <mergeCell ref="A7691:A7694"/>
    <mergeCell ref="B7691:B7694"/>
    <mergeCell ref="A7695:A7698"/>
    <mergeCell ref="B7695:B7698"/>
    <mergeCell ref="A7699:A7702"/>
    <mergeCell ref="B7699:B7702"/>
    <mergeCell ref="A7703:A7706"/>
    <mergeCell ref="B7703:B7706"/>
    <mergeCell ref="A7707:A7710"/>
    <mergeCell ref="B7707:B7710"/>
    <mergeCell ref="A7711:A7714"/>
    <mergeCell ref="B7711:B7714"/>
    <mergeCell ref="A7715:A7718"/>
    <mergeCell ref="B7715:B7718"/>
    <mergeCell ref="A7719:A7722"/>
    <mergeCell ref="B7719:B7722"/>
    <mergeCell ref="A7723:A7726"/>
    <mergeCell ref="B7723:B7726"/>
    <mergeCell ref="A7727:A7730"/>
    <mergeCell ref="B7727:B7730"/>
    <mergeCell ref="A7731:A7734"/>
    <mergeCell ref="B7731:B7734"/>
    <mergeCell ref="A7735:A7738"/>
    <mergeCell ref="B7735:B7738"/>
    <mergeCell ref="A7739:A7742"/>
    <mergeCell ref="B7739:B7742"/>
    <mergeCell ref="A7743:A7746"/>
    <mergeCell ref="B7743:B7746"/>
    <mergeCell ref="A7747:A7750"/>
    <mergeCell ref="B7747:B7750"/>
    <mergeCell ref="A7751:A7754"/>
    <mergeCell ref="B7751:B7754"/>
    <mergeCell ref="A7755:A7758"/>
    <mergeCell ref="B7755:B7758"/>
    <mergeCell ref="A7759:A7762"/>
    <mergeCell ref="B7759:B7762"/>
    <mergeCell ref="A7763:A7766"/>
    <mergeCell ref="B7763:B7766"/>
    <mergeCell ref="A7767:A7770"/>
    <mergeCell ref="B7767:B7770"/>
    <mergeCell ref="A7771:A7774"/>
    <mergeCell ref="B7771:B7774"/>
    <mergeCell ref="A7775:A7778"/>
    <mergeCell ref="B7775:B7778"/>
    <mergeCell ref="A7779:A7782"/>
    <mergeCell ref="B7779:B7782"/>
    <mergeCell ref="A7819:A7822"/>
    <mergeCell ref="B7819:B7822"/>
    <mergeCell ref="A7783:A7786"/>
    <mergeCell ref="B7783:B7786"/>
    <mergeCell ref="A7787:A7790"/>
    <mergeCell ref="B7787:B7790"/>
    <mergeCell ref="A7791:A7794"/>
    <mergeCell ref="B7791:B7794"/>
    <mergeCell ref="A7795:A7798"/>
    <mergeCell ref="B7795:B7798"/>
    <mergeCell ref="A7799:A7802"/>
    <mergeCell ref="B7799:B7802"/>
    <mergeCell ref="A7803:A7806"/>
    <mergeCell ref="B7803:B7806"/>
    <mergeCell ref="A7807:A7810"/>
    <mergeCell ref="B7807:B7810"/>
    <mergeCell ref="A7811:A7814"/>
    <mergeCell ref="B7811:B7814"/>
    <mergeCell ref="A7815:A7818"/>
    <mergeCell ref="B7815:B7818"/>
    <mergeCell ref="A7823:A7826"/>
    <mergeCell ref="B7823:B7826"/>
    <mergeCell ref="A7827:A7830"/>
    <mergeCell ref="B7827:B7830"/>
    <mergeCell ref="A7831:A7834"/>
    <mergeCell ref="B7831:B7834"/>
    <mergeCell ref="A7835:A7838"/>
    <mergeCell ref="B7835:B7838"/>
    <mergeCell ref="A7839:A7842"/>
    <mergeCell ref="B7839:B7842"/>
    <mergeCell ref="A7843:A7846"/>
    <mergeCell ref="B7843:B7846"/>
    <mergeCell ref="A7847:A7850"/>
    <mergeCell ref="B7847:B7850"/>
    <mergeCell ref="A7851:A7854"/>
    <mergeCell ref="B7851:B7854"/>
    <mergeCell ref="A7855:A7858"/>
    <mergeCell ref="B7855:B7858"/>
    <mergeCell ref="A7859:A7862"/>
    <mergeCell ref="B7859:B7862"/>
    <mergeCell ref="A7863:A7866"/>
    <mergeCell ref="B7863:B7866"/>
    <mergeCell ref="A7867:A7870"/>
    <mergeCell ref="B7867:B7870"/>
    <mergeCell ref="A7871:A7874"/>
    <mergeCell ref="B7871:B7874"/>
    <mergeCell ref="A7875:A7878"/>
    <mergeCell ref="B7875:B7878"/>
    <mergeCell ref="A7879:A7882"/>
    <mergeCell ref="B7879:B7882"/>
    <mergeCell ref="A7883:A7886"/>
    <mergeCell ref="B7883:B7886"/>
    <mergeCell ref="A7887:A7890"/>
    <mergeCell ref="B7887:B7890"/>
    <mergeCell ref="A7891:A7894"/>
    <mergeCell ref="B7891:B7894"/>
    <mergeCell ref="A7895:A7898"/>
    <mergeCell ref="B7895:B7898"/>
    <mergeCell ref="A7899:A7902"/>
    <mergeCell ref="B7899:B7902"/>
    <mergeCell ref="A7903:A7906"/>
    <mergeCell ref="B7903:B7906"/>
    <mergeCell ref="A7907:A7910"/>
    <mergeCell ref="B7907:B7910"/>
    <mergeCell ref="A7911:A7914"/>
    <mergeCell ref="B7911:B7914"/>
    <mergeCell ref="A7915:A7918"/>
    <mergeCell ref="B7915:B7918"/>
    <mergeCell ref="A7919:A7922"/>
    <mergeCell ref="B7919:B7922"/>
    <mergeCell ref="A7923:A7926"/>
    <mergeCell ref="B7923:B7926"/>
    <mergeCell ref="A7927:A7930"/>
    <mergeCell ref="B7927:B7930"/>
    <mergeCell ref="A7931:A7934"/>
    <mergeCell ref="B7931:B7934"/>
    <mergeCell ref="A7935:A7938"/>
    <mergeCell ref="B7935:B7938"/>
    <mergeCell ref="A7939:A7942"/>
    <mergeCell ref="B7939:B7942"/>
    <mergeCell ref="A7943:A7946"/>
    <mergeCell ref="B7943:B7946"/>
    <mergeCell ref="A7947:A7950"/>
    <mergeCell ref="B7947:B7950"/>
    <mergeCell ref="A7951:A7954"/>
    <mergeCell ref="B7951:B7954"/>
    <mergeCell ref="A7955:A7958"/>
    <mergeCell ref="B7955:B7958"/>
    <mergeCell ref="A7959:A7962"/>
    <mergeCell ref="B7959:B7962"/>
    <mergeCell ref="A7963:A7966"/>
    <mergeCell ref="B7963:B7966"/>
    <mergeCell ref="A8035:A8038"/>
    <mergeCell ref="B8035:B8038"/>
    <mergeCell ref="A7967:A7970"/>
    <mergeCell ref="B7967:B7970"/>
    <mergeCell ref="A7971:A7974"/>
    <mergeCell ref="B7971:B7974"/>
    <mergeCell ref="A7975:A7978"/>
    <mergeCell ref="B7975:B7978"/>
    <mergeCell ref="A7979:A7982"/>
    <mergeCell ref="B7979:B7982"/>
    <mergeCell ref="A7983:A7986"/>
    <mergeCell ref="B7983:B7986"/>
    <mergeCell ref="A7987:A7990"/>
    <mergeCell ref="B7987:B7990"/>
    <mergeCell ref="A7991:A7994"/>
    <mergeCell ref="B7991:B7994"/>
    <mergeCell ref="A7995:A7998"/>
    <mergeCell ref="B7995:B7998"/>
    <mergeCell ref="A7999:A8002"/>
    <mergeCell ref="B7999:B8002"/>
    <mergeCell ref="A8039:A8042"/>
    <mergeCell ref="B8039:B8042"/>
    <mergeCell ref="A8043:A8046"/>
    <mergeCell ref="B8043:B8046"/>
    <mergeCell ref="A8047:A8050"/>
    <mergeCell ref="B8047:B8050"/>
    <mergeCell ref="A8051:A8054"/>
    <mergeCell ref="B8051:B8054"/>
    <mergeCell ref="A8055:A8058"/>
    <mergeCell ref="B8055:B8058"/>
    <mergeCell ref="A8059:A8062"/>
    <mergeCell ref="B8059:B8062"/>
    <mergeCell ref="A8063:A8066"/>
    <mergeCell ref="B8063:B8066"/>
    <mergeCell ref="A8067:A8070"/>
    <mergeCell ref="B8067:B8070"/>
    <mergeCell ref="A8003:A8006"/>
    <mergeCell ref="B8003:B8006"/>
    <mergeCell ref="A8007:A8010"/>
    <mergeCell ref="B8007:B8010"/>
    <mergeCell ref="A8011:A8014"/>
    <mergeCell ref="B8011:B8014"/>
    <mergeCell ref="A8015:A8018"/>
    <mergeCell ref="B8015:B8018"/>
    <mergeCell ref="A8019:A8022"/>
    <mergeCell ref="B8019:B8022"/>
    <mergeCell ref="A8023:A8026"/>
    <mergeCell ref="B8023:B8026"/>
    <mergeCell ref="A8027:A8030"/>
    <mergeCell ref="B8027:B8030"/>
    <mergeCell ref="A8031:A8034"/>
    <mergeCell ref="B8031:B8034"/>
    <mergeCell ref="A8091:A8094"/>
    <mergeCell ref="B8091:B8094"/>
    <mergeCell ref="A8095:A8098"/>
    <mergeCell ref="B8095:B8098"/>
    <mergeCell ref="A8099:A8102"/>
    <mergeCell ref="B8099:B8102"/>
    <mergeCell ref="A8103:A8106"/>
    <mergeCell ref="B8103:B8106"/>
    <mergeCell ref="A8107:A8110"/>
    <mergeCell ref="B8107:B8110"/>
    <mergeCell ref="A8071:A8074"/>
    <mergeCell ref="B8071:B8074"/>
    <mergeCell ref="A8075:A8078"/>
    <mergeCell ref="B8075:B8078"/>
    <mergeCell ref="A8079:A8082"/>
    <mergeCell ref="B8079:B8082"/>
    <mergeCell ref="A8083:A8086"/>
    <mergeCell ref="B8083:B8086"/>
    <mergeCell ref="A8087:A8090"/>
    <mergeCell ref="B8087:B8090"/>
    <mergeCell ref="A8131:A8134"/>
    <mergeCell ref="B8131:B8134"/>
    <mergeCell ref="A8135:A8138"/>
    <mergeCell ref="B8135:B8138"/>
    <mergeCell ref="A8139:A8142"/>
    <mergeCell ref="B8139:B8142"/>
    <mergeCell ref="A8143:A8146"/>
    <mergeCell ref="B8143:B8146"/>
    <mergeCell ref="A8147:A8150"/>
    <mergeCell ref="B8147:B8150"/>
    <mergeCell ref="A8111:A8114"/>
    <mergeCell ref="B8111:B8114"/>
    <mergeCell ref="A8115:A8118"/>
    <mergeCell ref="B8115:B8118"/>
    <mergeCell ref="A8119:A8122"/>
    <mergeCell ref="B8119:B8122"/>
    <mergeCell ref="A8123:A8126"/>
    <mergeCell ref="B8123:B8126"/>
    <mergeCell ref="A8127:A8130"/>
    <mergeCell ref="B8127:B8130"/>
    <mergeCell ref="A8220:A8224"/>
    <mergeCell ref="B8220:B8224"/>
    <mergeCell ref="A8231:A8237"/>
    <mergeCell ref="B8231:B8237"/>
    <mergeCell ref="A8215:A8219"/>
    <mergeCell ref="B8215:B8219"/>
    <mergeCell ref="A8179:A8188"/>
    <mergeCell ref="B8179:B8188"/>
    <mergeCell ref="A8189:A8198"/>
    <mergeCell ref="B8189:B8198"/>
    <mergeCell ref="A8211:A8214"/>
    <mergeCell ref="B8211:B8214"/>
    <mergeCell ref="A8199:A8210"/>
    <mergeCell ref="B8199:B8210"/>
    <mergeCell ref="A8151:A8154"/>
    <mergeCell ref="B8151:B8154"/>
    <mergeCell ref="A8155:A8158"/>
    <mergeCell ref="B8155:B8158"/>
    <mergeCell ref="A8159:A8162"/>
    <mergeCell ref="B8159:B8162"/>
    <mergeCell ref="A8163:A8166"/>
    <mergeCell ref="B8163:B8166"/>
    <mergeCell ref="A8167:A8170"/>
    <mergeCell ref="B8167:B8170"/>
    <mergeCell ref="A8171:A8174"/>
    <mergeCell ref="B8171:B8174"/>
    <mergeCell ref="A8175:A8178"/>
    <mergeCell ref="B8175:B8178"/>
    <mergeCell ref="A8225:A8230"/>
    <mergeCell ref="B8225:B8230"/>
  </mergeCells>
  <conditionalFormatting sqref="D3383 D263 D2406 D2245:E2245 E4897 D5010 D5024 D5276 D862:E862 E879">
    <cfRule type="containsText" dxfId="2668" priority="7644" operator="containsText" text="Pesquisa de Preços">
      <formula>NOT(ISERROR(SEARCH("Pesquisa de Preços",D263)))</formula>
    </cfRule>
  </conditionalFormatting>
  <conditionalFormatting sqref="D9">
    <cfRule type="containsText" dxfId="2667" priority="7643" operator="containsText" text="Pesquisa de Preços">
      <formula>NOT(ISERROR(SEARCH("Pesquisa de Preços",D9)))</formula>
    </cfRule>
  </conditionalFormatting>
  <conditionalFormatting sqref="D7">
    <cfRule type="containsText" dxfId="2666" priority="7642" operator="containsText" text="Pesquisa de Preços">
      <formula>NOT(ISERROR(SEARCH("Pesquisa de Preços",D7)))</formula>
    </cfRule>
  </conditionalFormatting>
  <conditionalFormatting sqref="D6 D10 D14 D18 D23 D28 D33 D38 D43 D48 D53 D60 D65 D70 D78 D83 D88 D93 D98 D103 D107 D112 D117 D122 D127 D132 D136 D140 D145 D150 D155 D162 D167 D172 D176 D180 D184 D191 D198 D202 D206 D211 D215 D220 D225 D229 D233 D237 D241 D249 D264 D269 D277 D284 D291 D306 D321 D327 D342 D352 D366 D372 D381 D395 D402 D416 D423 D435 D441 D447 D455 D465 D472 D484 D490 D498 D505 D512 D518 D525 D532 D538 D546 D554 D562 D570 D580 D589 D597 D607 D616 D622 D630 D638 D645 D649 D653 D657 D661 D665 D669 D677 D687 D697 D705 D715 D724 D731 D737 D745 D749 D756 D767 D773 D784 D791 D805 D815 D819 D824 D828 D833 D840 D846 D851 D857 D863 D868 D876 D884 D892 D897 D904 D908 D914 D923 D930 D939 D948 D954 D960 D967 D974 D981 D992 D1003 D1008 D1013 D1022 D1027 D1037 D1046 D1053 D1060 D1067 D1074 D1083 D1091 D1099 D1109 D1117 D1122 D1127 D1133 D1138 D1145 D1152 D1159 D1166 D1173 D1180 D1187 D1194 D1201 D1208 D1215 D1222 D1228 D1234 D1246 D1253 D1260 D1267 D1273 D1280 D1287 D1294 D1301 D1309 D1318 D1324 D1330 D1336 D1342 D1349 D1355 D1362 D1368 D1374 D1381 D1387 D1393 D1399 D1406 D1421 D1436 D1451 D1466 D1481 D1496 D1511 D1517 D1523 D1529 D1535 D1541 D1548 D1555 D1562 D1569 D1584 D1590 D1596 D1602 D1609 D1614 D1620 D1626 D1631 D1637 D1643 D1649 D1655 D1660 D1665 D1670 D1676 D1683 D1690 D1696 D1704 D1715 D1726 D1737 D1748 D1755 D1762 D1769 D1776 D1783 D1790 D1797 D1804 D1809 D1814 D1820 D1826 D1833 D1839 D1845 D1851 D1857 D1863 D1869 D1875 D1881 D1887 D1893 D1899 D1905 D1910 D1915 D1920 D1926 D1931 D1936 D1943 D1949 D1955 D1962 D1969 D1977 D1985 D1992 D1999 D2006 D2013 D2019 D2027 D2035 D2043 D2051 D2059 D2067 D2075 D2083 D2091 D2099 D2107 D2113 D2119 D2125 D2131 D2137 D2145 D2153 D2161 D2169 D2177 D2185 D2193 D2201 D2206 D2213 D2220 D2226 D2232 D2246 D2252 D2262 D2272 D2282 D2292 D2302 D2309 D2316 D2322 D2328 D2334 D2340 D2345 D2350 D2355 D2361 D2369 D2376 D2382 D2389 D2403 D2431 D2551 D2555 D2559 D2563 D2567 D2571 D2579 D2587 D2595 D2599 D2603 D2607 D2611 D2615 D2619 D2623 D2627 D2631 D2635 D2647 D2655 D2661 D2667 D2673 D2679 D2685 D2691 D2697 D2703 D2709 D2771 D2776 D2786 D2802 D2812 D2817 D2822 D2827 D2834 D2839 D2844 D2849 D2854 D2859 D2864 D2869 D2874 D2881 D2886 D2891 D2896 D2904 D2912 D2920 D2928 D2936 D2941 D2946 D2951 D2956 D2961 D2966 D2971 D2976 D2981 D2986 D2996 D3001 D3006 D3011 D3016 D3021 D3026 D3031 D3036 D3041 D3049 D3054 D3062 D3066 D3074 D3079 D3087 D3092 D3097 D3102 D3107 D3112 D3117 D3122 D3127 D3132 D3138 D3144 D3150 D3156 D3161 D3167 D3172 D3181 D3189 D3197 D3202 D3206 D3213 D3226 D3232 D3238 D3244 D3254 D3259 D3266 D3273 D3280 D3287 D3294 D3301 D3308 D3315 D3322 D3329 D3335 D3341 D3350 D3355 D3362 D3369 D3376 D3380 D3384 D3389 D3393 D3397 D3404 D3411 D3418 D3423 D3428 D3433 D3437 D3441 D3451 D3473 D3481 D3498 D3506 D3523 D3542 D3549 D3565 D3571 D3577 D3585 D3592 D3597 D3605 D3611 D3618 D3624 D3634 D3639 D3644 D3652 D3656 D3662 D3677 D3685 D3697 D3710 D3721 D3725 D3735 D3740 D3749 D3756 D3760 D3764 D3822 D3828 D3833 D3844 D3854 D3863 D3871 D3883 D3898 D3905 D3923 D3929 D3935 D3941 D3948 D3957 D3965 D3975 D3982 D3990 D4003 D4016 D4021 D4025 D4029 D4038 D4047 D4056 D4065 D4074 D4083 D4089 D4095 D4102 D4108 D4112 D4119 D4127 D4135 D4143 D4147 D4155 D4166 D4177 D4181 D4188 D4195 D4201 D4207 D4213 D4223 D4229 D4237 D4245 D4254 D4261 D4266 D4274 D4283 D4299 D4326 D4333 D4344 D4353 D4362 D4371 D4380 D4390 D4398 D4406 D4416 D4426 D4436 D4444 D4456 D4468 D4474 D4494 D4502 D4510 D4516 D4521 D4526 D4534 D4542 D4547 D4553 D4565 D4577 D4596 D4604 D4613 D4621 D4627 D4639 D4647 D4653 D4661 D4669 D4679 D4685 D4693 D4702 D4718 D4724 D4768 D4779">
    <cfRule type="containsText" dxfId="2665" priority="7641" operator="containsText" text="Pesquisa de Preços">
      <formula>NOT(ISERROR(SEARCH("Pesquisa de Preços",D6)))</formula>
    </cfRule>
  </conditionalFormatting>
  <conditionalFormatting sqref="D8">
    <cfRule type="containsText" dxfId="2664" priority="7640" operator="containsText" text="Pesquisa de Preços">
      <formula>NOT(ISERROR(SEARCH("Pesquisa de Preços",D8)))</formula>
    </cfRule>
  </conditionalFormatting>
  <conditionalFormatting sqref="D15">
    <cfRule type="containsText" dxfId="2663" priority="7639" operator="containsText" text="Pesquisa de Preços">
      <formula>NOT(ISERROR(SEARCH("Pesquisa de Preços",D15)))</formula>
    </cfRule>
  </conditionalFormatting>
  <conditionalFormatting sqref="D13">
    <cfRule type="containsText" dxfId="2662" priority="7636" operator="containsText" text="Pesquisa de Preços">
      <formula>NOT(ISERROR(SEARCH("Pesquisa de Preços",D13)))</formula>
    </cfRule>
  </conditionalFormatting>
  <conditionalFormatting sqref="D11">
    <cfRule type="containsText" dxfId="2661" priority="7635" operator="containsText" text="Pesquisa de Preços">
      <formula>NOT(ISERROR(SEARCH("Pesquisa de Preços",D11)))</formula>
    </cfRule>
  </conditionalFormatting>
  <conditionalFormatting sqref="D226">
    <cfRule type="containsText" dxfId="2660" priority="7633" operator="containsText" text="Pesquisa de Preços">
      <formula>NOT(ISERROR(SEARCH("Pesquisa de Preços",D226)))</formula>
    </cfRule>
  </conditionalFormatting>
  <conditionalFormatting sqref="D228">
    <cfRule type="containsText" dxfId="2659" priority="7634" operator="containsText" text="Pesquisa de Preços">
      <formula>NOT(ISERROR(SEARCH("Pesquisa de Preços",D228)))</formula>
    </cfRule>
  </conditionalFormatting>
  <conditionalFormatting sqref="D151">
    <cfRule type="containsText" dxfId="2658" priority="7629" operator="containsText" text="Pesquisa de Preços">
      <formula>NOT(ISERROR(SEARCH("Pesquisa de Preços",D151)))</formula>
    </cfRule>
  </conditionalFormatting>
  <conditionalFormatting sqref="D491 D494:D497">
    <cfRule type="containsText" dxfId="2657" priority="7536" operator="containsText" text="Pesquisa de Preços">
      <formula>NOT(ISERROR(SEARCH("Pesquisa de Preços",D491)))</formula>
    </cfRule>
  </conditionalFormatting>
  <conditionalFormatting sqref="D79">
    <cfRule type="containsText" dxfId="2656" priority="7630" operator="containsText" text="Pesquisa de Preços">
      <formula>NOT(ISERROR(SEARCH("Pesquisa de Preços",D79)))</formula>
    </cfRule>
  </conditionalFormatting>
  <conditionalFormatting sqref="D163">
    <cfRule type="containsText" dxfId="2655" priority="7628" operator="containsText" text="Pesquisa de Preços">
      <formula>NOT(ISERROR(SEARCH("Pesquisa de Preços",D163)))</formula>
    </cfRule>
  </conditionalFormatting>
  <conditionalFormatting sqref="D82">
    <cfRule type="containsText" dxfId="2654" priority="7631" operator="containsText" text="Pesquisa de Preços">
      <formula>NOT(ISERROR(SEARCH("Pesquisa de Preços",D82)))</formula>
    </cfRule>
  </conditionalFormatting>
  <conditionalFormatting sqref="D89">
    <cfRule type="containsText" dxfId="2653" priority="7627" operator="containsText" text="Pesquisa de Preços">
      <formula>NOT(ISERROR(SEARCH("Pesquisa de Preços",D89)))</formula>
    </cfRule>
  </conditionalFormatting>
  <conditionalFormatting sqref="D61">
    <cfRule type="containsText" dxfId="2652" priority="7626" operator="containsText" text="Pesquisa de Preços">
      <formula>NOT(ISERROR(SEARCH("Pesquisa de Preços",D61)))</formula>
    </cfRule>
  </conditionalFormatting>
  <conditionalFormatting sqref="D54">
    <cfRule type="containsText" dxfId="2651" priority="7625" operator="containsText" text="Pesquisa de Preços">
      <formula>NOT(ISERROR(SEARCH("Pesquisa de Preços",D54)))</formula>
    </cfRule>
  </conditionalFormatting>
  <conditionalFormatting sqref="D34">
    <cfRule type="containsText" dxfId="2650" priority="7624" operator="containsText" text="Pesquisa de Preços">
      <formula>NOT(ISERROR(SEARCH("Pesquisa de Preços",D34)))</formula>
    </cfRule>
  </conditionalFormatting>
  <conditionalFormatting sqref="D99">
    <cfRule type="containsText" dxfId="2649" priority="7622" operator="containsText" text="Pesquisa de Preços">
      <formula>NOT(ISERROR(SEARCH("Pesquisa de Preços",D99)))</formula>
    </cfRule>
  </conditionalFormatting>
  <conditionalFormatting sqref="D29">
    <cfRule type="containsText" dxfId="2648" priority="7623" operator="containsText" text="Pesquisa de Preços">
      <formula>NOT(ISERROR(SEARCH("Pesquisa de Preços",D29)))</formula>
    </cfRule>
  </conditionalFormatting>
  <conditionalFormatting sqref="D146">
    <cfRule type="containsText" dxfId="2647" priority="7620" operator="containsText" text="Pesquisa de Preços">
      <formula>NOT(ISERROR(SEARCH("Pesquisa de Preços",D146)))</formula>
    </cfRule>
  </conditionalFormatting>
  <conditionalFormatting sqref="D181">
    <cfRule type="containsText" dxfId="2646" priority="7615" operator="containsText" text="Pesquisa de Preços">
      <formula>NOT(ISERROR(SEARCH("Pesquisa de Preços",D181)))</formula>
    </cfRule>
  </conditionalFormatting>
  <conditionalFormatting sqref="D24">
    <cfRule type="containsText" dxfId="2645" priority="7617" operator="containsText" text="Pesquisa de Preços">
      <formula>NOT(ISERROR(SEARCH("Pesquisa de Preços",D24)))</formula>
    </cfRule>
  </conditionalFormatting>
  <conditionalFormatting sqref="D44">
    <cfRule type="containsText" dxfId="2644" priority="7618" operator="containsText" text="Pesquisa de Preços">
      <formula>NOT(ISERROR(SEARCH("Pesquisa de Preços",D44)))</formula>
    </cfRule>
  </conditionalFormatting>
  <conditionalFormatting sqref="D118">
    <cfRule type="containsText" dxfId="2643" priority="7614" operator="containsText" text="Pesquisa de Preços">
      <formula>NOT(ISERROR(SEARCH("Pesquisa de Preços",D118)))</formula>
    </cfRule>
  </conditionalFormatting>
  <conditionalFormatting sqref="D39">
    <cfRule type="containsText" dxfId="2642" priority="7616" operator="containsText" text="Pesquisa de Preços">
      <formula>NOT(ISERROR(SEARCH("Pesquisa de Preços",D39)))</formula>
    </cfRule>
  </conditionalFormatting>
  <conditionalFormatting sqref="D678">
    <cfRule type="containsText" dxfId="2641" priority="7520" operator="containsText" text="Pesquisa de Preços">
      <formula>NOT(ISERROR(SEARCH("Pesquisa de Preços",D678)))</formula>
    </cfRule>
  </conditionalFormatting>
  <conditionalFormatting sqref="D670">
    <cfRule type="containsText" dxfId="2640" priority="7519" operator="containsText" text="Pesquisa de Preços">
      <formula>NOT(ISERROR(SEARCH("Pesquisa de Preços",D670)))</formula>
    </cfRule>
  </conditionalFormatting>
  <conditionalFormatting sqref="D177">
    <cfRule type="containsText" dxfId="2639" priority="7613" operator="containsText" text="Pesquisa de Preços">
      <formula>NOT(ISERROR(SEARCH("Pesquisa de Preços",D177)))</formula>
    </cfRule>
  </conditionalFormatting>
  <conditionalFormatting sqref="D221">
    <cfRule type="containsText" dxfId="2638" priority="7612" operator="containsText" text="Pesquisa de Preços">
      <formula>NOT(ISERROR(SEARCH("Pesquisa de Preços",D221)))</formula>
    </cfRule>
  </conditionalFormatting>
  <conditionalFormatting sqref="D688 D696">
    <cfRule type="containsText" dxfId="2637" priority="7518" operator="containsText" text="Pesquisa de Preços">
      <formula>NOT(ISERROR(SEARCH("Pesquisa de Preços",D688)))</formula>
    </cfRule>
  </conditionalFormatting>
  <conditionalFormatting sqref="D128">
    <cfRule type="containsText" dxfId="2636" priority="7610" operator="containsText" text="Pesquisa de Preços">
      <formula>NOT(ISERROR(SEARCH("Pesquisa de Preços",D128)))</formula>
    </cfRule>
  </conditionalFormatting>
  <conditionalFormatting sqref="D716">
    <cfRule type="containsText" dxfId="2635" priority="7516" operator="containsText" text="Pesquisa de Preços">
      <formula>NOT(ISERROR(SEARCH("Pesquisa de Preços",D716)))</formula>
    </cfRule>
  </conditionalFormatting>
  <conditionalFormatting sqref="D168">
    <cfRule type="containsText" dxfId="2634" priority="7609" operator="containsText" text="Pesquisa de Preços">
      <formula>NOT(ISERROR(SEARCH("Pesquisa de Preços",D168)))</formula>
    </cfRule>
  </conditionalFormatting>
  <conditionalFormatting sqref="D732">
    <cfRule type="containsText" dxfId="2633" priority="7515" operator="containsText" text="Pesquisa de Preços">
      <formula>NOT(ISERROR(SEARCH("Pesquisa de Preços",D732)))</formula>
    </cfRule>
  </conditionalFormatting>
  <conditionalFormatting sqref="D84">
    <cfRule type="containsText" dxfId="2632" priority="7607" operator="containsText" text="Pesquisa de Preços">
      <formula>NOT(ISERROR(SEARCH("Pesquisa de Preços",D84)))</formula>
    </cfRule>
  </conditionalFormatting>
  <conditionalFormatting sqref="D113">
    <cfRule type="containsText" dxfId="2631" priority="7606" operator="containsText" text="Pesquisa de Preços">
      <formula>NOT(ISERROR(SEARCH("Pesquisa de Preços",D113)))</formula>
    </cfRule>
  </conditionalFormatting>
  <conditionalFormatting sqref="D212">
    <cfRule type="containsText" dxfId="2630" priority="7605" operator="containsText" text="Pesquisa de Preços">
      <formula>NOT(ISERROR(SEARCH("Pesquisa de Preços",D212)))</formula>
    </cfRule>
  </conditionalFormatting>
  <conditionalFormatting sqref="D203">
    <cfRule type="containsText" dxfId="2629" priority="7604" operator="containsText" text="Pesquisa de Preços">
      <formula>NOT(ISERROR(SEARCH("Pesquisa de Preços",D203)))</formula>
    </cfRule>
  </conditionalFormatting>
  <conditionalFormatting sqref="D199">
    <cfRule type="containsText" dxfId="2628" priority="7602" operator="containsText" text="Pesquisa de Preços">
      <formula>NOT(ISERROR(SEARCH("Pesquisa de Preços",D199)))</formula>
    </cfRule>
  </conditionalFormatting>
  <conditionalFormatting sqref="D205">
    <cfRule type="containsText" dxfId="2627" priority="7603" operator="containsText" text="Pesquisa de Preços">
      <formula>NOT(ISERROR(SEARCH("Pesquisa de Preços",D205)))</formula>
    </cfRule>
  </conditionalFormatting>
  <conditionalFormatting sqref="D71 D77">
    <cfRule type="containsText" dxfId="2626" priority="7601" operator="containsText" text="Pesquisa de Preços">
      <formula>NOT(ISERROR(SEARCH("Pesquisa de Preços",D71)))</formula>
    </cfRule>
  </conditionalFormatting>
  <conditionalFormatting sqref="D137">
    <cfRule type="containsText" dxfId="2625" priority="7599" operator="containsText" text="Pesquisa de Preços">
      <formula>NOT(ISERROR(SEARCH("Pesquisa de Preços",D137)))</formula>
    </cfRule>
  </conditionalFormatting>
  <conditionalFormatting sqref="D141">
    <cfRule type="containsText" dxfId="2624" priority="7598" operator="containsText" text="Pesquisa de Preços">
      <formula>NOT(ISERROR(SEARCH("Pesquisa de Preços",D141)))</formula>
    </cfRule>
  </conditionalFormatting>
  <conditionalFormatting sqref="D792">
    <cfRule type="containsText" dxfId="2623" priority="7512" operator="containsText" text="Pesquisa de Preços">
      <formula>NOT(ISERROR(SEARCH("Pesquisa de Preços",D792)))</formula>
    </cfRule>
  </conditionalFormatting>
  <conditionalFormatting sqref="D156">
    <cfRule type="containsText" dxfId="2622" priority="7597" operator="containsText" text="Pesquisa de Preços">
      <formula>NOT(ISERROR(SEARCH("Pesquisa de Preços",D156)))</formula>
    </cfRule>
  </conditionalFormatting>
  <conditionalFormatting sqref="D834">
    <cfRule type="containsText" dxfId="2621" priority="7511" operator="containsText" text="Pesquisa de Preços">
      <formula>NOT(ISERROR(SEARCH("Pesquisa de Preços",D834)))</formula>
    </cfRule>
  </conditionalFormatting>
  <conditionalFormatting sqref="D94">
    <cfRule type="containsText" dxfId="2620" priority="7596" operator="containsText" text="Pesquisa de Preços">
      <formula>NOT(ISERROR(SEARCH("Pesquisa de Preços",D94)))</formula>
    </cfRule>
  </conditionalFormatting>
  <conditionalFormatting sqref="D816">
    <cfRule type="containsText" dxfId="2619" priority="7510" operator="containsText" text="Pesquisa de Preços">
      <formula>NOT(ISERROR(SEARCH("Pesquisa de Preços",D816)))</formula>
    </cfRule>
  </conditionalFormatting>
  <conditionalFormatting sqref="D49">
    <cfRule type="containsText" dxfId="2618" priority="7595" operator="containsText" text="Pesquisa de Preços">
      <formula>NOT(ISERROR(SEARCH("Pesquisa de Preços",D49)))</formula>
    </cfRule>
  </conditionalFormatting>
  <conditionalFormatting sqref="D192">
    <cfRule type="containsText" dxfId="2617" priority="7593" operator="containsText" text="Pesquisa de Preços">
      <formula>NOT(ISERROR(SEARCH("Pesquisa de Preços",D192)))</formula>
    </cfRule>
  </conditionalFormatting>
  <conditionalFormatting sqref="D750 D755">
    <cfRule type="containsText" dxfId="2616" priority="7509" operator="containsText" text="Pesquisa de Preços">
      <formula>NOT(ISERROR(SEARCH("Pesquisa de Preços",D750)))</formula>
    </cfRule>
  </conditionalFormatting>
  <conditionalFormatting sqref="D216">
    <cfRule type="containsText" dxfId="2615" priority="7591" operator="containsText" text="Pesquisa de Preços">
      <formula>NOT(ISERROR(SEARCH("Pesquisa de Preços",D216)))</formula>
    </cfRule>
  </conditionalFormatting>
  <conditionalFormatting sqref="D123">
    <cfRule type="containsText" dxfId="2614" priority="7589" operator="containsText" text="Pesquisa de Preços">
      <formula>NOT(ISERROR(SEARCH("Pesquisa de Preços",D123)))</formula>
    </cfRule>
  </conditionalFormatting>
  <conditionalFormatting sqref="D757">
    <cfRule type="containsText" dxfId="2613" priority="7507" operator="containsText" text="Pesquisa de Preços">
      <formula>NOT(ISERROR(SEARCH("Pesquisa de Preços",D757)))</formula>
    </cfRule>
  </conditionalFormatting>
  <conditionalFormatting sqref="D108">
    <cfRule type="containsText" dxfId="2612" priority="7587" operator="containsText" text="Pesquisa de Preços">
      <formula>NOT(ISERROR(SEARCH("Pesquisa de Preços",D108)))</formula>
    </cfRule>
  </conditionalFormatting>
  <conditionalFormatting sqref="D825 D827">
    <cfRule type="containsText" dxfId="2611" priority="7505" operator="containsText" text="Pesquisa de Preços">
      <formula>NOT(ISERROR(SEARCH("Pesquisa de Preços",D825)))</formula>
    </cfRule>
  </conditionalFormatting>
  <conditionalFormatting sqref="D133">
    <cfRule type="containsText" dxfId="2610" priority="7585" operator="containsText" text="Pesquisa de Preços">
      <formula>NOT(ISERROR(SEARCH("Pesquisa de Preços",D133)))</formula>
    </cfRule>
  </conditionalFormatting>
  <conditionalFormatting sqref="D829">
    <cfRule type="containsText" dxfId="2609" priority="7504" operator="containsText" text="Pesquisa de Preços">
      <formula>NOT(ISERROR(SEARCH("Pesquisa de Preços",D829)))</formula>
    </cfRule>
  </conditionalFormatting>
  <conditionalFormatting sqref="D66">
    <cfRule type="containsText" dxfId="2608" priority="7584" operator="containsText" text="Pesquisa de Preços">
      <formula>NOT(ISERROR(SEARCH("Pesquisa de Preços",D66)))</formula>
    </cfRule>
  </conditionalFormatting>
  <conditionalFormatting sqref="D806">
    <cfRule type="containsText" dxfId="2607" priority="7503" operator="containsText" text="Pesquisa de Preços">
      <formula>NOT(ISERROR(SEARCH("Pesquisa de Preços",D806)))</formula>
    </cfRule>
  </conditionalFormatting>
  <conditionalFormatting sqref="D322">
    <cfRule type="containsText" dxfId="2606" priority="7572" operator="containsText" text="Pesquisa de Preços">
      <formula>NOT(ISERROR(SEARCH("Pesquisa de Preços",D322)))</formula>
    </cfRule>
  </conditionalFormatting>
  <conditionalFormatting sqref="D343">
    <cfRule type="containsText" dxfId="2605" priority="7569" operator="containsText" text="Pesquisa de Preços">
      <formula>NOT(ISERROR(SEARCH("Pesquisa de Preços",D343)))</formula>
    </cfRule>
  </conditionalFormatting>
  <conditionalFormatting sqref="D328">
    <cfRule type="containsText" dxfId="2604" priority="7564" operator="containsText" text="Pesquisa de Preços">
      <formula>NOT(ISERROR(SEARCH("Pesquisa de Preços",D328)))</formula>
    </cfRule>
  </conditionalFormatting>
  <conditionalFormatting sqref="D417 D422">
    <cfRule type="containsText" dxfId="2603" priority="7557" operator="containsText" text="Pesquisa de Preços">
      <formula>NOT(ISERROR(SEARCH("Pesquisa de Preços",D417)))</formula>
    </cfRule>
  </conditionalFormatting>
  <conditionalFormatting sqref="D248">
    <cfRule type="containsText" dxfId="2602" priority="7582" operator="containsText" text="Pesquisa de Preços">
      <formula>NOT(ISERROR(SEARCH("Pesquisa de Preços",D248)))</formula>
    </cfRule>
  </conditionalFormatting>
  <conditionalFormatting sqref="D250">
    <cfRule type="containsText" dxfId="2601" priority="7581" operator="containsText" text="Pesquisa de Preços">
      <formula>NOT(ISERROR(SEARCH("Pesquisa de Preços",D250)))</formula>
    </cfRule>
  </conditionalFormatting>
  <conditionalFormatting sqref="D253 D260 D262">
    <cfRule type="containsText" dxfId="2600" priority="7580" operator="containsText" text="Pesquisa de Preços">
      <formula>NOT(ISERROR(SEARCH("Pesquisa de Preços",D253)))</formula>
    </cfRule>
  </conditionalFormatting>
  <conditionalFormatting sqref="D265">
    <cfRule type="containsText" dxfId="2599" priority="7579" operator="containsText" text="Pesquisa de Preços">
      <formula>NOT(ISERROR(SEARCH("Pesquisa de Preços",D265)))</formula>
    </cfRule>
  </conditionalFormatting>
  <conditionalFormatting sqref="D278 D283">
    <cfRule type="containsText" dxfId="2598" priority="7578" operator="containsText" text="Pesquisa de Preços">
      <formula>NOT(ISERROR(SEARCH("Pesquisa de Preços",D278)))</formula>
    </cfRule>
  </conditionalFormatting>
  <conditionalFormatting sqref="D285 D290">
    <cfRule type="containsText" dxfId="2597" priority="7576" operator="containsText" text="Pesquisa de Preços">
      <formula>NOT(ISERROR(SEARCH("Pesquisa de Preços",D285)))</formula>
    </cfRule>
  </conditionalFormatting>
  <conditionalFormatting sqref="D270 D275:D276">
    <cfRule type="containsText" dxfId="2596" priority="7574" operator="containsText" text="Pesquisa de Preços">
      <formula>NOT(ISERROR(SEARCH("Pesquisa de Preços",D270)))</formula>
    </cfRule>
  </conditionalFormatting>
  <conditionalFormatting sqref="D533 D537">
    <cfRule type="containsText" dxfId="2595" priority="7538" operator="containsText" text="Pesquisa de Preços">
      <formula>NOT(ISERROR(SEARCH("Pesquisa de Preços",D533)))</formula>
    </cfRule>
  </conditionalFormatting>
  <conditionalFormatting sqref="D307">
    <cfRule type="containsText" dxfId="2594" priority="7571" operator="containsText" text="Pesquisa de Preços">
      <formula>NOT(ISERROR(SEARCH("Pesquisa de Preços",D307)))</formula>
    </cfRule>
  </conditionalFormatting>
  <conditionalFormatting sqref="D353">
    <cfRule type="containsText" dxfId="2593" priority="7568" operator="containsText" text="Pesquisa de Preços">
      <formula>NOT(ISERROR(SEARCH("Pesquisa de Preços",D353)))</formula>
    </cfRule>
  </conditionalFormatting>
  <conditionalFormatting sqref="D359">
    <cfRule type="containsText" dxfId="2592" priority="7567" operator="containsText" text="Pesquisa de Preços">
      <formula>NOT(ISERROR(SEARCH("Pesquisa de Preços",D359)))</formula>
    </cfRule>
  </conditionalFormatting>
  <conditionalFormatting sqref="D292">
    <cfRule type="containsText" dxfId="2591" priority="7566" operator="containsText" text="Pesquisa de Preços">
      <formula>NOT(ISERROR(SEARCH("Pesquisa de Preços",D292)))</formula>
    </cfRule>
  </conditionalFormatting>
  <conditionalFormatting sqref="D331 D334 D337:D340">
    <cfRule type="containsText" dxfId="2590" priority="7563" operator="containsText" text="Pesquisa de Preços">
      <formula>NOT(ISERROR(SEARCH("Pesquisa de Preços",D331)))</formula>
    </cfRule>
  </conditionalFormatting>
  <conditionalFormatting sqref="D367 D371">
    <cfRule type="containsText" dxfId="2589" priority="7562" operator="containsText" text="Pesquisa de Preços">
      <formula>NOT(ISERROR(SEARCH("Pesquisa de Preços",D367)))</formula>
    </cfRule>
  </conditionalFormatting>
  <conditionalFormatting sqref="D373 D380">
    <cfRule type="containsText" dxfId="2588" priority="7560" operator="containsText" text="Pesquisa de Preços">
      <formula>NOT(ISERROR(SEARCH("Pesquisa de Preços",D373)))</formula>
    </cfRule>
  </conditionalFormatting>
  <conditionalFormatting sqref="D377">
    <cfRule type="containsText" dxfId="2587" priority="7559" operator="containsText" text="Pesquisa de Preços">
      <formula>NOT(ISERROR(SEARCH("Pesquisa de Preços",D377)))</formula>
    </cfRule>
  </conditionalFormatting>
  <conditionalFormatting sqref="D403">
    <cfRule type="containsText" dxfId="2586" priority="7558" operator="containsText" text="Pesquisa de Preços">
      <formula>NOT(ISERROR(SEARCH("Pesquisa de Preços",D403)))</formula>
    </cfRule>
  </conditionalFormatting>
  <conditionalFormatting sqref="D442:D443 D446">
    <cfRule type="containsText" dxfId="2585" priority="7556" operator="containsText" text="Pesquisa de Preços">
      <formula>NOT(ISERROR(SEARCH("Pesquisa de Preços",D442)))</formula>
    </cfRule>
  </conditionalFormatting>
  <conditionalFormatting sqref="D436:D437 D440">
    <cfRule type="containsText" dxfId="2584" priority="7554" operator="containsText" text="Pesquisa de Preços">
      <formula>NOT(ISERROR(SEARCH("Pesquisa de Preços",D436)))</formula>
    </cfRule>
  </conditionalFormatting>
  <conditionalFormatting sqref="D456 D461:D464">
    <cfRule type="containsText" dxfId="2583" priority="7552" operator="containsText" text="Pesquisa de Preços">
      <formula>NOT(ISERROR(SEARCH("Pesquisa de Preços",D456)))</formula>
    </cfRule>
  </conditionalFormatting>
  <conditionalFormatting sqref="D466 D471">
    <cfRule type="containsText" dxfId="2582" priority="7550" operator="containsText" text="Pesquisa de Preços">
      <formula>NOT(ISERROR(SEARCH("Pesquisa de Preços",D466)))</formula>
    </cfRule>
  </conditionalFormatting>
  <conditionalFormatting sqref="D473 D483">
    <cfRule type="containsText" dxfId="2581" priority="7548" operator="containsText" text="Pesquisa de Preços">
      <formula>NOT(ISERROR(SEARCH("Pesquisa de Preços",D473)))</formula>
    </cfRule>
  </conditionalFormatting>
  <conditionalFormatting sqref="D448 D452 D454">
    <cfRule type="containsText" dxfId="2580" priority="7547" operator="containsText" text="Pesquisa de Preços">
      <formula>NOT(ISERROR(SEARCH("Pesquisa de Preços",D448)))</formula>
    </cfRule>
  </conditionalFormatting>
  <conditionalFormatting sqref="D485 D489">
    <cfRule type="containsText" dxfId="2579" priority="7546" operator="containsText" text="Pesquisa de Preços">
      <formula>NOT(ISERROR(SEARCH("Pesquisa de Preços",D485)))</formula>
    </cfRule>
  </conditionalFormatting>
  <conditionalFormatting sqref="D506 D511">
    <cfRule type="containsText" dxfId="2578" priority="7544" operator="containsText" text="Pesquisa de Preços">
      <formula>NOT(ISERROR(SEARCH("Pesquisa de Preços",D506)))</formula>
    </cfRule>
  </conditionalFormatting>
  <conditionalFormatting sqref="D504 D499">
    <cfRule type="containsText" dxfId="2577" priority="7542" operator="containsText" text="Pesquisa de Preços">
      <formula>NOT(ISERROR(SEARCH("Pesquisa de Preços",D499)))</formula>
    </cfRule>
  </conditionalFormatting>
  <conditionalFormatting sqref="D513 D517">
    <cfRule type="containsText" dxfId="2576" priority="7540" operator="containsText" text="Pesquisa de Preços">
      <formula>NOT(ISERROR(SEARCH("Pesquisa de Preços",D513)))</formula>
    </cfRule>
  </conditionalFormatting>
  <conditionalFormatting sqref="D526 D531">
    <cfRule type="containsText" dxfId="2575" priority="7535" operator="containsText" text="Pesquisa de Preços">
      <formula>NOT(ISERROR(SEARCH("Pesquisa de Preços",D526)))</formula>
    </cfRule>
  </conditionalFormatting>
  <conditionalFormatting sqref="D519 D524">
    <cfRule type="containsText" dxfId="2574" priority="7533" operator="containsText" text="Pesquisa de Preços">
      <formula>NOT(ISERROR(SEARCH("Pesquisa de Preços",D519)))</formula>
    </cfRule>
  </conditionalFormatting>
  <conditionalFormatting sqref="D547:D548 D553">
    <cfRule type="containsText" dxfId="2573" priority="7532" operator="containsText" text="Pesquisa de Preços">
      <formula>NOT(ISERROR(SEARCH("Pesquisa de Preços",D547)))</formula>
    </cfRule>
  </conditionalFormatting>
  <conditionalFormatting sqref="D555 D561">
    <cfRule type="containsText" dxfId="2572" priority="7530" operator="containsText" text="Pesquisa de Preços">
      <formula>NOT(ISERROR(SEARCH("Pesquisa de Preços",D555)))</formula>
    </cfRule>
  </conditionalFormatting>
  <conditionalFormatting sqref="D558">
    <cfRule type="containsText" dxfId="2571" priority="7529" operator="containsText" text="Pesquisa de Preços">
      <formula>NOT(ISERROR(SEARCH("Pesquisa de Preços",D558)))</formula>
    </cfRule>
  </conditionalFormatting>
  <conditionalFormatting sqref="D539 D545">
    <cfRule type="containsText" dxfId="2570" priority="7528" operator="containsText" text="Pesquisa de Preços">
      <formula>NOT(ISERROR(SEARCH("Pesquisa de Preços",D539)))</formula>
    </cfRule>
  </conditionalFormatting>
  <conditionalFormatting sqref="D563 D568:D569">
    <cfRule type="containsText" dxfId="2569" priority="7526" operator="containsText" text="Pesquisa de Preços">
      <formula>NOT(ISERROR(SEARCH("Pesquisa de Preços",D563)))</formula>
    </cfRule>
  </conditionalFormatting>
  <conditionalFormatting sqref="D571:D572">
    <cfRule type="containsText" dxfId="2568" priority="7524" operator="containsText" text="Pesquisa de Preços">
      <formula>NOT(ISERROR(SEARCH("Pesquisa de Preços",D571)))</formula>
    </cfRule>
  </conditionalFormatting>
  <conditionalFormatting sqref="D581:D582 D586:D588">
    <cfRule type="containsText" dxfId="2567" priority="7523" operator="containsText" text="Pesquisa de Preços">
      <formula>NOT(ISERROR(SEARCH("Pesquisa de Preços",D581)))</formula>
    </cfRule>
  </conditionalFormatting>
  <conditionalFormatting sqref="D623 D628:D629">
    <cfRule type="containsText" dxfId="2566" priority="7521" operator="containsText" text="Pesquisa de Preços">
      <formula>NOT(ISERROR(SEARCH("Pesquisa de Preços",D623)))</formula>
    </cfRule>
  </conditionalFormatting>
  <conditionalFormatting sqref="D690">
    <cfRule type="containsText" dxfId="2565" priority="7517" operator="containsText" text="Pesquisa de Preços">
      <formula>NOT(ISERROR(SEARCH("Pesquisa de Preços",D690)))</formula>
    </cfRule>
  </conditionalFormatting>
  <conditionalFormatting sqref="D725">
    <cfRule type="containsText" dxfId="2564" priority="7514" operator="containsText" text="Pesquisa de Preços">
      <formula>NOT(ISERROR(SEARCH("Pesquisa de Preços",D725)))</formula>
    </cfRule>
  </conditionalFormatting>
  <conditionalFormatting sqref="D768">
    <cfRule type="containsText" dxfId="2563" priority="7501" operator="containsText" text="Pesquisa de Preços">
      <formula>NOT(ISERROR(SEARCH("Pesquisa de Preços",D768)))</formula>
    </cfRule>
  </conditionalFormatting>
  <conditionalFormatting sqref="D746:D747">
    <cfRule type="containsText" dxfId="2562" priority="7513" operator="containsText" text="Pesquisa de Preços">
      <formula>NOT(ISERROR(SEARCH("Pesquisa de Preços",D746)))</formula>
    </cfRule>
  </conditionalFormatting>
  <conditionalFormatting sqref="D752">
    <cfRule type="containsText" dxfId="2561" priority="7508" operator="containsText" text="Pesquisa de Preços">
      <formula>NOT(ISERROR(SEARCH("Pesquisa de Preços",D752)))</formula>
    </cfRule>
  </conditionalFormatting>
  <conditionalFormatting sqref="D949">
    <cfRule type="containsText" dxfId="2560" priority="7488" operator="containsText" text="Pesquisa de Preços">
      <formula>NOT(ISERROR(SEARCH("Pesquisa de Preços",D949)))</formula>
    </cfRule>
  </conditionalFormatting>
  <conditionalFormatting sqref="D820 D823">
    <cfRule type="containsText" dxfId="2559" priority="7502" operator="containsText" text="Pesquisa de Preços">
      <formula>NOT(ISERROR(SEARCH("Pesquisa de Preços",D820)))</formula>
    </cfRule>
  </conditionalFormatting>
  <conditionalFormatting sqref="D185">
    <cfRule type="containsText" dxfId="2558" priority="7500" operator="containsText" text="Pesquisa de Preços">
      <formula>NOT(ISERROR(SEARCH("Pesquisa de Preços",D185)))</formula>
    </cfRule>
  </conditionalFormatting>
  <conditionalFormatting sqref="D188:D189">
    <cfRule type="containsText" dxfId="2557" priority="7499" operator="containsText" text="Pesquisa de Preços">
      <formula>NOT(ISERROR(SEARCH("Pesquisa de Preços",D188)))</formula>
    </cfRule>
  </conditionalFormatting>
  <conditionalFormatting sqref="D841 D845">
    <cfRule type="containsText" dxfId="2556" priority="7498" operator="containsText" text="Pesquisa de Preços">
      <formula>NOT(ISERROR(SEARCH("Pesquisa de Preços",D841)))</formula>
    </cfRule>
  </conditionalFormatting>
  <conditionalFormatting sqref="D915">
    <cfRule type="containsText" dxfId="2555" priority="7496" operator="containsText" text="Pesquisa de Preços">
      <formula>NOT(ISERROR(SEARCH("Pesquisa de Preços",D915)))</formula>
    </cfRule>
  </conditionalFormatting>
  <conditionalFormatting sqref="D940">
    <cfRule type="containsText" dxfId="2554" priority="7495" operator="containsText" text="Pesquisa de Preços">
      <formula>NOT(ISERROR(SEARCH("Pesquisa de Preços",D940)))</formula>
    </cfRule>
  </conditionalFormatting>
  <conditionalFormatting sqref="D931">
    <cfRule type="containsText" dxfId="2553" priority="7494" operator="containsText" text="Pesquisa de Preços">
      <formula>NOT(ISERROR(SEARCH("Pesquisa de Preços",D931)))</formula>
    </cfRule>
  </conditionalFormatting>
  <conditionalFormatting sqref="D924 D929">
    <cfRule type="containsText" dxfId="2552" priority="7493" operator="containsText" text="Pesquisa de Preços">
      <formula>NOT(ISERROR(SEARCH("Pesquisa de Preços",D924)))</formula>
    </cfRule>
  </conditionalFormatting>
  <conditionalFormatting sqref="D968">
    <cfRule type="containsText" dxfId="2551" priority="7492" operator="containsText" text="Pesquisa de Preços">
      <formula>NOT(ISERROR(SEARCH("Pesquisa de Preços",D968)))</formula>
    </cfRule>
  </conditionalFormatting>
  <conditionalFormatting sqref="D961">
    <cfRule type="containsText" dxfId="2550" priority="7490" operator="containsText" text="Pesquisa de Preços">
      <formula>NOT(ISERROR(SEARCH("Pesquisa de Preços",D961)))</formula>
    </cfRule>
  </conditionalFormatting>
  <conditionalFormatting sqref="D955 D959">
    <cfRule type="containsText" dxfId="2549" priority="7489" operator="containsText" text="Pesquisa de Preços">
      <formula>NOT(ISERROR(SEARCH("Pesquisa de Preços",D955)))</formula>
    </cfRule>
  </conditionalFormatting>
  <conditionalFormatting sqref="D975:D976 D980">
    <cfRule type="containsText" dxfId="2548" priority="7487" operator="containsText" text="Pesquisa de Preços">
      <formula>NOT(ISERROR(SEARCH("Pesquisa de Preços",D975)))</formula>
    </cfRule>
  </conditionalFormatting>
  <conditionalFormatting sqref="D982 D991">
    <cfRule type="containsText" dxfId="2547" priority="7485" operator="containsText" text="Pesquisa de Preços">
      <formula>NOT(ISERROR(SEARCH("Pesquisa de Preços",D982)))</formula>
    </cfRule>
  </conditionalFormatting>
  <conditionalFormatting sqref="D993 D1002">
    <cfRule type="containsText" dxfId="2546" priority="7483" operator="containsText" text="Pesquisa de Preços">
      <formula>NOT(ISERROR(SEARCH("Pesquisa de Preços",D993)))</formula>
    </cfRule>
  </conditionalFormatting>
  <conditionalFormatting sqref="D1014 D1021">
    <cfRule type="containsText" dxfId="2545" priority="7481" operator="containsText" text="Pesquisa de Preços">
      <formula>NOT(ISERROR(SEARCH("Pesquisa de Preços",D1014)))</formula>
    </cfRule>
  </conditionalFormatting>
  <conditionalFormatting sqref="D1004:D1005">
    <cfRule type="containsText" dxfId="2544" priority="7479" operator="containsText" text="Pesquisa de Preços">
      <formula>NOT(ISERROR(SEARCH("Pesquisa de Preços",D1004)))</formula>
    </cfRule>
  </conditionalFormatting>
  <conditionalFormatting sqref="D1009:D1010">
    <cfRule type="containsText" dxfId="2543" priority="7478" operator="containsText" text="Pesquisa de Preços">
      <formula>NOT(ISERROR(SEARCH("Pesquisa de Preços",D1009)))</formula>
    </cfRule>
  </conditionalFormatting>
  <conditionalFormatting sqref="D1028 D1036">
    <cfRule type="containsText" dxfId="2542" priority="7477" operator="containsText" text="Pesquisa de Preços">
      <formula>NOT(ISERROR(SEARCH("Pesquisa de Preços",D1028)))</formula>
    </cfRule>
  </conditionalFormatting>
  <conditionalFormatting sqref="D1038:D1039 D1045">
    <cfRule type="containsText" dxfId="2541" priority="7475" operator="containsText" text="Pesquisa de Preços">
      <formula>NOT(ISERROR(SEARCH("Pesquisa de Preços",D1038)))</formula>
    </cfRule>
  </conditionalFormatting>
  <conditionalFormatting sqref="D1023:D1024">
    <cfRule type="containsText" dxfId="2540" priority="7474" operator="containsText" text="Pesquisa de Preços">
      <formula>NOT(ISERROR(SEARCH("Pesquisa de Preços",D1023)))</formula>
    </cfRule>
  </conditionalFormatting>
  <conditionalFormatting sqref="D1100 D1108">
    <cfRule type="containsText" dxfId="2539" priority="7472" operator="containsText" text="Pesquisa de Preços">
      <formula>NOT(ISERROR(SEARCH("Pesquisa de Preços",D1100)))</formula>
    </cfRule>
  </conditionalFormatting>
  <conditionalFormatting sqref="D1047:D1048 D1052">
    <cfRule type="containsText" dxfId="2538" priority="7471" operator="containsText" text="Pesquisa de Preços">
      <formula>NOT(ISERROR(SEARCH("Pesquisa de Preços",D1047)))</formula>
    </cfRule>
  </conditionalFormatting>
  <conditionalFormatting sqref="D1061:D1062 D1066">
    <cfRule type="containsText" dxfId="2537" priority="7469" operator="containsText" text="Pesquisa de Preços">
      <formula>NOT(ISERROR(SEARCH("Pesquisa de Preços",D1061)))</formula>
    </cfRule>
  </conditionalFormatting>
  <conditionalFormatting sqref="D1092 D1098">
    <cfRule type="containsText" dxfId="2536" priority="7468" operator="containsText" text="Pesquisa de Preços">
      <formula>NOT(ISERROR(SEARCH("Pesquisa de Preços",D1092)))</formula>
    </cfRule>
  </conditionalFormatting>
  <conditionalFormatting sqref="D1054:D1055">
    <cfRule type="containsText" dxfId="2535" priority="7466" operator="containsText" text="Pesquisa de Preços">
      <formula>NOT(ISERROR(SEARCH("Pesquisa de Preços",D1054)))</formula>
    </cfRule>
  </conditionalFormatting>
  <conditionalFormatting sqref="D1068">
    <cfRule type="containsText" dxfId="2534" priority="7464" operator="containsText" text="Pesquisa de Preços">
      <formula>NOT(ISERROR(SEARCH("Pesquisa de Preços",D1068)))</formula>
    </cfRule>
  </conditionalFormatting>
  <conditionalFormatting sqref="D1084 D1090">
    <cfRule type="containsText" dxfId="2533" priority="7463" operator="containsText" text="Pesquisa de Preços">
      <formula>NOT(ISERROR(SEARCH("Pesquisa de Preços",D1084)))</formula>
    </cfRule>
  </conditionalFormatting>
  <conditionalFormatting sqref="D1075 D1082">
    <cfRule type="containsText" dxfId="2532" priority="7462" operator="containsText" text="Pesquisa de Preços">
      <formula>NOT(ISERROR(SEARCH("Pesquisa de Preços",D1075)))</formula>
    </cfRule>
  </conditionalFormatting>
  <conditionalFormatting sqref="D1123:D1124">
    <cfRule type="containsText" dxfId="2531" priority="7461" operator="containsText" text="Pesquisa de Preços">
      <formula>NOT(ISERROR(SEARCH("Pesquisa de Preços",D1123)))</formula>
    </cfRule>
  </conditionalFormatting>
  <conditionalFormatting sqref="D1118:D1119">
    <cfRule type="containsText" dxfId="2530" priority="7460" operator="containsText" text="Pesquisa de Preços">
      <formula>NOT(ISERROR(SEARCH("Pesquisa de Preços",D1118)))</formula>
    </cfRule>
  </conditionalFormatting>
  <conditionalFormatting sqref="D1245">
    <cfRule type="containsText" dxfId="2529" priority="7459" operator="containsText" text="Pesquisa de Preços">
      <formula>NOT(ISERROR(SEARCH("Pesquisa de Preços",D1245)))</formula>
    </cfRule>
  </conditionalFormatting>
  <conditionalFormatting sqref="D1235:D1236 D1239">
    <cfRule type="containsText" dxfId="2528" priority="7458" operator="containsText" text="Pesquisa de Preços">
      <formula>NOT(ISERROR(SEARCH("Pesquisa de Preços",D1235)))</formula>
    </cfRule>
  </conditionalFormatting>
  <conditionalFormatting sqref="D1229:D1230 D1233">
    <cfRule type="containsText" dxfId="2527" priority="7457" operator="containsText" text="Pesquisa de Preços">
      <formula>NOT(ISERROR(SEARCH("Pesquisa de Preços",D1229)))</formula>
    </cfRule>
  </conditionalFormatting>
  <conditionalFormatting sqref="D1223:D1224 D1227">
    <cfRule type="containsText" dxfId="2526" priority="7456" operator="containsText" text="Pesquisa de Preços">
      <formula>NOT(ISERROR(SEARCH("Pesquisa de Preços",D1223)))</formula>
    </cfRule>
  </conditionalFormatting>
  <conditionalFormatting sqref="D1139 D1144">
    <cfRule type="containsText" dxfId="2525" priority="7455" operator="containsText" text="Pesquisa de Preços">
      <formula>NOT(ISERROR(SEARCH("Pesquisa de Preços",D1139)))</formula>
    </cfRule>
  </conditionalFormatting>
  <conditionalFormatting sqref="D1128:D1129 D1132">
    <cfRule type="containsText" dxfId="2524" priority="7454" operator="containsText" text="Pesquisa de Preços">
      <formula>NOT(ISERROR(SEARCH("Pesquisa de Preços",D1128)))</formula>
    </cfRule>
  </conditionalFormatting>
  <conditionalFormatting sqref="D1261 D1266">
    <cfRule type="containsText" dxfId="2523" priority="7453" operator="containsText" text="Pesquisa de Preços">
      <formula>NOT(ISERROR(SEARCH("Pesquisa de Preços",D1261)))</formula>
    </cfRule>
  </conditionalFormatting>
  <conditionalFormatting sqref="D1247 D1252">
    <cfRule type="containsText" dxfId="2522" priority="7452" operator="containsText" text="Pesquisa de Preços">
      <formula>NOT(ISERROR(SEARCH("Pesquisa de Preços",D1247)))</formula>
    </cfRule>
  </conditionalFormatting>
  <conditionalFormatting sqref="D1153 D1158">
    <cfRule type="containsText" dxfId="2521" priority="7451" operator="containsText" text="Pesquisa de Preços">
      <formula>NOT(ISERROR(SEARCH("Pesquisa de Preços",D1153)))</formula>
    </cfRule>
  </conditionalFormatting>
  <conditionalFormatting sqref="D1188:D1189 D1193">
    <cfRule type="containsText" dxfId="2520" priority="7450" operator="containsText" text="Pesquisa de Preços">
      <formula>NOT(ISERROR(SEARCH("Pesquisa de Preços",D1188)))</formula>
    </cfRule>
  </conditionalFormatting>
  <conditionalFormatting sqref="D1195:D1196 D1200">
    <cfRule type="containsText" dxfId="2519" priority="7449" operator="containsText" text="Pesquisa de Preços">
      <formula>NOT(ISERROR(SEARCH("Pesquisa de Preços",D1195)))</formula>
    </cfRule>
  </conditionalFormatting>
  <conditionalFormatting sqref="D1202 D1207">
    <cfRule type="containsText" dxfId="2518" priority="7448" operator="containsText" text="Pesquisa de Preços">
      <formula>NOT(ISERROR(SEARCH("Pesquisa de Preços",D1202)))</formula>
    </cfRule>
  </conditionalFormatting>
  <conditionalFormatting sqref="D1181:D1182 D1186">
    <cfRule type="containsText" dxfId="2517" priority="7447" operator="containsText" text="Pesquisa de Preços">
      <formula>NOT(ISERROR(SEARCH("Pesquisa de Preços",D1181)))</formula>
    </cfRule>
  </conditionalFormatting>
  <conditionalFormatting sqref="D1146:D1147 D1151">
    <cfRule type="containsText" dxfId="2516" priority="7446" operator="containsText" text="Pesquisa de Preços">
      <formula>NOT(ISERROR(SEARCH("Pesquisa de Preços",D1146)))</formula>
    </cfRule>
  </conditionalFormatting>
  <conditionalFormatting sqref="D1167:D1168 D1172">
    <cfRule type="containsText" dxfId="2515" priority="7444" operator="containsText" text="Pesquisa de Preços">
      <formula>NOT(ISERROR(SEARCH("Pesquisa de Preços",D1167)))</formula>
    </cfRule>
  </conditionalFormatting>
  <conditionalFormatting sqref="D1174 D1179">
    <cfRule type="containsText" dxfId="2514" priority="7443" operator="containsText" text="Pesquisa de Preços">
      <formula>NOT(ISERROR(SEARCH("Pesquisa de Preços",D1174)))</formula>
    </cfRule>
  </conditionalFormatting>
  <conditionalFormatting sqref="D1209:D1210 D1214">
    <cfRule type="containsText" dxfId="2513" priority="7442" operator="containsText" text="Pesquisa de Preços">
      <formula>NOT(ISERROR(SEARCH("Pesquisa de Preços",D1209)))</formula>
    </cfRule>
  </conditionalFormatting>
  <conditionalFormatting sqref="D1134">
    <cfRule type="containsText" dxfId="2512" priority="7441" operator="containsText" text="Pesquisa de Preços">
      <formula>NOT(ISERROR(SEARCH("Pesquisa de Preços",D1134)))</formula>
    </cfRule>
  </conditionalFormatting>
  <conditionalFormatting sqref="D1268 D1271:D1272">
    <cfRule type="containsText" dxfId="2511" priority="7440" operator="containsText" text="Pesquisa de Preços">
      <formula>NOT(ISERROR(SEARCH("Pesquisa de Preços",D1268)))</formula>
    </cfRule>
  </conditionalFormatting>
  <conditionalFormatting sqref="D1302:D1303 D1308">
    <cfRule type="containsText" dxfId="2510" priority="7438" operator="containsText" text="Pesquisa de Preços">
      <formula>NOT(ISERROR(SEARCH("Pesquisa de Preços",D1302)))</formula>
    </cfRule>
  </conditionalFormatting>
  <conditionalFormatting sqref="D1310 D1316:D1317">
    <cfRule type="containsText" dxfId="2509" priority="7436" operator="containsText" text="Pesquisa de Preços">
      <formula>NOT(ISERROR(SEARCH("Pesquisa de Preços",D1310)))</formula>
    </cfRule>
  </conditionalFormatting>
  <conditionalFormatting sqref="D1400 D1405">
    <cfRule type="containsText" dxfId="2508" priority="7420" operator="containsText" text="Pesquisa de Preços">
      <formula>NOT(ISERROR(SEARCH("Pesquisa de Preços",D1400)))</formula>
    </cfRule>
  </conditionalFormatting>
  <conditionalFormatting sqref="D1274:D1275">
    <cfRule type="containsText" dxfId="2507" priority="7435" operator="containsText" text="Pesquisa de Preços">
      <formula>NOT(ISERROR(SEARCH("Pesquisa de Preços",D1274)))</formula>
    </cfRule>
  </conditionalFormatting>
  <conditionalFormatting sqref="D1281:D1282 D1286">
    <cfRule type="containsText" dxfId="2506" priority="7433" operator="containsText" text="Pesquisa de Preços">
      <formula>NOT(ISERROR(SEARCH("Pesquisa de Preços",D1281)))</formula>
    </cfRule>
  </conditionalFormatting>
  <conditionalFormatting sqref="D1288:D1289 D1293">
    <cfRule type="containsText" dxfId="2505" priority="7432" operator="containsText" text="Pesquisa de Preços">
      <formula>NOT(ISERROR(SEARCH("Pesquisa de Preços",D1288)))</formula>
    </cfRule>
  </conditionalFormatting>
  <conditionalFormatting sqref="D1295 D1298 D1300">
    <cfRule type="containsText" dxfId="2504" priority="7431" operator="containsText" text="Pesquisa de Preços">
      <formula>NOT(ISERROR(SEARCH("Pesquisa de Preços",D1295)))</formula>
    </cfRule>
  </conditionalFormatting>
  <conditionalFormatting sqref="D1331:D1332">
    <cfRule type="containsText" dxfId="2503" priority="7429" operator="containsText" text="Pesquisa de Preços">
      <formula>NOT(ISERROR(SEARCH("Pesquisa de Preços",D1331)))</formula>
    </cfRule>
  </conditionalFormatting>
  <conditionalFormatting sqref="D1337:D1338">
    <cfRule type="containsText" dxfId="2502" priority="7430" operator="containsText" text="Pesquisa de Preços">
      <formula>NOT(ISERROR(SEARCH("Pesquisa de Preços",D1337)))</formula>
    </cfRule>
  </conditionalFormatting>
  <conditionalFormatting sqref="D1319:D1320">
    <cfRule type="containsText" dxfId="2501" priority="7427" operator="containsText" text="Pesquisa de Preços">
      <formula>NOT(ISERROR(SEARCH("Pesquisa de Preços",D1319)))</formula>
    </cfRule>
  </conditionalFormatting>
  <conditionalFormatting sqref="D1325:D1326">
    <cfRule type="containsText" dxfId="2500" priority="7428" operator="containsText" text="Pesquisa de Preços">
      <formula>NOT(ISERROR(SEARCH("Pesquisa de Preços",D1325)))</formula>
    </cfRule>
  </conditionalFormatting>
  <conditionalFormatting sqref="D1343 D1348">
    <cfRule type="containsText" dxfId="2499" priority="7426" operator="containsText" text="Pesquisa de Preços">
      <formula>NOT(ISERROR(SEARCH("Pesquisa de Preços",D1343)))</formula>
    </cfRule>
  </conditionalFormatting>
  <conditionalFormatting sqref="D1516">
    <cfRule type="containsText" dxfId="2498" priority="7405" operator="containsText" text="Pesquisa de Preços">
      <formula>NOT(ISERROR(SEARCH("Pesquisa de Preços",D1516)))</formula>
    </cfRule>
  </conditionalFormatting>
  <conditionalFormatting sqref="D1346">
    <cfRule type="containsText" dxfId="2497" priority="7425" operator="containsText" text="Pesquisa de Preços">
      <formula>NOT(ISERROR(SEARCH("Pesquisa de Preços",D1346)))</formula>
    </cfRule>
  </conditionalFormatting>
  <conditionalFormatting sqref="D1356 D1361">
    <cfRule type="containsText" dxfId="2496" priority="7424" operator="containsText" text="Pesquisa de Preços">
      <formula>NOT(ISERROR(SEARCH("Pesquisa de Preços",D1356)))</formula>
    </cfRule>
  </conditionalFormatting>
  <conditionalFormatting sqref="D1522">
    <cfRule type="containsText" dxfId="2495" priority="7406" operator="containsText" text="Pesquisa de Preços">
      <formula>NOT(ISERROR(SEARCH("Pesquisa de Preços",D1522)))</formula>
    </cfRule>
  </conditionalFormatting>
  <conditionalFormatting sqref="D1359">
    <cfRule type="containsText" dxfId="2494" priority="7423" operator="containsText" text="Pesquisa de Preços">
      <formula>NOT(ISERROR(SEARCH("Pesquisa de Preços",D1359)))</formula>
    </cfRule>
  </conditionalFormatting>
  <conditionalFormatting sqref="D1350 D1353:D1354">
    <cfRule type="containsText" dxfId="2493" priority="7422" operator="containsText" text="Pesquisa de Preços">
      <formula>NOT(ISERROR(SEARCH("Pesquisa de Preços",D1350)))</formula>
    </cfRule>
  </conditionalFormatting>
  <conditionalFormatting sqref="D1363 D1366:D1367">
    <cfRule type="containsText" dxfId="2492" priority="7421" operator="containsText" text="Pesquisa de Preços">
      <formula>NOT(ISERROR(SEARCH("Pesquisa de Preços",D1363)))</formula>
    </cfRule>
  </conditionalFormatting>
  <conditionalFormatting sqref="D1391:D1392 D1388">
    <cfRule type="containsText" dxfId="2491" priority="7418" operator="containsText" text="Pesquisa de Preços">
      <formula>NOT(ISERROR(SEARCH("Pesquisa de Preços",D1388)))</formula>
    </cfRule>
  </conditionalFormatting>
  <conditionalFormatting sqref="D1369 D1372:D1373">
    <cfRule type="containsText" dxfId="2490" priority="7416" operator="containsText" text="Pesquisa de Preços">
      <formula>NOT(ISERROR(SEARCH("Pesquisa de Preços",D1369)))</formula>
    </cfRule>
  </conditionalFormatting>
  <conditionalFormatting sqref="D1375 D1380">
    <cfRule type="containsText" dxfId="2489" priority="7414" operator="containsText" text="Pesquisa de Preços">
      <formula>NOT(ISERROR(SEARCH("Pesquisa de Preços",D1375)))</formula>
    </cfRule>
  </conditionalFormatting>
  <conditionalFormatting sqref="D1382 D1386">
    <cfRule type="containsText" dxfId="2488" priority="7412" operator="containsText" text="Pesquisa de Preços">
      <formula>NOT(ISERROR(SEARCH("Pesquisa de Preços",D1382)))</formula>
    </cfRule>
  </conditionalFormatting>
  <conditionalFormatting sqref="D1407 D1420">
    <cfRule type="containsText" dxfId="2487" priority="7398" operator="containsText" text="Pesquisa de Preços">
      <formula>NOT(ISERROR(SEARCH("Pesquisa de Preços",D1407)))</formula>
    </cfRule>
  </conditionalFormatting>
  <conditionalFormatting sqref="D1549">
    <cfRule type="containsText" dxfId="2486" priority="7411" operator="containsText" text="Pesquisa de Preços">
      <formula>NOT(ISERROR(SEARCH("Pesquisa de Preços",D1549)))</formula>
    </cfRule>
  </conditionalFormatting>
  <conditionalFormatting sqref="D1553">
    <cfRule type="containsText" dxfId="2485" priority="7410" operator="containsText" text="Pesquisa de Preços">
      <formula>NOT(ISERROR(SEARCH("Pesquisa de Preços",D1553)))</formula>
    </cfRule>
  </conditionalFormatting>
  <conditionalFormatting sqref="D1542">
    <cfRule type="containsText" dxfId="2484" priority="7409" operator="containsText" text="Pesquisa de Preços">
      <formula>NOT(ISERROR(SEARCH("Pesquisa de Preços",D1542)))</formula>
    </cfRule>
  </conditionalFormatting>
  <conditionalFormatting sqref="D1536 D1540">
    <cfRule type="containsText" dxfId="2483" priority="7408" operator="containsText" text="Pesquisa de Preços">
      <formula>NOT(ISERROR(SEARCH("Pesquisa de Preços",D1536)))</formula>
    </cfRule>
  </conditionalFormatting>
  <conditionalFormatting sqref="D1524">
    <cfRule type="containsText" dxfId="2482" priority="7407" operator="containsText" text="Pesquisa de Preços">
      <formula>NOT(ISERROR(SEARCH("Pesquisa de Preços",D1524)))</formula>
    </cfRule>
  </conditionalFormatting>
  <conditionalFormatting sqref="D1556 D1561">
    <cfRule type="containsText" dxfId="2481" priority="7401" operator="containsText" text="Pesquisa de Preços">
      <formula>NOT(ISERROR(SEARCH("Pesquisa de Preços",D1556)))</formula>
    </cfRule>
  </conditionalFormatting>
  <conditionalFormatting sqref="D1495">
    <cfRule type="containsText" dxfId="2480" priority="7393" operator="containsText" text="Pesquisa de Preços">
      <formula>NOT(ISERROR(SEARCH("Pesquisa de Preços",D1495)))</formula>
    </cfRule>
  </conditionalFormatting>
  <conditionalFormatting sqref="D1497 D1510">
    <cfRule type="containsText" dxfId="2479" priority="7399" operator="containsText" text="Pesquisa de Preços">
      <formula>NOT(ISERROR(SEARCH("Pesquisa de Preços",D1497)))</formula>
    </cfRule>
  </conditionalFormatting>
  <conditionalFormatting sqref="D1534">
    <cfRule type="containsText" dxfId="2478" priority="7404" operator="containsText" text="Pesquisa de Preços">
      <formula>NOT(ISERROR(SEARCH("Pesquisa de Preços",D1534)))</formula>
    </cfRule>
  </conditionalFormatting>
  <conditionalFormatting sqref="D1563 D1568">
    <cfRule type="containsText" dxfId="2477" priority="7403" operator="containsText" text="Pesquisa de Preços">
      <formula>NOT(ISERROR(SEARCH("Pesquisa de Preços",D1563)))</formula>
    </cfRule>
  </conditionalFormatting>
  <conditionalFormatting sqref="D1603 D1607:D1608">
    <cfRule type="containsText" dxfId="2476" priority="7376" operator="containsText" text="Pesquisa de Preços">
      <formula>NOT(ISERROR(SEARCH("Pesquisa de Preços",D1603)))</formula>
    </cfRule>
  </conditionalFormatting>
  <conditionalFormatting sqref="D1437 D1450">
    <cfRule type="containsText" dxfId="2475" priority="7397" operator="containsText" text="Pesquisa de Preços">
      <formula>NOT(ISERROR(SEARCH("Pesquisa de Preços",D1437)))</formula>
    </cfRule>
  </conditionalFormatting>
  <conditionalFormatting sqref="D1621 D1625">
    <cfRule type="containsText" dxfId="2474" priority="7382" operator="containsText" text="Pesquisa de Preços">
      <formula>NOT(ISERROR(SEARCH("Pesquisa de Preços",D1621)))</formula>
    </cfRule>
  </conditionalFormatting>
  <conditionalFormatting sqref="D1422 D1435">
    <cfRule type="containsText" dxfId="2473" priority="7396" operator="containsText" text="Pesquisa de Preços">
      <formula>NOT(ISERROR(SEARCH("Pesquisa de Preços",D1422)))</formula>
    </cfRule>
  </conditionalFormatting>
  <conditionalFormatting sqref="D1467 D1480">
    <cfRule type="containsText" dxfId="2472" priority="7395" operator="containsText" text="Pesquisa de Preços">
      <formula>NOT(ISERROR(SEARCH("Pesquisa de Preços",D1467)))</formula>
    </cfRule>
  </conditionalFormatting>
  <conditionalFormatting sqref="D1684 D1687:D1689">
    <cfRule type="containsText" dxfId="2471" priority="7383" operator="containsText" text="Pesquisa de Preços">
      <formula>NOT(ISERROR(SEARCH("Pesquisa de Preços",D1684)))</formula>
    </cfRule>
  </conditionalFormatting>
  <conditionalFormatting sqref="D1465">
    <cfRule type="containsText" dxfId="2470" priority="7394" operator="containsText" text="Pesquisa de Preços">
      <formula>NOT(ISERROR(SEARCH("Pesquisa de Preços",D1465)))</formula>
    </cfRule>
  </conditionalFormatting>
  <conditionalFormatting sqref="D1585 D1589">
    <cfRule type="containsText" dxfId="2469" priority="7388" operator="containsText" text="Pesquisa de Preços">
      <formula>NOT(ISERROR(SEARCH("Pesquisa de Preços",D1585)))</formula>
    </cfRule>
  </conditionalFormatting>
  <conditionalFormatting sqref="D1570:D1571 D1582:D1583">
    <cfRule type="containsText" dxfId="2468" priority="7392" operator="containsText" text="Pesquisa de Preços">
      <formula>NOT(ISERROR(SEARCH("Pesquisa de Preços",D1570)))</formula>
    </cfRule>
  </conditionalFormatting>
  <conditionalFormatting sqref="D1574:D1576 D1581 D1578:D1579">
    <cfRule type="containsText" dxfId="2467" priority="7391" operator="containsText" text="Pesquisa de Preços">
      <formula>NOT(ISERROR(SEARCH("Pesquisa de Preços",D1574)))</formula>
    </cfRule>
  </conditionalFormatting>
  <conditionalFormatting sqref="D1394:D1395 D1398">
    <cfRule type="containsText" dxfId="2466" priority="7390" operator="containsText" text="Pesquisa de Preços">
      <formula>NOT(ISERROR(SEARCH("Pesquisa de Preços",D1394)))</formula>
    </cfRule>
  </conditionalFormatting>
  <conditionalFormatting sqref="D1627 D1629:D1630">
    <cfRule type="containsText" dxfId="2465" priority="7379" operator="containsText" text="Pesquisa de Preços">
      <formula>NOT(ISERROR(SEARCH("Pesquisa de Preços",D1627)))</formula>
    </cfRule>
  </conditionalFormatting>
  <conditionalFormatting sqref="D1591 D1595">
    <cfRule type="containsText" dxfId="2464" priority="7387" operator="containsText" text="Pesquisa de Preços">
      <formula>NOT(ISERROR(SEARCH("Pesquisa de Preços",D1591)))</formula>
    </cfRule>
  </conditionalFormatting>
  <conditionalFormatting sqref="D1601">
    <cfRule type="containsText" dxfId="2463" priority="7386" operator="containsText" text="Pesquisa de Preços">
      <formula>NOT(ISERROR(SEARCH("Pesquisa de Preços",D1601)))</formula>
    </cfRule>
  </conditionalFormatting>
  <conditionalFormatting sqref="D1638">
    <cfRule type="containsText" dxfId="2462" priority="7385" operator="containsText" text="Pesquisa de Preços">
      <formula>NOT(ISERROR(SEARCH("Pesquisa de Preços",D1638)))</formula>
    </cfRule>
  </conditionalFormatting>
  <conditionalFormatting sqref="D1615 D1619">
    <cfRule type="containsText" dxfId="2461" priority="7381" operator="containsText" text="Pesquisa de Preços">
      <formula>NOT(ISERROR(SEARCH("Pesquisa de Preços",D1615)))</formula>
    </cfRule>
  </conditionalFormatting>
  <conditionalFormatting sqref="D1610 D1612:D1613">
    <cfRule type="containsText" dxfId="2460" priority="7380" operator="containsText" text="Pesquisa de Preços">
      <formula>NOT(ISERROR(SEARCH("Pesquisa de Preços",D1610)))</formula>
    </cfRule>
  </conditionalFormatting>
  <conditionalFormatting sqref="D1632 D1635:D1636">
    <cfRule type="containsText" dxfId="2459" priority="7378" operator="containsText" text="Pesquisa de Preços">
      <formula>NOT(ISERROR(SEARCH("Pesquisa de Preços",D1632)))</formula>
    </cfRule>
  </conditionalFormatting>
  <conditionalFormatting sqref="D1736 D1727:D1729">
    <cfRule type="containsText" dxfId="2458" priority="7370" operator="containsText" text="Pesquisa de Preços">
      <formula>NOT(ISERROR(SEARCH("Pesquisa de Preços",D1727)))</formula>
    </cfRule>
  </conditionalFormatting>
  <conditionalFormatting sqref="D1677 D1681:D1682">
    <cfRule type="containsText" dxfId="2457" priority="7377" operator="containsText" text="Pesquisa de Preços">
      <formula>NOT(ISERROR(SEARCH("Pesquisa de Preços",D1677)))</formula>
    </cfRule>
  </conditionalFormatting>
  <conditionalFormatting sqref="D1671 D1674:D1675">
    <cfRule type="containsText" dxfId="2456" priority="7375" operator="containsText" text="Pesquisa de Preços">
      <formula>NOT(ISERROR(SEARCH("Pesquisa de Preços",D1671)))</formula>
    </cfRule>
  </conditionalFormatting>
  <conditionalFormatting sqref="D1666 D1668:D1669">
    <cfRule type="containsText" dxfId="2455" priority="7374" operator="containsText" text="Pesquisa de Preços">
      <formula>NOT(ISERROR(SEARCH("Pesquisa de Preços",D1666)))</formula>
    </cfRule>
  </conditionalFormatting>
  <conditionalFormatting sqref="D1716:D1717 D1725">
    <cfRule type="containsText" dxfId="2454" priority="7367" operator="containsText" text="Pesquisa de Preços">
      <formula>NOT(ISERROR(SEARCH("Pesquisa de Preços",D1716)))</formula>
    </cfRule>
  </conditionalFormatting>
  <conditionalFormatting sqref="D1661">
    <cfRule type="containsText" dxfId="2453" priority="7372" operator="containsText" text="Pesquisa de Preços">
      <formula>NOT(ISERROR(SEARCH("Pesquisa de Preços",D1661)))</formula>
    </cfRule>
  </conditionalFormatting>
  <conditionalFormatting sqref="D1656">
    <cfRule type="containsText" dxfId="2452" priority="7373" operator="containsText" text="Pesquisa de Preços">
      <formula>NOT(ISERROR(SEARCH("Pesquisa de Preços",D1656)))</formula>
    </cfRule>
  </conditionalFormatting>
  <conditionalFormatting sqref="D1650 D1653:D1654">
    <cfRule type="containsText" dxfId="2451" priority="7371" operator="containsText" text="Pesquisa de Preços">
      <formula>NOT(ISERROR(SEARCH("Pesquisa de Preços",D1650)))</formula>
    </cfRule>
  </conditionalFormatting>
  <conditionalFormatting sqref="D1747 D1738:D1739">
    <cfRule type="containsText" dxfId="2450" priority="7369" operator="containsText" text="Pesquisa de Preços">
      <formula>NOT(ISERROR(SEARCH("Pesquisa de Preços",D1738)))</formula>
    </cfRule>
  </conditionalFormatting>
  <conditionalFormatting sqref="D1705:D1706 D1714">
    <cfRule type="containsText" dxfId="2449" priority="7368" operator="containsText" text="Pesquisa de Preços">
      <formula>NOT(ISERROR(SEARCH("Pesquisa de Preços",D1705)))</formula>
    </cfRule>
  </conditionalFormatting>
  <conditionalFormatting sqref="D1691:D1692 D1695">
    <cfRule type="containsText" dxfId="2448" priority="7366" operator="containsText" text="Pesquisa de Preços">
      <formula>NOT(ISERROR(SEARCH("Pesquisa de Preços",D1691)))</formula>
    </cfRule>
  </conditionalFormatting>
  <conditionalFormatting sqref="D1697">
    <cfRule type="containsText" dxfId="2447" priority="7365" operator="containsText" text="Pesquisa de Preços">
      <formula>NOT(ISERROR(SEARCH("Pesquisa de Preços",D1697)))</formula>
    </cfRule>
  </conditionalFormatting>
  <conditionalFormatting sqref="D1700:D1701">
    <cfRule type="containsText" dxfId="2446" priority="7364" operator="containsText" text="Pesquisa de Preços">
      <formula>NOT(ISERROR(SEARCH("Pesquisa de Preços",D1700)))</formula>
    </cfRule>
  </conditionalFormatting>
  <conditionalFormatting sqref="D1810">
    <cfRule type="containsText" dxfId="2445" priority="7363" operator="containsText" text="Pesquisa de Preços">
      <formula>NOT(ISERROR(SEARCH("Pesquisa de Preços",D1810)))</formula>
    </cfRule>
  </conditionalFormatting>
  <conditionalFormatting sqref="D1805">
    <cfRule type="containsText" dxfId="2444" priority="7362" operator="containsText" text="Pesquisa de Preços">
      <formula>NOT(ISERROR(SEARCH("Pesquisa de Preços",D1805)))</formula>
    </cfRule>
  </conditionalFormatting>
  <conditionalFormatting sqref="D1815 D1818:D1819">
    <cfRule type="containsText" dxfId="2443" priority="7361" operator="containsText" text="Pesquisa de Preços">
      <formula>NOT(ISERROR(SEARCH("Pesquisa de Preços",D1815)))</formula>
    </cfRule>
  </conditionalFormatting>
  <conditionalFormatting sqref="D1821 D1824:D1825">
    <cfRule type="containsText" dxfId="2442" priority="7359" operator="containsText" text="Pesquisa de Preços">
      <formula>NOT(ISERROR(SEARCH("Pesquisa de Preços",D1821)))</formula>
    </cfRule>
  </conditionalFormatting>
  <conditionalFormatting sqref="D1834 D1837:D1838">
    <cfRule type="containsText" dxfId="2441" priority="7358" operator="containsText" text="Pesquisa de Preços">
      <formula>NOT(ISERROR(SEARCH("Pesquisa de Preços",D1834)))</formula>
    </cfRule>
  </conditionalFormatting>
  <conditionalFormatting sqref="D1840 D1843:D1844">
    <cfRule type="containsText" dxfId="2440" priority="7356" operator="containsText" text="Pesquisa de Preços">
      <formula>NOT(ISERROR(SEARCH("Pesquisa de Preços",D1840)))</formula>
    </cfRule>
  </conditionalFormatting>
  <conditionalFormatting sqref="D1827 D1832">
    <cfRule type="containsText" dxfId="2439" priority="7354" operator="containsText" text="Pesquisa de Preços">
      <formula>NOT(ISERROR(SEARCH("Pesquisa de Preços",D1827)))</formula>
    </cfRule>
  </conditionalFormatting>
  <conditionalFormatting sqref="D1846 D1849:D1850">
    <cfRule type="containsText" dxfId="2438" priority="7353" operator="containsText" text="Pesquisa de Preços">
      <formula>NOT(ISERROR(SEARCH("Pesquisa de Preços",D1846)))</formula>
    </cfRule>
  </conditionalFormatting>
  <conditionalFormatting sqref="D1852 D1856">
    <cfRule type="containsText" dxfId="2437" priority="7351" operator="containsText" text="Pesquisa de Preços">
      <formula>NOT(ISERROR(SEARCH("Pesquisa de Preços",D1852)))</formula>
    </cfRule>
  </conditionalFormatting>
  <conditionalFormatting sqref="D1888 D1891:D1892">
    <cfRule type="containsText" dxfId="2436" priority="7350" operator="containsText" text="Pesquisa de Preços">
      <formula>NOT(ISERROR(SEARCH("Pesquisa de Preços",D1888)))</formula>
    </cfRule>
  </conditionalFormatting>
  <conditionalFormatting sqref="D1864 D1867:D1868">
    <cfRule type="containsText" dxfId="2435" priority="7348" operator="containsText" text="Pesquisa de Preços">
      <formula>NOT(ISERROR(SEARCH("Pesquisa de Preços",D1864)))</formula>
    </cfRule>
  </conditionalFormatting>
  <conditionalFormatting sqref="D1882 D1886">
    <cfRule type="containsText" dxfId="2434" priority="7346" operator="containsText" text="Pesquisa de Preços">
      <formula>NOT(ISERROR(SEARCH("Pesquisa de Preços",D1882)))</formula>
    </cfRule>
  </conditionalFormatting>
  <conditionalFormatting sqref="D1858 D1861:D1862">
    <cfRule type="containsText" dxfId="2433" priority="7345" operator="containsText" text="Pesquisa de Preços">
      <formula>NOT(ISERROR(SEARCH("Pesquisa de Preços",D1858)))</formula>
    </cfRule>
  </conditionalFormatting>
  <conditionalFormatting sqref="D1870 D1873:D1874">
    <cfRule type="containsText" dxfId="2432" priority="7343" operator="containsText" text="Pesquisa de Preços">
      <formula>NOT(ISERROR(SEARCH("Pesquisa de Preços",D1870)))</formula>
    </cfRule>
  </conditionalFormatting>
  <conditionalFormatting sqref="D1876 D1880">
    <cfRule type="containsText" dxfId="2431" priority="7341" operator="containsText" text="Pesquisa de Preços">
      <formula>NOT(ISERROR(SEARCH("Pesquisa de Preços",D1876)))</formula>
    </cfRule>
  </conditionalFormatting>
  <conditionalFormatting sqref="D1921 D1924:D1925">
    <cfRule type="containsText" dxfId="2430" priority="7333" operator="containsText" text="Pesquisa de Preços">
      <formula>NOT(ISERROR(SEARCH("Pesquisa de Preços",D1921)))</formula>
    </cfRule>
  </conditionalFormatting>
  <conditionalFormatting sqref="D1894 D1897:D1898">
    <cfRule type="containsText" dxfId="2429" priority="7340" operator="containsText" text="Pesquisa de Preços">
      <formula>NOT(ISERROR(SEARCH("Pesquisa de Preços",D1894)))</formula>
    </cfRule>
  </conditionalFormatting>
  <conditionalFormatting sqref="D1900 D1903:D1904">
    <cfRule type="containsText" dxfId="2428" priority="7338" operator="containsText" text="Pesquisa de Preços">
      <formula>NOT(ISERROR(SEARCH("Pesquisa de Preços",D1900)))</formula>
    </cfRule>
  </conditionalFormatting>
  <conditionalFormatting sqref="D1906">
    <cfRule type="containsText" dxfId="2427" priority="7336" operator="containsText" text="Pesquisa de Preços">
      <formula>NOT(ISERROR(SEARCH("Pesquisa de Preços",D1906)))</formula>
    </cfRule>
  </conditionalFormatting>
  <conditionalFormatting sqref="D1916 D1919">
    <cfRule type="containsText" dxfId="2426" priority="7335" operator="containsText" text="Pesquisa de Preços">
      <formula>NOT(ISERROR(SEARCH("Pesquisa de Preços",D1916)))</formula>
    </cfRule>
  </conditionalFormatting>
  <conditionalFormatting sqref="D1911">
    <cfRule type="containsText" dxfId="2425" priority="7334" operator="containsText" text="Pesquisa de Preços">
      <formula>NOT(ISERROR(SEARCH("Pesquisa de Preços",D1911)))</formula>
    </cfRule>
  </conditionalFormatting>
  <conditionalFormatting sqref="D1944 D1947:D1948">
    <cfRule type="containsText" dxfId="2424" priority="7332" operator="containsText" text="Pesquisa de Preços">
      <formula>NOT(ISERROR(SEARCH("Pesquisa de Preços",D1944)))</formula>
    </cfRule>
  </conditionalFormatting>
  <conditionalFormatting sqref="D1953:D1954">
    <cfRule type="containsText" dxfId="2423" priority="7330" operator="containsText" text="Pesquisa de Preços">
      <formula>NOT(ISERROR(SEARCH("Pesquisa de Preços",D1953)))</formula>
    </cfRule>
  </conditionalFormatting>
  <conditionalFormatting sqref="D1963 D1968">
    <cfRule type="containsText" dxfId="2422" priority="7327" operator="containsText" text="Pesquisa de Preços">
      <formula>NOT(ISERROR(SEARCH("Pesquisa de Preços",D1963)))</formula>
    </cfRule>
  </conditionalFormatting>
  <conditionalFormatting sqref="D1966">
    <cfRule type="containsText" dxfId="2421" priority="7326" operator="containsText" text="Pesquisa de Preços">
      <formula>NOT(ISERROR(SEARCH("Pesquisa de Preços",D1966)))</formula>
    </cfRule>
  </conditionalFormatting>
  <conditionalFormatting sqref="D1978 D1983:D1984">
    <cfRule type="containsText" dxfId="2420" priority="7329" operator="containsText" text="Pesquisa de Preços">
      <formula>NOT(ISERROR(SEARCH("Pesquisa de Preços",D1978)))</formula>
    </cfRule>
  </conditionalFormatting>
  <conditionalFormatting sqref="D1970 D1976">
    <cfRule type="containsText" dxfId="2419" priority="7328" operator="containsText" text="Pesquisa de Preços">
      <formula>NOT(ISERROR(SEARCH("Pesquisa de Preços",D1970)))</formula>
    </cfRule>
  </conditionalFormatting>
  <conditionalFormatting sqref="D1956 D1961">
    <cfRule type="containsText" dxfId="2418" priority="7325" operator="containsText" text="Pesquisa de Preços">
      <formula>NOT(ISERROR(SEARCH("Pesquisa de Preços",D1956)))</formula>
    </cfRule>
  </conditionalFormatting>
  <conditionalFormatting sqref="D1959">
    <cfRule type="containsText" dxfId="2417" priority="7324" operator="containsText" text="Pesquisa de Preços">
      <formula>NOT(ISERROR(SEARCH("Pesquisa de Preços",D1959)))</formula>
    </cfRule>
  </conditionalFormatting>
  <conditionalFormatting sqref="D2007 D2012">
    <cfRule type="containsText" dxfId="2416" priority="7323" operator="containsText" text="Pesquisa de Preços">
      <formula>NOT(ISERROR(SEARCH("Pesquisa de Preços",D2007)))</formula>
    </cfRule>
  </conditionalFormatting>
  <conditionalFormatting sqref="D2000 D2005">
    <cfRule type="containsText" dxfId="2415" priority="7322" operator="containsText" text="Pesquisa de Preços">
      <formula>NOT(ISERROR(SEARCH("Pesquisa de Preços",D2000)))</formula>
    </cfRule>
  </conditionalFormatting>
  <conditionalFormatting sqref="D1993 D1998">
    <cfRule type="containsText" dxfId="2414" priority="7320" operator="containsText" text="Pesquisa de Preços">
      <formula>NOT(ISERROR(SEARCH("Pesquisa de Preços",D1993)))</formula>
    </cfRule>
  </conditionalFormatting>
  <conditionalFormatting sqref="D1986 D1991">
    <cfRule type="containsText" dxfId="2413" priority="7318" operator="containsText" text="Pesquisa de Preços">
      <formula>NOT(ISERROR(SEARCH("Pesquisa de Preços",D1986)))</formula>
    </cfRule>
  </conditionalFormatting>
  <conditionalFormatting sqref="D2132">
    <cfRule type="containsText" dxfId="2412" priority="7317" operator="containsText" text="Pesquisa de Preços">
      <formula>NOT(ISERROR(SEARCH("Pesquisa de Preços",D2132)))</formula>
    </cfRule>
  </conditionalFormatting>
  <conditionalFormatting sqref="D2126">
    <cfRule type="containsText" dxfId="2411" priority="7315" operator="containsText" text="Pesquisa de Preços">
      <formula>NOT(ISERROR(SEARCH("Pesquisa de Preços",D2126)))</formula>
    </cfRule>
  </conditionalFormatting>
  <conditionalFormatting sqref="D2120">
    <cfRule type="containsText" dxfId="2410" priority="7313" operator="containsText" text="Pesquisa de Preços">
      <formula>NOT(ISERROR(SEARCH("Pesquisa de Preços",D2120)))</formula>
    </cfRule>
  </conditionalFormatting>
  <conditionalFormatting sqref="D2114">
    <cfRule type="containsText" dxfId="2409" priority="7311" operator="containsText" text="Pesquisa de Preços">
      <formula>NOT(ISERROR(SEARCH("Pesquisa de Preços",D2114)))</formula>
    </cfRule>
  </conditionalFormatting>
  <conditionalFormatting sqref="D2146 D2150:D2152">
    <cfRule type="containsText" dxfId="2408" priority="7309" operator="containsText" text="Pesquisa de Preços">
      <formula>NOT(ISERROR(SEARCH("Pesquisa de Preços",D2146)))</formula>
    </cfRule>
  </conditionalFormatting>
  <conditionalFormatting sqref="D2162 D2166:D2168">
    <cfRule type="containsText" dxfId="2407" priority="7308" operator="containsText" text="Pesquisa de Preços">
      <formula>NOT(ISERROR(SEARCH("Pesquisa de Preços",D2162)))</formula>
    </cfRule>
  </conditionalFormatting>
  <conditionalFormatting sqref="D2142:D2144">
    <cfRule type="containsText" dxfId="2406" priority="7307" operator="containsText" text="Pesquisa de Preços">
      <formula>NOT(ISERROR(SEARCH("Pesquisa de Preços",D2142)))</formula>
    </cfRule>
  </conditionalFormatting>
  <conditionalFormatting sqref="D2174:D2176">
    <cfRule type="containsText" dxfId="2405" priority="7306" operator="containsText" text="Pesquisa de Preços">
      <formula>NOT(ISERROR(SEARCH("Pesquisa de Preços",D2174)))</formula>
    </cfRule>
  </conditionalFormatting>
  <conditionalFormatting sqref="D2052 D2056:D2058">
    <cfRule type="containsText" dxfId="2404" priority="7302" operator="containsText" text="Pesquisa de Preços">
      <formula>NOT(ISERROR(SEARCH("Pesquisa de Preços",D2052)))</formula>
    </cfRule>
  </conditionalFormatting>
  <conditionalFormatting sqref="D2158:D2160">
    <cfRule type="containsText" dxfId="2403" priority="7305" operator="containsText" text="Pesquisa de Preços">
      <formula>NOT(ISERROR(SEARCH("Pesquisa de Preços",D2158)))</formula>
    </cfRule>
  </conditionalFormatting>
  <conditionalFormatting sqref="D2182:D2184">
    <cfRule type="containsText" dxfId="2402" priority="7304" operator="containsText" text="Pesquisa de Preços">
      <formula>NOT(ISERROR(SEARCH("Pesquisa de Preços",D2182)))</formula>
    </cfRule>
  </conditionalFormatting>
  <conditionalFormatting sqref="D2036 D2040:D2042">
    <cfRule type="containsText" dxfId="2401" priority="7303" operator="containsText" text="Pesquisa de Preços">
      <formula>NOT(ISERROR(SEARCH("Pesquisa de Preços",D2036)))</formula>
    </cfRule>
  </conditionalFormatting>
  <conditionalFormatting sqref="D2044 D2048:D2050">
    <cfRule type="containsText" dxfId="2400" priority="7299" operator="containsText" text="Pesquisa de Preços">
      <formula>NOT(ISERROR(SEARCH("Pesquisa de Preços",D2044)))</formula>
    </cfRule>
  </conditionalFormatting>
  <conditionalFormatting sqref="D2329:D2330 D2333">
    <cfRule type="containsText" dxfId="2399" priority="7274" operator="containsText" text="Pesquisa de Preços">
      <formula>NOT(ISERROR(SEARCH("Pesquisa de Preços",D2329)))</formula>
    </cfRule>
  </conditionalFormatting>
  <conditionalFormatting sqref="D2028 D2032:D2034">
    <cfRule type="containsText" dxfId="2398" priority="7301" operator="containsText" text="Pesquisa de Preços">
      <formula>NOT(ISERROR(SEARCH("Pesquisa de Preços",D2028)))</formula>
    </cfRule>
  </conditionalFormatting>
  <conditionalFormatting sqref="D2060 D2064:D2066">
    <cfRule type="containsText" dxfId="2397" priority="7300" operator="containsText" text="Pesquisa de Preços">
      <formula>NOT(ISERROR(SEARCH("Pesquisa de Preços",D2060)))</formula>
    </cfRule>
  </conditionalFormatting>
  <conditionalFormatting sqref="D2308">
    <cfRule type="containsText" dxfId="2396" priority="7276" operator="containsText" text="Pesquisa de Preços">
      <formula>NOT(ISERROR(SEARCH("Pesquisa de Preços",D2308)))</formula>
    </cfRule>
  </conditionalFormatting>
  <conditionalFormatting sqref="D2068 D2072:D2074">
    <cfRule type="containsText" dxfId="2395" priority="7298" operator="containsText" text="Pesquisa de Preços">
      <formula>NOT(ISERROR(SEARCH("Pesquisa de Preços",D2068)))</formula>
    </cfRule>
  </conditionalFormatting>
  <conditionalFormatting sqref="D2247">
    <cfRule type="containsText" dxfId="2394" priority="7286" operator="containsText" text="Pesquisa de Preços">
      <formula>NOT(ISERROR(SEARCH("Pesquisa de Preços",D2247)))</formula>
    </cfRule>
  </conditionalFormatting>
  <conditionalFormatting sqref="D2026">
    <cfRule type="containsText" dxfId="2393" priority="7297" operator="containsText" text="Pesquisa de Preços">
      <formula>NOT(ISERROR(SEARCH("Pesquisa de Preços",D2026)))</formula>
    </cfRule>
  </conditionalFormatting>
  <conditionalFormatting sqref="D2104:D2106">
    <cfRule type="containsText" dxfId="2392" priority="7296" operator="containsText" text="Pesquisa de Preços">
      <formula>NOT(ISERROR(SEARCH("Pesquisa de Preços",D2104)))</formula>
    </cfRule>
  </conditionalFormatting>
  <conditionalFormatting sqref="D2096:D2098">
    <cfRule type="containsText" dxfId="2391" priority="7295" operator="containsText" text="Pesquisa de Preços">
      <formula>NOT(ISERROR(SEARCH("Pesquisa de Preços",D2096)))</formula>
    </cfRule>
  </conditionalFormatting>
  <conditionalFormatting sqref="D2090">
    <cfRule type="containsText" dxfId="2390" priority="7294" operator="containsText" text="Pesquisa de Preços">
      <formula>NOT(ISERROR(SEARCH("Pesquisa de Preços",D2090)))</formula>
    </cfRule>
  </conditionalFormatting>
  <conditionalFormatting sqref="D2014 D2017:D2018">
    <cfRule type="containsText" dxfId="2389" priority="7293" operator="containsText" text="Pesquisa de Preços">
      <formula>NOT(ISERROR(SEARCH("Pesquisa de Preços",D2014)))</formula>
    </cfRule>
  </conditionalFormatting>
  <conditionalFormatting sqref="D2108">
    <cfRule type="containsText" dxfId="2388" priority="7292" operator="containsText" text="Pesquisa de Preços">
      <formula>NOT(ISERROR(SEARCH("Pesquisa de Preços",D2108)))</formula>
    </cfRule>
  </conditionalFormatting>
  <conditionalFormatting sqref="D2202">
    <cfRule type="containsText" dxfId="2387" priority="7291" operator="containsText" text="Pesquisa de Preços">
      <formula>NOT(ISERROR(SEARCH("Pesquisa de Preços",D2202)))</formula>
    </cfRule>
  </conditionalFormatting>
  <conditionalFormatting sqref="D2207">
    <cfRule type="containsText" dxfId="2386" priority="7290" operator="containsText" text="Pesquisa de Preços">
      <formula>NOT(ISERROR(SEARCH("Pesquisa de Preços",D2207)))</formula>
    </cfRule>
  </conditionalFormatting>
  <conditionalFormatting sqref="D2227 D2230:D2231">
    <cfRule type="containsText" dxfId="2385" priority="7288" operator="containsText" text="Pesquisa de Preços">
      <formula>NOT(ISERROR(SEARCH("Pesquisa de Preços",D2227)))</formula>
    </cfRule>
  </conditionalFormatting>
  <conditionalFormatting sqref="D2221 D2225">
    <cfRule type="containsText" dxfId="2384" priority="7287" operator="containsText" text="Pesquisa de Preços">
      <formula>NOT(ISERROR(SEARCH("Pesquisa de Preços",D2221)))</formula>
    </cfRule>
  </conditionalFormatting>
  <conditionalFormatting sqref="D2293">
    <cfRule type="containsText" dxfId="2383" priority="7284" operator="containsText" text="Pesquisa de Preços">
      <formula>NOT(ISERROR(SEARCH("Pesquisa de Preços",D2293)))</formula>
    </cfRule>
  </conditionalFormatting>
  <conditionalFormatting sqref="D2250">
    <cfRule type="containsText" dxfId="2382" priority="7285" operator="containsText" text="Pesquisa de Preços">
      <formula>NOT(ISERROR(SEARCH("Pesquisa de Preços",D2250)))</formula>
    </cfRule>
  </conditionalFormatting>
  <conditionalFormatting sqref="D2283">
    <cfRule type="containsText" dxfId="2381" priority="7283" operator="containsText" text="Pesquisa de Preços">
      <formula>NOT(ISERROR(SEARCH("Pesquisa de Preços",D2283)))</formula>
    </cfRule>
  </conditionalFormatting>
  <conditionalFormatting sqref="D2273 D2281">
    <cfRule type="containsText" dxfId="2380" priority="7281" operator="containsText" text="Pesquisa de Preços">
      <formula>NOT(ISERROR(SEARCH("Pesquisa de Preços",D2273)))</formula>
    </cfRule>
  </conditionalFormatting>
  <conditionalFormatting sqref="D2233">
    <cfRule type="containsText" dxfId="2379" priority="7280" operator="containsText" text="Pesquisa de Preços">
      <formula>NOT(ISERROR(SEARCH("Pesquisa de Preços",D2233)))</formula>
    </cfRule>
  </conditionalFormatting>
  <conditionalFormatting sqref="D2310">
    <cfRule type="containsText" dxfId="2378" priority="7278" operator="containsText" text="Pesquisa de Preços">
      <formula>NOT(ISERROR(SEARCH("Pesquisa de Preços",D2310)))</formula>
    </cfRule>
  </conditionalFormatting>
  <conditionalFormatting sqref="D2341">
    <cfRule type="containsText" dxfId="2377" priority="7275" operator="containsText" text="Pesquisa de Preços">
      <formula>NOT(ISERROR(SEARCH("Pesquisa de Preços",D2341)))</formula>
    </cfRule>
  </conditionalFormatting>
  <conditionalFormatting sqref="D2323:D2324 D2327">
    <cfRule type="containsText" dxfId="2376" priority="7272" operator="containsText" text="Pesquisa de Preços">
      <formula>NOT(ISERROR(SEARCH("Pesquisa de Preços",D2323)))</formula>
    </cfRule>
  </conditionalFormatting>
  <conditionalFormatting sqref="D2335:D2336 D2339">
    <cfRule type="containsText" dxfId="2375" priority="7270" operator="containsText" text="Pesquisa de Preços">
      <formula>NOT(ISERROR(SEARCH("Pesquisa de Preços",D2335)))</formula>
    </cfRule>
  </conditionalFormatting>
  <conditionalFormatting sqref="D2317 D2321">
    <cfRule type="containsText" dxfId="2374" priority="7268" operator="containsText" text="Pesquisa de Preços">
      <formula>NOT(ISERROR(SEARCH("Pesquisa de Preços",D2317)))</formula>
    </cfRule>
  </conditionalFormatting>
  <conditionalFormatting sqref="D2346 D2348:D2349">
    <cfRule type="containsText" dxfId="2373" priority="7266" operator="containsText" text="Pesquisa de Preços">
      <formula>NOT(ISERROR(SEARCH("Pesquisa de Preços",D2346)))</formula>
    </cfRule>
  </conditionalFormatting>
  <conditionalFormatting sqref="D2351 D2353:D2354">
    <cfRule type="containsText" dxfId="2372" priority="7265" operator="containsText" text="Pesquisa de Preços">
      <formula>NOT(ISERROR(SEARCH("Pesquisa de Preços",D2351)))</formula>
    </cfRule>
  </conditionalFormatting>
  <conditionalFormatting sqref="D898 D901:D903">
    <cfRule type="containsText" dxfId="2371" priority="7264" operator="containsText" text="Pesquisa de Preços">
      <formula>NOT(ISERROR(SEARCH("Pesquisa de Preços",D898)))</formula>
    </cfRule>
  </conditionalFormatting>
  <conditionalFormatting sqref="D858:D859">
    <cfRule type="containsText" dxfId="2370" priority="7259" operator="containsText" text="Pesquisa de Preços">
      <formula>NOT(ISERROR(SEARCH("Pesquisa de Preços",D858)))</formula>
    </cfRule>
  </conditionalFormatting>
  <conditionalFormatting sqref="D877 D883">
    <cfRule type="containsText" dxfId="2369" priority="7263" operator="containsText" text="Pesquisa de Preços">
      <formula>NOT(ISERROR(SEARCH("Pesquisa de Preços",D877)))</formula>
    </cfRule>
  </conditionalFormatting>
  <conditionalFormatting sqref="D885 D891">
    <cfRule type="containsText" dxfId="2368" priority="7261" operator="containsText" text="Pesquisa de Preços">
      <formula>NOT(ISERROR(SEARCH("Pesquisa de Preços",D885)))</formula>
    </cfRule>
  </conditionalFormatting>
  <conditionalFormatting sqref="D859">
    <cfRule type="containsText" dxfId="2367" priority="7258" operator="containsText" text="Pesquisa de Preços">
      <formula>NOT(ISERROR(SEARCH("Pesquisa de Preços",D859)))</formula>
    </cfRule>
  </conditionalFormatting>
  <conditionalFormatting sqref="D847 D849:D850">
    <cfRule type="containsText" dxfId="2366" priority="7257" operator="containsText" text="Pesquisa de Preços">
      <formula>NOT(ISERROR(SEARCH("Pesquisa de Preços",D847)))</formula>
    </cfRule>
  </conditionalFormatting>
  <conditionalFormatting sqref="D852 D856">
    <cfRule type="containsText" dxfId="2365" priority="7256" operator="containsText" text="Pesquisa de Preços">
      <formula>NOT(ISERROR(SEARCH("Pesquisa de Preços",D852)))</formula>
    </cfRule>
  </conditionalFormatting>
  <conditionalFormatting sqref="D869">
    <cfRule type="containsText" dxfId="2364" priority="7255" operator="containsText" text="Pesquisa de Preços">
      <formula>NOT(ISERROR(SEARCH("Pesquisa de Preços",D869)))</formula>
    </cfRule>
  </conditionalFormatting>
  <conditionalFormatting sqref="D864">
    <cfRule type="containsText" dxfId="2363" priority="7254" operator="containsText" text="Pesquisa de Preços">
      <formula>NOT(ISERROR(SEARCH("Pesquisa de Preços",D864)))</formula>
    </cfRule>
  </conditionalFormatting>
  <conditionalFormatting sqref="D893">
    <cfRule type="containsText" dxfId="2362" priority="7253" operator="containsText" text="Pesquisa de Preços">
      <formula>NOT(ISERROR(SEARCH("Pesquisa de Preços",D893)))</formula>
    </cfRule>
  </conditionalFormatting>
  <conditionalFormatting sqref="D905">
    <cfRule type="containsText" dxfId="2361" priority="7251" operator="containsText" text="Pesquisa de Preços">
      <formula>NOT(ISERROR(SEARCH("Pesquisa de Preços",D905)))</formula>
    </cfRule>
  </conditionalFormatting>
  <conditionalFormatting sqref="D2362:D2363">
    <cfRule type="containsText" dxfId="2360" priority="7250" operator="containsText" text="Pesquisa de Preços">
      <formula>NOT(ISERROR(SEARCH("Pesquisa de Preços",D2362)))</formula>
    </cfRule>
  </conditionalFormatting>
  <conditionalFormatting sqref="D2370 D2373 D2375">
    <cfRule type="containsText" dxfId="2359" priority="7249" operator="containsText" text="Pesquisa de Preços">
      <formula>NOT(ISERROR(SEARCH("Pesquisa de Preços",D2370)))</formula>
    </cfRule>
  </conditionalFormatting>
  <conditionalFormatting sqref="D2356 D2359:D2360">
    <cfRule type="containsText" dxfId="2358" priority="7248" operator="containsText" text="Pesquisa de Preços">
      <formula>NOT(ISERROR(SEARCH("Pesquisa de Preços",D2356)))</formula>
    </cfRule>
  </conditionalFormatting>
  <conditionalFormatting sqref="D2383 D2388">
    <cfRule type="containsText" dxfId="2357" priority="7246" operator="containsText" text="Pesquisa de Preços">
      <formula>NOT(ISERROR(SEARCH("Pesquisa de Preços",D2383)))</formula>
    </cfRule>
  </conditionalFormatting>
  <conditionalFormatting sqref="D2377">
    <cfRule type="containsText" dxfId="2356" priority="7245" operator="containsText" text="Pesquisa de Preços">
      <formula>NOT(ISERROR(SEARCH("Pesquisa de Preços",D2377)))</formula>
    </cfRule>
  </conditionalFormatting>
  <conditionalFormatting sqref="D1763 D1768">
    <cfRule type="containsText" dxfId="2355" priority="7243" operator="containsText" text="Pesquisa de Preços">
      <formula>NOT(ISERROR(SEARCH("Pesquisa de Preços",D1763)))</formula>
    </cfRule>
  </conditionalFormatting>
  <conditionalFormatting sqref="D1766">
    <cfRule type="containsText" dxfId="2354" priority="7242" operator="containsText" text="Pesquisa de Preços">
      <formula>NOT(ISERROR(SEARCH("Pesquisa de Preços",D1766)))</formula>
    </cfRule>
  </conditionalFormatting>
  <conditionalFormatting sqref="D1777 D1782">
    <cfRule type="containsText" dxfId="2353" priority="7240" operator="containsText" text="Pesquisa de Preços">
      <formula>NOT(ISERROR(SEARCH("Pesquisa de Preços",D1777)))</formula>
    </cfRule>
  </conditionalFormatting>
  <conditionalFormatting sqref="D1780">
    <cfRule type="containsText" dxfId="2352" priority="7239" operator="containsText" text="Pesquisa de Preços">
      <formula>NOT(ISERROR(SEARCH("Pesquisa de Preços",D1780)))</formula>
    </cfRule>
  </conditionalFormatting>
  <conditionalFormatting sqref="D1791 D1796">
    <cfRule type="containsText" dxfId="2351" priority="7237" operator="containsText" text="Pesquisa de Preços">
      <formula>NOT(ISERROR(SEARCH("Pesquisa de Preços",D1791)))</formula>
    </cfRule>
  </conditionalFormatting>
  <conditionalFormatting sqref="D1794">
    <cfRule type="containsText" dxfId="2350" priority="7236" operator="containsText" text="Pesquisa de Preços">
      <formula>NOT(ISERROR(SEARCH("Pesquisa de Preços",D1794)))</formula>
    </cfRule>
  </conditionalFormatting>
  <conditionalFormatting sqref="D1749 D1754">
    <cfRule type="containsText" dxfId="2349" priority="7234" operator="containsText" text="Pesquisa de Preços">
      <formula>NOT(ISERROR(SEARCH("Pesquisa de Preços",D1749)))</formula>
    </cfRule>
  </conditionalFormatting>
  <conditionalFormatting sqref="D1752">
    <cfRule type="containsText" dxfId="2348" priority="7233" operator="containsText" text="Pesquisa de Preços">
      <formula>NOT(ISERROR(SEARCH("Pesquisa de Preços",D1752)))</formula>
    </cfRule>
  </conditionalFormatting>
  <conditionalFormatting sqref="D1756 D1761">
    <cfRule type="containsText" dxfId="2347" priority="7231" operator="containsText" text="Pesquisa de Preços">
      <formula>NOT(ISERROR(SEARCH("Pesquisa de Preços",D1756)))</formula>
    </cfRule>
  </conditionalFormatting>
  <conditionalFormatting sqref="D595">
    <cfRule type="containsText" dxfId="2346" priority="7169" operator="containsText" text="Pesquisa de Preços">
      <formula>NOT(ISERROR(SEARCH("Pesquisa de Preços",D595)))</formula>
    </cfRule>
  </conditionalFormatting>
  <conditionalFormatting sqref="D1759">
    <cfRule type="containsText" dxfId="2345" priority="7230" operator="containsText" text="Pesquisa de Preços">
      <formula>NOT(ISERROR(SEARCH("Pesquisa de Preços",D1759)))</formula>
    </cfRule>
  </conditionalFormatting>
  <conditionalFormatting sqref="D1775 D1770">
    <cfRule type="containsText" dxfId="2344" priority="7228" operator="containsText" text="Pesquisa de Preços">
      <formula>NOT(ISERROR(SEARCH("Pesquisa de Preços",D1770)))</formula>
    </cfRule>
  </conditionalFormatting>
  <conditionalFormatting sqref="D1773">
    <cfRule type="containsText" dxfId="2343" priority="7227" operator="containsText" text="Pesquisa de Preços">
      <formula>NOT(ISERROR(SEARCH("Pesquisa de Preços",D1773)))</formula>
    </cfRule>
  </conditionalFormatting>
  <conditionalFormatting sqref="D1784 D1789">
    <cfRule type="containsText" dxfId="2342" priority="7226" operator="containsText" text="Pesquisa de Preços">
      <formula>NOT(ISERROR(SEARCH("Pesquisa de Preços",D1784)))</formula>
    </cfRule>
  </conditionalFormatting>
  <conditionalFormatting sqref="D1787">
    <cfRule type="containsText" dxfId="2341" priority="7225" operator="containsText" text="Pesquisa de Preços">
      <formula>NOT(ISERROR(SEARCH("Pesquisa de Preços",D1787)))</formula>
    </cfRule>
  </conditionalFormatting>
  <conditionalFormatting sqref="D1175">
    <cfRule type="containsText" dxfId="2340" priority="7224" operator="containsText" text="Pesquisa de Preços">
      <formula>NOT(ISERROR(SEARCH("Pesquisa de Preços",D1175)))</formula>
    </cfRule>
  </conditionalFormatting>
  <conditionalFormatting sqref="D1855">
    <cfRule type="containsText" dxfId="2339" priority="7223" operator="containsText" text="Pesquisa de Preços">
      <formula>NOT(ISERROR(SEARCH("Pesquisa de Preços",D1855)))</formula>
    </cfRule>
  </conditionalFormatting>
  <conditionalFormatting sqref="D1975">
    <cfRule type="containsText" dxfId="2338" priority="7221" operator="containsText" text="Pesquisa de Preços">
      <formula>NOT(ISERROR(SEARCH("Pesquisa de Preços",D1975)))</formula>
    </cfRule>
  </conditionalFormatting>
  <conditionalFormatting sqref="D2088:D2089">
    <cfRule type="containsText" dxfId="2337" priority="7218" operator="containsText" text="Pesquisa de Preços">
      <formula>NOT(ISERROR(SEARCH("Pesquisa de Preços",D2088)))</formula>
    </cfRule>
  </conditionalFormatting>
  <conditionalFormatting sqref="D2024:D2025">
    <cfRule type="containsText" dxfId="2336" priority="7217" operator="containsText" text="Pesquisa de Preços">
      <formula>NOT(ISERROR(SEARCH("Pesquisa de Preços",D2024)))</formula>
    </cfRule>
  </conditionalFormatting>
  <conditionalFormatting sqref="D1680">
    <cfRule type="containsText" dxfId="2335" priority="7123" operator="containsText" text="Pesquisa de Preços">
      <formula>NOT(ISERROR(SEARCH("Pesquisa de Preços",D1680)))</formula>
    </cfRule>
  </conditionalFormatting>
  <conditionalFormatting sqref="D451">
    <cfRule type="containsText" dxfId="2334" priority="7214" operator="containsText" text="Pesquisa de Preços">
      <formula>NOT(ISERROR(SEARCH("Pesquisa de Preços",D451)))</formula>
    </cfRule>
  </conditionalFormatting>
  <conditionalFormatting sqref="D207">
    <cfRule type="containsText" dxfId="2333" priority="7211" operator="containsText" text="Pesquisa de Preços">
      <formula>NOT(ISERROR(SEARCH("Pesquisa de Preços",D207)))</formula>
    </cfRule>
  </conditionalFormatting>
  <conditionalFormatting sqref="D104">
    <cfRule type="containsText" dxfId="2332" priority="7210" operator="containsText" text="Pesquisa de Preços">
      <formula>NOT(ISERROR(SEARCH("Pesquisa de Preços",D104)))</formula>
    </cfRule>
  </conditionalFormatting>
  <conditionalFormatting sqref="D424">
    <cfRule type="containsText" dxfId="2331" priority="7209" operator="containsText" text="Pesquisa de Preços">
      <formula>NOT(ISERROR(SEARCH("Pesquisa de Preços",D424)))</formula>
    </cfRule>
  </conditionalFormatting>
  <conditionalFormatting sqref="D428">
    <cfRule type="containsText" dxfId="2330" priority="7208" operator="containsText" text="Pesquisa de Preços">
      <formula>NOT(ISERROR(SEARCH("Pesquisa de Preços",D428)))</formula>
    </cfRule>
  </conditionalFormatting>
  <conditionalFormatting sqref="D617 D621">
    <cfRule type="containsText" dxfId="2329" priority="7207" operator="containsText" text="Pesquisa de Preços">
      <formula>NOT(ISERROR(SEARCH("Pesquisa de Preços",D617)))</formula>
    </cfRule>
  </conditionalFormatting>
  <conditionalFormatting sqref="D590 D596">
    <cfRule type="containsText" dxfId="2328" priority="7205" operator="containsText" text="Pesquisa de Preços">
      <formula>NOT(ISERROR(SEARCH("Pesquisa de Preços",D590)))</formula>
    </cfRule>
  </conditionalFormatting>
  <conditionalFormatting sqref="D639 D644">
    <cfRule type="containsText" dxfId="2327" priority="7203" operator="containsText" text="Pesquisa de Preços">
      <formula>NOT(ISERROR(SEARCH("Pesquisa de Preços",D639)))</formula>
    </cfRule>
  </conditionalFormatting>
  <conditionalFormatting sqref="D608 D615">
    <cfRule type="containsText" dxfId="2326" priority="7163" operator="containsText" text="Pesquisa de Preços">
      <formula>NOT(ISERROR(SEARCH("Pesquisa de Preços",D608)))</formula>
    </cfRule>
  </conditionalFormatting>
  <conditionalFormatting sqref="D738">
    <cfRule type="containsText" dxfId="2325" priority="7159" operator="containsText" text="Pesquisa de Preços">
      <formula>NOT(ISERROR(SEARCH("Pesquisa de Preços",D738)))</formula>
    </cfRule>
  </conditionalFormatting>
  <conditionalFormatting sqref="D1885">
    <cfRule type="containsText" dxfId="2324" priority="7173" operator="containsText" text="Pesquisa de Preços">
      <formula>NOT(ISERROR(SEARCH("Pesquisa de Preços",D1885)))</formula>
    </cfRule>
  </conditionalFormatting>
  <conditionalFormatting sqref="D1879">
    <cfRule type="containsText" dxfId="2323" priority="7171" operator="containsText" text="Pesquisa de Preços">
      <formula>NOT(ISERROR(SEARCH("Pesquisa de Preços",D1879)))</formula>
    </cfRule>
  </conditionalFormatting>
  <conditionalFormatting sqref="D382">
    <cfRule type="containsText" dxfId="2322" priority="7167" operator="containsText" text="Pesquisa de Preços">
      <formula>NOT(ISERROR(SEARCH("Pesquisa de Preços",D382)))</formula>
    </cfRule>
  </conditionalFormatting>
  <conditionalFormatting sqref="D1073">
    <cfRule type="containsText" dxfId="2321" priority="7067" operator="containsText" text="Pesquisa de Preços">
      <formula>NOT(ISERROR(SEARCH("Pesquisa de Preços",D1073)))</formula>
    </cfRule>
  </conditionalFormatting>
  <conditionalFormatting sqref="D606">
    <cfRule type="containsText" dxfId="2320" priority="7165" operator="containsText" text="Pesquisa de Preços">
      <formula>NOT(ISERROR(SEARCH("Pesquisa de Preços",D606)))</formula>
    </cfRule>
  </conditionalFormatting>
  <conditionalFormatting sqref="D598">
    <cfRule type="containsText" dxfId="2319" priority="7164" operator="containsText" text="Pesquisa de Preços">
      <formula>NOT(ISERROR(SEARCH("Pesquisa de Preços",D598)))</formula>
    </cfRule>
  </conditionalFormatting>
  <conditionalFormatting sqref="D599">
    <cfRule type="containsText" dxfId="2318" priority="7162" operator="containsText" text="Pesquisa de Preços">
      <formula>NOT(ISERROR(SEARCH("Pesquisa de Preços",D599)))</formula>
    </cfRule>
  </conditionalFormatting>
  <conditionalFormatting sqref="D609">
    <cfRule type="containsText" dxfId="2317" priority="7161" operator="containsText" text="Pesquisa de Preços">
      <formula>NOT(ISERROR(SEARCH("Pesquisa de Preços",D609)))</formula>
    </cfRule>
  </conditionalFormatting>
  <conditionalFormatting sqref="D631 D636:D637">
    <cfRule type="containsText" dxfId="2316" priority="7157" operator="containsText" text="Pesquisa de Preços">
      <formula>NOT(ISERROR(SEARCH("Pesquisa de Preços",D631)))</formula>
    </cfRule>
  </conditionalFormatting>
  <conditionalFormatting sqref="D1254 D1259">
    <cfRule type="containsText" dxfId="2315" priority="7153" operator="containsText" text="Pesquisa de Preços">
      <formula>NOT(ISERROR(SEARCH("Pesquisa de Preços",D1254)))</formula>
    </cfRule>
  </conditionalFormatting>
  <conditionalFormatting sqref="D1160 D1165">
    <cfRule type="containsText" dxfId="2314" priority="7150" operator="containsText" text="Pesquisa de Preços">
      <formula>NOT(ISERROR(SEARCH("Pesquisa de Preços",D1160)))</formula>
    </cfRule>
  </conditionalFormatting>
  <conditionalFormatting sqref="D1216 D1221">
    <cfRule type="containsText" dxfId="2313" priority="7148" operator="containsText" text="Pesquisa de Preços">
      <formula>NOT(ISERROR(SEARCH("Pesquisa de Preços",D1216)))</formula>
    </cfRule>
  </conditionalFormatting>
  <conditionalFormatting sqref="D671">
    <cfRule type="containsText" dxfId="2312" priority="7146" operator="containsText" text="Pesquisa de Preços">
      <formula>NOT(ISERROR(SEARCH("Pesquisa de Preços",D671)))</formula>
    </cfRule>
  </conditionalFormatting>
  <conditionalFormatting sqref="D739">
    <cfRule type="containsText" dxfId="2311" priority="7145" operator="containsText" text="Pesquisa de Preços">
      <formula>NOT(ISERROR(SEARCH("Pesquisa de Preços",D739)))</formula>
    </cfRule>
  </conditionalFormatting>
  <conditionalFormatting sqref="D867">
    <cfRule type="containsText" dxfId="2310" priority="7142" operator="containsText" text="Pesquisa de Preços">
      <formula>NOT(ISERROR(SEARCH("Pesquisa de Preços",D867)))</formula>
    </cfRule>
  </conditionalFormatting>
  <conditionalFormatting sqref="D1512">
    <cfRule type="containsText" dxfId="2309" priority="7065" operator="containsText" text="Pesquisa de Preços">
      <formula>NOT(ISERROR(SEARCH("Pesquisa de Preços",D1512)))</formula>
    </cfRule>
  </conditionalFormatting>
  <conditionalFormatting sqref="D1606">
    <cfRule type="containsText" dxfId="2308" priority="7122" operator="containsText" text="Pesquisa de Preços">
      <formula>NOT(ISERROR(SEARCH("Pesquisa de Preços",D1606)))</formula>
    </cfRule>
  </conditionalFormatting>
  <conditionalFormatting sqref="D1460">
    <cfRule type="containsText" dxfId="2307" priority="7064" operator="containsText" text="Pesquisa de Preços">
      <formula>NOT(ISERROR(SEARCH("Pesquisa de Preços",D1460)))</formula>
    </cfRule>
  </conditionalFormatting>
  <conditionalFormatting sqref="D1829">
    <cfRule type="containsText" dxfId="2306" priority="7102" operator="containsText" text="Pesquisa de Preços">
      <formula>NOT(ISERROR(SEARCH("Pesquisa de Preços",D1829)))</formula>
    </cfRule>
  </conditionalFormatting>
  <conditionalFormatting sqref="D839">
    <cfRule type="containsText" dxfId="2305" priority="7079" operator="containsText" text="Pesquisa de Preços">
      <formula>NOT(ISERROR(SEARCH("Pesquisa de Preços",D839)))</formula>
    </cfRule>
  </conditionalFormatting>
  <conditionalFormatting sqref="D839">
    <cfRule type="containsText" dxfId="2304" priority="7078" operator="containsText" text="Pesquisa de Preços">
      <formula>NOT(ISERROR(SEARCH("Pesquisa de Preços",D839)))</formula>
    </cfRule>
  </conditionalFormatting>
  <conditionalFormatting sqref="D873">
    <cfRule type="containsText" dxfId="2303" priority="7070" operator="containsText" text="Pesquisa de Preços">
      <formula>NOT(ISERROR(SEARCH("Pesquisa de Preços",D873)))</formula>
    </cfRule>
  </conditionalFormatting>
  <conditionalFormatting sqref="G2946">
    <cfRule type="notContainsText" dxfId="2302" priority="7061" operator="notContains" text="Sinapi">
      <formula>ISERROR(SEARCH("Sinapi",G2946))</formula>
    </cfRule>
  </conditionalFormatting>
  <conditionalFormatting sqref="G2951">
    <cfRule type="notContainsText" dxfId="2301" priority="7060" operator="notContains" text="Sinapi">
      <formula>ISERROR(SEARCH("Sinapi",G2951))</formula>
    </cfRule>
  </conditionalFormatting>
  <conditionalFormatting sqref="G2956">
    <cfRule type="notContainsText" dxfId="2300" priority="7059" operator="notContains" text="Sinapi">
      <formula>ISERROR(SEARCH("Sinapi",G2956))</formula>
    </cfRule>
  </conditionalFormatting>
  <conditionalFormatting sqref="G2961">
    <cfRule type="notContainsText" dxfId="2299" priority="7058" operator="notContains" text="Sinapi">
      <formula>ISERROR(SEARCH("Sinapi",G2961))</formula>
    </cfRule>
  </conditionalFormatting>
  <conditionalFormatting sqref="G2966">
    <cfRule type="notContainsText" dxfId="2298" priority="7057" operator="notContains" text="Sinapi">
      <formula>ISERROR(SEARCH("Sinapi",G2966))</formula>
    </cfRule>
  </conditionalFormatting>
  <conditionalFormatting sqref="G2971">
    <cfRule type="notContainsText" dxfId="2297" priority="7056" operator="notContains" text="Sinapi">
      <formula>ISERROR(SEARCH("Sinapi",G2971))</formula>
    </cfRule>
  </conditionalFormatting>
  <conditionalFormatting sqref="G2976">
    <cfRule type="notContainsText" dxfId="2296" priority="7055" operator="notContains" text="Sinapi">
      <formula>ISERROR(SEARCH("Sinapi",G2976))</formula>
    </cfRule>
  </conditionalFormatting>
  <conditionalFormatting sqref="G2981">
    <cfRule type="notContainsText" dxfId="2295" priority="7054" operator="notContains" text="Sinapi">
      <formula>ISERROR(SEARCH("Sinapi",G2981))</formula>
    </cfRule>
  </conditionalFormatting>
  <conditionalFormatting sqref="G3001">
    <cfRule type="notContainsText" dxfId="2294" priority="7052" operator="notContains" text="Sinapi">
      <formula>ISERROR(SEARCH("Sinapi",G3001))</formula>
    </cfRule>
  </conditionalFormatting>
  <conditionalFormatting sqref="G2996">
    <cfRule type="notContainsText" dxfId="2293" priority="7053" operator="notContains" text="Sinapi">
      <formula>ISERROR(SEARCH("Sinapi",G2996))</formula>
    </cfRule>
  </conditionalFormatting>
  <conditionalFormatting sqref="G3006">
    <cfRule type="notContainsText" dxfId="2292" priority="7051" operator="notContains" text="Sinapi">
      <formula>ISERROR(SEARCH("Sinapi",G3006))</formula>
    </cfRule>
  </conditionalFormatting>
  <conditionalFormatting sqref="G3011">
    <cfRule type="notContainsText" dxfId="2291" priority="7050" operator="notContains" text="Sinapi">
      <formula>ISERROR(SEARCH("Sinapi",G3011))</formula>
    </cfRule>
  </conditionalFormatting>
  <conditionalFormatting sqref="G3016">
    <cfRule type="notContainsText" dxfId="2290" priority="7049" operator="notContains" text="Sinapi">
      <formula>ISERROR(SEARCH("Sinapi",G3016))</formula>
    </cfRule>
  </conditionalFormatting>
  <conditionalFormatting sqref="G3021">
    <cfRule type="notContainsText" dxfId="2289" priority="7048" operator="notContains" text="Sinapi">
      <formula>ISERROR(SEARCH("Sinapi",G3021))</formula>
    </cfRule>
  </conditionalFormatting>
  <conditionalFormatting sqref="G3026">
    <cfRule type="notContainsText" dxfId="2288" priority="7047" operator="notContains" text="Sinapi">
      <formula>ISERROR(SEARCH("Sinapi",G3026))</formula>
    </cfRule>
  </conditionalFormatting>
  <conditionalFormatting sqref="G3031">
    <cfRule type="notContainsText" dxfId="2287" priority="7046" operator="notContains" text="Sinapi">
      <formula>ISERROR(SEARCH("Sinapi",G3031))</formula>
    </cfRule>
  </conditionalFormatting>
  <conditionalFormatting sqref="G3036">
    <cfRule type="notContainsText" dxfId="2286" priority="7045" operator="notContains" text="Sinapi">
      <formula>ISERROR(SEARCH("Sinapi",G3036))</formula>
    </cfRule>
  </conditionalFormatting>
  <conditionalFormatting sqref="G3049">
    <cfRule type="notContainsText" dxfId="2285" priority="7044" operator="notContains" text="Sinapi">
      <formula>ISERROR(SEARCH("Sinapi",G3049))</formula>
    </cfRule>
  </conditionalFormatting>
  <conditionalFormatting sqref="G3074">
    <cfRule type="notContainsText" dxfId="2284" priority="7043" operator="notContains" text="Sinapi">
      <formula>ISERROR(SEARCH("Sinapi",G3074))</formula>
    </cfRule>
  </conditionalFormatting>
  <conditionalFormatting sqref="G3087">
    <cfRule type="notContainsText" dxfId="2283" priority="7042" operator="notContains" text="Sinapi">
      <formula>ISERROR(SEARCH("Sinapi",G3087))</formula>
    </cfRule>
  </conditionalFormatting>
  <conditionalFormatting sqref="G3092">
    <cfRule type="notContainsText" dxfId="2282" priority="7041" operator="notContains" text="Sinapi">
      <formula>ISERROR(SEARCH("Sinapi",G3092))</formula>
    </cfRule>
  </conditionalFormatting>
  <conditionalFormatting sqref="G3097">
    <cfRule type="notContainsText" dxfId="2281" priority="7040" operator="notContains" text="Sinapi">
      <formula>ISERROR(SEARCH("Sinapi",G3097))</formula>
    </cfRule>
  </conditionalFormatting>
  <conditionalFormatting sqref="G3102">
    <cfRule type="notContainsText" dxfId="2280" priority="7039" operator="notContains" text="Sinapi">
      <formula>ISERROR(SEARCH("Sinapi",G3102))</formula>
    </cfRule>
  </conditionalFormatting>
  <conditionalFormatting sqref="G3107">
    <cfRule type="notContainsText" dxfId="2279" priority="7038" operator="notContains" text="Sinapi">
      <formula>ISERROR(SEARCH("Sinapi",G3107))</formula>
    </cfRule>
  </conditionalFormatting>
  <conditionalFormatting sqref="G3112">
    <cfRule type="notContainsText" dxfId="2278" priority="7037" operator="notContains" text="Sinapi">
      <formula>ISERROR(SEARCH("Sinapi",G3112))</formula>
    </cfRule>
  </conditionalFormatting>
  <conditionalFormatting sqref="G3117">
    <cfRule type="notContainsText" dxfId="2277" priority="7036" operator="notContains" text="Sinapi">
      <formula>ISERROR(SEARCH("Sinapi",G3117))</formula>
    </cfRule>
  </conditionalFormatting>
  <conditionalFormatting sqref="G3122">
    <cfRule type="notContainsText" dxfId="2276" priority="7035" operator="notContains" text="Sinapi">
      <formula>ISERROR(SEARCH("Sinapi",G3122))</formula>
    </cfRule>
  </conditionalFormatting>
  <conditionalFormatting sqref="G3127">
    <cfRule type="notContainsText" dxfId="2275" priority="7034" operator="notContains" text="Sinapi">
      <formula>ISERROR(SEARCH("Sinapi",G3127))</formula>
    </cfRule>
  </conditionalFormatting>
  <conditionalFormatting sqref="G3167">
    <cfRule type="notContainsText" dxfId="2274" priority="7033" operator="notContains" text="Sinapi">
      <formula>ISERROR(SEARCH("Sinapi",G3167))</formula>
    </cfRule>
  </conditionalFormatting>
  <conditionalFormatting sqref="G3350">
    <cfRule type="notContainsText" dxfId="2273" priority="7032" operator="notContains" text="Sinapi">
      <formula>ISERROR(SEARCH("Sinapi",G3350))</formula>
    </cfRule>
  </conditionalFormatting>
  <conditionalFormatting sqref="G3369">
    <cfRule type="notContainsText" dxfId="2272" priority="7031" operator="notContains" text="Sinapi">
      <formula>ISERROR(SEARCH("Sinapi",G3369))</formula>
    </cfRule>
  </conditionalFormatting>
  <conditionalFormatting sqref="G3380">
    <cfRule type="notContainsText" dxfId="2271" priority="7030" operator="notContains" text="Sinapi">
      <formula>ISERROR(SEARCH("Sinapi",G3380))</formula>
    </cfRule>
  </conditionalFormatting>
  <conditionalFormatting sqref="G3384">
    <cfRule type="notContainsText" dxfId="2270" priority="7029" operator="notContains" text="Sinapi">
      <formula>ISERROR(SEARCH("Sinapi",G3384))</formula>
    </cfRule>
  </conditionalFormatting>
  <conditionalFormatting sqref="D173">
    <cfRule type="containsText" dxfId="2269" priority="7008" operator="containsText" text="Pesquisa de Preços">
      <formula>NOT(ISERROR(SEARCH("Pesquisa de Preços",D173)))</formula>
    </cfRule>
  </conditionalFormatting>
  <conditionalFormatting sqref="G3062">
    <cfRule type="notContainsText" dxfId="2268" priority="7007" operator="notContains" text="Sinapi">
      <formula>ISERROR(SEARCH("Sinapi",G3062))</formula>
    </cfRule>
  </conditionalFormatting>
  <conditionalFormatting sqref="E18 E3383 E263 E2406">
    <cfRule type="containsText" dxfId="2267" priority="6998" operator="containsText" text="Pesquisa de Preços">
      <formula>NOT(ISERROR(SEARCH("Pesquisa de Preços",E18)))</formula>
    </cfRule>
  </conditionalFormatting>
  <conditionalFormatting sqref="E9">
    <cfRule type="containsText" dxfId="2266" priority="6997" operator="containsText" text="Pesquisa de Preços">
      <formula>NOT(ISERROR(SEARCH("Pesquisa de Preços",E9)))</formula>
    </cfRule>
  </conditionalFormatting>
  <conditionalFormatting sqref="E7">
    <cfRule type="containsText" dxfId="2265" priority="6996" operator="containsText" text="Pesquisa de Preços">
      <formula>NOT(ISERROR(SEARCH("Pesquisa de Preços",E7)))</formula>
    </cfRule>
  </conditionalFormatting>
  <conditionalFormatting sqref="E6">
    <cfRule type="containsText" dxfId="2264" priority="6995" operator="containsText" text="Pesquisa de Preços">
      <formula>NOT(ISERROR(SEARCH("Pesquisa de Preços",E6)))</formula>
    </cfRule>
  </conditionalFormatting>
  <conditionalFormatting sqref="E8">
    <cfRule type="containsText" dxfId="2263" priority="6994" operator="containsText" text="Pesquisa de Preços">
      <formula>NOT(ISERROR(SEARCH("Pesquisa de Preços",E8)))</formula>
    </cfRule>
  </conditionalFormatting>
  <conditionalFormatting sqref="E15">
    <cfRule type="containsText" dxfId="2262" priority="6993" operator="containsText" text="Pesquisa de Preços">
      <formula>NOT(ISERROR(SEARCH("Pesquisa de Preços",E15)))</formula>
    </cfRule>
  </conditionalFormatting>
  <conditionalFormatting sqref="E14">
    <cfRule type="containsText" dxfId="2261" priority="6992" operator="containsText" text="Pesquisa de Preços">
      <formula>NOT(ISERROR(SEARCH("Pesquisa de Preços",E14)))</formula>
    </cfRule>
  </conditionalFormatting>
  <conditionalFormatting sqref="E16">
    <cfRule type="containsText" dxfId="2260" priority="6991" operator="containsText" text="Pesquisa de Preços">
      <formula>NOT(ISERROR(SEARCH("Pesquisa de Preços",E16)))</formula>
    </cfRule>
  </conditionalFormatting>
  <conditionalFormatting sqref="E12">
    <cfRule type="containsText" dxfId="2259" priority="6990" operator="containsText" text="Pesquisa de Preços">
      <formula>NOT(ISERROR(SEARCH("Pesquisa de Preços",E12)))</formula>
    </cfRule>
  </conditionalFormatting>
  <conditionalFormatting sqref="E10">
    <cfRule type="containsText" dxfId="2258" priority="6987" operator="containsText" text="Pesquisa de Preços">
      <formula>NOT(ISERROR(SEARCH("Pesquisa de Preços",E10)))</formula>
    </cfRule>
  </conditionalFormatting>
  <conditionalFormatting sqref="E13">
    <cfRule type="containsText" dxfId="2257" priority="6989" operator="containsText" text="Pesquisa de Preços">
      <formula>NOT(ISERROR(SEARCH("Pesquisa de Preços",E13)))</formula>
    </cfRule>
  </conditionalFormatting>
  <conditionalFormatting sqref="E11">
    <cfRule type="containsText" dxfId="2256" priority="6988" operator="containsText" text="Pesquisa de Preços">
      <formula>NOT(ISERROR(SEARCH("Pesquisa de Preços",E11)))</formula>
    </cfRule>
  </conditionalFormatting>
  <conditionalFormatting sqref="E226">
    <cfRule type="containsText" dxfId="2255" priority="6985" operator="containsText" text="Pesquisa de Preços">
      <formula>NOT(ISERROR(SEARCH("Pesquisa de Preços",E226)))</formula>
    </cfRule>
  </conditionalFormatting>
  <conditionalFormatting sqref="E228">
    <cfRule type="containsText" dxfId="2254" priority="6986" operator="containsText" text="Pesquisa de Preços">
      <formula>NOT(ISERROR(SEARCH("Pesquisa de Preços",E228)))</formula>
    </cfRule>
  </conditionalFormatting>
  <conditionalFormatting sqref="E225">
    <cfRule type="containsText" dxfId="2253" priority="6984" operator="containsText" text="Pesquisa de Preços">
      <formula>NOT(ISERROR(SEARCH("Pesquisa de Preços",E225)))</formula>
    </cfRule>
  </conditionalFormatting>
  <conditionalFormatting sqref="E515">
    <cfRule type="containsText" dxfId="2252" priority="6830" operator="containsText" text="Pesquisa de Preços">
      <formula>NOT(ISERROR(SEARCH("Pesquisa de Preços",E515)))</formula>
    </cfRule>
  </conditionalFormatting>
  <conditionalFormatting sqref="E151">
    <cfRule type="containsText" dxfId="2251" priority="6979" operator="containsText" text="Pesquisa de Preços">
      <formula>NOT(ISERROR(SEARCH("Pesquisa de Preços",E151)))</formula>
    </cfRule>
  </conditionalFormatting>
  <conditionalFormatting sqref="E491:E497">
    <cfRule type="containsText" dxfId="2250" priority="6826" operator="containsText" text="Pesquisa de Preços">
      <formula>NOT(ISERROR(SEARCH("Pesquisa de Preços",E491)))</formula>
    </cfRule>
  </conditionalFormatting>
  <conditionalFormatting sqref="E150">
    <cfRule type="containsText" dxfId="2249" priority="6978" operator="containsText" text="Pesquisa de Preços">
      <formula>NOT(ISERROR(SEARCH("Pesquisa de Preços",E150)))</formula>
    </cfRule>
  </conditionalFormatting>
  <conditionalFormatting sqref="E79">
    <cfRule type="containsText" dxfId="2248" priority="6981" operator="containsText" text="Pesquisa de Preços">
      <formula>NOT(ISERROR(SEARCH("Pesquisa de Preços",E79)))</formula>
    </cfRule>
  </conditionalFormatting>
  <conditionalFormatting sqref="E163">
    <cfRule type="containsText" dxfId="2247" priority="6977" operator="containsText" text="Pesquisa de Preços">
      <formula>NOT(ISERROR(SEARCH("Pesquisa de Preços",E163)))</formula>
    </cfRule>
  </conditionalFormatting>
  <conditionalFormatting sqref="E80">
    <cfRule type="containsText" dxfId="2246" priority="6983" operator="containsText" text="Pesquisa de Preços">
      <formula>NOT(ISERROR(SEARCH("Pesquisa de Preços",E80)))</formula>
    </cfRule>
  </conditionalFormatting>
  <conditionalFormatting sqref="E78">
    <cfRule type="containsText" dxfId="2245" priority="6980" operator="containsText" text="Pesquisa de Preços">
      <formula>NOT(ISERROR(SEARCH("Pesquisa de Preços",E78)))</formula>
    </cfRule>
  </conditionalFormatting>
  <conditionalFormatting sqref="E82">
    <cfRule type="containsText" dxfId="2244" priority="6982" operator="containsText" text="Pesquisa de Preços">
      <formula>NOT(ISERROR(SEARCH("Pesquisa de Preços",E82)))</formula>
    </cfRule>
  </conditionalFormatting>
  <conditionalFormatting sqref="E546">
    <cfRule type="containsText" dxfId="2243" priority="6818" operator="containsText" text="Pesquisa de Preços">
      <formula>NOT(ISERROR(SEARCH("Pesquisa de Preços",E546)))</formula>
    </cfRule>
  </conditionalFormatting>
  <conditionalFormatting sqref="E88">
    <cfRule type="containsText" dxfId="2242" priority="6974" operator="containsText" text="Pesquisa de Preços">
      <formula>NOT(ISERROR(SEARCH("Pesquisa de Preços",E88)))</formula>
    </cfRule>
  </conditionalFormatting>
  <conditionalFormatting sqref="E162">
    <cfRule type="containsText" dxfId="2241" priority="6976" operator="containsText" text="Pesquisa de Preços">
      <formula>NOT(ISERROR(SEARCH("Pesquisa de Preços",E162)))</formula>
    </cfRule>
  </conditionalFormatting>
  <conditionalFormatting sqref="E554">
    <cfRule type="containsText" dxfId="2240" priority="6815" operator="containsText" text="Pesquisa de Preços">
      <formula>NOT(ISERROR(SEARCH("Pesquisa de Preços",E554)))</formula>
    </cfRule>
  </conditionalFormatting>
  <conditionalFormatting sqref="E89">
    <cfRule type="containsText" dxfId="2239" priority="6975" operator="containsText" text="Pesquisa de Preços">
      <formula>NOT(ISERROR(SEARCH("Pesquisa de Preços",E89)))</formula>
    </cfRule>
  </conditionalFormatting>
  <conditionalFormatting sqref="E61">
    <cfRule type="containsText" dxfId="2238" priority="6973" operator="containsText" text="Pesquisa de Preços">
      <formula>NOT(ISERROR(SEARCH("Pesquisa de Preços",E61)))</formula>
    </cfRule>
  </conditionalFormatting>
  <conditionalFormatting sqref="E570">
    <cfRule type="containsText" dxfId="2237" priority="6806" operator="containsText" text="Pesquisa de Preços">
      <formula>NOT(ISERROR(SEARCH("Pesquisa de Preços",E570)))</formula>
    </cfRule>
  </conditionalFormatting>
  <conditionalFormatting sqref="E60">
    <cfRule type="containsText" dxfId="2236" priority="6972" operator="containsText" text="Pesquisa de Preços">
      <formula>NOT(ISERROR(SEARCH("Pesquisa de Preços",E60)))</formula>
    </cfRule>
  </conditionalFormatting>
  <conditionalFormatting sqref="E54">
    <cfRule type="containsText" dxfId="2235" priority="6971" operator="containsText" text="Pesquisa de Preços">
      <formula>NOT(ISERROR(SEARCH("Pesquisa de Preços",E54)))</formula>
    </cfRule>
  </conditionalFormatting>
  <conditionalFormatting sqref="E33">
    <cfRule type="containsText" dxfId="2234" priority="6968" operator="containsText" text="Pesquisa de Preços">
      <formula>NOT(ISERROR(SEARCH("Pesquisa de Preços",E33)))</formula>
    </cfRule>
  </conditionalFormatting>
  <conditionalFormatting sqref="E53">
    <cfRule type="containsText" dxfId="2233" priority="6970" operator="containsText" text="Pesquisa de Preços">
      <formula>NOT(ISERROR(SEARCH("Pesquisa de Preços",E53)))</formula>
    </cfRule>
  </conditionalFormatting>
  <conditionalFormatting sqref="E580">
    <cfRule type="containsText" dxfId="2232" priority="6804" operator="containsText" text="Pesquisa de Preços">
      <formula>NOT(ISERROR(SEARCH("Pesquisa de Preços",E580)))</formula>
    </cfRule>
  </conditionalFormatting>
  <conditionalFormatting sqref="E34">
    <cfRule type="containsText" dxfId="2231" priority="6969" operator="containsText" text="Pesquisa de Preços">
      <formula>NOT(ISERROR(SEARCH("Pesquisa de Preços",E34)))</formula>
    </cfRule>
  </conditionalFormatting>
  <conditionalFormatting sqref="E99:E100">
    <cfRule type="containsText" dxfId="2230" priority="6965" operator="containsText" text="Pesquisa de Preços">
      <formula>NOT(ISERROR(SEARCH("Pesquisa de Preços",E99)))</formula>
    </cfRule>
  </conditionalFormatting>
  <conditionalFormatting sqref="E29">
    <cfRule type="containsText" dxfId="2229" priority="6967" operator="containsText" text="Pesquisa de Preços">
      <formula>NOT(ISERROR(SEARCH("Pesquisa de Preços",E29)))</formula>
    </cfRule>
  </conditionalFormatting>
  <conditionalFormatting sqref="E28">
    <cfRule type="containsText" dxfId="2228" priority="6966" operator="containsText" text="Pesquisa de Preços">
      <formula>NOT(ISERROR(SEARCH("Pesquisa de Preços",E28)))</formula>
    </cfRule>
  </conditionalFormatting>
  <conditionalFormatting sqref="E146:E147">
    <cfRule type="containsText" dxfId="2227" priority="6962" operator="containsText" text="Pesquisa de Preços">
      <formula>NOT(ISERROR(SEARCH("Pesquisa de Preços",E146)))</formula>
    </cfRule>
  </conditionalFormatting>
  <conditionalFormatting sqref="E43">
    <cfRule type="containsText" dxfId="2226" priority="6958" operator="containsText" text="Pesquisa de Preços">
      <formula>NOT(ISERROR(SEARCH("Pesquisa de Preços",E43)))</formula>
    </cfRule>
  </conditionalFormatting>
  <conditionalFormatting sqref="E98">
    <cfRule type="containsText" dxfId="2225" priority="6964" operator="containsText" text="Pesquisa de Preços">
      <formula>NOT(ISERROR(SEARCH("Pesquisa de Preços",E98)))</formula>
    </cfRule>
  </conditionalFormatting>
  <conditionalFormatting sqref="E101">
    <cfRule type="containsText" dxfId="2224" priority="6963" operator="containsText" text="Pesquisa de Preços">
      <formula>NOT(ISERROR(SEARCH("Pesquisa de Preços",E101)))</formula>
    </cfRule>
  </conditionalFormatting>
  <conditionalFormatting sqref="E181">
    <cfRule type="containsText" dxfId="2223" priority="6953" operator="containsText" text="Pesquisa de Preços">
      <formula>NOT(ISERROR(SEARCH("Pesquisa de Preços",E181)))</formula>
    </cfRule>
  </conditionalFormatting>
  <conditionalFormatting sqref="E145">
    <cfRule type="containsText" dxfId="2222" priority="6961" operator="containsText" text="Pesquisa de Preços">
      <formula>NOT(ISERROR(SEARCH("Pesquisa de Preços",E145)))</formula>
    </cfRule>
  </conditionalFormatting>
  <conditionalFormatting sqref="E24">
    <cfRule type="containsText" dxfId="2221" priority="6957" operator="containsText" text="Pesquisa de Preços">
      <formula>NOT(ISERROR(SEARCH("Pesquisa de Preços",E24)))</formula>
    </cfRule>
  </conditionalFormatting>
  <conditionalFormatting sqref="E148">
    <cfRule type="containsText" dxfId="2220" priority="6960" operator="containsText" text="Pesquisa de Preços">
      <formula>NOT(ISERROR(SEARCH("Pesquisa de Preços",E148)))</formula>
    </cfRule>
  </conditionalFormatting>
  <conditionalFormatting sqref="E44">
    <cfRule type="containsText" dxfId="2219" priority="6959" operator="containsText" text="Pesquisa de Preços">
      <formula>NOT(ISERROR(SEARCH("Pesquisa de Preços",E44)))</formula>
    </cfRule>
  </conditionalFormatting>
  <conditionalFormatting sqref="E23">
    <cfRule type="containsText" dxfId="2218" priority="6956" operator="containsText" text="Pesquisa de Preços">
      <formula>NOT(ISERROR(SEARCH("Pesquisa de Preços",E23)))</formula>
    </cfRule>
  </conditionalFormatting>
  <conditionalFormatting sqref="E118">
    <cfRule type="containsText" dxfId="2217" priority="6951" operator="containsText" text="Pesquisa de Preços">
      <formula>NOT(ISERROR(SEARCH("Pesquisa de Preços",E118)))</formula>
    </cfRule>
  </conditionalFormatting>
  <conditionalFormatting sqref="E180">
    <cfRule type="containsText" dxfId="2216" priority="6952" operator="containsText" text="Pesquisa de Preços">
      <formula>NOT(ISERROR(SEARCH("Pesquisa de Preços",E180)))</formula>
    </cfRule>
  </conditionalFormatting>
  <conditionalFormatting sqref="E39:E41">
    <cfRule type="containsText" dxfId="2215" priority="6955" operator="containsText" text="Pesquisa de Preços">
      <formula>NOT(ISERROR(SEARCH("Pesquisa de Preços",E39)))</formula>
    </cfRule>
  </conditionalFormatting>
  <conditionalFormatting sqref="E38">
    <cfRule type="containsText" dxfId="2214" priority="6954" operator="containsText" text="Pesquisa de Preços">
      <formula>NOT(ISERROR(SEARCH("Pesquisa de Preços",E38)))</formula>
    </cfRule>
  </conditionalFormatting>
  <conditionalFormatting sqref="E117">
    <cfRule type="containsText" dxfId="2213" priority="6950" operator="containsText" text="Pesquisa de Preços">
      <formula>NOT(ISERROR(SEARCH("Pesquisa de Preços",E117)))</formula>
    </cfRule>
  </conditionalFormatting>
  <conditionalFormatting sqref="E678">
    <cfRule type="containsText" dxfId="2212" priority="6800" operator="containsText" text="Pesquisa de Preços">
      <formula>NOT(ISERROR(SEARCH("Pesquisa de Preços",E678)))</formula>
    </cfRule>
  </conditionalFormatting>
  <conditionalFormatting sqref="E670">
    <cfRule type="containsText" dxfId="2211" priority="6798" operator="containsText" text="Pesquisa de Preços">
      <formula>NOT(ISERROR(SEARCH("Pesquisa de Preços",E670)))</formula>
    </cfRule>
  </conditionalFormatting>
  <conditionalFormatting sqref="E176">
    <cfRule type="containsText" dxfId="2210" priority="6948" operator="containsText" text="Pesquisa de Preços">
      <formula>NOT(ISERROR(SEARCH("Pesquisa de Preços",E176)))</formula>
    </cfRule>
  </conditionalFormatting>
  <conditionalFormatting sqref="E177:E178">
    <cfRule type="containsText" dxfId="2209" priority="6949" operator="containsText" text="Pesquisa de Preços">
      <formula>NOT(ISERROR(SEARCH("Pesquisa de Preços",E177)))</formula>
    </cfRule>
  </conditionalFormatting>
  <conditionalFormatting sqref="E220">
    <cfRule type="containsText" dxfId="2208" priority="6946" operator="containsText" text="Pesquisa de Preços">
      <formula>NOT(ISERROR(SEARCH("Pesquisa de Preços",E220)))</formula>
    </cfRule>
  </conditionalFormatting>
  <conditionalFormatting sqref="E221:E222">
    <cfRule type="containsText" dxfId="2207" priority="6947" operator="containsText" text="Pesquisa de Preços">
      <formula>NOT(ISERROR(SEARCH("Pesquisa de Preços",E221)))</formula>
    </cfRule>
  </conditionalFormatting>
  <conditionalFormatting sqref="E127">
    <cfRule type="containsText" dxfId="2206" priority="6943" operator="containsText" text="Pesquisa de Preços">
      <formula>NOT(ISERROR(SEARCH("Pesquisa de Preços",E127)))</formula>
    </cfRule>
  </conditionalFormatting>
  <conditionalFormatting sqref="E688:E689 E695:E696">
    <cfRule type="containsText" dxfId="2205" priority="6796" operator="containsText" text="Pesquisa de Preços">
      <formula>NOT(ISERROR(SEARCH("Pesquisa de Preços",E688)))</formula>
    </cfRule>
  </conditionalFormatting>
  <conditionalFormatting sqref="E223">
    <cfRule type="containsText" dxfId="2204" priority="6945" operator="containsText" text="Pesquisa de Preços">
      <formula>NOT(ISERROR(SEARCH("Pesquisa de Preços",E223)))</formula>
    </cfRule>
  </conditionalFormatting>
  <conditionalFormatting sqref="E128">
    <cfRule type="containsText" dxfId="2203" priority="6944" operator="containsText" text="Pesquisa de Preços">
      <formula>NOT(ISERROR(SEARCH("Pesquisa de Preços",E128)))</formula>
    </cfRule>
  </conditionalFormatting>
  <conditionalFormatting sqref="E716">
    <cfRule type="containsText" dxfId="2202" priority="6793" operator="containsText" text="Pesquisa de Preços">
      <formula>NOT(ISERROR(SEARCH("Pesquisa de Preços",E716)))</formula>
    </cfRule>
  </conditionalFormatting>
  <conditionalFormatting sqref="E168:E169">
    <cfRule type="containsText" dxfId="2201" priority="6942" operator="containsText" text="Pesquisa de Preços">
      <formula>NOT(ISERROR(SEARCH("Pesquisa de Preços",E168)))</formula>
    </cfRule>
  </conditionalFormatting>
  <conditionalFormatting sqref="E167">
    <cfRule type="containsText" dxfId="2200" priority="6941" operator="containsText" text="Pesquisa de Preços">
      <formula>NOT(ISERROR(SEARCH("Pesquisa de Preços",E167)))</formula>
    </cfRule>
  </conditionalFormatting>
  <conditionalFormatting sqref="E732">
    <cfRule type="containsText" dxfId="2199" priority="6791" operator="containsText" text="Pesquisa de Preços">
      <formula>NOT(ISERROR(SEARCH("Pesquisa de Preços",E732)))</formula>
    </cfRule>
  </conditionalFormatting>
  <conditionalFormatting sqref="E170">
    <cfRule type="containsText" dxfId="2198" priority="6940" operator="containsText" text="Pesquisa de Preços">
      <formula>NOT(ISERROR(SEARCH("Pesquisa de Preços",E170)))</formula>
    </cfRule>
  </conditionalFormatting>
  <conditionalFormatting sqref="E84">
    <cfRule type="containsText" dxfId="2197" priority="6939" operator="containsText" text="Pesquisa de Preços">
      <formula>NOT(ISERROR(SEARCH("Pesquisa de Preços",E84)))</formula>
    </cfRule>
  </conditionalFormatting>
  <conditionalFormatting sqref="E83">
    <cfRule type="containsText" dxfId="2196" priority="6938" operator="containsText" text="Pesquisa de Preços">
      <formula>NOT(ISERROR(SEARCH("Pesquisa de Preços",E83)))</formula>
    </cfRule>
  </conditionalFormatting>
  <conditionalFormatting sqref="E113">
    <cfRule type="containsText" dxfId="2195" priority="6937" operator="containsText" text="Pesquisa de Preços">
      <formula>NOT(ISERROR(SEARCH("Pesquisa de Preços",E113)))</formula>
    </cfRule>
  </conditionalFormatting>
  <conditionalFormatting sqref="E212:E213">
    <cfRule type="containsText" dxfId="2194" priority="6935" operator="containsText" text="Pesquisa de Preços">
      <formula>NOT(ISERROR(SEARCH("Pesquisa de Preços",E212)))</formula>
    </cfRule>
  </conditionalFormatting>
  <conditionalFormatting sqref="E112">
    <cfRule type="containsText" dxfId="2193" priority="6936" operator="containsText" text="Pesquisa de Preços">
      <formula>NOT(ISERROR(SEARCH("Pesquisa de Preços",E112)))</formula>
    </cfRule>
  </conditionalFormatting>
  <conditionalFormatting sqref="E202">
    <cfRule type="containsText" dxfId="2192" priority="6932" operator="containsText" text="Pesquisa de Preços">
      <formula>NOT(ISERROR(SEARCH("Pesquisa de Preços",E202)))</formula>
    </cfRule>
  </conditionalFormatting>
  <conditionalFormatting sqref="E211">
    <cfRule type="containsText" dxfId="2191" priority="6934" operator="containsText" text="Pesquisa de Preços">
      <formula>NOT(ISERROR(SEARCH("Pesquisa de Preços",E211)))</formula>
    </cfRule>
  </conditionalFormatting>
  <conditionalFormatting sqref="E203">
    <cfRule type="containsText" dxfId="2190" priority="6933" operator="containsText" text="Pesquisa de Preços">
      <formula>NOT(ISERROR(SEARCH("Pesquisa de Preços",E203)))</formula>
    </cfRule>
  </conditionalFormatting>
  <conditionalFormatting sqref="E199:E200">
    <cfRule type="containsText" dxfId="2189" priority="6930" operator="containsText" text="Pesquisa de Preços">
      <formula>NOT(ISERROR(SEARCH("Pesquisa de Preços",E199)))</formula>
    </cfRule>
  </conditionalFormatting>
  <conditionalFormatting sqref="E204:E205">
    <cfRule type="containsText" dxfId="2188" priority="6931" operator="containsText" text="Pesquisa de Preços">
      <formula>NOT(ISERROR(SEARCH("Pesquisa de Preços",E204)))</formula>
    </cfRule>
  </conditionalFormatting>
  <conditionalFormatting sqref="E198">
    <cfRule type="containsText" dxfId="2187" priority="6929" operator="containsText" text="Pesquisa de Preços">
      <formula>NOT(ISERROR(SEARCH("Pesquisa de Preços",E198)))</formula>
    </cfRule>
  </conditionalFormatting>
  <conditionalFormatting sqref="E71:E72 E76:E77">
    <cfRule type="containsText" dxfId="2186" priority="6928" operator="containsText" text="Pesquisa de Preços">
      <formula>NOT(ISERROR(SEARCH("Pesquisa de Preços",E71)))</formula>
    </cfRule>
  </conditionalFormatting>
  <conditionalFormatting sqref="E70">
    <cfRule type="containsText" dxfId="2185" priority="6927" operator="containsText" text="Pesquisa de Preços">
      <formula>NOT(ISERROR(SEARCH("Pesquisa de Preços",E70)))</formula>
    </cfRule>
  </conditionalFormatting>
  <conditionalFormatting sqref="E73:E75">
    <cfRule type="containsText" dxfId="2184" priority="6926" operator="containsText" text="Pesquisa de Preços">
      <formula>NOT(ISERROR(SEARCH("Pesquisa de Preços",E73)))</formula>
    </cfRule>
  </conditionalFormatting>
  <conditionalFormatting sqref="E137:E138">
    <cfRule type="containsText" dxfId="2183" priority="6925" operator="containsText" text="Pesquisa de Preços">
      <formula>NOT(ISERROR(SEARCH("Pesquisa de Preços",E137)))</formula>
    </cfRule>
  </conditionalFormatting>
  <conditionalFormatting sqref="E136">
    <cfRule type="containsText" dxfId="2182" priority="6924" operator="containsText" text="Pesquisa de Preços">
      <formula>NOT(ISERROR(SEARCH("Pesquisa de Preços",E136)))</formula>
    </cfRule>
  </conditionalFormatting>
  <conditionalFormatting sqref="E141:E142">
    <cfRule type="containsText" dxfId="2181" priority="6923" operator="containsText" text="Pesquisa de Preços">
      <formula>NOT(ISERROR(SEARCH("Pesquisa de Preços",E141)))</formula>
    </cfRule>
  </conditionalFormatting>
  <conditionalFormatting sqref="E140">
    <cfRule type="containsText" dxfId="2180" priority="6922" operator="containsText" text="Pesquisa de Preços">
      <formula>NOT(ISERROR(SEARCH("Pesquisa de Preços",E140)))</formula>
    </cfRule>
  </conditionalFormatting>
  <conditionalFormatting sqref="E792 E794:E803">
    <cfRule type="containsText" dxfId="2179" priority="6785" operator="containsText" text="Pesquisa de Preços">
      <formula>NOT(ISERROR(SEARCH("Pesquisa de Preços",E792)))</formula>
    </cfRule>
  </conditionalFormatting>
  <conditionalFormatting sqref="E156:E158">
    <cfRule type="containsText" dxfId="2178" priority="6921" operator="containsText" text="Pesquisa de Preços">
      <formula>NOT(ISERROR(SEARCH("Pesquisa de Preços",E156)))</formula>
    </cfRule>
  </conditionalFormatting>
  <conditionalFormatting sqref="E155">
    <cfRule type="containsText" dxfId="2177" priority="6920" operator="containsText" text="Pesquisa de Preços">
      <formula>NOT(ISERROR(SEARCH("Pesquisa de Preços",E155)))</formula>
    </cfRule>
  </conditionalFormatting>
  <conditionalFormatting sqref="E834">
    <cfRule type="containsText" dxfId="2176" priority="6783" operator="containsText" text="Pesquisa de Preços">
      <formula>NOT(ISERROR(SEARCH("Pesquisa de Preços",E834)))</formula>
    </cfRule>
  </conditionalFormatting>
  <conditionalFormatting sqref="E94">
    <cfRule type="containsText" dxfId="2175" priority="6919" operator="containsText" text="Pesquisa de Preços">
      <formula>NOT(ISERROR(SEARCH("Pesquisa de Preços",E94)))</formula>
    </cfRule>
  </conditionalFormatting>
  <conditionalFormatting sqref="E93">
    <cfRule type="containsText" dxfId="2174" priority="6918" operator="containsText" text="Pesquisa de Preços">
      <formula>NOT(ISERROR(SEARCH("Pesquisa de Preços",E93)))</formula>
    </cfRule>
  </conditionalFormatting>
  <conditionalFormatting sqref="E816:E817">
    <cfRule type="containsText" dxfId="2173" priority="6781" operator="containsText" text="Pesquisa de Preços">
      <formula>NOT(ISERROR(SEARCH("Pesquisa de Preços",E816)))</formula>
    </cfRule>
  </conditionalFormatting>
  <conditionalFormatting sqref="E49:E50">
    <cfRule type="containsText" dxfId="2172" priority="6917" operator="containsText" text="Pesquisa de Preços">
      <formula>NOT(ISERROR(SEARCH("Pesquisa de Preços",E49)))</formula>
    </cfRule>
  </conditionalFormatting>
  <conditionalFormatting sqref="E48">
    <cfRule type="containsText" dxfId="2171" priority="6916" operator="containsText" text="Pesquisa de Preços">
      <formula>NOT(ISERROR(SEARCH("Pesquisa de Preços",E48)))</formula>
    </cfRule>
  </conditionalFormatting>
  <conditionalFormatting sqref="E51">
    <cfRule type="containsText" dxfId="2170" priority="6915" operator="containsText" text="Pesquisa de Preços">
      <formula>NOT(ISERROR(SEARCH("Pesquisa de Preços",E51)))</formula>
    </cfRule>
  </conditionalFormatting>
  <conditionalFormatting sqref="E192:E193">
    <cfRule type="containsText" dxfId="2169" priority="6914" operator="containsText" text="Pesquisa de Preços">
      <formula>NOT(ISERROR(SEARCH("Pesquisa de Preços",E192)))</formula>
    </cfRule>
  </conditionalFormatting>
  <conditionalFormatting sqref="E191">
    <cfRule type="containsText" dxfId="2168" priority="6913" operator="containsText" text="Pesquisa de Preços">
      <formula>NOT(ISERROR(SEARCH("Pesquisa de Preços",E191)))</formula>
    </cfRule>
  </conditionalFormatting>
  <conditionalFormatting sqref="E750:E751 E754:E755">
    <cfRule type="containsText" dxfId="2167" priority="6779" operator="containsText" text="Pesquisa de Preços">
      <formula>NOT(ISERROR(SEARCH("Pesquisa de Preços",E750)))</formula>
    </cfRule>
  </conditionalFormatting>
  <conditionalFormatting sqref="E194">
    <cfRule type="containsText" dxfId="2166" priority="6912" operator="containsText" text="Pesquisa de Preços">
      <formula>NOT(ISERROR(SEARCH("Pesquisa de Preços",E194)))</formula>
    </cfRule>
  </conditionalFormatting>
  <conditionalFormatting sqref="E216:E217">
    <cfRule type="containsText" dxfId="2165" priority="6911" operator="containsText" text="Pesquisa de Preços">
      <formula>NOT(ISERROR(SEARCH("Pesquisa de Preços",E216)))</formula>
    </cfRule>
  </conditionalFormatting>
  <conditionalFormatting sqref="E215">
    <cfRule type="containsText" dxfId="2164" priority="6910" operator="containsText" text="Pesquisa de Preços">
      <formula>NOT(ISERROR(SEARCH("Pesquisa de Preços",E215)))</formula>
    </cfRule>
  </conditionalFormatting>
  <conditionalFormatting sqref="E218">
    <cfRule type="containsText" dxfId="2163" priority="6909" operator="containsText" text="Pesquisa de Preços">
      <formula>NOT(ISERROR(SEARCH("Pesquisa de Preços",E218)))</formula>
    </cfRule>
  </conditionalFormatting>
  <conditionalFormatting sqref="E123:E124">
    <cfRule type="containsText" dxfId="2162" priority="6908" operator="containsText" text="Pesquisa de Preços">
      <formula>NOT(ISERROR(SEARCH("Pesquisa de Preços",E123)))</formula>
    </cfRule>
  </conditionalFormatting>
  <conditionalFormatting sqref="E122">
    <cfRule type="containsText" dxfId="2161" priority="6907" operator="containsText" text="Pesquisa de Preços">
      <formula>NOT(ISERROR(SEARCH("Pesquisa de Preços",E122)))</formula>
    </cfRule>
  </conditionalFormatting>
  <conditionalFormatting sqref="E757:E758">
    <cfRule type="containsText" dxfId="2160" priority="6776" operator="containsText" text="Pesquisa de Preços">
      <formula>NOT(ISERROR(SEARCH("Pesquisa de Preços",E757)))</formula>
    </cfRule>
  </conditionalFormatting>
  <conditionalFormatting sqref="E125">
    <cfRule type="containsText" dxfId="2159" priority="6906" operator="containsText" text="Pesquisa de Preços">
      <formula>NOT(ISERROR(SEARCH("Pesquisa de Preços",E125)))</formula>
    </cfRule>
  </conditionalFormatting>
  <conditionalFormatting sqref="E108:E109">
    <cfRule type="containsText" dxfId="2158" priority="6905" operator="containsText" text="Pesquisa de Preços">
      <formula>NOT(ISERROR(SEARCH("Pesquisa de Preços",E108)))</formula>
    </cfRule>
  </conditionalFormatting>
  <conditionalFormatting sqref="E107">
    <cfRule type="containsText" dxfId="2157" priority="6904" operator="containsText" text="Pesquisa de Preços">
      <formula>NOT(ISERROR(SEARCH("Pesquisa de Preços",E107)))</formula>
    </cfRule>
  </conditionalFormatting>
  <conditionalFormatting sqref="E825 E827">
    <cfRule type="containsText" dxfId="2156" priority="6773" operator="containsText" text="Pesquisa de Preços">
      <formula>NOT(ISERROR(SEARCH("Pesquisa de Preços",E825)))</formula>
    </cfRule>
  </conditionalFormatting>
  <conditionalFormatting sqref="E110">
    <cfRule type="containsText" dxfId="2155" priority="6903" operator="containsText" text="Pesquisa de Preços">
      <formula>NOT(ISERROR(SEARCH("Pesquisa de Preços",E110)))</formula>
    </cfRule>
  </conditionalFormatting>
  <conditionalFormatting sqref="E133">
    <cfRule type="containsText" dxfId="2154" priority="6902" operator="containsText" text="Pesquisa de Preços">
      <formula>NOT(ISERROR(SEARCH("Pesquisa de Preços",E133)))</formula>
    </cfRule>
  </conditionalFormatting>
  <conditionalFormatting sqref="E132">
    <cfRule type="containsText" dxfId="2153" priority="6901" operator="containsText" text="Pesquisa de Preços">
      <formula>NOT(ISERROR(SEARCH("Pesquisa de Preços",E132)))</formula>
    </cfRule>
  </conditionalFormatting>
  <conditionalFormatting sqref="E829">
    <cfRule type="containsText" dxfId="2152" priority="6771" operator="containsText" text="Pesquisa de Preços">
      <formula>NOT(ISERROR(SEARCH("Pesquisa de Preços",E829)))</formula>
    </cfRule>
  </conditionalFormatting>
  <conditionalFormatting sqref="E66:E67">
    <cfRule type="containsText" dxfId="2151" priority="6900" operator="containsText" text="Pesquisa de Preços">
      <formula>NOT(ISERROR(SEARCH("Pesquisa de Preços",E66)))</formula>
    </cfRule>
  </conditionalFormatting>
  <conditionalFormatting sqref="E65">
    <cfRule type="containsText" dxfId="2150" priority="6899" operator="containsText" text="Pesquisa de Preços">
      <formula>NOT(ISERROR(SEARCH("Pesquisa de Preços",E65)))</formula>
    </cfRule>
  </conditionalFormatting>
  <conditionalFormatting sqref="E806">
    <cfRule type="containsText" dxfId="2149" priority="6769" operator="containsText" text="Pesquisa de Preços">
      <formula>NOT(ISERROR(SEARCH("Pesquisa de Preços",E806)))</formula>
    </cfRule>
  </conditionalFormatting>
  <conditionalFormatting sqref="E68">
    <cfRule type="containsText" dxfId="2148" priority="6898" operator="containsText" text="Pesquisa de Preços">
      <formula>NOT(ISERROR(SEARCH("Pesquisa de Preços",E68)))</formula>
    </cfRule>
  </conditionalFormatting>
  <conditionalFormatting sqref="E284">
    <cfRule type="containsText" dxfId="2147" priority="6887" operator="containsText" text="Pesquisa de Preços">
      <formula>NOT(ISERROR(SEARCH("Pesquisa de Preços",E284)))</formula>
    </cfRule>
  </conditionalFormatting>
  <conditionalFormatting sqref="E269">
    <cfRule type="containsText" dxfId="2146" priority="6884" operator="containsText" text="Pesquisa de Preços">
      <formula>NOT(ISERROR(SEARCH("Pesquisa de Preços",E269)))</formula>
    </cfRule>
  </conditionalFormatting>
  <conditionalFormatting sqref="E322">
    <cfRule type="containsText" dxfId="2145" priority="6882" operator="containsText" text="Pesquisa de Preços">
      <formula>NOT(ISERROR(SEARCH("Pesquisa de Preços",E322)))</formula>
    </cfRule>
  </conditionalFormatting>
  <conditionalFormatting sqref="E306">
    <cfRule type="containsText" dxfId="2144" priority="6879" operator="containsText" text="Pesquisa de Preços">
      <formula>NOT(ISERROR(SEARCH("Pesquisa de Preços",E306)))</formula>
    </cfRule>
  </conditionalFormatting>
  <conditionalFormatting sqref="E343:E344">
    <cfRule type="containsText" dxfId="2143" priority="6877" operator="containsText" text="Pesquisa de Preços">
      <formula>NOT(ISERROR(SEARCH("Pesquisa de Preços",E343)))</formula>
    </cfRule>
  </conditionalFormatting>
  <conditionalFormatting sqref="E291">
    <cfRule type="containsText" dxfId="2142" priority="6871" operator="containsText" text="Pesquisa de Preços">
      <formula>NOT(ISERROR(SEARCH("Pesquisa de Preços",E291)))</formula>
    </cfRule>
  </conditionalFormatting>
  <conditionalFormatting sqref="E328:E329">
    <cfRule type="containsText" dxfId="2141" priority="6869" operator="containsText" text="Pesquisa de Preços">
      <formula>NOT(ISERROR(SEARCH("Pesquisa de Preços",E328)))</formula>
    </cfRule>
  </conditionalFormatting>
  <conditionalFormatting sqref="E402">
    <cfRule type="containsText" dxfId="2140" priority="6859" operator="containsText" text="Pesquisa de Preços">
      <formula>NOT(ISERROR(SEARCH("Pesquisa de Preços",E402)))</formula>
    </cfRule>
  </conditionalFormatting>
  <conditionalFormatting sqref="E417 E422">
    <cfRule type="containsText" dxfId="2139" priority="6858" operator="containsText" text="Pesquisa de Preços">
      <formula>NOT(ISERROR(SEARCH("Pesquisa de Preços",E417)))</formula>
    </cfRule>
  </conditionalFormatting>
  <conditionalFormatting sqref="E435">
    <cfRule type="containsText" dxfId="2138" priority="6852" operator="containsText" text="Pesquisa de Preços">
      <formula>NOT(ISERROR(SEARCH("Pesquisa de Preços",E435)))</formula>
    </cfRule>
  </conditionalFormatting>
  <conditionalFormatting sqref="E248">
    <cfRule type="containsText" dxfId="2137" priority="6897" operator="containsText" text="Pesquisa de Preços">
      <formula>NOT(ISERROR(SEARCH("Pesquisa de Preços",E248)))</formula>
    </cfRule>
  </conditionalFormatting>
  <conditionalFormatting sqref="E250:E251">
    <cfRule type="containsText" dxfId="2136" priority="6896" operator="containsText" text="Pesquisa de Preços">
      <formula>NOT(ISERROR(SEARCH("Pesquisa de Preços",E250)))</formula>
    </cfRule>
  </conditionalFormatting>
  <conditionalFormatting sqref="E249">
    <cfRule type="containsText" dxfId="2135" priority="6895" operator="containsText" text="Pesquisa de Preços">
      <formula>NOT(ISERROR(SEARCH("Pesquisa de Preços",E249)))</formula>
    </cfRule>
  </conditionalFormatting>
  <conditionalFormatting sqref="E1094:E1096">
    <cfRule type="containsText" dxfId="2134" priority="6707" operator="containsText" text="Pesquisa de Preços">
      <formula>NOT(ISERROR(SEARCH("Pesquisa de Preços",E1094)))</formula>
    </cfRule>
  </conditionalFormatting>
  <conditionalFormatting sqref="E252:E262">
    <cfRule type="containsText" dxfId="2133" priority="6894" operator="containsText" text="Pesquisa de Preços">
      <formula>NOT(ISERROR(SEARCH("Pesquisa de Preços",E252)))</formula>
    </cfRule>
  </conditionalFormatting>
  <conditionalFormatting sqref="E265:E266">
    <cfRule type="containsText" dxfId="2132" priority="6893" operator="containsText" text="Pesquisa de Preços">
      <formula>NOT(ISERROR(SEARCH("Pesquisa de Preços",E265)))</formula>
    </cfRule>
  </conditionalFormatting>
  <conditionalFormatting sqref="E264">
    <cfRule type="containsText" dxfId="2131" priority="6892" operator="containsText" text="Pesquisa de Preços">
      <formula>NOT(ISERROR(SEARCH("Pesquisa de Preços",E264)))</formula>
    </cfRule>
  </conditionalFormatting>
  <conditionalFormatting sqref="E278:E279 E282:E283">
    <cfRule type="containsText" dxfId="2130" priority="6891" operator="containsText" text="Pesquisa de Preços">
      <formula>NOT(ISERROR(SEARCH("Pesquisa de Preços",E278)))</formula>
    </cfRule>
  </conditionalFormatting>
  <conditionalFormatting sqref="E277">
    <cfRule type="containsText" dxfId="2129" priority="6890" operator="containsText" text="Pesquisa de Preços">
      <formula>NOT(ISERROR(SEARCH("Pesquisa de Preços",E277)))</formula>
    </cfRule>
  </conditionalFormatting>
  <conditionalFormatting sqref="E280:E281">
    <cfRule type="containsText" dxfId="2128" priority="6889" operator="containsText" text="Pesquisa de Preços">
      <formula>NOT(ISERROR(SEARCH("Pesquisa de Preços",E280)))</formula>
    </cfRule>
  </conditionalFormatting>
  <conditionalFormatting sqref="E285:E286 E289:E290">
    <cfRule type="containsText" dxfId="2127" priority="6888" operator="containsText" text="Pesquisa de Preços">
      <formula>NOT(ISERROR(SEARCH("Pesquisa de Preços",E285)))</formula>
    </cfRule>
  </conditionalFormatting>
  <conditionalFormatting sqref="E287:E288">
    <cfRule type="containsText" dxfId="2126" priority="6886" operator="containsText" text="Pesquisa de Preços">
      <formula>NOT(ISERROR(SEARCH("Pesquisa de Preços",E287)))</formula>
    </cfRule>
  </conditionalFormatting>
  <conditionalFormatting sqref="E270:E271 E275:E276">
    <cfRule type="containsText" dxfId="2125" priority="6885" operator="containsText" text="Pesquisa de Preços">
      <formula>NOT(ISERROR(SEARCH("Pesquisa de Preços",E270)))</formula>
    </cfRule>
  </conditionalFormatting>
  <conditionalFormatting sqref="E272:E274">
    <cfRule type="containsText" dxfId="2124" priority="6883" operator="containsText" text="Pesquisa de Preços">
      <formula>NOT(ISERROR(SEARCH("Pesquisa de Preços",E272)))</formula>
    </cfRule>
  </conditionalFormatting>
  <conditionalFormatting sqref="E321">
    <cfRule type="containsText" dxfId="2123" priority="6881" operator="containsText" text="Pesquisa de Preços">
      <formula>NOT(ISERROR(SEARCH("Pesquisa de Preços",E321)))</formula>
    </cfRule>
  </conditionalFormatting>
  <conditionalFormatting sqref="E533:E534 E536:E537">
    <cfRule type="containsText" dxfId="2122" priority="6829" operator="containsText" text="Pesquisa de Preços">
      <formula>NOT(ISERROR(SEARCH("Pesquisa de Preços",E533)))</formula>
    </cfRule>
  </conditionalFormatting>
  <conditionalFormatting sqref="E307">
    <cfRule type="containsText" dxfId="2121" priority="6880" operator="containsText" text="Pesquisa de Preços">
      <formula>NOT(ISERROR(SEARCH("Pesquisa de Preços",E307)))</formula>
    </cfRule>
  </conditionalFormatting>
  <conditionalFormatting sqref="E313:E315">
    <cfRule type="containsText" dxfId="2120" priority="6878" operator="containsText" text="Pesquisa de Preços">
      <formula>NOT(ISERROR(SEARCH("Pesquisa de Preços",E313)))</formula>
    </cfRule>
  </conditionalFormatting>
  <conditionalFormatting sqref="E342">
    <cfRule type="containsText" dxfId="2119" priority="6876" operator="containsText" text="Pesquisa de Preços">
      <formula>NOT(ISERROR(SEARCH("Pesquisa de Preços",E342)))</formula>
    </cfRule>
  </conditionalFormatting>
  <conditionalFormatting sqref="E1287">
    <cfRule type="containsText" dxfId="2118" priority="6631" operator="containsText" text="Pesquisa de Preços">
      <formula>NOT(ISERROR(SEARCH("Pesquisa de Preços",E1287)))</formula>
    </cfRule>
  </conditionalFormatting>
  <conditionalFormatting sqref="E353">
    <cfRule type="containsText" dxfId="2117" priority="6875" operator="containsText" text="Pesquisa de Preços">
      <formula>NOT(ISERROR(SEARCH("Pesquisa de Preços",E353)))</formula>
    </cfRule>
  </conditionalFormatting>
  <conditionalFormatting sqref="E352">
    <cfRule type="containsText" dxfId="2116" priority="6874" operator="containsText" text="Pesquisa de Preços">
      <formula>NOT(ISERROR(SEARCH("Pesquisa de Preços",E352)))</formula>
    </cfRule>
  </conditionalFormatting>
  <conditionalFormatting sqref="E356:E359">
    <cfRule type="containsText" dxfId="2115" priority="6873" operator="containsText" text="Pesquisa de Preços">
      <formula>NOT(ISERROR(SEARCH("Pesquisa de Preços",E356)))</formula>
    </cfRule>
  </conditionalFormatting>
  <conditionalFormatting sqref="E292:E293">
    <cfRule type="containsText" dxfId="2114" priority="6872" operator="containsText" text="Pesquisa de Preços">
      <formula>NOT(ISERROR(SEARCH("Pesquisa de Preços",E292)))</formula>
    </cfRule>
  </conditionalFormatting>
  <conditionalFormatting sqref="E299:E300">
    <cfRule type="containsText" dxfId="2113" priority="6870" operator="containsText" text="Pesquisa de Preços">
      <formula>NOT(ISERROR(SEARCH("Pesquisa de Preços",E299)))</formula>
    </cfRule>
  </conditionalFormatting>
  <conditionalFormatting sqref="E327">
    <cfRule type="containsText" dxfId="2112" priority="6868" operator="containsText" text="Pesquisa de Preços">
      <formula>NOT(ISERROR(SEARCH("Pesquisa de Preços",E327)))</formula>
    </cfRule>
  </conditionalFormatting>
  <conditionalFormatting sqref="E330:E340">
    <cfRule type="containsText" dxfId="2111" priority="6867" operator="containsText" text="Pesquisa de Preços">
      <formula>NOT(ISERROR(SEARCH("Pesquisa de Preços",E330)))</formula>
    </cfRule>
  </conditionalFormatting>
  <conditionalFormatting sqref="E367:E368 E370:E371">
    <cfRule type="containsText" dxfId="2110" priority="6866" operator="containsText" text="Pesquisa de Preços">
      <formula>NOT(ISERROR(SEARCH("Pesquisa de Preços",E367)))</formula>
    </cfRule>
  </conditionalFormatting>
  <conditionalFormatting sqref="E366">
    <cfRule type="containsText" dxfId="2109" priority="6865" operator="containsText" text="Pesquisa de Preços">
      <formula>NOT(ISERROR(SEARCH("Pesquisa de Preços",E366)))</formula>
    </cfRule>
  </conditionalFormatting>
  <conditionalFormatting sqref="E369">
    <cfRule type="containsText" dxfId="2108" priority="6864" operator="containsText" text="Pesquisa de Preços">
      <formula>NOT(ISERROR(SEARCH("Pesquisa de Preços",E369)))</formula>
    </cfRule>
  </conditionalFormatting>
  <conditionalFormatting sqref="E373:E374 E379:E380">
    <cfRule type="containsText" dxfId="2107" priority="6863" operator="containsText" text="Pesquisa de Preços">
      <formula>NOT(ISERROR(SEARCH("Pesquisa de Preços",E373)))</formula>
    </cfRule>
  </conditionalFormatting>
  <conditionalFormatting sqref="E372">
    <cfRule type="containsText" dxfId="2106" priority="6862" operator="containsText" text="Pesquisa de Preços">
      <formula>NOT(ISERROR(SEARCH("Pesquisa de Preços",E372)))</formula>
    </cfRule>
  </conditionalFormatting>
  <conditionalFormatting sqref="E375:E378">
    <cfRule type="containsText" dxfId="2105" priority="6861" operator="containsText" text="Pesquisa de Preços">
      <formula>NOT(ISERROR(SEARCH("Pesquisa de Preços",E375)))</formula>
    </cfRule>
  </conditionalFormatting>
  <conditionalFormatting sqref="E403">
    <cfRule type="containsText" dxfId="2104" priority="6860" operator="containsText" text="Pesquisa de Preços">
      <formula>NOT(ISERROR(SEARCH("Pesquisa de Preços",E403)))</formula>
    </cfRule>
  </conditionalFormatting>
  <conditionalFormatting sqref="E416">
    <cfRule type="containsText" dxfId="2103" priority="6857" operator="containsText" text="Pesquisa de Preços">
      <formula>NOT(ISERROR(SEARCH("Pesquisa de Preços",E416)))</formula>
    </cfRule>
  </conditionalFormatting>
  <conditionalFormatting sqref="E442:E443 E445:E446">
    <cfRule type="containsText" dxfId="2102" priority="6856" operator="containsText" text="Pesquisa de Preços">
      <formula>NOT(ISERROR(SEARCH("Pesquisa de Preços",E442)))</formula>
    </cfRule>
  </conditionalFormatting>
  <conditionalFormatting sqref="E441">
    <cfRule type="containsText" dxfId="2101" priority="6855" operator="containsText" text="Pesquisa de Preços">
      <formula>NOT(ISERROR(SEARCH("Pesquisa de Preços",E441)))</formula>
    </cfRule>
  </conditionalFormatting>
  <conditionalFormatting sqref="E444">
    <cfRule type="containsText" dxfId="2100" priority="6854" operator="containsText" text="Pesquisa de Preços">
      <formula>NOT(ISERROR(SEARCH("Pesquisa de Preços",E444)))</formula>
    </cfRule>
  </conditionalFormatting>
  <conditionalFormatting sqref="E436:E437 E439:E440">
    <cfRule type="containsText" dxfId="2099" priority="6853" operator="containsText" text="Pesquisa de Preços">
      <formula>NOT(ISERROR(SEARCH("Pesquisa de Preços",E436)))</formula>
    </cfRule>
  </conditionalFormatting>
  <conditionalFormatting sqref="E438">
    <cfRule type="containsText" dxfId="2098" priority="6851" operator="containsText" text="Pesquisa de Preços">
      <formula>NOT(ISERROR(SEARCH("Pesquisa de Preços",E438)))</formula>
    </cfRule>
  </conditionalFormatting>
  <conditionalFormatting sqref="E456:E457 E460:E464">
    <cfRule type="containsText" dxfId="2097" priority="6850" operator="containsText" text="Pesquisa de Preços">
      <formula>NOT(ISERROR(SEARCH("Pesquisa de Preços",E456)))</formula>
    </cfRule>
  </conditionalFormatting>
  <conditionalFormatting sqref="E455">
    <cfRule type="containsText" dxfId="2096" priority="6849" operator="containsText" text="Pesquisa de Preços">
      <formula>NOT(ISERROR(SEARCH("Pesquisa de Preços",E455)))</formula>
    </cfRule>
  </conditionalFormatting>
  <conditionalFormatting sqref="E459">
    <cfRule type="containsText" dxfId="2095" priority="6848" operator="containsText" text="Pesquisa de Preços">
      <formula>NOT(ISERROR(SEARCH("Pesquisa de Preços",E459)))</formula>
    </cfRule>
  </conditionalFormatting>
  <conditionalFormatting sqref="E466:E467 E470:E471">
    <cfRule type="containsText" dxfId="2094" priority="6847" operator="containsText" text="Pesquisa de Preços">
      <formula>NOT(ISERROR(SEARCH("Pesquisa de Preços",E466)))</formula>
    </cfRule>
  </conditionalFormatting>
  <conditionalFormatting sqref="E465">
    <cfRule type="containsText" dxfId="2093" priority="6846" operator="containsText" text="Pesquisa de Preços">
      <formula>NOT(ISERROR(SEARCH("Pesquisa de Preços",E465)))</formula>
    </cfRule>
  </conditionalFormatting>
  <conditionalFormatting sqref="E469">
    <cfRule type="containsText" dxfId="2092" priority="6845" operator="containsText" text="Pesquisa de Preços">
      <formula>NOT(ISERROR(SEARCH("Pesquisa de Preços",E469)))</formula>
    </cfRule>
  </conditionalFormatting>
  <conditionalFormatting sqref="E473 E483">
    <cfRule type="containsText" dxfId="2091" priority="6844" operator="containsText" text="Pesquisa de Preços">
      <formula>NOT(ISERROR(SEARCH("Pesquisa de Preços",E473)))</formula>
    </cfRule>
  </conditionalFormatting>
  <conditionalFormatting sqref="E472">
    <cfRule type="containsText" dxfId="2090" priority="6843" operator="containsText" text="Pesquisa de Preços">
      <formula>NOT(ISERROR(SEARCH("Pesquisa de Preços",E472)))</formula>
    </cfRule>
  </conditionalFormatting>
  <conditionalFormatting sqref="E448 E452 E454">
    <cfRule type="containsText" dxfId="2089" priority="6842" operator="containsText" text="Pesquisa de Preços">
      <formula>NOT(ISERROR(SEARCH("Pesquisa de Preços",E448)))</formula>
    </cfRule>
  </conditionalFormatting>
  <conditionalFormatting sqref="E447">
    <cfRule type="containsText" dxfId="2088" priority="6841" operator="containsText" text="Pesquisa de Preços">
      <formula>NOT(ISERROR(SEARCH("Pesquisa de Preços",E447)))</formula>
    </cfRule>
  </conditionalFormatting>
  <conditionalFormatting sqref="E485:E486 E488:E489">
    <cfRule type="containsText" dxfId="2087" priority="6840" operator="containsText" text="Pesquisa de Preços">
      <formula>NOT(ISERROR(SEARCH("Pesquisa de Preços",E485)))</formula>
    </cfRule>
  </conditionalFormatting>
  <conditionalFormatting sqref="E484">
    <cfRule type="containsText" dxfId="2086" priority="6839" operator="containsText" text="Pesquisa de Preços">
      <formula>NOT(ISERROR(SEARCH("Pesquisa de Preços",E484)))</formula>
    </cfRule>
  </conditionalFormatting>
  <conditionalFormatting sqref="E487">
    <cfRule type="containsText" dxfId="2085" priority="6838" operator="containsText" text="Pesquisa de Preços">
      <formula>NOT(ISERROR(SEARCH("Pesquisa de Preços",E487)))</formula>
    </cfRule>
  </conditionalFormatting>
  <conditionalFormatting sqref="E506:E507 E510:E511">
    <cfRule type="containsText" dxfId="2084" priority="6837" operator="containsText" text="Pesquisa de Preços">
      <formula>NOT(ISERROR(SEARCH("Pesquisa de Preços",E506)))</formula>
    </cfRule>
  </conditionalFormatting>
  <conditionalFormatting sqref="E505">
    <cfRule type="containsText" dxfId="2083" priority="6836" operator="containsText" text="Pesquisa de Preços">
      <formula>NOT(ISERROR(SEARCH("Pesquisa de Preços",E505)))</formula>
    </cfRule>
  </conditionalFormatting>
  <conditionalFormatting sqref="E1267">
    <cfRule type="containsText" dxfId="2082" priority="6644" operator="containsText" text="Pesquisa de Preços">
      <formula>NOT(ISERROR(SEARCH("Pesquisa de Preços",E1267)))</formula>
    </cfRule>
  </conditionalFormatting>
  <conditionalFormatting sqref="E508:E509">
    <cfRule type="containsText" dxfId="2081" priority="6835" operator="containsText" text="Pesquisa de Preços">
      <formula>NOT(ISERROR(SEARCH("Pesquisa de Preços",E508)))</formula>
    </cfRule>
  </conditionalFormatting>
  <conditionalFormatting sqref="E499 E504">
    <cfRule type="containsText" dxfId="2080" priority="6834" operator="containsText" text="Pesquisa de Preços">
      <formula>NOT(ISERROR(SEARCH("Pesquisa de Preços",E499)))</formula>
    </cfRule>
  </conditionalFormatting>
  <conditionalFormatting sqref="E498">
    <cfRule type="containsText" dxfId="2079" priority="6833" operator="containsText" text="Pesquisa de Preços">
      <formula>NOT(ISERROR(SEARCH("Pesquisa de Preços",E498)))</formula>
    </cfRule>
  </conditionalFormatting>
  <conditionalFormatting sqref="E1301">
    <cfRule type="containsText" dxfId="2078" priority="6641" operator="containsText" text="Pesquisa de Preços">
      <formula>NOT(ISERROR(SEARCH("Pesquisa de Preços",E1301)))</formula>
    </cfRule>
  </conditionalFormatting>
  <conditionalFormatting sqref="E513:E514 E516:E517">
    <cfRule type="containsText" dxfId="2077" priority="6832" operator="containsText" text="Pesquisa de Preços">
      <formula>NOT(ISERROR(SEARCH("Pesquisa de Preços",E513)))</formula>
    </cfRule>
  </conditionalFormatting>
  <conditionalFormatting sqref="E512">
    <cfRule type="containsText" dxfId="2076" priority="6831" operator="containsText" text="Pesquisa de Preços">
      <formula>NOT(ISERROR(SEARCH("Pesquisa de Preços",E512)))</formula>
    </cfRule>
  </conditionalFormatting>
  <conditionalFormatting sqref="E1309">
    <cfRule type="containsText" dxfId="2075" priority="6638" operator="containsText" text="Pesquisa de Preços">
      <formula>NOT(ISERROR(SEARCH("Pesquisa de Preços",E1309)))</formula>
    </cfRule>
  </conditionalFormatting>
  <conditionalFormatting sqref="E532">
    <cfRule type="containsText" dxfId="2074" priority="6828" operator="containsText" text="Pesquisa de Preços">
      <formula>NOT(ISERROR(SEARCH("Pesquisa de Preços",E532)))</formula>
    </cfRule>
  </conditionalFormatting>
  <conditionalFormatting sqref="E1273">
    <cfRule type="containsText" dxfId="2073" priority="6636" operator="containsText" text="Pesquisa de Preços">
      <formula>NOT(ISERROR(SEARCH("Pesquisa de Preços",E1273)))</formula>
    </cfRule>
  </conditionalFormatting>
  <conditionalFormatting sqref="E535">
    <cfRule type="containsText" dxfId="2072" priority="6827" operator="containsText" text="Pesquisa de Preços">
      <formula>NOT(ISERROR(SEARCH("Pesquisa de Preços",E535)))</formula>
    </cfRule>
  </conditionalFormatting>
  <conditionalFormatting sqref="E490">
    <cfRule type="containsText" dxfId="2071" priority="6825" operator="containsText" text="Pesquisa de Preços">
      <formula>NOT(ISERROR(SEARCH("Pesquisa de Preços",E490)))</formula>
    </cfRule>
  </conditionalFormatting>
  <conditionalFormatting sqref="E1280">
    <cfRule type="containsText" dxfId="2070" priority="6633" operator="containsText" text="Pesquisa de Preços">
      <formula>NOT(ISERROR(SEARCH("Pesquisa de Preços",E1280)))</formula>
    </cfRule>
  </conditionalFormatting>
  <conditionalFormatting sqref="E526:E531">
    <cfRule type="containsText" dxfId="2069" priority="6824" operator="containsText" text="Pesquisa de Preços">
      <formula>NOT(ISERROR(SEARCH("Pesquisa de Preços",E526)))</formula>
    </cfRule>
  </conditionalFormatting>
  <conditionalFormatting sqref="E525">
    <cfRule type="containsText" dxfId="2068" priority="6823" operator="containsText" text="Pesquisa de Preços">
      <formula>NOT(ISERROR(SEARCH("Pesquisa de Preços",E525)))</formula>
    </cfRule>
  </conditionalFormatting>
  <conditionalFormatting sqref="E519 E524">
    <cfRule type="containsText" dxfId="2067" priority="6821" operator="containsText" text="Pesquisa de Preços">
      <formula>NOT(ISERROR(SEARCH("Pesquisa de Preços",E519)))</formula>
    </cfRule>
  </conditionalFormatting>
  <conditionalFormatting sqref="E518">
    <cfRule type="containsText" dxfId="2066" priority="6820" operator="containsText" text="Pesquisa de Preços">
      <formula>NOT(ISERROR(SEARCH("Pesquisa de Preços",E518)))</formula>
    </cfRule>
  </conditionalFormatting>
  <conditionalFormatting sqref="E1294">
    <cfRule type="containsText" dxfId="2065" priority="6629" operator="containsText" text="Pesquisa de Preços">
      <formula>NOT(ISERROR(SEARCH("Pesquisa de Preços",E1294)))</formula>
    </cfRule>
  </conditionalFormatting>
  <conditionalFormatting sqref="E547:E548 E552:E553">
    <cfRule type="containsText" dxfId="2064" priority="6819" operator="containsText" text="Pesquisa de Preços">
      <formula>NOT(ISERROR(SEARCH("Pesquisa de Preços",E547)))</formula>
    </cfRule>
  </conditionalFormatting>
  <conditionalFormatting sqref="E1336">
    <cfRule type="containsText" dxfId="2063" priority="6627" operator="containsText" text="Pesquisa de Preços">
      <formula>NOT(ISERROR(SEARCH("Pesquisa de Preços",E1336)))</formula>
    </cfRule>
  </conditionalFormatting>
  <conditionalFormatting sqref="E549:E551">
    <cfRule type="containsText" dxfId="2062" priority="6817" operator="containsText" text="Pesquisa de Preços">
      <formula>NOT(ISERROR(SEARCH("Pesquisa de Preços",E549)))</formula>
    </cfRule>
  </conditionalFormatting>
  <conditionalFormatting sqref="E555:E556 E560:E561">
    <cfRule type="containsText" dxfId="2061" priority="6816" operator="containsText" text="Pesquisa de Preços">
      <formula>NOT(ISERROR(SEARCH("Pesquisa de Preços",E555)))</formula>
    </cfRule>
  </conditionalFormatting>
  <conditionalFormatting sqref="E1330">
    <cfRule type="containsText" dxfId="2060" priority="6625" operator="containsText" text="Pesquisa de Preços">
      <formula>NOT(ISERROR(SEARCH("Pesquisa de Preços",E1330)))</formula>
    </cfRule>
  </conditionalFormatting>
  <conditionalFormatting sqref="E557:E559">
    <cfRule type="containsText" dxfId="2059" priority="6814" operator="containsText" text="Pesquisa de Preços">
      <formula>NOT(ISERROR(SEARCH("Pesquisa de Preços",E557)))</formula>
    </cfRule>
  </conditionalFormatting>
  <conditionalFormatting sqref="E539:E540 E544:E545">
    <cfRule type="containsText" dxfId="2058" priority="6813" operator="containsText" text="Pesquisa de Preços">
      <formula>NOT(ISERROR(SEARCH("Pesquisa de Preços",E539)))</formula>
    </cfRule>
  </conditionalFormatting>
  <conditionalFormatting sqref="E538">
    <cfRule type="containsText" dxfId="2057" priority="6812" operator="containsText" text="Pesquisa de Preços">
      <formula>NOT(ISERROR(SEARCH("Pesquisa de Preços",E538)))</formula>
    </cfRule>
  </conditionalFormatting>
  <conditionalFormatting sqref="E1324">
    <cfRule type="containsText" dxfId="2056" priority="6623" operator="containsText" text="Pesquisa de Preços">
      <formula>NOT(ISERROR(SEARCH("Pesquisa de Preços",E1324)))</formula>
    </cfRule>
  </conditionalFormatting>
  <conditionalFormatting sqref="E541:E543">
    <cfRule type="containsText" dxfId="2055" priority="6811" operator="containsText" text="Pesquisa de Preços">
      <formula>NOT(ISERROR(SEARCH("Pesquisa de Preços",E541)))</formula>
    </cfRule>
  </conditionalFormatting>
  <conditionalFormatting sqref="E563:E564 E568:E569">
    <cfRule type="containsText" dxfId="2054" priority="6810" operator="containsText" text="Pesquisa de Preços">
      <formula>NOT(ISERROR(SEARCH("Pesquisa de Preços",E563)))</formula>
    </cfRule>
  </conditionalFormatting>
  <conditionalFormatting sqref="E562">
    <cfRule type="containsText" dxfId="2053" priority="6809" operator="containsText" text="Pesquisa de Preços">
      <formula>NOT(ISERROR(SEARCH("Pesquisa de Preços",E562)))</formula>
    </cfRule>
  </conditionalFormatting>
  <conditionalFormatting sqref="E1318">
    <cfRule type="containsText" dxfId="2052" priority="6621" operator="containsText" text="Pesquisa de Preços">
      <formula>NOT(ISERROR(SEARCH("Pesquisa de Preços",E1318)))</formula>
    </cfRule>
  </conditionalFormatting>
  <conditionalFormatting sqref="E565:E567">
    <cfRule type="containsText" dxfId="2051" priority="6808" operator="containsText" text="Pesquisa de Preços">
      <formula>NOT(ISERROR(SEARCH("Pesquisa de Preços",E565)))</formula>
    </cfRule>
  </conditionalFormatting>
  <conditionalFormatting sqref="E571:E572">
    <cfRule type="containsText" dxfId="2050" priority="6807" operator="containsText" text="Pesquisa de Preços">
      <formula>NOT(ISERROR(SEARCH("Pesquisa de Preços",E571)))</formula>
    </cfRule>
  </conditionalFormatting>
  <conditionalFormatting sqref="E1342">
    <cfRule type="containsText" dxfId="2049" priority="6619" operator="containsText" text="Pesquisa de Preços">
      <formula>NOT(ISERROR(SEARCH("Pesquisa de Preços",E1342)))</formula>
    </cfRule>
  </conditionalFormatting>
  <conditionalFormatting sqref="E581:E582 E585:E588">
    <cfRule type="containsText" dxfId="2048" priority="6805" operator="containsText" text="Pesquisa de Preços">
      <formula>NOT(ISERROR(SEARCH("Pesquisa de Preços",E581)))</formula>
    </cfRule>
  </conditionalFormatting>
  <conditionalFormatting sqref="E1355">
    <cfRule type="containsText" dxfId="2047" priority="6616" operator="containsText" text="Pesquisa de Preços">
      <formula>NOT(ISERROR(SEARCH("Pesquisa de Preços",E1355)))</formula>
    </cfRule>
  </conditionalFormatting>
  <conditionalFormatting sqref="E583:E584">
    <cfRule type="containsText" dxfId="2046" priority="6803" operator="containsText" text="Pesquisa de Preços">
      <formula>NOT(ISERROR(SEARCH("Pesquisa de Preços",E583)))</formula>
    </cfRule>
  </conditionalFormatting>
  <conditionalFormatting sqref="E623 E628:E629">
    <cfRule type="containsText" dxfId="2045" priority="6802" operator="containsText" text="Pesquisa de Preços">
      <formula>NOT(ISERROR(SEARCH("Pesquisa de Preços",E623)))</formula>
    </cfRule>
  </conditionalFormatting>
  <conditionalFormatting sqref="E622">
    <cfRule type="containsText" dxfId="2044" priority="6801" operator="containsText" text="Pesquisa de Preços">
      <formula>NOT(ISERROR(SEARCH("Pesquisa de Preços",E622)))</formula>
    </cfRule>
  </conditionalFormatting>
  <conditionalFormatting sqref="E1349">
    <cfRule type="containsText" dxfId="2043" priority="6613" operator="containsText" text="Pesquisa de Preços">
      <formula>NOT(ISERROR(SEARCH("Pesquisa de Preços",E1349)))</formula>
    </cfRule>
  </conditionalFormatting>
  <conditionalFormatting sqref="E1466">
    <cfRule type="containsText" dxfId="2042" priority="6576" operator="containsText" text="Pesquisa de Preços">
      <formula>NOT(ISERROR(SEARCH("Pesquisa de Preços",E1466)))</formula>
    </cfRule>
  </conditionalFormatting>
  <conditionalFormatting sqref="E833">
    <cfRule type="containsText" dxfId="2041" priority="6782" operator="containsText" text="Pesquisa de Preços">
      <formula>NOT(ISERROR(SEARCH("Pesquisa de Preços",E833)))</formula>
    </cfRule>
  </conditionalFormatting>
  <conditionalFormatting sqref="E1569">
    <cfRule type="containsText" dxfId="2040" priority="6572" operator="containsText" text="Pesquisa de Preços">
      <formula>NOT(ISERROR(SEARCH("Pesquisa de Preços",E1569)))</formula>
    </cfRule>
  </conditionalFormatting>
  <conditionalFormatting sqref="E749">
    <cfRule type="containsText" dxfId="2039" priority="6778" operator="containsText" text="Pesquisa de Preços">
      <formula>NOT(ISERROR(SEARCH("Pesquisa de Preços",E749)))</formula>
    </cfRule>
  </conditionalFormatting>
  <conditionalFormatting sqref="E677">
    <cfRule type="containsText" dxfId="2038" priority="6799" operator="containsText" text="Pesquisa de Preços">
      <formula>NOT(ISERROR(SEARCH("Pesquisa de Preços",E677)))</formula>
    </cfRule>
  </conditionalFormatting>
  <conditionalFormatting sqref="E669">
    <cfRule type="containsText" dxfId="2037" priority="6797" operator="containsText" text="Pesquisa de Preços">
      <formula>NOT(ISERROR(SEARCH("Pesquisa de Preços",E669)))</formula>
    </cfRule>
  </conditionalFormatting>
  <conditionalFormatting sqref="E715">
    <cfRule type="containsText" dxfId="2036" priority="6792" operator="containsText" text="Pesquisa de Preços">
      <formula>NOT(ISERROR(SEARCH("Pesquisa de Preços",E715)))</formula>
    </cfRule>
  </conditionalFormatting>
  <conditionalFormatting sqref="E687">
    <cfRule type="containsText" dxfId="2035" priority="6795" operator="containsText" text="Pesquisa de Preços">
      <formula>NOT(ISERROR(SEARCH("Pesquisa de Preços",E687)))</formula>
    </cfRule>
  </conditionalFormatting>
  <conditionalFormatting sqref="E759:E765">
    <cfRule type="containsText" dxfId="2034" priority="6774" operator="containsText" text="Pesquisa de Preços">
      <formula>NOT(ISERROR(SEARCH("Pesquisa de Preços",E759)))</formula>
    </cfRule>
  </conditionalFormatting>
  <conditionalFormatting sqref="E690:E692">
    <cfRule type="containsText" dxfId="2033" priority="6794" operator="containsText" text="Pesquisa de Preços">
      <formula>NOT(ISERROR(SEARCH("Pesquisa de Preços",E690)))</formula>
    </cfRule>
  </conditionalFormatting>
  <conditionalFormatting sqref="E725">
    <cfRule type="containsText" dxfId="2032" priority="6789" operator="containsText" text="Pesquisa de Preços">
      <formula>NOT(ISERROR(SEARCH("Pesquisa de Preços",E725)))</formula>
    </cfRule>
  </conditionalFormatting>
  <conditionalFormatting sqref="E731">
    <cfRule type="containsText" dxfId="2031" priority="6790" operator="containsText" text="Pesquisa de Preços">
      <formula>NOT(ISERROR(SEARCH("Pesquisa de Preços",E731)))</formula>
    </cfRule>
  </conditionalFormatting>
  <conditionalFormatting sqref="E828">
    <cfRule type="containsText" dxfId="2030" priority="6770" operator="containsText" text="Pesquisa de Preços">
      <formula>NOT(ISERROR(SEARCH("Pesquisa de Preços",E828)))</formula>
    </cfRule>
  </conditionalFormatting>
  <conditionalFormatting sqref="E724">
    <cfRule type="containsText" dxfId="2029" priority="6788" operator="containsText" text="Pesquisa de Preços">
      <formula>NOT(ISERROR(SEARCH("Pesquisa de Preços",E724)))</formula>
    </cfRule>
  </conditionalFormatting>
  <conditionalFormatting sqref="E768">
    <cfRule type="containsText" dxfId="2028" priority="6765" operator="containsText" text="Pesquisa de Preços">
      <formula>NOT(ISERROR(SEARCH("Pesquisa de Preços",E768)))</formula>
    </cfRule>
  </conditionalFormatting>
  <conditionalFormatting sqref="E840">
    <cfRule type="containsText" dxfId="2027" priority="6759" operator="containsText" text="Pesquisa de Preços">
      <formula>NOT(ISERROR(SEARCH("Pesquisa de Preços",E840)))</formula>
    </cfRule>
  </conditionalFormatting>
  <conditionalFormatting sqref="E746:E747">
    <cfRule type="containsText" dxfId="2026" priority="6787" operator="containsText" text="Pesquisa de Preços">
      <formula>NOT(ISERROR(SEARCH("Pesquisa de Preços",E746)))</formula>
    </cfRule>
  </conditionalFormatting>
  <conditionalFormatting sqref="E745">
    <cfRule type="containsText" dxfId="2025" priority="6786" operator="containsText" text="Pesquisa de Preços">
      <formula>NOT(ISERROR(SEARCH("Pesquisa de Preços",E745)))</formula>
    </cfRule>
  </conditionalFormatting>
  <conditionalFormatting sqref="E1421">
    <cfRule type="containsText" dxfId="2024" priority="6578" operator="containsText" text="Pesquisa de Preços">
      <formula>NOT(ISERROR(SEARCH("Pesquisa de Preços",E1421)))</formula>
    </cfRule>
  </conditionalFormatting>
  <conditionalFormatting sqref="E791">
    <cfRule type="containsText" dxfId="2023" priority="6784" operator="containsText" text="Pesquisa de Preços">
      <formula>NOT(ISERROR(SEARCH("Pesquisa de Preços",E791)))</formula>
    </cfRule>
  </conditionalFormatting>
  <conditionalFormatting sqref="E815">
    <cfRule type="containsText" dxfId="2022" priority="6780" operator="containsText" text="Pesquisa de Preços">
      <formula>NOT(ISERROR(SEARCH("Pesquisa de Preços",E815)))</formula>
    </cfRule>
  </conditionalFormatting>
  <conditionalFormatting sqref="E752:E753">
    <cfRule type="containsText" dxfId="2021" priority="6777" operator="containsText" text="Pesquisa de Preços">
      <formula>NOT(ISERROR(SEARCH("Pesquisa de Preços",E752)))</formula>
    </cfRule>
  </conditionalFormatting>
  <conditionalFormatting sqref="E756">
    <cfRule type="containsText" dxfId="2020" priority="6775" operator="containsText" text="Pesquisa de Preços">
      <formula>NOT(ISERROR(SEARCH("Pesquisa de Preços",E756)))</formula>
    </cfRule>
  </conditionalFormatting>
  <conditionalFormatting sqref="E949">
    <cfRule type="containsText" dxfId="2019" priority="6742" operator="containsText" text="Pesquisa de Preços">
      <formula>NOT(ISERROR(SEARCH("Pesquisa de Preços",E949)))</formula>
    </cfRule>
  </conditionalFormatting>
  <conditionalFormatting sqref="E824">
    <cfRule type="containsText" dxfId="2018" priority="6772" operator="containsText" text="Pesquisa de Preços">
      <formula>NOT(ISERROR(SEARCH("Pesquisa de Preços",E824)))</formula>
    </cfRule>
  </conditionalFormatting>
  <conditionalFormatting sqref="E1660">
    <cfRule type="containsText" dxfId="2017" priority="6536" operator="containsText" text="Pesquisa de Preços">
      <formula>NOT(ISERROR(SEARCH("Pesquisa de Preços",E1660)))</formula>
    </cfRule>
  </conditionalFormatting>
  <conditionalFormatting sqref="E805">
    <cfRule type="containsText" dxfId="2016" priority="6768" operator="containsText" text="Pesquisa de Preços">
      <formula>NOT(ISERROR(SEARCH("Pesquisa de Preços",E805)))</formula>
    </cfRule>
  </conditionalFormatting>
  <conditionalFormatting sqref="E981">
    <cfRule type="containsText" dxfId="2015" priority="6736" operator="containsText" text="Pesquisa de Preços">
      <formula>NOT(ISERROR(SEARCH("Pesquisa de Preços",E981)))</formula>
    </cfRule>
  </conditionalFormatting>
  <conditionalFormatting sqref="E820 E823">
    <cfRule type="containsText" dxfId="2014" priority="6767" operator="containsText" text="Pesquisa de Preços">
      <formula>NOT(ISERROR(SEARCH("Pesquisa de Preços",E820)))</formula>
    </cfRule>
  </conditionalFormatting>
  <conditionalFormatting sqref="E819">
    <cfRule type="containsText" dxfId="2013" priority="6766" operator="containsText" text="Pesquisa de Preços">
      <formula>NOT(ISERROR(SEARCH("Pesquisa de Preços",E819)))</formula>
    </cfRule>
  </conditionalFormatting>
  <conditionalFormatting sqref="E984:E989">
    <cfRule type="containsText" dxfId="2012" priority="6735" operator="containsText" text="Pesquisa de Preços">
      <formula>NOT(ISERROR(SEARCH("Pesquisa de Preços",E984)))</formula>
    </cfRule>
  </conditionalFormatting>
  <conditionalFormatting sqref="E767">
    <cfRule type="containsText" dxfId="2011" priority="6764" operator="containsText" text="Pesquisa de Preços">
      <formula>NOT(ISERROR(SEARCH("Pesquisa de Preços",E767)))</formula>
    </cfRule>
  </conditionalFormatting>
  <conditionalFormatting sqref="E1013">
    <cfRule type="containsText" dxfId="2010" priority="6730" operator="containsText" text="Pesquisa de Preços">
      <formula>NOT(ISERROR(SEARCH("Pesquisa de Preços",E1013)))</formula>
    </cfRule>
  </conditionalFormatting>
  <conditionalFormatting sqref="E185:E186">
    <cfRule type="containsText" dxfId="2009" priority="6763" operator="containsText" text="Pesquisa de Preços">
      <formula>NOT(ISERROR(SEARCH("Pesquisa de Preços",E185)))</formula>
    </cfRule>
  </conditionalFormatting>
  <conditionalFormatting sqref="E184">
    <cfRule type="containsText" dxfId="2008" priority="6762" operator="containsText" text="Pesquisa de Preços">
      <formula>NOT(ISERROR(SEARCH("Pesquisa de Preços",E184)))</formula>
    </cfRule>
  </conditionalFormatting>
  <conditionalFormatting sqref="E1016:E1019">
    <cfRule type="containsText" dxfId="2007" priority="6729" operator="containsText" text="Pesquisa de Preços">
      <formula>NOT(ISERROR(SEARCH("Pesquisa de Preços",E1016)))</formula>
    </cfRule>
  </conditionalFormatting>
  <conditionalFormatting sqref="E187:E189">
    <cfRule type="containsText" dxfId="2006" priority="6761" operator="containsText" text="Pesquisa de Preços">
      <formula>NOT(ISERROR(SEARCH("Pesquisa de Preços",E187)))</formula>
    </cfRule>
  </conditionalFormatting>
  <conditionalFormatting sqref="E841 E844:E845">
    <cfRule type="containsText" dxfId="2005" priority="6760" operator="containsText" text="Pesquisa de Preços">
      <formula>NOT(ISERROR(SEARCH("Pesquisa de Preços",E841)))</formula>
    </cfRule>
  </conditionalFormatting>
  <conditionalFormatting sqref="E1704">
    <cfRule type="containsText" dxfId="2004" priority="6528" operator="containsText" text="Pesquisa de Preços">
      <formula>NOT(ISERROR(SEARCH("Pesquisa de Preços",E1704)))</formula>
    </cfRule>
  </conditionalFormatting>
  <conditionalFormatting sqref="E843">
    <cfRule type="containsText" dxfId="2003" priority="6758" operator="containsText" text="Pesquisa de Preços">
      <formula>NOT(ISERROR(SEARCH("Pesquisa de Preços",E843)))</formula>
    </cfRule>
  </conditionalFormatting>
  <conditionalFormatting sqref="E915:E921">
    <cfRule type="containsText" dxfId="2002" priority="6757" operator="containsText" text="Pesquisa de Preços">
      <formula>NOT(ISERROR(SEARCH("Pesquisa de Preços",E915)))</formula>
    </cfRule>
  </conditionalFormatting>
  <conditionalFormatting sqref="E914">
    <cfRule type="containsText" dxfId="2001" priority="6756" operator="containsText" text="Pesquisa de Preços">
      <formula>NOT(ISERROR(SEARCH("Pesquisa de Preços",E914)))</formula>
    </cfRule>
  </conditionalFormatting>
  <conditionalFormatting sqref="E940:E946">
    <cfRule type="containsText" dxfId="2000" priority="6755" operator="containsText" text="Pesquisa de Preços">
      <formula>NOT(ISERROR(SEARCH("Pesquisa de Preços",E940)))</formula>
    </cfRule>
  </conditionalFormatting>
  <conditionalFormatting sqref="E939">
    <cfRule type="containsText" dxfId="1999" priority="6754" operator="containsText" text="Pesquisa de Preços">
      <formula>NOT(ISERROR(SEARCH("Pesquisa de Preços",E939)))</formula>
    </cfRule>
  </conditionalFormatting>
  <conditionalFormatting sqref="E1626">
    <cfRule type="containsText" dxfId="1998" priority="6550" operator="containsText" text="Pesquisa de Preços">
      <formula>NOT(ISERROR(SEARCH("Pesquisa de Preços",E1626)))</formula>
    </cfRule>
  </conditionalFormatting>
  <conditionalFormatting sqref="E931">
    <cfRule type="containsText" dxfId="1997" priority="6753" operator="containsText" text="Pesquisa de Preços">
      <formula>NOT(ISERROR(SEARCH("Pesquisa de Preços",E931)))</formula>
    </cfRule>
  </conditionalFormatting>
  <conditionalFormatting sqref="E930">
    <cfRule type="containsText" dxfId="1996" priority="6752" operator="containsText" text="Pesquisa de Preços">
      <formula>NOT(ISERROR(SEARCH("Pesquisa de Preços",E930)))</formula>
    </cfRule>
  </conditionalFormatting>
  <conditionalFormatting sqref="E1631">
    <cfRule type="containsText" dxfId="1995" priority="6548" operator="containsText" text="Pesquisa de Preços">
      <formula>NOT(ISERROR(SEARCH("Pesquisa de Preços",E1631)))</formula>
    </cfRule>
  </conditionalFormatting>
  <conditionalFormatting sqref="E923">
    <cfRule type="containsText" dxfId="1994" priority="6750" operator="containsText" text="Pesquisa de Preços">
      <formula>NOT(ISERROR(SEARCH("Pesquisa de Preços",E923)))</formula>
    </cfRule>
  </conditionalFormatting>
  <conditionalFormatting sqref="E924 E929">
    <cfRule type="containsText" dxfId="1993" priority="6751" operator="containsText" text="Pesquisa de Preços">
      <formula>NOT(ISERROR(SEARCH("Pesquisa de Preços",E924)))</formula>
    </cfRule>
  </conditionalFormatting>
  <conditionalFormatting sqref="E1602">
    <cfRule type="containsText" dxfId="1992" priority="6544" operator="containsText" text="Pesquisa de Preços">
      <formula>NOT(ISERROR(SEARCH("Pesquisa de Preços",E1602)))</formula>
    </cfRule>
  </conditionalFormatting>
  <conditionalFormatting sqref="E970:E972">
    <cfRule type="containsText" dxfId="1991" priority="6747" operator="containsText" text="Pesquisa de Preços">
      <formula>NOT(ISERROR(SEARCH("Pesquisa de Preços",E970)))</formula>
    </cfRule>
  </conditionalFormatting>
  <conditionalFormatting sqref="E968:E969">
    <cfRule type="containsText" dxfId="1990" priority="6749" operator="containsText" text="Pesquisa de Preços">
      <formula>NOT(ISERROR(SEARCH("Pesquisa de Preços",E968)))</formula>
    </cfRule>
  </conditionalFormatting>
  <conditionalFormatting sqref="E967">
    <cfRule type="containsText" dxfId="1989" priority="6748" operator="containsText" text="Pesquisa de Preços">
      <formula>NOT(ISERROR(SEARCH("Pesquisa de Preços",E967)))</formula>
    </cfRule>
  </conditionalFormatting>
  <conditionalFormatting sqref="E961">
    <cfRule type="containsText" dxfId="1988" priority="6746" operator="containsText" text="Pesquisa de Preços">
      <formula>NOT(ISERROR(SEARCH("Pesquisa de Preços",E961)))</formula>
    </cfRule>
  </conditionalFormatting>
  <conditionalFormatting sqref="E960">
    <cfRule type="containsText" dxfId="1987" priority="6745" operator="containsText" text="Pesquisa de Preços">
      <formula>NOT(ISERROR(SEARCH("Pesquisa de Preços",E960)))</formula>
    </cfRule>
  </conditionalFormatting>
  <conditionalFormatting sqref="E955 E959">
    <cfRule type="containsText" dxfId="1986" priority="6744" operator="containsText" text="Pesquisa de Preços">
      <formula>NOT(ISERROR(SEARCH("Pesquisa de Preços",E955)))</formula>
    </cfRule>
  </conditionalFormatting>
  <conditionalFormatting sqref="E954">
    <cfRule type="containsText" dxfId="1985" priority="6743" operator="containsText" text="Pesquisa de Preços">
      <formula>NOT(ISERROR(SEARCH("Pesquisa de Preços",E954)))</formula>
    </cfRule>
  </conditionalFormatting>
  <conditionalFormatting sqref="E1060">
    <cfRule type="containsText" dxfId="1984" priority="6710" operator="containsText" text="Pesquisa de Preços">
      <formula>NOT(ISERROR(SEARCH("Pesquisa de Preços",E1060)))</formula>
    </cfRule>
  </conditionalFormatting>
  <conditionalFormatting sqref="E974">
    <cfRule type="containsText" dxfId="1983" priority="6739" operator="containsText" text="Pesquisa de Preços">
      <formula>NOT(ISERROR(SEARCH("Pesquisa de Preços",E974)))</formula>
    </cfRule>
  </conditionalFormatting>
  <conditionalFormatting sqref="E948">
    <cfRule type="containsText" dxfId="1982" priority="6741" operator="containsText" text="Pesquisa de Preços">
      <formula>NOT(ISERROR(SEARCH("Pesquisa de Preços",E948)))</formula>
    </cfRule>
  </conditionalFormatting>
  <conditionalFormatting sqref="E975:E976 E979:E980">
    <cfRule type="containsText" dxfId="1981" priority="6740" operator="containsText" text="Pesquisa de Preços">
      <formula>NOT(ISERROR(SEARCH("Pesquisa de Preços",E975)))</formula>
    </cfRule>
  </conditionalFormatting>
  <conditionalFormatting sqref="E977:E978">
    <cfRule type="containsText" dxfId="1980" priority="6738" operator="containsText" text="Pesquisa de Preços">
      <formula>NOT(ISERROR(SEARCH("Pesquisa de Preços",E977)))</formula>
    </cfRule>
  </conditionalFormatting>
  <conditionalFormatting sqref="E982:E983 E990:E991">
    <cfRule type="containsText" dxfId="1979" priority="6737" operator="containsText" text="Pesquisa de Preços">
      <formula>NOT(ISERROR(SEARCH("Pesquisa de Preços",E982)))</formula>
    </cfRule>
  </conditionalFormatting>
  <conditionalFormatting sqref="E1649">
    <cfRule type="containsText" dxfId="1978" priority="6534" operator="containsText" text="Pesquisa de Preços">
      <formula>NOT(ISERROR(SEARCH("Pesquisa de Preços",E1649)))</formula>
    </cfRule>
  </conditionalFormatting>
  <conditionalFormatting sqref="E993:E994 E1001:E1002">
    <cfRule type="containsText" dxfId="1977" priority="6734" operator="containsText" text="Pesquisa de Preços">
      <formula>NOT(ISERROR(SEARCH("Pesquisa de Preços",E993)))</formula>
    </cfRule>
  </conditionalFormatting>
  <conditionalFormatting sqref="E992">
    <cfRule type="containsText" dxfId="1976" priority="6733" operator="containsText" text="Pesquisa de Preços">
      <formula>NOT(ISERROR(SEARCH("Pesquisa de Preços",E992)))</formula>
    </cfRule>
  </conditionalFormatting>
  <conditionalFormatting sqref="E1726">
    <cfRule type="containsText" dxfId="1975" priority="6532" operator="containsText" text="Pesquisa de Preços">
      <formula>NOT(ISERROR(SEARCH("Pesquisa de Preços",E1726)))</formula>
    </cfRule>
  </conditionalFormatting>
  <conditionalFormatting sqref="E999:E1000 E995:E997">
    <cfRule type="containsText" dxfId="1974" priority="6732" operator="containsText" text="Pesquisa de Preços">
      <formula>NOT(ISERROR(SEARCH("Pesquisa de Preços",E995)))</formula>
    </cfRule>
  </conditionalFormatting>
  <conditionalFormatting sqref="E1014:E1015 E1020:E1021">
    <cfRule type="containsText" dxfId="1973" priority="6731" operator="containsText" text="Pesquisa de Preços">
      <formula>NOT(ISERROR(SEARCH("Pesquisa de Preços",E1014)))</formula>
    </cfRule>
  </conditionalFormatting>
  <conditionalFormatting sqref="E1737">
    <cfRule type="containsText" dxfId="1972" priority="6530" operator="containsText" text="Pesquisa de Preços">
      <formula>NOT(ISERROR(SEARCH("Pesquisa de Preços",E1737)))</formula>
    </cfRule>
  </conditionalFormatting>
  <conditionalFormatting sqref="E1004:E1005">
    <cfRule type="containsText" dxfId="1971" priority="6728" operator="containsText" text="Pesquisa de Preços">
      <formula>NOT(ISERROR(SEARCH("Pesquisa de Preços",E1004)))</formula>
    </cfRule>
  </conditionalFormatting>
  <conditionalFormatting sqref="E1003">
    <cfRule type="containsText" dxfId="1970" priority="6727" operator="containsText" text="Pesquisa de Preços">
      <formula>NOT(ISERROR(SEARCH("Pesquisa de Preços",E1003)))</formula>
    </cfRule>
  </conditionalFormatting>
  <conditionalFormatting sqref="E1008">
    <cfRule type="containsText" dxfId="1969" priority="6725" operator="containsText" text="Pesquisa de Preços">
      <formula>NOT(ISERROR(SEARCH("Pesquisa de Preços",E1008)))</formula>
    </cfRule>
  </conditionalFormatting>
  <conditionalFormatting sqref="E1009:E1010">
    <cfRule type="containsText" dxfId="1968" priority="6726" operator="containsText" text="Pesquisa de Preços">
      <formula>NOT(ISERROR(SEARCH("Pesquisa de Preços",E1009)))</formula>
    </cfRule>
  </conditionalFormatting>
  <conditionalFormatting sqref="E1715">
    <cfRule type="containsText" dxfId="1967" priority="6526" operator="containsText" text="Pesquisa de Preços">
      <formula>NOT(ISERROR(SEARCH("Pesquisa de Preços",E1715)))</formula>
    </cfRule>
  </conditionalFormatting>
  <conditionalFormatting sqref="E1027">
    <cfRule type="containsText" dxfId="1966" priority="6723" operator="containsText" text="Pesquisa de Preços">
      <formula>NOT(ISERROR(SEARCH("Pesquisa de Preços",E1027)))</formula>
    </cfRule>
  </conditionalFormatting>
  <conditionalFormatting sqref="E1028:E1029 E1036">
    <cfRule type="containsText" dxfId="1965" priority="6724" operator="containsText" text="Pesquisa de Preços">
      <formula>NOT(ISERROR(SEARCH("Pesquisa de Preços",E1028)))</formula>
    </cfRule>
  </conditionalFormatting>
  <conditionalFormatting sqref="E1690">
    <cfRule type="containsText" dxfId="1964" priority="6524" operator="containsText" text="Pesquisa de Preços">
      <formula>NOT(ISERROR(SEARCH("Pesquisa de Preços",E1690)))</formula>
    </cfRule>
  </conditionalFormatting>
  <conditionalFormatting sqref="E1031:E1034">
    <cfRule type="containsText" dxfId="1963" priority="6722" operator="containsText" text="Pesquisa de Preços">
      <formula>NOT(ISERROR(SEARCH("Pesquisa de Preços",E1031)))</formula>
    </cfRule>
  </conditionalFormatting>
  <conditionalFormatting sqref="E1038:E1039 E1045">
    <cfRule type="containsText" dxfId="1962" priority="6721" operator="containsText" text="Pesquisa de Preços">
      <formula>NOT(ISERROR(SEARCH("Pesquisa de Preços",E1038)))</formula>
    </cfRule>
  </conditionalFormatting>
  <conditionalFormatting sqref="E1037">
    <cfRule type="containsText" dxfId="1961" priority="6720" operator="containsText" text="Pesquisa de Preços">
      <formula>NOT(ISERROR(SEARCH("Pesquisa de Preços",E1037)))</formula>
    </cfRule>
  </conditionalFormatting>
  <conditionalFormatting sqref="E1696">
    <cfRule type="containsText" dxfId="1960" priority="6522" operator="containsText" text="Pesquisa de Preços">
      <formula>NOT(ISERROR(SEARCH("Pesquisa de Preços",E1696)))</formula>
    </cfRule>
  </conditionalFormatting>
  <conditionalFormatting sqref="E1023:E1024">
    <cfRule type="containsText" dxfId="1959" priority="6719" operator="containsText" text="Pesquisa de Preços">
      <formula>NOT(ISERROR(SEARCH("Pesquisa de Preços",E1023)))</formula>
    </cfRule>
  </conditionalFormatting>
  <conditionalFormatting sqref="E1022">
    <cfRule type="containsText" dxfId="1958" priority="6718" operator="containsText" text="Pesquisa de Preços">
      <formula>NOT(ISERROR(SEARCH("Pesquisa de Preços",E1022)))</formula>
    </cfRule>
  </conditionalFormatting>
  <conditionalFormatting sqref="E1025">
    <cfRule type="containsText" dxfId="1957" priority="6717" operator="containsText" text="Pesquisa de Preços">
      <formula>NOT(ISERROR(SEARCH("Pesquisa de Preços",E1025)))</formula>
    </cfRule>
  </conditionalFormatting>
  <conditionalFormatting sqref="E1100:E1101">
    <cfRule type="containsText" dxfId="1956" priority="6716" operator="containsText" text="Pesquisa de Preços">
      <formula>NOT(ISERROR(SEARCH("Pesquisa de Preços",E1100)))</formula>
    </cfRule>
  </conditionalFormatting>
  <conditionalFormatting sqref="E1099">
    <cfRule type="containsText" dxfId="1955" priority="6715" operator="containsText" text="Pesquisa de Preços">
      <formula>NOT(ISERROR(SEARCH("Pesquisa de Preços",E1099)))</formula>
    </cfRule>
  </conditionalFormatting>
  <conditionalFormatting sqref="E1047:E1048 E1051:E1052">
    <cfRule type="containsText" dxfId="1954" priority="6714" operator="containsText" text="Pesquisa de Preços">
      <formula>NOT(ISERROR(SEARCH("Pesquisa de Preços",E1047)))</formula>
    </cfRule>
  </conditionalFormatting>
  <conditionalFormatting sqref="E1046">
    <cfRule type="containsText" dxfId="1953" priority="6713" operator="containsText" text="Pesquisa de Preços">
      <formula>NOT(ISERROR(SEARCH("Pesquisa de Preços",E1046)))</formula>
    </cfRule>
  </conditionalFormatting>
  <conditionalFormatting sqref="E1049:E1050">
    <cfRule type="containsText" dxfId="1952" priority="6712" operator="containsText" text="Pesquisa de Preços">
      <formula>NOT(ISERROR(SEARCH("Pesquisa de Preços",E1049)))</formula>
    </cfRule>
  </conditionalFormatting>
  <conditionalFormatting sqref="E1061:E1062 E1066">
    <cfRule type="containsText" dxfId="1951" priority="6711" operator="containsText" text="Pesquisa de Preços">
      <formula>NOT(ISERROR(SEARCH("Pesquisa de Preços",E1061)))</formula>
    </cfRule>
  </conditionalFormatting>
  <conditionalFormatting sqref="E1092:E1093 E1098">
    <cfRule type="containsText" dxfId="1950" priority="6709" operator="containsText" text="Pesquisa de Preços">
      <formula>NOT(ISERROR(SEARCH("Pesquisa de Preços",E1092)))</formula>
    </cfRule>
  </conditionalFormatting>
  <conditionalFormatting sqref="E1091">
    <cfRule type="containsText" dxfId="1949" priority="6708" operator="containsText" text="Pesquisa de Preços">
      <formula>NOT(ISERROR(SEARCH("Pesquisa de Preços",E1091)))</formula>
    </cfRule>
  </conditionalFormatting>
  <conditionalFormatting sqref="E1054:E1055">
    <cfRule type="containsText" dxfId="1948" priority="6706" operator="containsText" text="Pesquisa de Preços">
      <formula>NOT(ISERROR(SEARCH("Pesquisa de Preços",E1054)))</formula>
    </cfRule>
  </conditionalFormatting>
  <conditionalFormatting sqref="E1053">
    <cfRule type="containsText" dxfId="1947" priority="6705" operator="containsText" text="Pesquisa de Preços">
      <formula>NOT(ISERROR(SEARCH("Pesquisa de Preços",E1053)))</formula>
    </cfRule>
  </conditionalFormatting>
  <conditionalFormatting sqref="E1056:E1058">
    <cfRule type="containsText" dxfId="1946" priority="6704" operator="containsText" text="Pesquisa de Preços">
      <formula>NOT(ISERROR(SEARCH("Pesquisa de Preços",E1056)))</formula>
    </cfRule>
  </conditionalFormatting>
  <conditionalFormatting sqref="E1068">
    <cfRule type="containsText" dxfId="1945" priority="6703" operator="containsText" text="Pesquisa de Preços">
      <formula>NOT(ISERROR(SEARCH("Pesquisa de Preços",E1068)))</formula>
    </cfRule>
  </conditionalFormatting>
  <conditionalFormatting sqref="E1067">
    <cfRule type="containsText" dxfId="1944" priority="6702" operator="containsText" text="Pesquisa de Preços">
      <formula>NOT(ISERROR(SEARCH("Pesquisa de Preços",E1067)))</formula>
    </cfRule>
  </conditionalFormatting>
  <conditionalFormatting sqref="E1084 E1090">
    <cfRule type="containsText" dxfId="1943" priority="6701" operator="containsText" text="Pesquisa de Preços">
      <formula>NOT(ISERROR(SEARCH("Pesquisa de Preços",E1084)))</formula>
    </cfRule>
  </conditionalFormatting>
  <conditionalFormatting sqref="E1083">
    <cfRule type="containsText" dxfId="1942" priority="6700" operator="containsText" text="Pesquisa de Preços">
      <formula>NOT(ISERROR(SEARCH("Pesquisa de Preços",E1083)))</formula>
    </cfRule>
  </conditionalFormatting>
  <conditionalFormatting sqref="E1075 E1082">
    <cfRule type="containsText" dxfId="1941" priority="6699" operator="containsText" text="Pesquisa de Preços">
      <formula>NOT(ISERROR(SEARCH("Pesquisa de Preços",E1075)))</formula>
    </cfRule>
  </conditionalFormatting>
  <conditionalFormatting sqref="E1074">
    <cfRule type="containsText" dxfId="1940" priority="6698" operator="containsText" text="Pesquisa de Preços">
      <formula>NOT(ISERROR(SEARCH("Pesquisa de Preços",E1074)))</formula>
    </cfRule>
  </conditionalFormatting>
  <conditionalFormatting sqref="E1123:E1124">
    <cfRule type="containsText" dxfId="1939" priority="6697" operator="containsText" text="Pesquisa de Preços">
      <formula>NOT(ISERROR(SEARCH("Pesquisa de Preços",E1123)))</formula>
    </cfRule>
  </conditionalFormatting>
  <conditionalFormatting sqref="E1122">
    <cfRule type="containsText" dxfId="1938" priority="6696" operator="containsText" text="Pesquisa de Preços">
      <formula>NOT(ISERROR(SEARCH("Pesquisa de Preços",E1122)))</formula>
    </cfRule>
  </conditionalFormatting>
  <conditionalFormatting sqref="E1125">
    <cfRule type="containsText" dxfId="1937" priority="6695" operator="containsText" text="Pesquisa de Preços">
      <formula>NOT(ISERROR(SEARCH("Pesquisa de Preços",E1125)))</formula>
    </cfRule>
  </conditionalFormatting>
  <conditionalFormatting sqref="E1118:E1119">
    <cfRule type="containsText" dxfId="1936" priority="6694" operator="containsText" text="Pesquisa de Preços">
      <formula>NOT(ISERROR(SEARCH("Pesquisa de Preços",E1118)))</formula>
    </cfRule>
  </conditionalFormatting>
  <conditionalFormatting sqref="E1117">
    <cfRule type="containsText" dxfId="1935" priority="6693" operator="containsText" text="Pesquisa de Preços">
      <formula>NOT(ISERROR(SEARCH("Pesquisa de Preços",E1117)))</formula>
    </cfRule>
  </conditionalFormatting>
  <conditionalFormatting sqref="E1833">
    <cfRule type="containsText" dxfId="1934" priority="6511" operator="containsText" text="Pesquisa de Preços">
      <formula>NOT(ISERROR(SEARCH("Pesquisa de Preços",E1833)))</formula>
    </cfRule>
  </conditionalFormatting>
  <conditionalFormatting sqref="E1245">
    <cfRule type="containsText" dxfId="1933" priority="6692" operator="containsText" text="Pesquisa de Preços">
      <formula>NOT(ISERROR(SEARCH("Pesquisa de Preços",E1245)))</formula>
    </cfRule>
  </conditionalFormatting>
  <conditionalFormatting sqref="E1228">
    <cfRule type="containsText" dxfId="1932" priority="6687" operator="containsText" text="Pesquisa de Preços">
      <formula>NOT(ISERROR(SEARCH("Pesquisa de Preços",E1228)))</formula>
    </cfRule>
  </conditionalFormatting>
  <conditionalFormatting sqref="E1839">
    <cfRule type="containsText" dxfId="1931" priority="6508" operator="containsText" text="Pesquisa de Preços">
      <formula>NOT(ISERROR(SEARCH("Pesquisa de Preços",E1839)))</formula>
    </cfRule>
  </conditionalFormatting>
  <conditionalFormatting sqref="E1239">
    <cfRule type="containsText" dxfId="1930" priority="6690" operator="containsText" text="Pesquisa de Preços">
      <formula>NOT(ISERROR(SEARCH("Pesquisa de Preços",E1239)))</formula>
    </cfRule>
  </conditionalFormatting>
  <conditionalFormatting sqref="E1138">
    <cfRule type="containsText" dxfId="1929" priority="6683" operator="containsText" text="Pesquisa de Preços">
      <formula>NOT(ISERROR(SEARCH("Pesquisa de Preços",E1138)))</formula>
    </cfRule>
  </conditionalFormatting>
  <conditionalFormatting sqref="E1826">
    <cfRule type="containsText" dxfId="1928" priority="6505" operator="containsText" text="Pesquisa de Preços">
      <formula>NOT(ISERROR(SEARCH("Pesquisa de Preços",E1826)))</formula>
    </cfRule>
  </conditionalFormatting>
  <conditionalFormatting sqref="E1229:E1230 E1233">
    <cfRule type="containsText" dxfId="1927" priority="6688" operator="containsText" text="Pesquisa de Preços">
      <formula>NOT(ISERROR(SEARCH("Pesquisa de Preços",E1229)))</formula>
    </cfRule>
  </conditionalFormatting>
  <conditionalFormatting sqref="E1845">
    <cfRule type="containsText" dxfId="1926" priority="6503" operator="containsText" text="Pesquisa de Preços">
      <formula>NOT(ISERROR(SEARCH("Pesquisa de Preços",E1845)))</formula>
    </cfRule>
  </conditionalFormatting>
  <conditionalFormatting sqref="E1223:E1224 E1227">
    <cfRule type="containsText" dxfId="1925" priority="6686" operator="containsText" text="Pesquisa de Preços">
      <formula>NOT(ISERROR(SEARCH("Pesquisa de Preços",E1223)))</formula>
    </cfRule>
  </conditionalFormatting>
  <conditionalFormatting sqref="E1222">
    <cfRule type="containsText" dxfId="1924" priority="6685" operator="containsText" text="Pesquisa de Preços">
      <formula>NOT(ISERROR(SEARCH("Pesquisa de Preços",E1222)))</formula>
    </cfRule>
  </conditionalFormatting>
  <conditionalFormatting sqref="E1139:E1140 E1143:E1144">
    <cfRule type="containsText" dxfId="1923" priority="6684" operator="containsText" text="Pesquisa de Preços">
      <formula>NOT(ISERROR(SEARCH("Pesquisa de Preços",E1139)))</formula>
    </cfRule>
  </conditionalFormatting>
  <conditionalFormatting sqref="E1141:E1142">
    <cfRule type="containsText" dxfId="1922" priority="6682" operator="containsText" text="Pesquisa de Preços">
      <formula>NOT(ISERROR(SEARCH("Pesquisa de Preços",E1141)))</formula>
    </cfRule>
  </conditionalFormatting>
  <conditionalFormatting sqref="E1128:E1129 E1131:E1132">
    <cfRule type="containsText" dxfId="1921" priority="6681" operator="containsText" text="Pesquisa de Preços">
      <formula>NOT(ISERROR(SEARCH("Pesquisa de Preços",E1128)))</formula>
    </cfRule>
  </conditionalFormatting>
  <conditionalFormatting sqref="E1127">
    <cfRule type="containsText" dxfId="1920" priority="6680" operator="containsText" text="Pesquisa de Preços">
      <formula>NOT(ISERROR(SEARCH("Pesquisa de Preços",E1127)))</formula>
    </cfRule>
  </conditionalFormatting>
  <conditionalFormatting sqref="E1130">
    <cfRule type="containsText" dxfId="1919" priority="6679" operator="containsText" text="Pesquisa de Preços">
      <formula>NOT(ISERROR(SEARCH("Pesquisa de Preços",E1130)))</formula>
    </cfRule>
  </conditionalFormatting>
  <conditionalFormatting sqref="E1261 E1266">
    <cfRule type="containsText" dxfId="1918" priority="6678" operator="containsText" text="Pesquisa de Preços">
      <formula>NOT(ISERROR(SEARCH("Pesquisa de Preços",E1261)))</formula>
    </cfRule>
  </conditionalFormatting>
  <conditionalFormatting sqref="E1260">
    <cfRule type="containsText" dxfId="1917" priority="6677" operator="containsText" text="Pesquisa de Preços">
      <formula>NOT(ISERROR(SEARCH("Pesquisa de Preços",E1260)))</formula>
    </cfRule>
  </conditionalFormatting>
  <conditionalFormatting sqref="E1249:E1250">
    <cfRule type="containsText" dxfId="1916" priority="6674" operator="containsText" text="Pesquisa de Preços">
      <formula>NOT(ISERROR(SEARCH("Pesquisa de Preços",E1249)))</formula>
    </cfRule>
  </conditionalFormatting>
  <conditionalFormatting sqref="E1247:E1248 E1251:E1252">
    <cfRule type="containsText" dxfId="1915" priority="6676" operator="containsText" text="Pesquisa de Preços">
      <formula>NOT(ISERROR(SEARCH("Pesquisa de Preços",E1247)))</formula>
    </cfRule>
  </conditionalFormatting>
  <conditionalFormatting sqref="E1246">
    <cfRule type="containsText" dxfId="1914" priority="6675" operator="containsText" text="Pesquisa de Preços">
      <formula>NOT(ISERROR(SEARCH("Pesquisa de Preços",E1246)))</formula>
    </cfRule>
  </conditionalFormatting>
  <conditionalFormatting sqref="E1153:E1154 E1157:E1158">
    <cfRule type="containsText" dxfId="1913" priority="6673" operator="containsText" text="Pesquisa de Preços">
      <formula>NOT(ISERROR(SEARCH("Pesquisa de Preços",E1153)))</formula>
    </cfRule>
  </conditionalFormatting>
  <conditionalFormatting sqref="E1152">
    <cfRule type="containsText" dxfId="1912" priority="6672" operator="containsText" text="Pesquisa de Preços">
      <formula>NOT(ISERROR(SEARCH("Pesquisa de Preços",E1152)))</formula>
    </cfRule>
  </conditionalFormatting>
  <conditionalFormatting sqref="E1155:E1156">
    <cfRule type="containsText" dxfId="1911" priority="6671" operator="containsText" text="Pesquisa de Preços">
      <formula>NOT(ISERROR(SEARCH("Pesquisa de Preços",E1155)))</formula>
    </cfRule>
  </conditionalFormatting>
  <conditionalFormatting sqref="E1188:E1189 E1193">
    <cfRule type="containsText" dxfId="1910" priority="6670" operator="containsText" text="Pesquisa de Preços">
      <formula>NOT(ISERROR(SEARCH("Pesquisa de Preços",E1188)))</formula>
    </cfRule>
  </conditionalFormatting>
  <conditionalFormatting sqref="E1187">
    <cfRule type="containsText" dxfId="1909" priority="6669" operator="containsText" text="Pesquisa de Preços">
      <formula>NOT(ISERROR(SEARCH("Pesquisa de Preços",E1187)))</formula>
    </cfRule>
  </conditionalFormatting>
  <conditionalFormatting sqref="E1195:E1196 E1200">
    <cfRule type="containsText" dxfId="1908" priority="6667" operator="containsText" text="Pesquisa de Preços">
      <formula>NOT(ISERROR(SEARCH("Pesquisa de Preços",E1195)))</formula>
    </cfRule>
  </conditionalFormatting>
  <conditionalFormatting sqref="E1194">
    <cfRule type="containsText" dxfId="1907" priority="6666" operator="containsText" text="Pesquisa de Preços">
      <formula>NOT(ISERROR(SEARCH("Pesquisa de Preços",E1194)))</formula>
    </cfRule>
  </conditionalFormatting>
  <conditionalFormatting sqref="E1893">
    <cfRule type="containsText" dxfId="1906" priority="6493" operator="containsText" text="Pesquisa de Preços">
      <formula>NOT(ISERROR(SEARCH("Pesquisa de Preços",E1893)))</formula>
    </cfRule>
  </conditionalFormatting>
  <conditionalFormatting sqref="E1202:E1203 E1207">
    <cfRule type="containsText" dxfId="1905" priority="6664" operator="containsText" text="Pesquisa de Preços">
      <formula>NOT(ISERROR(SEARCH("Pesquisa de Preços",E1202)))</formula>
    </cfRule>
  </conditionalFormatting>
  <conditionalFormatting sqref="E1201">
    <cfRule type="containsText" dxfId="1904" priority="6663" operator="containsText" text="Pesquisa de Preços">
      <formula>NOT(ISERROR(SEARCH("Pesquisa de Preços",E1201)))</formula>
    </cfRule>
  </conditionalFormatting>
  <conditionalFormatting sqref="E1899">
    <cfRule type="containsText" dxfId="1903" priority="6490" operator="containsText" text="Pesquisa de Preços">
      <formula>NOT(ISERROR(SEARCH("Pesquisa de Preços",E1899)))</formula>
    </cfRule>
  </conditionalFormatting>
  <conditionalFormatting sqref="E1181:E1182 E1185:E1186">
    <cfRule type="containsText" dxfId="1902" priority="6661" operator="containsText" text="Pesquisa de Preços">
      <formula>NOT(ISERROR(SEARCH("Pesquisa de Preços",E1181)))</formula>
    </cfRule>
  </conditionalFormatting>
  <conditionalFormatting sqref="E1180">
    <cfRule type="containsText" dxfId="1901" priority="6660" operator="containsText" text="Pesquisa de Preços">
      <formula>NOT(ISERROR(SEARCH("Pesquisa de Preços",E1180)))</formula>
    </cfRule>
  </conditionalFormatting>
  <conditionalFormatting sqref="E1183:E1184">
    <cfRule type="containsText" dxfId="1900" priority="6659" operator="containsText" text="Pesquisa de Preços">
      <formula>NOT(ISERROR(SEARCH("Pesquisa de Preços",E1183)))</formula>
    </cfRule>
  </conditionalFormatting>
  <conditionalFormatting sqref="E1146:E1147 E1150:E1151">
    <cfRule type="containsText" dxfId="1899" priority="6658" operator="containsText" text="Pesquisa de Preços">
      <formula>NOT(ISERROR(SEARCH("Pesquisa de Preços",E1146)))</formula>
    </cfRule>
  </conditionalFormatting>
  <conditionalFormatting sqref="E1145">
    <cfRule type="containsText" dxfId="1898" priority="6657" operator="containsText" text="Pesquisa de Preços">
      <formula>NOT(ISERROR(SEARCH("Pesquisa de Preços",E1145)))</formula>
    </cfRule>
  </conditionalFormatting>
  <conditionalFormatting sqref="E1915">
    <cfRule type="containsText" dxfId="1897" priority="6487" operator="containsText" text="Pesquisa de Preços">
      <formula>NOT(ISERROR(SEARCH("Pesquisa de Preços",E1915)))</formula>
    </cfRule>
  </conditionalFormatting>
  <conditionalFormatting sqref="E1148:E1149">
    <cfRule type="containsText" dxfId="1896" priority="6656" operator="containsText" text="Pesquisa de Preços">
      <formula>NOT(ISERROR(SEARCH("Pesquisa de Preços",E1148)))</formula>
    </cfRule>
  </conditionalFormatting>
  <conditionalFormatting sqref="E1167:E1168 E1171:E1172">
    <cfRule type="containsText" dxfId="1895" priority="6655" operator="containsText" text="Pesquisa de Preços">
      <formula>NOT(ISERROR(SEARCH("Pesquisa de Preços",E1167)))</formula>
    </cfRule>
  </conditionalFormatting>
  <conditionalFormatting sqref="E1166">
    <cfRule type="containsText" dxfId="1894" priority="6654" operator="containsText" text="Pesquisa de Preços">
      <formula>NOT(ISERROR(SEARCH("Pesquisa de Preços",E1166)))</formula>
    </cfRule>
  </conditionalFormatting>
  <conditionalFormatting sqref="E1910">
    <cfRule type="containsText" dxfId="1893" priority="6485" operator="containsText" text="Pesquisa de Preços">
      <formula>NOT(ISERROR(SEARCH("Pesquisa de Preços",E1910)))</formula>
    </cfRule>
  </conditionalFormatting>
  <conditionalFormatting sqref="E1169:E1170">
    <cfRule type="containsText" dxfId="1892" priority="6653" operator="containsText" text="Pesquisa de Preços">
      <formula>NOT(ISERROR(SEARCH("Pesquisa de Preços",E1169)))</formula>
    </cfRule>
  </conditionalFormatting>
  <conditionalFormatting sqref="E1174 E1179">
    <cfRule type="containsText" dxfId="1891" priority="6652" operator="containsText" text="Pesquisa de Preços">
      <formula>NOT(ISERROR(SEARCH("Pesquisa de Preços",E1174)))</formula>
    </cfRule>
  </conditionalFormatting>
  <conditionalFormatting sqref="E1173">
    <cfRule type="containsText" dxfId="1890" priority="6651" operator="containsText" text="Pesquisa de Preços">
      <formula>NOT(ISERROR(SEARCH("Pesquisa de Preços",E1173)))</formula>
    </cfRule>
  </conditionalFormatting>
  <conditionalFormatting sqref="E1920">
    <cfRule type="containsText" dxfId="1889" priority="6483" operator="containsText" text="Pesquisa de Preços">
      <formula>NOT(ISERROR(SEARCH("Pesquisa de Preços",E1920)))</formula>
    </cfRule>
  </conditionalFormatting>
  <conditionalFormatting sqref="E1208">
    <cfRule type="containsText" dxfId="1888" priority="6649" operator="containsText" text="Pesquisa de Preços">
      <formula>NOT(ISERROR(SEARCH("Pesquisa de Preços",E1208)))</formula>
    </cfRule>
  </conditionalFormatting>
  <conditionalFormatting sqref="E1209:E1210 E1214">
    <cfRule type="containsText" dxfId="1887" priority="6650" operator="containsText" text="Pesquisa de Preços">
      <formula>NOT(ISERROR(SEARCH("Pesquisa de Preços",E1209)))</formula>
    </cfRule>
  </conditionalFormatting>
  <conditionalFormatting sqref="E1943">
    <cfRule type="containsText" dxfId="1886" priority="6481" operator="containsText" text="Pesquisa de Preços">
      <formula>NOT(ISERROR(SEARCH("Pesquisa de Preços",E1943)))</formula>
    </cfRule>
  </conditionalFormatting>
  <conditionalFormatting sqref="E1211:E1212">
    <cfRule type="containsText" dxfId="1885" priority="6648" operator="containsText" text="Pesquisa de Preços">
      <formula>NOT(ISERROR(SEARCH("Pesquisa de Preços",E1211)))</formula>
    </cfRule>
  </conditionalFormatting>
  <conditionalFormatting sqref="E1134">
    <cfRule type="containsText" dxfId="1884" priority="6647" operator="containsText" text="Pesquisa de Preços">
      <formula>NOT(ISERROR(SEARCH("Pesquisa de Preços",E1134)))</formula>
    </cfRule>
  </conditionalFormatting>
  <conditionalFormatting sqref="E1133">
    <cfRule type="containsText" dxfId="1883" priority="6646" operator="containsText" text="Pesquisa de Preços">
      <formula>NOT(ISERROR(SEARCH("Pesquisa de Preços",E1133)))</formula>
    </cfRule>
  </conditionalFormatting>
  <conditionalFormatting sqref="E1268:E1269 E1271:E1272">
    <cfRule type="containsText" dxfId="1882" priority="6645" operator="containsText" text="Pesquisa de Preços">
      <formula>NOT(ISERROR(SEARCH("Pesquisa de Preços",E1268)))</formula>
    </cfRule>
  </conditionalFormatting>
  <conditionalFormatting sqref="E1270">
    <cfRule type="containsText" dxfId="1881" priority="6643" operator="containsText" text="Pesquisa de Preços">
      <formula>NOT(ISERROR(SEARCH("Pesquisa de Preços",E1270)))</formula>
    </cfRule>
  </conditionalFormatting>
  <conditionalFormatting sqref="E1302:E1303 E1307:E1308">
    <cfRule type="containsText" dxfId="1880" priority="6642" operator="containsText" text="Pesquisa de Preços">
      <formula>NOT(ISERROR(SEARCH("Pesquisa de Preços",E1302)))</formula>
    </cfRule>
  </conditionalFormatting>
  <conditionalFormatting sqref="E1304:E1306">
    <cfRule type="containsText" dxfId="1879" priority="6640" operator="containsText" text="Pesquisa de Preços">
      <formula>NOT(ISERROR(SEARCH("Pesquisa de Preços",E1304)))</formula>
    </cfRule>
  </conditionalFormatting>
  <conditionalFormatting sqref="E1310 E1316:E1317">
    <cfRule type="containsText" dxfId="1878" priority="6639" operator="containsText" text="Pesquisa de Preços">
      <formula>NOT(ISERROR(SEARCH("Pesquisa de Preços",E1310)))</formula>
    </cfRule>
  </conditionalFormatting>
  <conditionalFormatting sqref="E1400:E1401 E1404:E1405">
    <cfRule type="containsText" dxfId="1877" priority="6610" operator="containsText" text="Pesquisa de Preços">
      <formula>NOT(ISERROR(SEARCH("Pesquisa de Preços",E1400)))</formula>
    </cfRule>
  </conditionalFormatting>
  <conditionalFormatting sqref="E1274:E1275">
    <cfRule type="containsText" dxfId="1876" priority="6637" operator="containsText" text="Pesquisa de Preços">
      <formula>NOT(ISERROR(SEARCH("Pesquisa de Preços",E1274)))</formula>
    </cfRule>
  </conditionalFormatting>
  <conditionalFormatting sqref="E1276:E1278">
    <cfRule type="containsText" dxfId="1875" priority="6635" operator="containsText" text="Pesquisa de Preços">
      <formula>NOT(ISERROR(SEARCH("Pesquisa de Preços",E1276)))</formula>
    </cfRule>
  </conditionalFormatting>
  <conditionalFormatting sqref="E1281:E1282 E1286">
    <cfRule type="containsText" dxfId="1874" priority="6634" operator="containsText" text="Pesquisa de Preços">
      <formula>NOT(ISERROR(SEARCH("Pesquisa de Preços",E1281)))</formula>
    </cfRule>
  </conditionalFormatting>
  <conditionalFormatting sqref="E1969">
    <cfRule type="containsText" dxfId="1873" priority="6474" operator="containsText" text="Pesquisa de Preços">
      <formula>NOT(ISERROR(SEARCH("Pesquisa de Preços",E1969)))</formula>
    </cfRule>
  </conditionalFormatting>
  <conditionalFormatting sqref="E1288:E1289 E1293">
    <cfRule type="containsText" dxfId="1872" priority="6632" operator="containsText" text="Pesquisa de Preços">
      <formula>NOT(ISERROR(SEARCH("Pesquisa de Preços",E1288)))</formula>
    </cfRule>
  </conditionalFormatting>
  <conditionalFormatting sqref="E1962">
    <cfRule type="containsText" dxfId="1871" priority="6472" operator="containsText" text="Pesquisa de Preços">
      <formula>NOT(ISERROR(SEARCH("Pesquisa de Preços",E1962)))</formula>
    </cfRule>
  </conditionalFormatting>
  <conditionalFormatting sqref="E1295 E1298 E1300">
    <cfRule type="containsText" dxfId="1870" priority="6630" operator="containsText" text="Pesquisa de Preços">
      <formula>NOT(ISERROR(SEARCH("Pesquisa de Preços",E1295)))</formula>
    </cfRule>
  </conditionalFormatting>
  <conditionalFormatting sqref="E1331:E1332">
    <cfRule type="containsText" dxfId="1869" priority="6626" operator="containsText" text="Pesquisa de Preços">
      <formula>NOT(ISERROR(SEARCH("Pesquisa de Preços",E1331)))</formula>
    </cfRule>
  </conditionalFormatting>
  <conditionalFormatting sqref="E1337:E1338">
    <cfRule type="containsText" dxfId="1868" priority="6628" operator="containsText" text="Pesquisa de Preços">
      <formula>NOT(ISERROR(SEARCH("Pesquisa de Preços",E1337)))</formula>
    </cfRule>
  </conditionalFormatting>
  <conditionalFormatting sqref="E2006">
    <cfRule type="containsText" dxfId="1867" priority="6466" operator="containsText" text="Pesquisa de Preços">
      <formula>NOT(ISERROR(SEARCH("Pesquisa de Preços",E2006)))</formula>
    </cfRule>
  </conditionalFormatting>
  <conditionalFormatting sqref="E1319:E1320">
    <cfRule type="containsText" dxfId="1866" priority="6622" operator="containsText" text="Pesquisa de Preços">
      <formula>NOT(ISERROR(SEARCH("Pesquisa de Preços",E1319)))</formula>
    </cfRule>
  </conditionalFormatting>
  <conditionalFormatting sqref="E1999">
    <cfRule type="containsText" dxfId="1865" priority="6464" operator="containsText" text="Pesquisa de Preços">
      <formula>NOT(ISERROR(SEARCH("Pesquisa de Preços",E1999)))</formula>
    </cfRule>
  </conditionalFormatting>
  <conditionalFormatting sqref="E1325:E1326">
    <cfRule type="containsText" dxfId="1864" priority="6624" operator="containsText" text="Pesquisa de Preços">
      <formula>NOT(ISERROR(SEARCH("Pesquisa de Preços",E1325)))</formula>
    </cfRule>
  </conditionalFormatting>
  <conditionalFormatting sqref="E1992">
    <cfRule type="containsText" dxfId="1863" priority="6461" operator="containsText" text="Pesquisa de Preços">
      <formula>NOT(ISERROR(SEARCH("Pesquisa de Preços",E1992)))</formula>
    </cfRule>
  </conditionalFormatting>
  <conditionalFormatting sqref="E1985">
    <cfRule type="containsText" dxfId="1862" priority="6458" operator="containsText" text="Pesquisa de Preços">
      <formula>NOT(ISERROR(SEARCH("Pesquisa de Preços",E1985)))</formula>
    </cfRule>
  </conditionalFormatting>
  <conditionalFormatting sqref="E1343:E1344 E1347:E1348">
    <cfRule type="containsText" dxfId="1861" priority="6620" operator="containsText" text="Pesquisa de Preços">
      <formula>NOT(ISERROR(SEARCH("Pesquisa de Preços",E1343)))</formula>
    </cfRule>
  </conditionalFormatting>
  <conditionalFormatting sqref="E1516">
    <cfRule type="containsText" dxfId="1860" priority="6593" operator="containsText" text="Pesquisa de Preços">
      <formula>NOT(ISERROR(SEARCH("Pesquisa de Preços",E1516)))</formula>
    </cfRule>
  </conditionalFormatting>
  <conditionalFormatting sqref="E1345:E1346">
    <cfRule type="containsText" dxfId="1859" priority="6618" operator="containsText" text="Pesquisa de Preços">
      <formula>NOT(ISERROR(SEARCH("Pesquisa de Preços",E1345)))</formula>
    </cfRule>
  </conditionalFormatting>
  <conditionalFormatting sqref="E1356:E1357 E1360:E1361">
    <cfRule type="containsText" dxfId="1858" priority="6617" operator="containsText" text="Pesquisa de Preços">
      <formula>NOT(ISERROR(SEARCH("Pesquisa de Preços",E1356)))</formula>
    </cfRule>
  </conditionalFormatting>
  <conditionalFormatting sqref="E1522">
    <cfRule type="containsText" dxfId="1857" priority="6594" operator="containsText" text="Pesquisa de Preços">
      <formula>NOT(ISERROR(SEARCH("Pesquisa de Preços",E1522)))</formula>
    </cfRule>
  </conditionalFormatting>
  <conditionalFormatting sqref="E1358:E1359">
    <cfRule type="containsText" dxfId="1856" priority="6615" operator="containsText" text="Pesquisa de Preços">
      <formula>NOT(ISERROR(SEARCH("Pesquisa de Preços",E1358)))</formula>
    </cfRule>
  </conditionalFormatting>
  <conditionalFormatting sqref="E1350 E1353:E1354">
    <cfRule type="containsText" dxfId="1855" priority="6614" operator="containsText" text="Pesquisa de Preços">
      <formula>NOT(ISERROR(SEARCH("Pesquisa de Preços",E1350)))</formula>
    </cfRule>
  </conditionalFormatting>
  <conditionalFormatting sqref="E1399">
    <cfRule type="containsText" dxfId="1854" priority="6609" operator="containsText" text="Pesquisa de Preços">
      <formula>NOT(ISERROR(SEARCH("Pesquisa de Preços",E1399)))</formula>
    </cfRule>
  </conditionalFormatting>
  <conditionalFormatting sqref="E1363 E1366:E1367">
    <cfRule type="containsText" dxfId="1853" priority="6612" operator="containsText" text="Pesquisa de Preços">
      <formula>NOT(ISERROR(SEARCH("Pesquisa de Preços",E1363)))</formula>
    </cfRule>
  </conditionalFormatting>
  <conditionalFormatting sqref="E1362">
    <cfRule type="containsText" dxfId="1852" priority="6611" operator="containsText" text="Pesquisa de Preços">
      <formula>NOT(ISERROR(SEARCH("Pesquisa de Preços",E1362)))</formula>
    </cfRule>
  </conditionalFormatting>
  <conditionalFormatting sqref="E1402:E1403">
    <cfRule type="containsText" dxfId="1851" priority="6608" operator="containsText" text="Pesquisa de Preços">
      <formula>NOT(ISERROR(SEARCH("Pesquisa de Preços",E1402)))</formula>
    </cfRule>
  </conditionalFormatting>
  <conditionalFormatting sqref="E2161">
    <cfRule type="containsText" dxfId="1850" priority="6447" operator="containsText" text="Pesquisa de Preços">
      <formula>NOT(ISERROR(SEARCH("Pesquisa de Preços",E2161)))</formula>
    </cfRule>
  </conditionalFormatting>
  <conditionalFormatting sqref="E1369:E1370 E1372:E1373">
    <cfRule type="containsText" dxfId="1849" priority="6607" operator="containsText" text="Pesquisa de Preços">
      <formula>NOT(ISERROR(SEARCH("Pesquisa de Preços",E1369)))</formula>
    </cfRule>
  </conditionalFormatting>
  <conditionalFormatting sqref="E1368">
    <cfRule type="containsText" dxfId="1848" priority="6606" operator="containsText" text="Pesquisa de Preços">
      <formula>NOT(ISERROR(SEARCH("Pesquisa de Preços",E1368)))</formula>
    </cfRule>
  </conditionalFormatting>
  <conditionalFormatting sqref="E1380">
    <cfRule type="containsText" dxfId="1847" priority="6605" operator="containsText" text="Pesquisa de Preços">
      <formula>NOT(ISERROR(SEARCH("Pesquisa de Preços",E1380)))</formula>
    </cfRule>
  </conditionalFormatting>
  <conditionalFormatting sqref="E1386">
    <cfRule type="containsText" dxfId="1846" priority="6604" operator="containsText" text="Pesquisa de Preços">
      <formula>NOT(ISERROR(SEARCH("Pesquisa de Preços",E1386)))</formula>
    </cfRule>
  </conditionalFormatting>
  <conditionalFormatting sqref="E1407 E1420">
    <cfRule type="containsText" dxfId="1845" priority="6583" operator="containsText" text="Pesquisa de Preços">
      <formula>NOT(ISERROR(SEARCH("Pesquisa de Preços",E1407)))</formula>
    </cfRule>
  </conditionalFormatting>
  <conditionalFormatting sqref="E1548">
    <cfRule type="containsText" dxfId="1844" priority="6602" operator="containsText" text="Pesquisa de Preços">
      <formula>NOT(ISERROR(SEARCH("Pesquisa de Preços",E1548)))</formula>
    </cfRule>
  </conditionalFormatting>
  <conditionalFormatting sqref="E1549:E1550">
    <cfRule type="containsText" dxfId="1843" priority="6603" operator="containsText" text="Pesquisa de Preços">
      <formula>NOT(ISERROR(SEARCH("Pesquisa de Preços",E1549)))</formula>
    </cfRule>
  </conditionalFormatting>
  <conditionalFormatting sqref="E1551 E1553">
    <cfRule type="containsText" dxfId="1842" priority="6601" operator="containsText" text="Pesquisa de Preços">
      <formula>NOT(ISERROR(SEARCH("Pesquisa de Preços",E1551)))</formula>
    </cfRule>
  </conditionalFormatting>
  <conditionalFormatting sqref="E1542:E1543">
    <cfRule type="containsText" dxfId="1841" priority="6600" operator="containsText" text="Pesquisa de Preços">
      <formula>NOT(ISERROR(SEARCH("Pesquisa de Preços",E1542)))</formula>
    </cfRule>
  </conditionalFormatting>
  <conditionalFormatting sqref="E1541">
    <cfRule type="containsText" dxfId="1840" priority="6599" operator="containsText" text="Pesquisa de Preços">
      <formula>NOT(ISERROR(SEARCH("Pesquisa de Preços",E1541)))</formula>
    </cfRule>
  </conditionalFormatting>
  <conditionalFormatting sqref="E2035">
    <cfRule type="containsText" dxfId="1839" priority="6441" operator="containsText" text="Pesquisa de Preços">
      <formula>NOT(ISERROR(SEARCH("Pesquisa de Preços",E2035)))</formula>
    </cfRule>
  </conditionalFormatting>
  <conditionalFormatting sqref="E1536 E1540">
    <cfRule type="containsText" dxfId="1838" priority="6598" operator="containsText" text="Pesquisa de Preços">
      <formula>NOT(ISERROR(SEARCH("Pesquisa de Preços",E1536)))</formula>
    </cfRule>
  </conditionalFormatting>
  <conditionalFormatting sqref="E1535">
    <cfRule type="containsText" dxfId="1837" priority="6597" operator="containsText" text="Pesquisa de Preços">
      <formula>NOT(ISERROR(SEARCH("Pesquisa de Preços",E1535)))</formula>
    </cfRule>
  </conditionalFormatting>
  <conditionalFormatting sqref="E1524">
    <cfRule type="containsText" dxfId="1836" priority="6596" operator="containsText" text="Pesquisa de Preços">
      <formula>NOT(ISERROR(SEARCH("Pesquisa de Preços",E1524)))</formula>
    </cfRule>
  </conditionalFormatting>
  <conditionalFormatting sqref="E1523">
    <cfRule type="containsText" dxfId="1835" priority="6595" operator="containsText" text="Pesquisa de Preços">
      <formula>NOT(ISERROR(SEARCH("Pesquisa de Preços",E1523)))</formula>
    </cfRule>
  </conditionalFormatting>
  <conditionalFormatting sqref="E1556:E1557 E1560:E1561">
    <cfRule type="containsText" dxfId="1834" priority="6588" operator="containsText" text="Pesquisa de Preços">
      <formula>NOT(ISERROR(SEARCH("Pesquisa de Preços",E1556)))</formula>
    </cfRule>
  </conditionalFormatting>
  <conditionalFormatting sqref="E1495">
    <cfRule type="containsText" dxfId="1833" priority="6574" operator="containsText" text="Pesquisa de Preços">
      <formula>NOT(ISERROR(SEARCH("Pesquisa de Preços",E1495)))</formula>
    </cfRule>
  </conditionalFormatting>
  <conditionalFormatting sqref="E1497 E1510">
    <cfRule type="containsText" dxfId="1832" priority="6585" operator="containsText" text="Pesquisa de Preços">
      <formula>NOT(ISERROR(SEARCH("Pesquisa de Preços",E1497)))</formula>
    </cfRule>
  </conditionalFormatting>
  <conditionalFormatting sqref="E1496">
    <cfRule type="containsText" dxfId="1831" priority="6584" operator="containsText" text="Pesquisa de Preços">
      <formula>NOT(ISERROR(SEARCH("Pesquisa de Preços",E1496)))</formula>
    </cfRule>
  </conditionalFormatting>
  <conditionalFormatting sqref="E1534">
    <cfRule type="containsText" dxfId="1830" priority="6592" operator="containsText" text="Pesquisa de Preços">
      <formula>NOT(ISERROR(SEARCH("Pesquisa de Preços",E1534)))</formula>
    </cfRule>
  </conditionalFormatting>
  <conditionalFormatting sqref="E1563:E1564 E1567:E1568">
    <cfRule type="containsText" dxfId="1829" priority="6591" operator="containsText" text="Pesquisa de Preços">
      <formula>NOT(ISERROR(SEARCH("Pesquisa de Preços",E1563)))</formula>
    </cfRule>
  </conditionalFormatting>
  <conditionalFormatting sqref="E1562">
    <cfRule type="containsText" dxfId="1828" priority="6590" operator="containsText" text="Pesquisa de Preços">
      <formula>NOT(ISERROR(SEARCH("Pesquisa de Preços",E1562)))</formula>
    </cfRule>
  </conditionalFormatting>
  <conditionalFormatting sqref="E1566">
    <cfRule type="containsText" dxfId="1827" priority="6589" operator="containsText" text="Pesquisa de Preços">
      <formula>NOT(ISERROR(SEARCH("Pesquisa de Preços",E1566)))</formula>
    </cfRule>
  </conditionalFormatting>
  <conditionalFormatting sqref="E1555">
    <cfRule type="containsText" dxfId="1826" priority="6587" operator="containsText" text="Pesquisa de Preços">
      <formula>NOT(ISERROR(SEARCH("Pesquisa de Preços",E1555)))</formula>
    </cfRule>
  </conditionalFormatting>
  <conditionalFormatting sqref="E1558:E1559">
    <cfRule type="containsText" dxfId="1825" priority="6586" operator="containsText" text="Pesquisa de Preços">
      <formula>NOT(ISERROR(SEARCH("Pesquisa de Preços",E1558)))</formula>
    </cfRule>
  </conditionalFormatting>
  <conditionalFormatting sqref="E1609">
    <cfRule type="containsText" dxfId="1824" priority="6552" operator="containsText" text="Pesquisa de Preços">
      <formula>NOT(ISERROR(SEARCH("Pesquisa de Preços",E1609)))</formula>
    </cfRule>
  </conditionalFormatting>
  <conditionalFormatting sqref="E1406">
    <cfRule type="containsText" dxfId="1823" priority="6582" operator="containsText" text="Pesquisa de Preços">
      <formula>NOT(ISERROR(SEARCH("Pesquisa de Preços",E1406)))</formula>
    </cfRule>
  </conditionalFormatting>
  <conditionalFormatting sqref="E1603 E1607:E1608">
    <cfRule type="containsText" dxfId="1822" priority="6545" operator="containsText" text="Pesquisa de Preços">
      <formula>NOT(ISERROR(SEARCH("Pesquisa de Preços",E1603)))</formula>
    </cfRule>
  </conditionalFormatting>
  <conditionalFormatting sqref="E1437 E1450">
    <cfRule type="containsText" dxfId="1821" priority="6581" operator="containsText" text="Pesquisa de Preços">
      <formula>NOT(ISERROR(SEARCH("Pesquisa de Preços",E1437)))</formula>
    </cfRule>
  </conditionalFormatting>
  <conditionalFormatting sqref="E1436">
    <cfRule type="containsText" dxfId="1820" priority="6580" operator="containsText" text="Pesquisa de Preços">
      <formula>NOT(ISERROR(SEARCH("Pesquisa de Preços",E1436)))</formula>
    </cfRule>
  </conditionalFormatting>
  <conditionalFormatting sqref="E1621 E1625">
    <cfRule type="containsText" dxfId="1819" priority="6557" operator="containsText" text="Pesquisa de Preços">
      <formula>NOT(ISERROR(SEARCH("Pesquisa de Preços",E1621)))</formula>
    </cfRule>
  </conditionalFormatting>
  <conditionalFormatting sqref="E1422 E1435">
    <cfRule type="containsText" dxfId="1818" priority="6579" operator="containsText" text="Pesquisa de Preços">
      <formula>NOT(ISERROR(SEARCH("Pesquisa de Preços",E1422)))</formula>
    </cfRule>
  </conditionalFormatting>
  <conditionalFormatting sqref="E1467 E1480">
    <cfRule type="containsText" dxfId="1817" priority="6577" operator="containsText" text="Pesquisa de Preços">
      <formula>NOT(ISERROR(SEARCH("Pesquisa de Preços",E1467)))</formula>
    </cfRule>
  </conditionalFormatting>
  <conditionalFormatting sqref="E1684 E1687 E1689">
    <cfRule type="containsText" dxfId="1816" priority="6559" operator="containsText" text="Pesquisa de Preços">
      <formula>NOT(ISERROR(SEARCH("Pesquisa de Preços",E1684)))</formula>
    </cfRule>
  </conditionalFormatting>
  <conditionalFormatting sqref="E1465">
    <cfRule type="containsText" dxfId="1815" priority="6575" operator="containsText" text="Pesquisa de Preços">
      <formula>NOT(ISERROR(SEARCH("Pesquisa de Preços",E1465)))</formula>
    </cfRule>
  </conditionalFormatting>
  <conditionalFormatting sqref="E2272">
    <cfRule type="containsText" dxfId="1814" priority="6402" operator="containsText" text="Pesquisa de Preços">
      <formula>NOT(ISERROR(SEARCH("Pesquisa de Preços",E2272)))</formula>
    </cfRule>
  </conditionalFormatting>
  <conditionalFormatting sqref="E1585 E1589">
    <cfRule type="containsText" dxfId="1813" priority="6567" operator="containsText" text="Pesquisa de Preços">
      <formula>NOT(ISERROR(SEARCH("Pesquisa de Preços",E1585)))</formula>
    </cfRule>
  </conditionalFormatting>
  <conditionalFormatting sqref="E1570:E1571 E1582:E1583">
    <cfRule type="containsText" dxfId="1812" priority="6573" operator="containsText" text="Pesquisa de Preços">
      <formula>NOT(ISERROR(SEARCH("Pesquisa de Preços",E1570)))</formula>
    </cfRule>
  </conditionalFormatting>
  <conditionalFormatting sqref="E2206">
    <cfRule type="containsText" dxfId="1811" priority="6418" operator="containsText" text="Pesquisa de Preços">
      <formula>NOT(ISERROR(SEARCH("Pesquisa de Preços",E2206)))</formula>
    </cfRule>
  </conditionalFormatting>
  <conditionalFormatting sqref="E1572:E1581">
    <cfRule type="containsText" dxfId="1810" priority="6571" operator="containsText" text="Pesquisa de Preços">
      <formula>NOT(ISERROR(SEARCH("Pesquisa de Preços",E1572)))</formula>
    </cfRule>
  </conditionalFormatting>
  <conditionalFormatting sqref="E1394:E1395 E1397:E1398">
    <cfRule type="containsText" dxfId="1809" priority="6570" operator="containsText" text="Pesquisa de Preços">
      <formula>NOT(ISERROR(SEARCH("Pesquisa de Preços",E1394)))</formula>
    </cfRule>
  </conditionalFormatting>
  <conditionalFormatting sqref="E1393">
    <cfRule type="containsText" dxfId="1808" priority="6569" operator="containsText" text="Pesquisa de Preços">
      <formula>NOT(ISERROR(SEARCH("Pesquisa de Preços",E1393)))</formula>
    </cfRule>
  </conditionalFormatting>
  <conditionalFormatting sqref="E2226">
    <cfRule type="containsText" dxfId="1807" priority="6414" operator="containsText" text="Pesquisa de Preços">
      <formula>NOT(ISERROR(SEARCH("Pesquisa de Preços",E2226)))</formula>
    </cfRule>
  </conditionalFormatting>
  <conditionalFormatting sqref="E1396">
    <cfRule type="containsText" dxfId="1806" priority="6568" operator="containsText" text="Pesquisa de Preços">
      <formula>NOT(ISERROR(SEARCH("Pesquisa de Preços",E1396)))</formula>
    </cfRule>
  </conditionalFormatting>
  <conditionalFormatting sqref="E1584">
    <cfRule type="containsText" dxfId="1805" priority="6566" operator="containsText" text="Pesquisa de Preços">
      <formula>NOT(ISERROR(SEARCH("Pesquisa de Preços",E1584)))</formula>
    </cfRule>
  </conditionalFormatting>
  <conditionalFormatting sqref="E1627 E1629:E1630">
    <cfRule type="containsText" dxfId="1804" priority="6551" operator="containsText" text="Pesquisa de Preços">
      <formula>NOT(ISERROR(SEARCH("Pesquisa de Preços",E1627)))</formula>
    </cfRule>
  </conditionalFormatting>
  <conditionalFormatting sqref="E1591 E1595">
    <cfRule type="containsText" dxfId="1803" priority="6565" operator="containsText" text="Pesquisa de Preços">
      <formula>NOT(ISERROR(SEARCH("Pesquisa de Preços",E1591)))</formula>
    </cfRule>
  </conditionalFormatting>
  <conditionalFormatting sqref="E1590">
    <cfRule type="containsText" dxfId="1802" priority="6564" operator="containsText" text="Pesquisa de Preços">
      <formula>NOT(ISERROR(SEARCH("Pesquisa de Preços",E1590)))</formula>
    </cfRule>
  </conditionalFormatting>
  <conditionalFormatting sqref="E1637">
    <cfRule type="containsText" dxfId="1801" priority="6561" operator="containsText" text="Pesquisa de Preços">
      <formula>NOT(ISERROR(SEARCH("Pesquisa de Preços",E1637)))</formula>
    </cfRule>
  </conditionalFormatting>
  <conditionalFormatting sqref="E1601">
    <cfRule type="containsText" dxfId="1800" priority="6563" operator="containsText" text="Pesquisa de Preços">
      <formula>NOT(ISERROR(SEARCH("Pesquisa de Preços",E1601)))</formula>
    </cfRule>
  </conditionalFormatting>
  <conditionalFormatting sqref="E1638:E1639">
    <cfRule type="containsText" dxfId="1799" priority="6562" operator="containsText" text="Pesquisa de Preços">
      <formula>NOT(ISERROR(SEARCH("Pesquisa de Preços",E1638)))</formula>
    </cfRule>
  </conditionalFormatting>
  <conditionalFormatting sqref="E2246">
    <cfRule type="containsText" dxfId="1798" priority="6410" operator="containsText" text="Pesquisa de Preços">
      <formula>NOT(ISERROR(SEARCH("Pesquisa de Preços",E2246)))</formula>
    </cfRule>
  </conditionalFormatting>
  <conditionalFormatting sqref="E1640:E1641">
    <cfRule type="containsText" dxfId="1797" priority="6560" operator="containsText" text="Pesquisa de Preços">
      <formula>NOT(ISERROR(SEARCH("Pesquisa de Preços",E1640)))</formula>
    </cfRule>
  </conditionalFormatting>
  <conditionalFormatting sqref="E1683">
    <cfRule type="containsText" dxfId="1796" priority="6558" operator="containsText" text="Pesquisa de Preços">
      <formula>NOT(ISERROR(SEARCH("Pesquisa de Preços",E1683)))</formula>
    </cfRule>
  </conditionalFormatting>
  <conditionalFormatting sqref="E1615 E1619">
    <cfRule type="containsText" dxfId="1795" priority="6555" operator="containsText" text="Pesquisa de Preços">
      <formula>NOT(ISERROR(SEARCH("Pesquisa de Preços",E1615)))</formula>
    </cfRule>
  </conditionalFormatting>
  <conditionalFormatting sqref="E1620">
    <cfRule type="containsText" dxfId="1794" priority="6556" operator="containsText" text="Pesquisa de Preços">
      <formula>NOT(ISERROR(SEARCH("Pesquisa de Preços",E1620)))</formula>
    </cfRule>
  </conditionalFormatting>
  <conditionalFormatting sqref="E1614">
    <cfRule type="containsText" dxfId="1793" priority="6554" operator="containsText" text="Pesquisa de Preços">
      <formula>NOT(ISERROR(SEARCH("Pesquisa de Preços",E1614)))</formula>
    </cfRule>
  </conditionalFormatting>
  <conditionalFormatting sqref="E1610 E1612:E1613">
    <cfRule type="containsText" dxfId="1792" priority="6553" operator="containsText" text="Pesquisa de Preços">
      <formula>NOT(ISERROR(SEARCH("Pesquisa de Preços",E1610)))</formula>
    </cfRule>
  </conditionalFormatting>
  <conditionalFormatting sqref="E1632 E1635:E1636">
    <cfRule type="containsText" dxfId="1791" priority="6549" operator="containsText" text="Pesquisa de Preços">
      <formula>NOT(ISERROR(SEARCH("Pesquisa de Preços",E1632)))</formula>
    </cfRule>
  </conditionalFormatting>
  <conditionalFormatting sqref="E1736 E1727:E1729">
    <cfRule type="containsText" dxfId="1790" priority="6533" operator="containsText" text="Pesquisa de Preços">
      <formula>NOT(ISERROR(SEARCH("Pesquisa de Preços",E1727)))</formula>
    </cfRule>
  </conditionalFormatting>
  <conditionalFormatting sqref="E1677 E1681:E1682">
    <cfRule type="containsText" dxfId="1789" priority="6547" operator="containsText" text="Pesquisa de Preços">
      <formula>NOT(ISERROR(SEARCH("Pesquisa de Preços",E1677)))</formula>
    </cfRule>
  </conditionalFormatting>
  <conditionalFormatting sqref="E1676">
    <cfRule type="containsText" dxfId="1788" priority="6546" operator="containsText" text="Pesquisa de Preços">
      <formula>NOT(ISERROR(SEARCH("Pesquisa de Preços",E1676)))</formula>
    </cfRule>
  </conditionalFormatting>
  <conditionalFormatting sqref="E2350">
    <cfRule type="containsText" dxfId="1787" priority="6379" operator="containsText" text="Pesquisa de Preços">
      <formula>NOT(ISERROR(SEARCH("Pesquisa de Preços",E2350)))</formula>
    </cfRule>
  </conditionalFormatting>
  <conditionalFormatting sqref="E2345">
    <cfRule type="containsText" dxfId="1786" priority="6381" operator="containsText" text="Pesquisa de Preços">
      <formula>NOT(ISERROR(SEARCH("Pesquisa de Preços",E2345)))</formula>
    </cfRule>
  </conditionalFormatting>
  <conditionalFormatting sqref="E1671 E1674:E1675">
    <cfRule type="containsText" dxfId="1785" priority="6543" operator="containsText" text="Pesquisa de Preços">
      <formula>NOT(ISERROR(SEARCH("Pesquisa de Preços",E1671)))</formula>
    </cfRule>
  </conditionalFormatting>
  <conditionalFormatting sqref="E1670">
    <cfRule type="containsText" dxfId="1784" priority="6542" operator="containsText" text="Pesquisa de Preços">
      <formula>NOT(ISERROR(SEARCH("Pesquisa de Preços",E1670)))</formula>
    </cfRule>
  </conditionalFormatting>
  <conditionalFormatting sqref="E1666 E1668:E1669">
    <cfRule type="containsText" dxfId="1783" priority="6541" operator="containsText" text="Pesquisa de Preços">
      <formula>NOT(ISERROR(SEARCH("Pesquisa de Preços",E1666)))</formula>
    </cfRule>
  </conditionalFormatting>
  <conditionalFormatting sqref="E1665">
    <cfRule type="containsText" dxfId="1782" priority="6540" operator="containsText" text="Pesquisa de Preços">
      <formula>NOT(ISERROR(SEARCH("Pesquisa de Preços",E1665)))</formula>
    </cfRule>
  </conditionalFormatting>
  <conditionalFormatting sqref="E1716:E1717 E1725">
    <cfRule type="containsText" dxfId="1781" priority="6527" operator="containsText" text="Pesquisa de Preços">
      <formula>NOT(ISERROR(SEARCH("Pesquisa de Preços",E1716)))</formula>
    </cfRule>
  </conditionalFormatting>
  <conditionalFormatting sqref="E1661">
    <cfRule type="containsText" dxfId="1780" priority="6537" operator="containsText" text="Pesquisa de Preços">
      <formula>NOT(ISERROR(SEARCH("Pesquisa de Preços",E1661)))</formula>
    </cfRule>
  </conditionalFormatting>
  <conditionalFormatting sqref="E1656">
    <cfRule type="containsText" dxfId="1779" priority="6539" operator="containsText" text="Pesquisa de Preços">
      <formula>NOT(ISERROR(SEARCH("Pesquisa de Preços",E1656)))</formula>
    </cfRule>
  </conditionalFormatting>
  <conditionalFormatting sqref="E1655">
    <cfRule type="containsText" dxfId="1778" priority="6538" operator="containsText" text="Pesquisa de Preços">
      <formula>NOT(ISERROR(SEARCH("Pesquisa de Preços",E1655)))</formula>
    </cfRule>
  </conditionalFormatting>
  <conditionalFormatting sqref="E2322">
    <cfRule type="containsText" dxfId="1777" priority="6389" operator="containsText" text="Pesquisa de Preços">
      <formula>NOT(ISERROR(SEARCH("Pesquisa de Preços",E2322)))</formula>
    </cfRule>
  </conditionalFormatting>
  <conditionalFormatting sqref="E2334">
    <cfRule type="containsText" dxfId="1776" priority="6387" operator="containsText" text="Pesquisa de Preços">
      <formula>NOT(ISERROR(SEARCH("Pesquisa de Preços",E2334)))</formula>
    </cfRule>
  </conditionalFormatting>
  <conditionalFormatting sqref="E1650 E1653:E1654">
    <cfRule type="containsText" dxfId="1775" priority="6535" operator="containsText" text="Pesquisa de Preços">
      <formula>NOT(ISERROR(SEARCH("Pesquisa de Preços",E1650)))</formula>
    </cfRule>
  </conditionalFormatting>
  <conditionalFormatting sqref="E1738 E1747">
    <cfRule type="containsText" dxfId="1774" priority="6531" operator="containsText" text="Pesquisa de Preços">
      <formula>NOT(ISERROR(SEARCH("Pesquisa de Preços",E1738)))</formula>
    </cfRule>
  </conditionalFormatting>
  <conditionalFormatting sqref="E1705:E1706 E1714">
    <cfRule type="containsText" dxfId="1773" priority="6529" operator="containsText" text="Pesquisa de Preços">
      <formula>NOT(ISERROR(SEARCH("Pesquisa de Preços",E1705)))</formula>
    </cfRule>
  </conditionalFormatting>
  <conditionalFormatting sqref="E897">
    <cfRule type="containsText" dxfId="1772" priority="6377" operator="containsText" text="Pesquisa de Preços">
      <formula>NOT(ISERROR(SEARCH("Pesquisa de Preços",E897)))</formula>
    </cfRule>
  </conditionalFormatting>
  <conditionalFormatting sqref="E876">
    <cfRule type="containsText" dxfId="1771" priority="6375" operator="containsText" text="Pesquisa de Preços">
      <formula>NOT(ISERROR(SEARCH("Pesquisa de Preços",E876)))</formula>
    </cfRule>
  </conditionalFormatting>
  <conditionalFormatting sqref="E1691:E1692 E1694:E1695">
    <cfRule type="containsText" dxfId="1770" priority="6525" operator="containsText" text="Pesquisa de Preços">
      <formula>NOT(ISERROR(SEARCH("Pesquisa de Preços",E1691)))</formula>
    </cfRule>
  </conditionalFormatting>
  <conditionalFormatting sqref="E851">
    <cfRule type="containsText" dxfId="1769" priority="6364" operator="containsText" text="Pesquisa de Preços">
      <formula>NOT(ISERROR(SEARCH("Pesquisa de Preços",E851)))</formula>
    </cfRule>
  </conditionalFormatting>
  <conditionalFormatting sqref="E1697">
    <cfRule type="containsText" dxfId="1768" priority="6523" operator="containsText" text="Pesquisa de Preços">
      <formula>NOT(ISERROR(SEARCH("Pesquisa de Preços",E1697)))</formula>
    </cfRule>
  </conditionalFormatting>
  <conditionalFormatting sqref="E857">
    <cfRule type="containsText" dxfId="1767" priority="6369" operator="containsText" text="Pesquisa de Preços">
      <formula>NOT(ISERROR(SEARCH("Pesquisa de Preços",E857)))</formula>
    </cfRule>
  </conditionalFormatting>
  <conditionalFormatting sqref="E1700:E1701">
    <cfRule type="containsText" dxfId="1766" priority="6521" operator="containsText" text="Pesquisa de Preços">
      <formula>NOT(ISERROR(SEARCH("Pesquisa de Preços",E1700)))</formula>
    </cfRule>
  </conditionalFormatting>
  <conditionalFormatting sqref="E1810">
    <cfRule type="containsText" dxfId="1765" priority="6520" operator="containsText" text="Pesquisa de Preços">
      <formula>NOT(ISERROR(SEARCH("Pesquisa de Preços",E1810)))</formula>
    </cfRule>
  </conditionalFormatting>
  <conditionalFormatting sqref="E1809">
    <cfRule type="containsText" dxfId="1764" priority="6519" operator="containsText" text="Pesquisa de Preços">
      <formula>NOT(ISERROR(SEARCH("Pesquisa de Preços",E1809)))</formula>
    </cfRule>
  </conditionalFormatting>
  <conditionalFormatting sqref="E1836">
    <cfRule type="containsText" dxfId="1763" priority="6510" operator="containsText" text="Pesquisa de Preços">
      <formula>NOT(ISERROR(SEARCH("Pesquisa de Preços",E1836)))</formula>
    </cfRule>
  </conditionalFormatting>
  <conditionalFormatting sqref="E1805">
    <cfRule type="containsText" dxfId="1762" priority="6518" operator="containsText" text="Pesquisa de Preços">
      <formula>NOT(ISERROR(SEARCH("Pesquisa de Preços",E1805)))</formula>
    </cfRule>
  </conditionalFormatting>
  <conditionalFormatting sqref="E1804">
    <cfRule type="containsText" dxfId="1761" priority="6517" operator="containsText" text="Pesquisa de Preços">
      <formula>NOT(ISERROR(SEARCH("Pesquisa de Preços",E1804)))</formula>
    </cfRule>
  </conditionalFormatting>
  <conditionalFormatting sqref="E1815 E1818:E1819">
    <cfRule type="containsText" dxfId="1760" priority="6516" operator="containsText" text="Pesquisa de Preços">
      <formula>NOT(ISERROR(SEARCH("Pesquisa de Preços",E1815)))</formula>
    </cfRule>
  </conditionalFormatting>
  <conditionalFormatting sqref="E1814">
    <cfRule type="containsText" dxfId="1759" priority="6515" operator="containsText" text="Pesquisa de Preços">
      <formula>NOT(ISERROR(SEARCH("Pesquisa de Preços",E1814)))</formula>
    </cfRule>
  </conditionalFormatting>
  <conditionalFormatting sqref="E1817">
    <cfRule type="containsText" dxfId="1758" priority="6514" operator="containsText" text="Pesquisa de Preços">
      <formula>NOT(ISERROR(SEARCH("Pesquisa de Preços",E1817)))</formula>
    </cfRule>
  </conditionalFormatting>
  <conditionalFormatting sqref="E1825">
    <cfRule type="containsText" dxfId="1757" priority="6513" operator="containsText" text="Pesquisa de Preços">
      <formula>NOT(ISERROR(SEARCH("Pesquisa de Preços",E1825)))</formula>
    </cfRule>
  </conditionalFormatting>
  <conditionalFormatting sqref="E1834:E1835 E1837:E1838">
    <cfRule type="containsText" dxfId="1756" priority="6512" operator="containsText" text="Pesquisa de Preços">
      <formula>NOT(ISERROR(SEARCH("Pesquisa de Preços",E1834)))</formula>
    </cfRule>
  </conditionalFormatting>
  <conditionalFormatting sqref="E1840:E1841 E1843:E1844">
    <cfRule type="containsText" dxfId="1755" priority="6509" operator="containsText" text="Pesquisa de Preços">
      <formula>NOT(ISERROR(SEARCH("Pesquisa de Preços",E1840)))</formula>
    </cfRule>
  </conditionalFormatting>
  <conditionalFormatting sqref="E1848">
    <cfRule type="containsText" dxfId="1754" priority="6502" operator="containsText" text="Pesquisa de Preços">
      <formula>NOT(ISERROR(SEARCH("Pesquisa de Preços",E1848)))</formula>
    </cfRule>
  </conditionalFormatting>
  <conditionalFormatting sqref="E1842">
    <cfRule type="containsText" dxfId="1753" priority="6507" operator="containsText" text="Pesquisa de Preços">
      <formula>NOT(ISERROR(SEARCH("Pesquisa de Preços",E1842)))</formula>
    </cfRule>
  </conditionalFormatting>
  <conditionalFormatting sqref="E1827:E1828 E1832">
    <cfRule type="containsText" dxfId="1752" priority="6506" operator="containsText" text="Pesquisa de Preços">
      <formula>NOT(ISERROR(SEARCH("Pesquisa de Preços",E1827)))</formula>
    </cfRule>
  </conditionalFormatting>
  <conditionalFormatting sqref="E1846:E1847 E1849:E1850">
    <cfRule type="containsText" dxfId="1751" priority="6504" operator="containsText" text="Pesquisa de Preços">
      <formula>NOT(ISERROR(SEARCH("Pesquisa de Preços",E1846)))</formula>
    </cfRule>
  </conditionalFormatting>
  <conditionalFormatting sqref="E2355">
    <cfRule type="containsText" dxfId="1750" priority="6350" operator="containsText" text="Pesquisa de Preços">
      <formula>NOT(ISERROR(SEARCH("Pesquisa de Preços",E2355)))</formula>
    </cfRule>
  </conditionalFormatting>
  <conditionalFormatting sqref="E1856">
    <cfRule type="containsText" dxfId="1749" priority="6501" operator="containsText" text="Pesquisa de Preços">
      <formula>NOT(ISERROR(SEARCH("Pesquisa de Preços",E1856)))</formula>
    </cfRule>
  </conditionalFormatting>
  <conditionalFormatting sqref="E2382">
    <cfRule type="containsText" dxfId="1748" priority="6347" operator="containsText" text="Pesquisa de Preços">
      <formula>NOT(ISERROR(SEARCH("Pesquisa de Preços",E2382)))</formula>
    </cfRule>
  </conditionalFormatting>
  <conditionalFormatting sqref="E1892">
    <cfRule type="containsText" dxfId="1747" priority="6500" operator="containsText" text="Pesquisa de Preços">
      <formula>NOT(ISERROR(SEARCH("Pesquisa de Preços",E1892)))</formula>
    </cfRule>
  </conditionalFormatting>
  <conditionalFormatting sqref="E2376">
    <cfRule type="containsText" dxfId="1746" priority="6345" operator="containsText" text="Pesquisa de Preços">
      <formula>NOT(ISERROR(SEARCH("Pesquisa de Preços",E2376)))</formula>
    </cfRule>
  </conditionalFormatting>
  <conditionalFormatting sqref="E1868">
    <cfRule type="containsText" dxfId="1745" priority="6499" operator="containsText" text="Pesquisa de Preços">
      <formula>NOT(ISERROR(SEARCH("Pesquisa de Preços",E1868)))</formula>
    </cfRule>
  </conditionalFormatting>
  <conditionalFormatting sqref="E1886">
    <cfRule type="containsText" dxfId="1744" priority="6498" operator="containsText" text="Pesquisa de Preços">
      <formula>NOT(ISERROR(SEARCH("Pesquisa de Preços",E1886)))</formula>
    </cfRule>
  </conditionalFormatting>
  <conditionalFormatting sqref="E1862">
    <cfRule type="containsText" dxfId="1743" priority="6497" operator="containsText" text="Pesquisa de Preços">
      <formula>NOT(ISERROR(SEARCH("Pesquisa de Preços",E1862)))</formula>
    </cfRule>
  </conditionalFormatting>
  <conditionalFormatting sqref="E1874">
    <cfRule type="containsText" dxfId="1742" priority="6496" operator="containsText" text="Pesquisa de Preços">
      <formula>NOT(ISERROR(SEARCH("Pesquisa de Preços",E1874)))</formula>
    </cfRule>
  </conditionalFormatting>
  <conditionalFormatting sqref="E1896">
    <cfRule type="containsText" dxfId="1741" priority="6492" operator="containsText" text="Pesquisa de Preços">
      <formula>NOT(ISERROR(SEARCH("Pesquisa de Preços",E1896)))</formula>
    </cfRule>
  </conditionalFormatting>
  <conditionalFormatting sqref="E1880">
    <cfRule type="containsText" dxfId="1740" priority="6495" operator="containsText" text="Pesquisa de Preços">
      <formula>NOT(ISERROR(SEARCH("Pesquisa de Preços",E1880)))</formula>
    </cfRule>
  </conditionalFormatting>
  <conditionalFormatting sqref="E1921 E1924:E1925">
    <cfRule type="containsText" dxfId="1739" priority="6484" operator="containsText" text="Pesquisa de Preços">
      <formula>NOT(ISERROR(SEARCH("Pesquisa de Preços",E1921)))</formula>
    </cfRule>
  </conditionalFormatting>
  <conditionalFormatting sqref="E1894:E1895 E1897:E1898">
    <cfRule type="containsText" dxfId="1738" priority="6494" operator="containsText" text="Pesquisa de Preços">
      <formula>NOT(ISERROR(SEARCH("Pesquisa de Preços",E1894)))</formula>
    </cfRule>
  </conditionalFormatting>
  <conditionalFormatting sqref="E1902">
    <cfRule type="containsText" dxfId="1737" priority="6489" operator="containsText" text="Pesquisa de Preços">
      <formula>NOT(ISERROR(SEARCH("Pesquisa de Preços",E1902)))</formula>
    </cfRule>
  </conditionalFormatting>
  <conditionalFormatting sqref="E1900:E1901 E1903:E1904">
    <cfRule type="containsText" dxfId="1736" priority="6491" operator="containsText" text="Pesquisa de Preços">
      <formula>NOT(ISERROR(SEARCH("Pesquisa de Preços",E1900)))</formula>
    </cfRule>
  </conditionalFormatting>
  <conditionalFormatting sqref="E1916:E1917 E1919">
    <cfRule type="containsText" dxfId="1735" priority="6488" operator="containsText" text="Pesquisa de Preços">
      <formula>NOT(ISERROR(SEARCH("Pesquisa de Preços",E1916)))</formula>
    </cfRule>
  </conditionalFormatting>
  <conditionalFormatting sqref="E1911">
    <cfRule type="containsText" dxfId="1734" priority="6486" operator="containsText" text="Pesquisa de Preços">
      <formula>NOT(ISERROR(SEARCH("Pesquisa de Preços",E1911)))</formula>
    </cfRule>
  </conditionalFormatting>
  <conditionalFormatting sqref="E1944:E1945 E1947:E1948">
    <cfRule type="containsText" dxfId="1733" priority="6482" operator="containsText" text="Pesquisa de Preços">
      <formula>NOT(ISERROR(SEARCH("Pesquisa de Preços",E1944)))</formula>
    </cfRule>
  </conditionalFormatting>
  <conditionalFormatting sqref="E1946">
    <cfRule type="containsText" dxfId="1732" priority="6480" operator="containsText" text="Pesquisa de Preços">
      <formula>NOT(ISERROR(SEARCH("Pesquisa de Preços",E1946)))</formula>
    </cfRule>
  </conditionalFormatting>
  <conditionalFormatting sqref="E1953:E1954">
    <cfRule type="containsText" dxfId="1731" priority="6479" operator="containsText" text="Pesquisa de Preços">
      <formula>NOT(ISERROR(SEARCH("Pesquisa de Preços",E1953)))</formula>
    </cfRule>
  </conditionalFormatting>
  <conditionalFormatting sqref="E1963:E1964 E1967:E1968">
    <cfRule type="containsText" dxfId="1730" priority="6473" operator="containsText" text="Pesquisa de Preços">
      <formula>NOT(ISERROR(SEARCH("Pesquisa de Preços",E1963)))</formula>
    </cfRule>
  </conditionalFormatting>
  <conditionalFormatting sqref="E1965:E1966">
    <cfRule type="containsText" dxfId="1729" priority="6471" operator="containsText" text="Pesquisa de Preços">
      <formula>NOT(ISERROR(SEARCH("Pesquisa de Preços",E1965)))</formula>
    </cfRule>
  </conditionalFormatting>
  <conditionalFormatting sqref="E1978 E1983:E1984">
    <cfRule type="containsText" dxfId="1728" priority="6478" operator="containsText" text="Pesquisa de Preços">
      <formula>NOT(ISERROR(SEARCH("Pesquisa de Preços",E1978)))</formula>
    </cfRule>
  </conditionalFormatting>
  <conditionalFormatting sqref="E1977">
    <cfRule type="containsText" dxfId="1727" priority="6477" operator="containsText" text="Pesquisa de Preços">
      <formula>NOT(ISERROR(SEARCH("Pesquisa de Preços",E1977)))</formula>
    </cfRule>
  </conditionalFormatting>
  <conditionalFormatting sqref="E1970 E1976">
    <cfRule type="containsText" dxfId="1726" priority="6475" operator="containsText" text="Pesquisa de Preços">
      <formula>NOT(ISERROR(SEARCH("Pesquisa de Preços",E1970)))</formula>
    </cfRule>
  </conditionalFormatting>
  <conditionalFormatting sqref="E1955">
    <cfRule type="containsText" dxfId="1725" priority="6469" operator="containsText" text="Pesquisa de Preços">
      <formula>NOT(ISERROR(SEARCH("Pesquisa de Preços",E1955)))</formula>
    </cfRule>
  </conditionalFormatting>
  <conditionalFormatting sqref="E1956:E1957 E1960:E1961">
    <cfRule type="containsText" dxfId="1724" priority="6470" operator="containsText" text="Pesquisa de Preços">
      <formula>NOT(ISERROR(SEARCH("Pesquisa de Preços",E1956)))</formula>
    </cfRule>
  </conditionalFormatting>
  <conditionalFormatting sqref="E1958:E1959">
    <cfRule type="containsText" dxfId="1723" priority="6468" operator="containsText" text="Pesquisa de Preços">
      <formula>NOT(ISERROR(SEARCH("Pesquisa de Preços",E1958)))</formula>
    </cfRule>
  </conditionalFormatting>
  <conditionalFormatting sqref="E2007 E2012">
    <cfRule type="containsText" dxfId="1722" priority="6467" operator="containsText" text="Pesquisa de Preços">
      <formula>NOT(ISERROR(SEARCH("Pesquisa de Preços",E2007)))</formula>
    </cfRule>
  </conditionalFormatting>
  <conditionalFormatting sqref="E2002:E2003">
    <cfRule type="containsText" dxfId="1721" priority="6463" operator="containsText" text="Pesquisa de Preços">
      <formula>NOT(ISERROR(SEARCH("Pesquisa de Preços",E2002)))</formula>
    </cfRule>
  </conditionalFormatting>
  <conditionalFormatting sqref="E2005 E2000:E2001">
    <cfRule type="containsText" dxfId="1720" priority="6465" operator="containsText" text="Pesquisa de Preços">
      <formula>NOT(ISERROR(SEARCH("Pesquisa de Preços",E2000)))</formula>
    </cfRule>
  </conditionalFormatting>
  <conditionalFormatting sqref="E1995:E1996">
    <cfRule type="containsText" dxfId="1719" priority="6460" operator="containsText" text="Pesquisa de Preços">
      <formula>NOT(ISERROR(SEARCH("Pesquisa de Preços",E1995)))</formula>
    </cfRule>
  </conditionalFormatting>
  <conditionalFormatting sqref="E1998 E1993:E1994">
    <cfRule type="containsText" dxfId="1718" priority="6462" operator="containsText" text="Pesquisa de Preços">
      <formula>NOT(ISERROR(SEARCH("Pesquisa de Preços",E1993)))</formula>
    </cfRule>
  </conditionalFormatting>
  <conditionalFormatting sqref="E1986 E1991">
    <cfRule type="containsText" dxfId="1717" priority="6459" operator="containsText" text="Pesquisa de Preços">
      <formula>NOT(ISERROR(SEARCH("Pesquisa de Preços",E1986)))</formula>
    </cfRule>
  </conditionalFormatting>
  <conditionalFormatting sqref="E2131">
    <cfRule type="containsText" dxfId="1716" priority="6456" operator="containsText" text="Pesquisa de Preços">
      <formula>NOT(ISERROR(SEARCH("Pesquisa de Preços",E2131)))</formula>
    </cfRule>
  </conditionalFormatting>
  <conditionalFormatting sqref="E2132:E2133">
    <cfRule type="containsText" dxfId="1715" priority="6457" operator="containsText" text="Pesquisa de Preços">
      <formula>NOT(ISERROR(SEARCH("Pesquisa de Preços",E2132)))</formula>
    </cfRule>
  </conditionalFormatting>
  <conditionalFormatting sqref="E2134:E2135">
    <cfRule type="containsText" dxfId="1714" priority="6455" operator="containsText" text="Pesquisa de Preços">
      <formula>NOT(ISERROR(SEARCH("Pesquisa de Preços",E2134)))</formula>
    </cfRule>
  </conditionalFormatting>
  <conditionalFormatting sqref="E2120:E2121">
    <cfRule type="containsText" dxfId="1713" priority="6454" operator="containsText" text="Pesquisa de Preços">
      <formula>NOT(ISERROR(SEARCH("Pesquisa de Preços",E2120)))</formula>
    </cfRule>
  </conditionalFormatting>
  <conditionalFormatting sqref="E2119">
    <cfRule type="containsText" dxfId="1712" priority="6453" operator="containsText" text="Pesquisa de Preços">
      <formula>NOT(ISERROR(SEARCH("Pesquisa de Preços",E2119)))</formula>
    </cfRule>
  </conditionalFormatting>
  <conditionalFormatting sqref="E2146 E2150:E2152">
    <cfRule type="containsText" dxfId="1711" priority="6451" operator="containsText" text="Pesquisa de Preços">
      <formula>NOT(ISERROR(SEARCH("Pesquisa de Preços",E2146)))</formula>
    </cfRule>
  </conditionalFormatting>
  <conditionalFormatting sqref="E2145">
    <cfRule type="containsText" dxfId="1710" priority="6450" operator="containsText" text="Pesquisa de Preços">
      <formula>NOT(ISERROR(SEARCH("Pesquisa de Preços",E2145)))</formula>
    </cfRule>
  </conditionalFormatting>
  <conditionalFormatting sqref="E2149">
    <cfRule type="containsText" dxfId="1709" priority="6449" operator="containsText" text="Pesquisa de Preços">
      <formula>NOT(ISERROR(SEARCH("Pesquisa de Preços",E2149)))</formula>
    </cfRule>
  </conditionalFormatting>
  <conditionalFormatting sqref="E2162 E2166:E2168">
    <cfRule type="containsText" dxfId="1708" priority="6448" operator="containsText" text="Pesquisa de Preços">
      <formula>NOT(ISERROR(SEARCH("Pesquisa de Preços",E2162)))</formula>
    </cfRule>
  </conditionalFormatting>
  <conditionalFormatting sqref="E2142:E2144">
    <cfRule type="containsText" dxfId="1707" priority="6446" operator="containsText" text="Pesquisa de Preços">
      <formula>NOT(ISERROR(SEARCH("Pesquisa de Preços",E2142)))</formula>
    </cfRule>
  </conditionalFormatting>
  <conditionalFormatting sqref="E2174:E2176">
    <cfRule type="containsText" dxfId="1706" priority="6445" operator="containsText" text="Pesquisa de Preços">
      <formula>NOT(ISERROR(SEARCH("Pesquisa de Preços",E2174)))</formula>
    </cfRule>
  </conditionalFormatting>
  <conditionalFormatting sqref="E2052 E2056:E2058">
    <cfRule type="containsText" dxfId="1705" priority="6440" operator="containsText" text="Pesquisa de Preços">
      <formula>NOT(ISERROR(SEARCH("Pesquisa de Preços",E2052)))</formula>
    </cfRule>
  </conditionalFormatting>
  <conditionalFormatting sqref="E2158:E2160">
    <cfRule type="containsText" dxfId="1704" priority="6444" operator="containsText" text="Pesquisa de Preços">
      <formula>NOT(ISERROR(SEARCH("Pesquisa de Preços",E2158)))</formula>
    </cfRule>
  </conditionalFormatting>
  <conditionalFormatting sqref="E2051">
    <cfRule type="containsText" dxfId="1703" priority="6439" operator="containsText" text="Pesquisa de Preços">
      <formula>NOT(ISERROR(SEARCH("Pesquisa de Preços",E2051)))</formula>
    </cfRule>
  </conditionalFormatting>
  <conditionalFormatting sqref="E2182:E2184">
    <cfRule type="containsText" dxfId="1702" priority="6443" operator="containsText" text="Pesquisa de Preços">
      <formula>NOT(ISERROR(SEARCH("Pesquisa de Preços",E2182)))</formula>
    </cfRule>
  </conditionalFormatting>
  <conditionalFormatting sqref="E2235:E2238 E2240">
    <cfRule type="containsText" dxfId="1701" priority="6399" operator="containsText" text="Pesquisa de Preços">
      <formula>NOT(ISERROR(SEARCH("Pesquisa de Preços",E2235)))</formula>
    </cfRule>
  </conditionalFormatting>
  <conditionalFormatting sqref="E2036 E2040:E2042">
    <cfRule type="containsText" dxfId="1700" priority="6442" operator="containsText" text="Pesquisa de Preços">
      <formula>NOT(ISERROR(SEARCH("Pesquisa de Preços",E2036)))</formula>
    </cfRule>
  </conditionalFormatting>
  <conditionalFormatting sqref="E2044 E2048:E2050">
    <cfRule type="containsText" dxfId="1699" priority="6434" operator="containsText" text="Pesquisa de Preços">
      <formula>NOT(ISERROR(SEARCH("Pesquisa de Preços",E2044)))</formula>
    </cfRule>
  </conditionalFormatting>
  <conditionalFormatting sqref="E2329:E2330 E2333">
    <cfRule type="containsText" dxfId="1698" priority="6392" operator="containsText" text="Pesquisa de Preços">
      <formula>NOT(ISERROR(SEARCH("Pesquisa de Preços",E2329)))</formula>
    </cfRule>
  </conditionalFormatting>
  <conditionalFormatting sqref="E2028 E2032:E2034">
    <cfRule type="containsText" dxfId="1697" priority="6438" operator="containsText" text="Pesquisa de Preços">
      <formula>NOT(ISERROR(SEARCH("Pesquisa de Preços",E2028)))</formula>
    </cfRule>
  </conditionalFormatting>
  <conditionalFormatting sqref="E2027">
    <cfRule type="containsText" dxfId="1696" priority="6437" operator="containsText" text="Pesquisa de Preços">
      <formula>NOT(ISERROR(SEARCH("Pesquisa de Preços",E2027)))</formula>
    </cfRule>
  </conditionalFormatting>
  <conditionalFormatting sqref="E2060 E2064:E2066">
    <cfRule type="containsText" dxfId="1695" priority="6436" operator="containsText" text="Pesquisa de Preços">
      <formula>NOT(ISERROR(SEARCH("Pesquisa de Preços",E2060)))</formula>
    </cfRule>
  </conditionalFormatting>
  <conditionalFormatting sqref="E2059">
    <cfRule type="containsText" dxfId="1694" priority="6435" operator="containsText" text="Pesquisa de Preços">
      <formula>NOT(ISERROR(SEARCH("Pesquisa de Preços",E2059)))</formula>
    </cfRule>
  </conditionalFormatting>
  <conditionalFormatting sqref="E2310:E2311">
    <cfRule type="containsText" dxfId="1693" priority="6398" operator="containsText" text="Pesquisa de Preços">
      <formula>NOT(ISERROR(SEARCH("Pesquisa de Preços",E2310)))</formula>
    </cfRule>
  </conditionalFormatting>
  <conditionalFormatting sqref="E2043">
    <cfRule type="containsText" dxfId="1692" priority="6433" operator="containsText" text="Pesquisa de Preços">
      <formula>NOT(ISERROR(SEARCH("Pesquisa de Preços",E2043)))</formula>
    </cfRule>
  </conditionalFormatting>
  <conditionalFormatting sqref="E2292">
    <cfRule type="containsText" dxfId="1691" priority="6407" operator="containsText" text="Pesquisa de Preços">
      <formula>NOT(ISERROR(SEARCH("Pesquisa de Preços",E2292)))</formula>
    </cfRule>
  </conditionalFormatting>
  <conditionalFormatting sqref="E2068 E2072:E2074">
    <cfRule type="containsText" dxfId="1690" priority="6432" operator="containsText" text="Pesquisa de Preços">
      <formula>NOT(ISERROR(SEARCH("Pesquisa de Preços",E2068)))</formula>
    </cfRule>
  </conditionalFormatting>
  <conditionalFormatting sqref="E2067">
    <cfRule type="containsText" dxfId="1689" priority="6431" operator="containsText" text="Pesquisa de Preços">
      <formula>NOT(ISERROR(SEARCH("Pesquisa de Preços",E2067)))</formula>
    </cfRule>
  </conditionalFormatting>
  <conditionalFormatting sqref="E2247">
    <cfRule type="containsText" dxfId="1688" priority="6411" operator="containsText" text="Pesquisa de Preços">
      <formula>NOT(ISERROR(SEARCH("Pesquisa de Preços",E2247)))</formula>
    </cfRule>
  </conditionalFormatting>
  <conditionalFormatting sqref="E2026">
    <cfRule type="containsText" dxfId="1687" priority="6430" operator="containsText" text="Pesquisa de Preços">
      <formula>NOT(ISERROR(SEARCH("Pesquisa de Preços",E2026)))</formula>
    </cfRule>
  </conditionalFormatting>
  <conditionalFormatting sqref="E2104:E2106">
    <cfRule type="containsText" dxfId="1686" priority="6429" operator="containsText" text="Pesquisa de Preços">
      <formula>NOT(ISERROR(SEARCH("Pesquisa de Preços",E2104)))</formula>
    </cfRule>
  </conditionalFormatting>
  <conditionalFormatting sqref="E2220">
    <cfRule type="containsText" dxfId="1685" priority="6412" operator="containsText" text="Pesquisa de Preços">
      <formula>NOT(ISERROR(SEARCH("Pesquisa de Preços",E2220)))</formula>
    </cfRule>
  </conditionalFormatting>
  <conditionalFormatting sqref="E2096:E2098">
    <cfRule type="containsText" dxfId="1684" priority="6428" operator="containsText" text="Pesquisa de Preços">
      <formula>NOT(ISERROR(SEARCH("Pesquisa de Preços",E2096)))</formula>
    </cfRule>
  </conditionalFormatting>
  <conditionalFormatting sqref="E2211">
    <cfRule type="containsText" dxfId="1683" priority="6417" operator="containsText" text="Pesquisa de Preços">
      <formula>NOT(ISERROR(SEARCH("Pesquisa de Preços",E2211)))</formula>
    </cfRule>
  </conditionalFormatting>
  <conditionalFormatting sqref="E2213">
    <cfRule type="containsText" dxfId="1682" priority="6416" operator="containsText" text="Pesquisa de Preços">
      <formula>NOT(ISERROR(SEARCH("Pesquisa de Preços",E2213)))</formula>
    </cfRule>
  </conditionalFormatting>
  <conditionalFormatting sqref="E2090">
    <cfRule type="containsText" dxfId="1681" priority="6427" operator="containsText" text="Pesquisa de Preços">
      <formula>NOT(ISERROR(SEARCH("Pesquisa de Preços",E2090)))</formula>
    </cfRule>
  </conditionalFormatting>
  <conditionalFormatting sqref="E2016">
    <cfRule type="containsText" dxfId="1680" priority="6424" operator="containsText" text="Pesquisa de Preços">
      <formula>NOT(ISERROR(SEARCH("Pesquisa de Preços",E2016)))</formula>
    </cfRule>
  </conditionalFormatting>
  <conditionalFormatting sqref="E2014:E2015 E2017:E2018">
    <cfRule type="containsText" dxfId="1679" priority="6426" operator="containsText" text="Pesquisa de Preços">
      <formula>NOT(ISERROR(SEARCH("Pesquisa de Preços",E2014)))</formula>
    </cfRule>
  </conditionalFormatting>
  <conditionalFormatting sqref="E2013">
    <cfRule type="containsText" dxfId="1678" priority="6425" operator="containsText" text="Pesquisa de Preços">
      <formula>NOT(ISERROR(SEARCH("Pesquisa de Preços",E2013)))</formula>
    </cfRule>
  </conditionalFormatting>
  <conditionalFormatting sqref="E2108">
    <cfRule type="containsText" dxfId="1677" priority="6423" operator="containsText" text="Pesquisa de Preços">
      <formula>NOT(ISERROR(SEARCH("Pesquisa de Preços",E2108)))</formula>
    </cfRule>
  </conditionalFormatting>
  <conditionalFormatting sqref="E2107">
    <cfRule type="containsText" dxfId="1676" priority="6422" operator="containsText" text="Pesquisa de Preços">
      <formula>NOT(ISERROR(SEARCH("Pesquisa de Preços",E2107)))</formula>
    </cfRule>
  </conditionalFormatting>
  <conditionalFormatting sqref="E2202:E2203">
    <cfRule type="containsText" dxfId="1675" priority="6421" operator="containsText" text="Pesquisa de Preços">
      <formula>NOT(ISERROR(SEARCH("Pesquisa de Preços",E2202)))</formula>
    </cfRule>
  </conditionalFormatting>
  <conditionalFormatting sqref="E2201">
    <cfRule type="containsText" dxfId="1674" priority="6420" operator="containsText" text="Pesquisa de Preços">
      <formula>NOT(ISERROR(SEARCH("Pesquisa de Preços",E2201)))</formula>
    </cfRule>
  </conditionalFormatting>
  <conditionalFormatting sqref="E2207:E2208 E2210">
    <cfRule type="containsText" dxfId="1673" priority="6419" operator="containsText" text="Pesquisa de Preços">
      <formula>NOT(ISERROR(SEARCH("Pesquisa de Preços",E2207)))</formula>
    </cfRule>
  </conditionalFormatting>
  <conditionalFormatting sqref="E2227 E2230:E2231">
    <cfRule type="containsText" dxfId="1672" priority="6415" operator="containsText" text="Pesquisa de Preços">
      <formula>NOT(ISERROR(SEARCH("Pesquisa de Preços",E2227)))</formula>
    </cfRule>
  </conditionalFormatting>
  <conditionalFormatting sqref="E2221 E2225">
    <cfRule type="containsText" dxfId="1671" priority="6413" operator="containsText" text="Pesquisa de Preços">
      <formula>NOT(ISERROR(SEARCH("Pesquisa de Preços",E2221)))</formula>
    </cfRule>
  </conditionalFormatting>
  <conditionalFormatting sqref="E2293">
    <cfRule type="containsText" dxfId="1670" priority="6408" operator="containsText" text="Pesquisa de Preços">
      <formula>NOT(ISERROR(SEARCH("Pesquisa de Preços",E2293)))</formula>
    </cfRule>
  </conditionalFormatting>
  <conditionalFormatting sqref="E2250">
    <cfRule type="containsText" dxfId="1669" priority="6409" operator="containsText" text="Pesquisa de Preços">
      <formula>NOT(ISERROR(SEARCH("Pesquisa de Preços",E2250)))</formula>
    </cfRule>
  </conditionalFormatting>
  <conditionalFormatting sqref="E2282">
    <cfRule type="containsText" dxfId="1668" priority="6405" operator="containsText" text="Pesquisa de Preços">
      <formula>NOT(ISERROR(SEARCH("Pesquisa de Preços",E2282)))</formula>
    </cfRule>
  </conditionalFormatting>
  <conditionalFormatting sqref="E2283">
    <cfRule type="containsText" dxfId="1667" priority="6406" operator="containsText" text="Pesquisa de Preços">
      <formula>NOT(ISERROR(SEARCH("Pesquisa de Preços",E2283)))</formula>
    </cfRule>
  </conditionalFormatting>
  <conditionalFormatting sqref="E2273 E2281">
    <cfRule type="containsText" dxfId="1666" priority="6403" operator="containsText" text="Pesquisa de Preços">
      <formula>NOT(ISERROR(SEARCH("Pesquisa de Preços",E2273)))</formula>
    </cfRule>
  </conditionalFormatting>
  <conditionalFormatting sqref="E2232">
    <cfRule type="containsText" dxfId="1665" priority="6400" operator="containsText" text="Pesquisa de Preços">
      <formula>NOT(ISERROR(SEARCH("Pesquisa de Preços",E2232)))</formula>
    </cfRule>
  </conditionalFormatting>
  <conditionalFormatting sqref="E2233:E2234">
    <cfRule type="containsText" dxfId="1664" priority="6401" operator="containsText" text="Pesquisa de Preços">
      <formula>NOT(ISERROR(SEARCH("Pesquisa de Preços",E2233)))</formula>
    </cfRule>
  </conditionalFormatting>
  <conditionalFormatting sqref="E2309">
    <cfRule type="containsText" dxfId="1663" priority="6397" operator="containsText" text="Pesquisa de Preços">
      <formula>NOT(ISERROR(SEARCH("Pesquisa de Preços",E2309)))</formula>
    </cfRule>
  </conditionalFormatting>
  <conditionalFormatting sqref="E2314">
    <cfRule type="containsText" dxfId="1662" priority="6396" operator="containsText" text="Pesquisa de Preços">
      <formula>NOT(ISERROR(SEARCH("Pesquisa de Preços",E2314)))</formula>
    </cfRule>
  </conditionalFormatting>
  <conditionalFormatting sqref="E2308">
    <cfRule type="containsText" dxfId="1661" priority="6395" operator="containsText" text="Pesquisa de Preços">
      <formula>NOT(ISERROR(SEARCH("Pesquisa de Preços",E2308)))</formula>
    </cfRule>
  </conditionalFormatting>
  <conditionalFormatting sqref="E2341">
    <cfRule type="containsText" dxfId="1660" priority="6394" operator="containsText" text="Pesquisa de Preços">
      <formula>NOT(ISERROR(SEARCH("Pesquisa de Preços",E2341)))</formula>
    </cfRule>
  </conditionalFormatting>
  <conditionalFormatting sqref="E2340">
    <cfRule type="containsText" dxfId="1659" priority="6393" operator="containsText" text="Pesquisa de Preços">
      <formula>NOT(ISERROR(SEARCH("Pesquisa de Preços",E2340)))</formula>
    </cfRule>
  </conditionalFormatting>
  <conditionalFormatting sqref="E2328">
    <cfRule type="containsText" dxfId="1658" priority="6391" operator="containsText" text="Pesquisa de Preços">
      <formula>NOT(ISERROR(SEARCH("Pesquisa de Preços",E2328)))</formula>
    </cfRule>
  </conditionalFormatting>
  <conditionalFormatting sqref="E2323:E2324 E2327">
    <cfRule type="containsText" dxfId="1657" priority="6390" operator="containsText" text="Pesquisa de Preços">
      <formula>NOT(ISERROR(SEARCH("Pesquisa de Preços",E2323)))</formula>
    </cfRule>
  </conditionalFormatting>
  <conditionalFormatting sqref="E2335:E2336 E2338:E2339">
    <cfRule type="containsText" dxfId="1656" priority="6388" operator="containsText" text="Pesquisa de Preços">
      <formula>NOT(ISERROR(SEARCH("Pesquisa de Preços",E2335)))</formula>
    </cfRule>
  </conditionalFormatting>
  <conditionalFormatting sqref="E2337">
    <cfRule type="containsText" dxfId="1655" priority="6386" operator="containsText" text="Pesquisa de Preços">
      <formula>NOT(ISERROR(SEARCH("Pesquisa de Preços",E2337)))</formula>
    </cfRule>
  </conditionalFormatting>
  <conditionalFormatting sqref="E2317 E2320:E2321">
    <cfRule type="containsText" dxfId="1654" priority="6385" operator="containsText" text="Pesquisa de Preços">
      <formula>NOT(ISERROR(SEARCH("Pesquisa de Preços",E2317)))</formula>
    </cfRule>
  </conditionalFormatting>
  <conditionalFormatting sqref="E2316">
    <cfRule type="containsText" dxfId="1653" priority="6384" operator="containsText" text="Pesquisa de Preços">
      <formula>NOT(ISERROR(SEARCH("Pesquisa de Preços",E2316)))</formula>
    </cfRule>
  </conditionalFormatting>
  <conditionalFormatting sqref="E2319">
    <cfRule type="containsText" dxfId="1652" priority="6383" operator="containsText" text="Pesquisa de Preços">
      <formula>NOT(ISERROR(SEARCH("Pesquisa de Preços",E2319)))</formula>
    </cfRule>
  </conditionalFormatting>
  <conditionalFormatting sqref="E2346:E2349">
    <cfRule type="containsText" dxfId="1651" priority="6382" operator="containsText" text="Pesquisa de Preços">
      <formula>NOT(ISERROR(SEARCH("Pesquisa de Preços",E2346)))</formula>
    </cfRule>
  </conditionalFormatting>
  <conditionalFormatting sqref="E2351 E2353:E2354">
    <cfRule type="containsText" dxfId="1650" priority="6380" operator="containsText" text="Pesquisa de Preços">
      <formula>NOT(ISERROR(SEARCH("Pesquisa de Preços",E2351)))</formula>
    </cfRule>
  </conditionalFormatting>
  <conditionalFormatting sqref="E898:E899 E901:E903">
    <cfRule type="containsText" dxfId="1649" priority="6378" operator="containsText" text="Pesquisa de Preços">
      <formula>NOT(ISERROR(SEARCH("Pesquisa de Preços",E898)))</formula>
    </cfRule>
  </conditionalFormatting>
  <conditionalFormatting sqref="E858:E859">
    <cfRule type="containsText" dxfId="1648" priority="6370" operator="containsText" text="Pesquisa de Preços">
      <formula>NOT(ISERROR(SEARCH("Pesquisa de Preços",E858)))</formula>
    </cfRule>
  </conditionalFormatting>
  <conditionalFormatting sqref="E877 E882:E883">
    <cfRule type="containsText" dxfId="1647" priority="6376" operator="containsText" text="Pesquisa de Preços">
      <formula>NOT(ISERROR(SEARCH("Pesquisa de Preços",E877)))</formula>
    </cfRule>
  </conditionalFormatting>
  <conditionalFormatting sqref="E890:E891">
    <cfRule type="containsText" dxfId="1646" priority="6373" operator="containsText" text="Pesquisa de Preços">
      <formula>NOT(ISERROR(SEARCH("Pesquisa de Preços",E890)))</formula>
    </cfRule>
  </conditionalFormatting>
  <conditionalFormatting sqref="E869">
    <cfRule type="containsText" dxfId="1645" priority="6363" operator="containsText" text="Pesquisa de Preços">
      <formula>NOT(ISERROR(SEARCH("Pesquisa de Preços",E869)))</formula>
    </cfRule>
  </conditionalFormatting>
  <conditionalFormatting sqref="E859:E861">
    <cfRule type="containsText" dxfId="1644" priority="6368" operator="containsText" text="Pesquisa de Preços">
      <formula>NOT(ISERROR(SEARCH("Pesquisa de Preços",E859)))</formula>
    </cfRule>
  </conditionalFormatting>
  <conditionalFormatting sqref="E847:E850">
    <cfRule type="containsText" dxfId="1643" priority="6367" operator="containsText" text="Pesquisa de Preços">
      <formula>NOT(ISERROR(SEARCH("Pesquisa de Preços",E847)))</formula>
    </cfRule>
  </conditionalFormatting>
  <conditionalFormatting sqref="E846">
    <cfRule type="containsText" dxfId="1642" priority="6366" operator="containsText" text="Pesquisa de Preços">
      <formula>NOT(ISERROR(SEARCH("Pesquisa de Preços",E846)))</formula>
    </cfRule>
  </conditionalFormatting>
  <conditionalFormatting sqref="E852 E855:E856">
    <cfRule type="containsText" dxfId="1641" priority="6365" operator="containsText" text="Pesquisa de Preços">
      <formula>NOT(ISERROR(SEARCH("Pesquisa de Preços",E852)))</formula>
    </cfRule>
  </conditionalFormatting>
  <conditionalFormatting sqref="E868">
    <cfRule type="containsText" dxfId="1640" priority="6362" operator="containsText" text="Pesquisa de Preços">
      <formula>NOT(ISERROR(SEARCH("Pesquisa de Preços",E868)))</formula>
    </cfRule>
  </conditionalFormatting>
  <conditionalFormatting sqref="E864">
    <cfRule type="containsText" dxfId="1639" priority="6361" operator="containsText" text="Pesquisa de Preços">
      <formula>NOT(ISERROR(SEARCH("Pesquisa de Preços",E864)))</formula>
    </cfRule>
  </conditionalFormatting>
  <conditionalFormatting sqref="E863">
    <cfRule type="containsText" dxfId="1638" priority="6360" operator="containsText" text="Pesquisa de Preços">
      <formula>NOT(ISERROR(SEARCH("Pesquisa de Preços",E863)))</formula>
    </cfRule>
  </conditionalFormatting>
  <conditionalFormatting sqref="E893:E894">
    <cfRule type="containsText" dxfId="1637" priority="6359" operator="containsText" text="Pesquisa de Preços">
      <formula>NOT(ISERROR(SEARCH("Pesquisa de Preços",E893)))</formula>
    </cfRule>
  </conditionalFormatting>
  <conditionalFormatting sqref="E892">
    <cfRule type="containsText" dxfId="1636" priority="6358" operator="containsText" text="Pesquisa de Preços">
      <formula>NOT(ISERROR(SEARCH("Pesquisa de Preços",E892)))</formula>
    </cfRule>
  </conditionalFormatting>
  <conditionalFormatting sqref="E905:E906">
    <cfRule type="containsText" dxfId="1635" priority="6357" operator="containsText" text="Pesquisa de Preços">
      <formula>NOT(ISERROR(SEARCH("Pesquisa de Preços",E905)))</formula>
    </cfRule>
  </conditionalFormatting>
  <conditionalFormatting sqref="E904">
    <cfRule type="containsText" dxfId="1634" priority="6356" operator="containsText" text="Pesquisa de Preços">
      <formula>NOT(ISERROR(SEARCH("Pesquisa de Preços",E904)))</formula>
    </cfRule>
  </conditionalFormatting>
  <conditionalFormatting sqref="E2362:E2363">
    <cfRule type="containsText" dxfId="1633" priority="6355" operator="containsText" text="Pesquisa de Preços">
      <formula>NOT(ISERROR(SEARCH("Pesquisa de Preços",E2362)))</formula>
    </cfRule>
  </conditionalFormatting>
  <conditionalFormatting sqref="E2361">
    <cfRule type="containsText" dxfId="1632" priority="6354" operator="containsText" text="Pesquisa de Preços">
      <formula>NOT(ISERROR(SEARCH("Pesquisa de Preços",E2361)))</formula>
    </cfRule>
  </conditionalFormatting>
  <conditionalFormatting sqref="E2370 E2373 E2375">
    <cfRule type="containsText" dxfId="1631" priority="6353" operator="containsText" text="Pesquisa de Preços">
      <formula>NOT(ISERROR(SEARCH("Pesquisa de Preços",E2370)))</formula>
    </cfRule>
  </conditionalFormatting>
  <conditionalFormatting sqref="E2369">
    <cfRule type="containsText" dxfId="1630" priority="6352" operator="containsText" text="Pesquisa de Preços">
      <formula>NOT(ISERROR(SEARCH("Pesquisa de Preços",E2369)))</formula>
    </cfRule>
  </conditionalFormatting>
  <conditionalFormatting sqref="E2356:E2357 E2359:E2360">
    <cfRule type="containsText" dxfId="1629" priority="6351" operator="containsText" text="Pesquisa de Preços">
      <formula>NOT(ISERROR(SEARCH("Pesquisa de Preços",E2356)))</formula>
    </cfRule>
  </conditionalFormatting>
  <conditionalFormatting sqref="E2383 E2388">
    <cfRule type="containsText" dxfId="1628" priority="6348" operator="containsText" text="Pesquisa de Preços">
      <formula>NOT(ISERROR(SEARCH("Pesquisa de Preços",E2383)))</formula>
    </cfRule>
  </conditionalFormatting>
  <conditionalFormatting sqref="E2358">
    <cfRule type="containsText" dxfId="1627" priority="6349" operator="containsText" text="Pesquisa de Preços">
      <formula>NOT(ISERROR(SEARCH("Pesquisa de Preços",E2358)))</formula>
    </cfRule>
  </conditionalFormatting>
  <conditionalFormatting sqref="E2377">
    <cfRule type="containsText" dxfId="1626" priority="6346" operator="containsText" text="Pesquisa de Preços">
      <formula>NOT(ISERROR(SEARCH("Pesquisa de Preços",E2377)))</formula>
    </cfRule>
  </conditionalFormatting>
  <conditionalFormatting sqref="E1763:E1764 E1767:E1768">
    <cfRule type="containsText" dxfId="1625" priority="6344" operator="containsText" text="Pesquisa de Preços">
      <formula>NOT(ISERROR(SEARCH("Pesquisa de Preços",E1763)))</formula>
    </cfRule>
  </conditionalFormatting>
  <conditionalFormatting sqref="E1762">
    <cfRule type="containsText" dxfId="1624" priority="6343" operator="containsText" text="Pesquisa de Preços">
      <formula>NOT(ISERROR(SEARCH("Pesquisa de Preços",E1762)))</formula>
    </cfRule>
  </conditionalFormatting>
  <conditionalFormatting sqref="E1735">
    <cfRule type="containsText" dxfId="1623" priority="6270" operator="containsText" text="Pesquisa de Preços">
      <formula>NOT(ISERROR(SEARCH("Pesquisa de Preços",E1735)))</formula>
    </cfRule>
  </conditionalFormatting>
  <conditionalFormatting sqref="E1765:E1766">
    <cfRule type="containsText" dxfId="1622" priority="6342" operator="containsText" text="Pesquisa de Preços">
      <formula>NOT(ISERROR(SEARCH("Pesquisa de Preços",E1765)))</formula>
    </cfRule>
  </conditionalFormatting>
  <conditionalFormatting sqref="E1777:E1778 E1781:E1782">
    <cfRule type="containsText" dxfId="1621" priority="6341" operator="containsText" text="Pesquisa de Preços">
      <formula>NOT(ISERROR(SEARCH("Pesquisa de Preços",E1777)))</formula>
    </cfRule>
  </conditionalFormatting>
  <conditionalFormatting sqref="E1776">
    <cfRule type="containsText" dxfId="1620" priority="6340" operator="containsText" text="Pesquisa de Preços">
      <formula>NOT(ISERROR(SEARCH("Pesquisa de Preços",E1776)))</formula>
    </cfRule>
  </conditionalFormatting>
  <conditionalFormatting sqref="E1779:E1780">
    <cfRule type="containsText" dxfId="1619" priority="6339" operator="containsText" text="Pesquisa de Preços">
      <formula>NOT(ISERROR(SEARCH("Pesquisa de Preços",E1779)))</formula>
    </cfRule>
  </conditionalFormatting>
  <conditionalFormatting sqref="E1791:E1792 E1795:E1796">
    <cfRule type="containsText" dxfId="1618" priority="6338" operator="containsText" text="Pesquisa de Preços">
      <formula>NOT(ISERROR(SEARCH("Pesquisa de Preços",E1791)))</formula>
    </cfRule>
  </conditionalFormatting>
  <conditionalFormatting sqref="E1790">
    <cfRule type="containsText" dxfId="1617" priority="6337" operator="containsText" text="Pesquisa de Preços">
      <formula>NOT(ISERROR(SEARCH("Pesquisa de Preços",E1790)))</formula>
    </cfRule>
  </conditionalFormatting>
  <conditionalFormatting sqref="E1793:E1794">
    <cfRule type="containsText" dxfId="1616" priority="6336" operator="containsText" text="Pesquisa de Preços">
      <formula>NOT(ISERROR(SEARCH("Pesquisa de Preços",E1793)))</formula>
    </cfRule>
  </conditionalFormatting>
  <conditionalFormatting sqref="E1749:E1750 E1753:E1754">
    <cfRule type="containsText" dxfId="1615" priority="6335" operator="containsText" text="Pesquisa de Preços">
      <formula>NOT(ISERROR(SEARCH("Pesquisa de Preços",E1749)))</formula>
    </cfRule>
  </conditionalFormatting>
  <conditionalFormatting sqref="E1748">
    <cfRule type="containsText" dxfId="1614" priority="6334" operator="containsText" text="Pesquisa de Preços">
      <formula>NOT(ISERROR(SEARCH("Pesquisa de Preços",E1748)))</formula>
    </cfRule>
  </conditionalFormatting>
  <conditionalFormatting sqref="E1751:E1752">
    <cfRule type="containsText" dxfId="1613" priority="6333" operator="containsText" text="Pesquisa de Preços">
      <formula>NOT(ISERROR(SEARCH("Pesquisa de Preços",E1751)))</formula>
    </cfRule>
  </conditionalFormatting>
  <conditionalFormatting sqref="E1756:E1757 E1760:E1761">
    <cfRule type="containsText" dxfId="1612" priority="6332" operator="containsText" text="Pesquisa de Preços">
      <formula>NOT(ISERROR(SEARCH("Pesquisa de Preços",E1756)))</formula>
    </cfRule>
  </conditionalFormatting>
  <conditionalFormatting sqref="E1755">
    <cfRule type="containsText" dxfId="1611" priority="6331" operator="containsText" text="Pesquisa de Preços">
      <formula>NOT(ISERROR(SEARCH("Pesquisa de Preços",E1755)))</formula>
    </cfRule>
  </conditionalFormatting>
  <conditionalFormatting sqref="E591 E595">
    <cfRule type="containsText" dxfId="1610" priority="6269" operator="containsText" text="Pesquisa de Preços">
      <formula>NOT(ISERROR(SEARCH("Pesquisa de Preços",E591)))</formula>
    </cfRule>
  </conditionalFormatting>
  <conditionalFormatting sqref="E1758:E1759">
    <cfRule type="containsText" dxfId="1609" priority="6330" operator="containsText" text="Pesquisa de Preços">
      <formula>NOT(ISERROR(SEARCH("Pesquisa de Preços",E1758)))</formula>
    </cfRule>
  </conditionalFormatting>
  <conditionalFormatting sqref="E1770 E1775">
    <cfRule type="containsText" dxfId="1608" priority="6329" operator="containsText" text="Pesquisa de Preços">
      <formula>NOT(ISERROR(SEARCH("Pesquisa de Preços",E1770)))</formula>
    </cfRule>
  </conditionalFormatting>
  <conditionalFormatting sqref="E1769">
    <cfRule type="containsText" dxfId="1607" priority="6328" operator="containsText" text="Pesquisa de Preços">
      <formula>NOT(ISERROR(SEARCH("Pesquisa de Preços",E1769)))</formula>
    </cfRule>
  </conditionalFormatting>
  <conditionalFormatting sqref="E381">
    <cfRule type="containsText" dxfId="1606" priority="6266" operator="containsText" text="Pesquisa de Preços">
      <formula>NOT(ISERROR(SEARCH("Pesquisa de Preços",E381)))</formula>
    </cfRule>
  </conditionalFormatting>
  <conditionalFormatting sqref="E1789">
    <cfRule type="containsText" dxfId="1605" priority="6327" operator="containsText" text="Pesquisa de Preços">
      <formula>NOT(ISERROR(SEARCH("Pesquisa de Preços",E1789)))</formula>
    </cfRule>
  </conditionalFormatting>
  <conditionalFormatting sqref="E1175">
    <cfRule type="containsText" dxfId="1604" priority="6326" operator="containsText" text="Pesquisa de Preços">
      <formula>NOT(ISERROR(SEARCH("Pesquisa de Preços",E1175)))</formula>
    </cfRule>
  </conditionalFormatting>
  <conditionalFormatting sqref="E1975">
    <cfRule type="containsText" dxfId="1603" priority="6324" operator="containsText" text="Pesquisa de Preços">
      <formula>NOT(ISERROR(SEARCH("Pesquisa de Preços",E1975)))</formula>
    </cfRule>
  </conditionalFormatting>
  <conditionalFormatting sqref="E2008">
    <cfRule type="containsText" dxfId="1602" priority="6322" operator="containsText" text="Pesquisa de Preços">
      <formula>NOT(ISERROR(SEARCH("Pesquisa de Preços",E2008)))</formula>
    </cfRule>
  </conditionalFormatting>
  <conditionalFormatting sqref="E2009:E2010">
    <cfRule type="containsText" dxfId="1601" priority="6321" operator="containsText" text="Pesquisa de Preços">
      <formula>NOT(ISERROR(SEARCH("Pesquisa de Preços",E2009)))</formula>
    </cfRule>
  </conditionalFormatting>
  <conditionalFormatting sqref="E1987 E1990">
    <cfRule type="containsText" dxfId="1600" priority="6320" operator="containsText" text="Pesquisa de Preços">
      <formula>NOT(ISERROR(SEARCH("Pesquisa de Preços",E1987)))</formula>
    </cfRule>
  </conditionalFormatting>
  <conditionalFormatting sqref="E1988:E1989">
    <cfRule type="containsText" dxfId="1599" priority="6319" operator="containsText" text="Pesquisa de Preços">
      <formula>NOT(ISERROR(SEARCH("Pesquisa de Preços",E1988)))</formula>
    </cfRule>
  </conditionalFormatting>
  <conditionalFormatting sqref="E2088:E2089">
    <cfRule type="containsText" dxfId="1598" priority="6318" operator="containsText" text="Pesquisa de Preços">
      <formula>NOT(ISERROR(SEARCH("Pesquisa de Preços",E2088)))</formula>
    </cfRule>
  </conditionalFormatting>
  <conditionalFormatting sqref="E2024:E2025">
    <cfRule type="containsText" dxfId="1597" priority="6317" operator="containsText" text="Pesquisa de Preços">
      <formula>NOT(ISERROR(SEARCH("Pesquisa de Preços",E2024)))</formula>
    </cfRule>
  </conditionalFormatting>
  <conditionalFormatting sqref="E830">
    <cfRule type="containsText" dxfId="1596" priority="6249" operator="containsText" text="Pesquisa de Preços">
      <formula>NOT(ISERROR(SEARCH("Pesquisa de Preços",E830)))</formula>
    </cfRule>
  </conditionalFormatting>
  <conditionalFormatting sqref="E831">
    <cfRule type="containsText" dxfId="1595" priority="6248" operator="containsText" text="Pesquisa de Preços">
      <formula>NOT(ISERROR(SEARCH("Pesquisa de Preços",E831)))</formula>
    </cfRule>
  </conditionalFormatting>
  <conditionalFormatting sqref="E95:E96">
    <cfRule type="containsText" dxfId="1594" priority="6243" operator="containsText" text="Pesquisa de Preços">
      <formula>NOT(ISERROR(SEARCH("Pesquisa de Preços",E95)))</formula>
    </cfRule>
  </conditionalFormatting>
  <conditionalFormatting sqref="E208">
    <cfRule type="containsText" dxfId="1593" priority="6241" operator="containsText" text="Pesquisa de Preços">
      <formula>NOT(ISERROR(SEARCH("Pesquisa de Preços",E208)))</formula>
    </cfRule>
  </conditionalFormatting>
  <conditionalFormatting sqref="E1628">
    <cfRule type="containsText" dxfId="1592" priority="6239" operator="containsText" text="Pesquisa de Preços">
      <formula>NOT(ISERROR(SEARCH("Pesquisa de Preços",E1628)))</formula>
    </cfRule>
  </conditionalFormatting>
  <conditionalFormatting sqref="E1604">
    <cfRule type="containsText" dxfId="1591" priority="6237" operator="containsText" text="Pesquisa de Preços">
      <formula>NOT(ISERROR(SEARCH("Pesquisa de Preços",E1604)))</formula>
    </cfRule>
  </conditionalFormatting>
  <conditionalFormatting sqref="E1680">
    <cfRule type="containsText" dxfId="1590" priority="6236" operator="containsText" text="Pesquisa de Preços">
      <formula>NOT(ISERROR(SEARCH("Pesquisa de Preços",E1680)))</formula>
    </cfRule>
  </conditionalFormatting>
  <conditionalFormatting sqref="E55">
    <cfRule type="containsText" dxfId="1589" priority="6299" operator="containsText" text="Pesquisa de Preços">
      <formula>NOT(ISERROR(SEARCH("Pesquisa de Preços",E55)))</formula>
    </cfRule>
  </conditionalFormatting>
  <conditionalFormatting sqref="E207">
    <cfRule type="containsText" dxfId="1588" priority="6316" operator="containsText" text="Pesquisa de Preços">
      <formula>NOT(ISERROR(SEARCH("Pesquisa de Preços",E207)))</formula>
    </cfRule>
  </conditionalFormatting>
  <conditionalFormatting sqref="E206">
    <cfRule type="containsText" dxfId="1587" priority="6315" operator="containsText" text="Pesquisa de Preços">
      <formula>NOT(ISERROR(SEARCH("Pesquisa de Preços",E206)))</formula>
    </cfRule>
  </conditionalFormatting>
  <conditionalFormatting sqref="E104:E105">
    <cfRule type="containsText" dxfId="1586" priority="6314" operator="containsText" text="Pesquisa de Preços">
      <formula>NOT(ISERROR(SEARCH("Pesquisa de Preços",E104)))</formula>
    </cfRule>
  </conditionalFormatting>
  <conditionalFormatting sqref="E103">
    <cfRule type="containsText" dxfId="1585" priority="6313" operator="containsText" text="Pesquisa de Preços">
      <formula>NOT(ISERROR(SEARCH("Pesquisa de Preços",E103)))</formula>
    </cfRule>
  </conditionalFormatting>
  <conditionalFormatting sqref="E424:E425">
    <cfRule type="containsText" dxfId="1584" priority="6312" operator="containsText" text="Pesquisa de Preços">
      <formula>NOT(ISERROR(SEARCH("Pesquisa de Preços",E424)))</formula>
    </cfRule>
  </conditionalFormatting>
  <conditionalFormatting sqref="E423">
    <cfRule type="containsText" dxfId="1583" priority="6311" operator="containsText" text="Pesquisa de Preços">
      <formula>NOT(ISERROR(SEARCH("Pesquisa de Preços",E423)))</formula>
    </cfRule>
  </conditionalFormatting>
  <conditionalFormatting sqref="E426:E428">
    <cfRule type="containsText" dxfId="1582" priority="6310" operator="containsText" text="Pesquisa de Preços">
      <formula>NOT(ISERROR(SEARCH("Pesquisa de Preços",E426)))</formula>
    </cfRule>
  </conditionalFormatting>
  <conditionalFormatting sqref="E617 E621">
    <cfRule type="containsText" dxfId="1581" priority="6309" operator="containsText" text="Pesquisa de Preços">
      <formula>NOT(ISERROR(SEARCH("Pesquisa de Preços",E617)))</formula>
    </cfRule>
  </conditionalFormatting>
  <conditionalFormatting sqref="E616">
    <cfRule type="containsText" dxfId="1580" priority="6308" operator="containsText" text="Pesquisa de Preços">
      <formula>NOT(ISERROR(SEARCH("Pesquisa de Preços",E616)))</formula>
    </cfRule>
  </conditionalFormatting>
  <conditionalFormatting sqref="E590 E596">
    <cfRule type="containsText" dxfId="1579" priority="6307" operator="containsText" text="Pesquisa de Preços">
      <formula>NOT(ISERROR(SEARCH("Pesquisa de Preços",E590)))</formula>
    </cfRule>
  </conditionalFormatting>
  <conditionalFormatting sqref="E589">
    <cfRule type="containsText" dxfId="1578" priority="6306" operator="containsText" text="Pesquisa de Preços">
      <formula>NOT(ISERROR(SEARCH("Pesquisa de Preços",E589)))</formula>
    </cfRule>
  </conditionalFormatting>
  <conditionalFormatting sqref="E639:E640 E643:E644">
    <cfRule type="containsText" dxfId="1577" priority="6305" operator="containsText" text="Pesquisa de Preços">
      <formula>NOT(ISERROR(SEARCH("Pesquisa de Preços",E639)))</formula>
    </cfRule>
  </conditionalFormatting>
  <conditionalFormatting sqref="E638">
    <cfRule type="containsText" dxfId="1576" priority="6304" operator="containsText" text="Pesquisa de Preços">
      <formula>NOT(ISERROR(SEARCH("Pesquisa de Preços",E638)))</formula>
    </cfRule>
  </conditionalFormatting>
  <conditionalFormatting sqref="E641:E642">
    <cfRule type="containsText" dxfId="1575" priority="6303" operator="containsText" text="Pesquisa de Preços">
      <formula>NOT(ISERROR(SEARCH("Pesquisa de Preços",E641)))</formula>
    </cfRule>
  </conditionalFormatting>
  <conditionalFormatting sqref="E227">
    <cfRule type="containsText" dxfId="1574" priority="6302" operator="containsText" text="Pesquisa de Preços">
      <formula>NOT(ISERROR(SEARCH("Pesquisa de Preços",E227)))</formula>
    </cfRule>
  </conditionalFormatting>
  <conditionalFormatting sqref="E152:E153">
    <cfRule type="containsText" dxfId="1573" priority="6301" operator="containsText" text="Pesquisa de Preços">
      <formula>NOT(ISERROR(SEARCH("Pesquisa de Preços",E152)))</formula>
    </cfRule>
  </conditionalFormatting>
  <conditionalFormatting sqref="E164:E165">
    <cfRule type="containsText" dxfId="1572" priority="6300" operator="containsText" text="Pesquisa de Preços">
      <formula>NOT(ISERROR(SEARCH("Pesquisa de Preços",E164)))</formula>
    </cfRule>
  </conditionalFormatting>
  <conditionalFormatting sqref="E56:E58">
    <cfRule type="containsText" dxfId="1571" priority="6298" operator="containsText" text="Pesquisa de Preços">
      <formula>NOT(ISERROR(SEARCH("Pesquisa de Preços",E56)))</formula>
    </cfRule>
  </conditionalFormatting>
  <conditionalFormatting sqref="E30:E31">
    <cfRule type="containsText" dxfId="1570" priority="6297" operator="containsText" text="Pesquisa de Preços">
      <formula>NOT(ISERROR(SEARCH("Pesquisa de Preços",E30)))</formula>
    </cfRule>
  </conditionalFormatting>
  <conditionalFormatting sqref="E25:E26">
    <cfRule type="containsText" dxfId="1569" priority="6296" operator="containsText" text="Pesquisa de Preços">
      <formula>NOT(ISERROR(SEARCH("Pesquisa de Preços",E25)))</formula>
    </cfRule>
  </conditionalFormatting>
  <conditionalFormatting sqref="E182">
    <cfRule type="containsText" dxfId="1568" priority="6295" operator="containsText" text="Pesquisa de Preços">
      <formula>NOT(ISERROR(SEARCH("Pesquisa de Preços",E182)))</formula>
    </cfRule>
  </conditionalFormatting>
  <conditionalFormatting sqref="E129:E130">
    <cfRule type="containsText" dxfId="1567" priority="6294" operator="containsText" text="Pesquisa de Preços">
      <formula>NOT(ISERROR(SEARCH("Pesquisa de Preços",E129)))</formula>
    </cfRule>
  </conditionalFormatting>
  <conditionalFormatting sqref="E1913">
    <cfRule type="containsText" dxfId="1566" priority="6219" operator="containsText" text="Pesquisa de Preços">
      <formula>NOT(ISERROR(SEARCH("Pesquisa de Preços",E1913)))</formula>
    </cfRule>
  </conditionalFormatting>
  <conditionalFormatting sqref="E85">
    <cfRule type="containsText" dxfId="1565" priority="6293" operator="containsText" text="Pesquisa de Preços">
      <formula>NOT(ISERROR(SEARCH("Pesquisa de Preços",E85)))</formula>
    </cfRule>
  </conditionalFormatting>
  <conditionalFormatting sqref="E86">
    <cfRule type="containsText" dxfId="1564" priority="6292" operator="containsText" text="Pesquisa de Preços">
      <formula>NOT(ISERROR(SEARCH("Pesquisa de Preços",E86)))</formula>
    </cfRule>
  </conditionalFormatting>
  <conditionalFormatting sqref="E62">
    <cfRule type="containsText" dxfId="1563" priority="6291" operator="containsText" text="Pesquisa de Preços">
      <formula>NOT(ISERROR(SEARCH("Pesquisa de Preços",E62)))</formula>
    </cfRule>
  </conditionalFormatting>
  <conditionalFormatting sqref="E63">
    <cfRule type="containsText" dxfId="1562" priority="6290" operator="containsText" text="Pesquisa de Preços">
      <formula>NOT(ISERROR(SEARCH("Pesquisa de Preços",E63)))</formula>
    </cfRule>
  </conditionalFormatting>
  <conditionalFormatting sqref="E2342">
    <cfRule type="containsText" dxfId="1561" priority="6216" operator="containsText" text="Pesquisa de Preços">
      <formula>NOT(ISERROR(SEARCH("Pesquisa de Preços",E2342)))</formula>
    </cfRule>
  </conditionalFormatting>
  <conditionalFormatting sqref="E45:E46">
    <cfRule type="containsText" dxfId="1560" priority="6289" operator="containsText" text="Pesquisa de Preços">
      <formula>NOT(ISERROR(SEARCH("Pesquisa de Preços",E45)))</formula>
    </cfRule>
  </conditionalFormatting>
  <conditionalFormatting sqref="E312">
    <cfRule type="containsText" dxfId="1559" priority="6288" operator="containsText" text="Pesquisa de Preços">
      <formula>NOT(ISERROR(SEARCH("Pesquisa de Preços",E312)))</formula>
    </cfRule>
  </conditionalFormatting>
  <conditionalFormatting sqref="E298">
    <cfRule type="containsText" dxfId="1558" priority="6287" operator="containsText" text="Pesquisa de Preços">
      <formula>NOT(ISERROR(SEARCH("Pesquisa de Preços",E298)))</formula>
    </cfRule>
  </conditionalFormatting>
  <conditionalFormatting sqref="E458">
    <cfRule type="containsText" dxfId="1557" priority="6286" operator="containsText" text="Pesquisa de Preços">
      <formula>NOT(ISERROR(SEARCH("Pesquisa de Preços",E458)))</formula>
    </cfRule>
  </conditionalFormatting>
  <conditionalFormatting sqref="E501:E502">
    <cfRule type="containsText" dxfId="1556" priority="6283" operator="containsText" text="Pesquisa de Preços">
      <formula>NOT(ISERROR(SEARCH("Pesquisa de Preços",E501)))</formula>
    </cfRule>
  </conditionalFormatting>
  <conditionalFormatting sqref="E468">
    <cfRule type="containsText" dxfId="1555" priority="6285" operator="containsText" text="Pesquisa de Preços">
      <formula>NOT(ISERROR(SEARCH("Pesquisa de Preços",E468)))</formula>
    </cfRule>
  </conditionalFormatting>
  <conditionalFormatting sqref="E500 E503">
    <cfRule type="containsText" dxfId="1554" priority="6284" operator="containsText" text="Pesquisa de Preços">
      <formula>NOT(ISERROR(SEARCH("Pesquisa de Preços",E500)))</formula>
    </cfRule>
  </conditionalFormatting>
  <conditionalFormatting sqref="E624">
    <cfRule type="containsText" dxfId="1553" priority="6282" operator="containsText" text="Pesquisa de Preços">
      <formula>NOT(ISERROR(SEARCH("Pesquisa de Preços",E624)))</formula>
    </cfRule>
  </conditionalFormatting>
  <conditionalFormatting sqref="E625:E627">
    <cfRule type="containsText" dxfId="1552" priority="6281" operator="containsText" text="Pesquisa de Preços">
      <formula>NOT(ISERROR(SEARCH("Pesquisa de Preços",E625)))</formula>
    </cfRule>
  </conditionalFormatting>
  <conditionalFormatting sqref="E998">
    <cfRule type="containsText" dxfId="1551" priority="6280" operator="containsText" text="Pesquisa de Preços">
      <formula>NOT(ISERROR(SEARCH("Pesquisa de Preços",E998)))</formula>
    </cfRule>
  </conditionalFormatting>
  <conditionalFormatting sqref="E615">
    <cfRule type="containsText" dxfId="1550" priority="6264" operator="containsText" text="Pesquisa de Preços">
      <formula>NOT(ISERROR(SEARCH("Pesquisa de Preços",E615)))</formula>
    </cfRule>
  </conditionalFormatting>
  <conditionalFormatting sqref="E738">
    <cfRule type="containsText" dxfId="1549" priority="6263" operator="containsText" text="Pesquisa de Preços">
      <formula>NOT(ISERROR(SEARCH("Pesquisa de Preços",E738)))</formula>
    </cfRule>
  </conditionalFormatting>
  <conditionalFormatting sqref="E1500">
    <cfRule type="containsText" dxfId="1548" priority="6277" operator="containsText" text="Pesquisa de Preços">
      <formula>NOT(ISERROR(SEARCH("Pesquisa de Preços",E1500)))</formula>
    </cfRule>
  </conditionalFormatting>
  <conditionalFormatting sqref="E592:E594">
    <cfRule type="containsText" dxfId="1547" priority="6268" operator="containsText" text="Pesquisa de Preços">
      <formula>NOT(ISERROR(SEARCH("Pesquisa de Preços",E592)))</formula>
    </cfRule>
  </conditionalFormatting>
  <conditionalFormatting sqref="E1617:E1618">
    <cfRule type="containsText" dxfId="1546" priority="6273" operator="containsText" text="Pesquisa de Preços">
      <formula>NOT(ISERROR(SEARCH("Pesquisa de Preços",E1617)))</formula>
    </cfRule>
  </conditionalFormatting>
  <conditionalFormatting sqref="E1622">
    <cfRule type="containsText" dxfId="1545" priority="6276" operator="containsText" text="Pesquisa de Preços">
      <formula>NOT(ISERROR(SEARCH("Pesquisa de Preços",E1622)))</formula>
    </cfRule>
  </conditionalFormatting>
  <conditionalFormatting sqref="E1623:E1624">
    <cfRule type="containsText" dxfId="1544" priority="6275" operator="containsText" text="Pesquisa de Preços">
      <formula>NOT(ISERROR(SEARCH("Pesquisa de Preços",E1623)))</formula>
    </cfRule>
  </conditionalFormatting>
  <conditionalFormatting sqref="E1616">
    <cfRule type="containsText" dxfId="1543" priority="6274" operator="containsText" text="Pesquisa de Preços">
      <formula>NOT(ISERROR(SEARCH("Pesquisa de Preços",E1616)))</formula>
    </cfRule>
  </conditionalFormatting>
  <conditionalFormatting sqref="E1739">
    <cfRule type="containsText" dxfId="1542" priority="6272" operator="containsText" text="Pesquisa de Preços">
      <formula>NOT(ISERROR(SEARCH("Pesquisa de Preços",E1739)))</formula>
    </cfRule>
  </conditionalFormatting>
  <conditionalFormatting sqref="E382">
    <cfRule type="containsText" dxfId="1541" priority="6267" operator="containsText" text="Pesquisa de Preços">
      <formula>NOT(ISERROR(SEARCH("Pesquisa de Preços",E382)))</formula>
    </cfRule>
  </conditionalFormatting>
  <conditionalFormatting sqref="E1072:E1073">
    <cfRule type="containsText" dxfId="1540" priority="6189" operator="containsText" text="Pesquisa de Preços">
      <formula>NOT(ISERROR(SEARCH("Pesquisa de Preços",E1072)))</formula>
    </cfRule>
  </conditionalFormatting>
  <conditionalFormatting sqref="E606">
    <cfRule type="containsText" dxfId="1539" priority="6265" operator="containsText" text="Pesquisa de Preços">
      <formula>NOT(ISERROR(SEARCH("Pesquisa de Preços",E606)))</formula>
    </cfRule>
  </conditionalFormatting>
  <conditionalFormatting sqref="E1085:E1089">
    <cfRule type="containsText" dxfId="1538" priority="6188" operator="containsText" text="Pesquisa de Preços">
      <formula>NOT(ISERROR(SEARCH("Pesquisa de Preços",E1085)))</formula>
    </cfRule>
  </conditionalFormatting>
  <conditionalFormatting sqref="E737">
    <cfRule type="containsText" dxfId="1537" priority="6262" operator="containsText" text="Pesquisa de Preços">
      <formula>NOT(ISERROR(SEARCH("Pesquisa de Preços",E737)))</formula>
    </cfRule>
  </conditionalFormatting>
  <conditionalFormatting sqref="E632">
    <cfRule type="containsText" dxfId="1536" priority="6259" operator="containsText" text="Pesquisa de Preços">
      <formula>NOT(ISERROR(SEARCH("Pesquisa de Preços",E632)))</formula>
    </cfRule>
  </conditionalFormatting>
  <conditionalFormatting sqref="E631 E636:E637">
    <cfRule type="containsText" dxfId="1535" priority="6261" operator="containsText" text="Pesquisa de Preços">
      <formula>NOT(ISERROR(SEARCH("Pesquisa de Preços",E631)))</formula>
    </cfRule>
  </conditionalFormatting>
  <conditionalFormatting sqref="E630">
    <cfRule type="containsText" dxfId="1534" priority="6260" operator="containsText" text="Pesquisa de Preços">
      <formula>NOT(ISERROR(SEARCH("Pesquisa de Preços",E630)))</formula>
    </cfRule>
  </conditionalFormatting>
  <conditionalFormatting sqref="E1258:E1259 E1254:E1255">
    <cfRule type="containsText" dxfId="1533" priority="6257" operator="containsText" text="Pesquisa de Preços">
      <formula>NOT(ISERROR(SEARCH("Pesquisa de Preços",E1254)))</formula>
    </cfRule>
  </conditionalFormatting>
  <conditionalFormatting sqref="E633:E635">
    <cfRule type="containsText" dxfId="1532" priority="6258" operator="containsText" text="Pesquisa de Preços">
      <formula>NOT(ISERROR(SEARCH("Pesquisa de Preços",E633)))</formula>
    </cfRule>
  </conditionalFormatting>
  <conditionalFormatting sqref="E1253">
    <cfRule type="containsText" dxfId="1531" priority="6256" operator="containsText" text="Pesquisa de Preços">
      <formula>NOT(ISERROR(SEARCH("Pesquisa de Preços",E1253)))</formula>
    </cfRule>
  </conditionalFormatting>
  <conditionalFormatting sqref="E1256:E1257">
    <cfRule type="containsText" dxfId="1530" priority="6255" operator="containsText" text="Pesquisa de Preços">
      <formula>NOT(ISERROR(SEARCH("Pesquisa de Preços",E1256)))</formula>
    </cfRule>
  </conditionalFormatting>
  <conditionalFormatting sqref="E1160 E1164:E1165">
    <cfRule type="containsText" dxfId="1529" priority="6254" operator="containsText" text="Pesquisa de Preços">
      <formula>NOT(ISERROR(SEARCH("Pesquisa de Preços",E1160)))</formula>
    </cfRule>
  </conditionalFormatting>
  <conditionalFormatting sqref="E1159">
    <cfRule type="containsText" dxfId="1528" priority="6253" operator="containsText" text="Pesquisa de Preços">
      <formula>NOT(ISERROR(SEARCH("Pesquisa de Preços",E1159)))</formula>
    </cfRule>
  </conditionalFormatting>
  <conditionalFormatting sqref="E1220:E1221 E1216:E1217">
    <cfRule type="containsText" dxfId="1527" priority="6252" operator="containsText" text="Pesquisa de Preços">
      <formula>NOT(ISERROR(SEARCH("Pesquisa de Preços",E1216)))</formula>
    </cfRule>
  </conditionalFormatting>
  <conditionalFormatting sqref="E1215">
    <cfRule type="containsText" dxfId="1526" priority="6251" operator="containsText" text="Pesquisa de Preços">
      <formula>NOT(ISERROR(SEARCH("Pesquisa de Preços",E1215)))</formula>
    </cfRule>
  </conditionalFormatting>
  <conditionalFormatting sqref="E1218:E1219">
    <cfRule type="containsText" dxfId="1525" priority="6250" operator="containsText" text="Pesquisa de Preços">
      <formula>NOT(ISERROR(SEARCH("Pesquisa de Preços",E1218)))</formula>
    </cfRule>
  </conditionalFormatting>
  <conditionalFormatting sqref="E1351">
    <cfRule type="containsText" dxfId="1524" priority="6187" operator="containsText" text="Pesquisa de Preços">
      <formula>NOT(ISERROR(SEARCH("Pesquisa de Preços",E1351)))</formula>
    </cfRule>
  </conditionalFormatting>
  <conditionalFormatting sqref="E866:E867">
    <cfRule type="containsText" dxfId="1523" priority="6247" operator="containsText" text="Pesquisa de Preços">
      <formula>NOT(ISERROR(SEARCH("Pesquisa de Preços",E866)))</formula>
    </cfRule>
  </conditionalFormatting>
  <conditionalFormatting sqref="E1512">
    <cfRule type="containsText" dxfId="1522" priority="6186" operator="containsText" text="Pesquisa de Preços">
      <formula>NOT(ISERROR(SEARCH("Pesquisa de Preços",E1512)))</formula>
    </cfRule>
  </conditionalFormatting>
  <conditionalFormatting sqref="E209">
    <cfRule type="containsText" dxfId="1521" priority="6242" operator="containsText" text="Pesquisa de Preços">
      <formula>NOT(ISERROR(SEARCH("Pesquisa de Preços",E209)))</formula>
    </cfRule>
  </conditionalFormatting>
  <conditionalFormatting sqref="E1611">
    <cfRule type="containsText" dxfId="1520" priority="6240" operator="containsText" text="Pesquisa de Preços">
      <formula>NOT(ISERROR(SEARCH("Pesquisa de Preços",E1611)))</formula>
    </cfRule>
  </conditionalFormatting>
  <conditionalFormatting sqref="E1678">
    <cfRule type="containsText" dxfId="1519" priority="6238" operator="containsText" text="Pesquisa de Preços">
      <formula>NOT(ISERROR(SEARCH("Pesquisa de Preços",E1678)))</formula>
    </cfRule>
  </conditionalFormatting>
  <conditionalFormatting sqref="E1606">
    <cfRule type="containsText" dxfId="1518" priority="6235" operator="containsText" text="Pesquisa de Preços">
      <formula>NOT(ISERROR(SEARCH("Pesquisa de Preços",E1606)))</formula>
    </cfRule>
  </conditionalFormatting>
  <conditionalFormatting sqref="E143">
    <cfRule type="containsText" dxfId="1517" priority="6234" operator="containsText" text="Pesquisa de Preços">
      <formula>NOT(ISERROR(SEARCH("Pesquisa de Preços",E143)))</formula>
    </cfRule>
  </conditionalFormatting>
  <conditionalFormatting sqref="E803">
    <cfRule type="containsText" dxfId="1516" priority="6233" operator="containsText" text="Pesquisa de Preços">
      <formula>NOT(ISERROR(SEARCH("Pesquisa de Preços",E803)))</formula>
    </cfRule>
  </conditionalFormatting>
  <conditionalFormatting sqref="E1006">
    <cfRule type="containsText" dxfId="1515" priority="6232" operator="containsText" text="Pesquisa de Preços">
      <formula>NOT(ISERROR(SEARCH("Pesquisa de Preços",E1006)))</formula>
    </cfRule>
  </conditionalFormatting>
  <conditionalFormatting sqref="E1011">
    <cfRule type="containsText" dxfId="1514" priority="6231" operator="containsText" text="Pesquisa de Preços">
      <formula>NOT(ISERROR(SEARCH("Pesquisa de Preços",E1011)))</formula>
    </cfRule>
  </conditionalFormatting>
  <conditionalFormatting sqref="E114">
    <cfRule type="containsText" dxfId="1513" priority="6230" operator="containsText" text="Pesquisa de Preços">
      <formula>NOT(ISERROR(SEARCH("Pesquisa de Preços",E114)))</formula>
    </cfRule>
  </conditionalFormatting>
  <conditionalFormatting sqref="E115">
    <cfRule type="containsText" dxfId="1512" priority="6229" operator="containsText" text="Pesquisa de Preços">
      <formula>NOT(ISERROR(SEARCH("Pesquisa de Preços",E115)))</formula>
    </cfRule>
  </conditionalFormatting>
  <conditionalFormatting sqref="E1483">
    <cfRule type="containsText" dxfId="1511" priority="6185" operator="containsText" text="Pesquisa de Preços">
      <formula>NOT(ISERROR(SEARCH("Pesquisa de Preços",E1483)))</formula>
    </cfRule>
  </conditionalFormatting>
  <conditionalFormatting sqref="E1685:E1686">
    <cfRule type="containsText" dxfId="1510" priority="6228" operator="containsText" text="Pesquisa de Preços">
      <formula>NOT(ISERROR(SEARCH("Pesquisa de Preços",E1685)))</formula>
    </cfRule>
  </conditionalFormatting>
  <conditionalFormatting sqref="E1651">
    <cfRule type="containsText" dxfId="1509" priority="6227" operator="containsText" text="Pesquisa de Preços">
      <formula>NOT(ISERROR(SEARCH("Pesquisa de Preços",E1651)))</formula>
    </cfRule>
  </conditionalFormatting>
  <conditionalFormatting sqref="E1734">
    <cfRule type="containsText" dxfId="1508" priority="6226" operator="containsText" text="Pesquisa de Preços">
      <formula>NOT(ISERROR(SEARCH("Pesquisa de Preços",E1734)))</formula>
    </cfRule>
  </conditionalFormatting>
  <conditionalFormatting sqref="E1816">
    <cfRule type="containsText" dxfId="1507" priority="6223" operator="containsText" text="Pesquisa de Preços">
      <formula>NOT(ISERROR(SEARCH("Pesquisa de Preços",E1816)))</formula>
    </cfRule>
  </conditionalFormatting>
  <conditionalFormatting sqref="E1830">
    <cfRule type="containsText" dxfId="1506" priority="6222" operator="containsText" text="Pesquisa de Preços">
      <formula>NOT(ISERROR(SEARCH("Pesquisa de Preços",E1830)))</formula>
    </cfRule>
  </conditionalFormatting>
  <conditionalFormatting sqref="E1829">
    <cfRule type="containsText" dxfId="1505" priority="6221" operator="containsText" text="Pesquisa de Preços">
      <formula>NOT(ISERROR(SEARCH("Pesquisa de Preços",E1829)))</formula>
    </cfRule>
  </conditionalFormatting>
  <conditionalFormatting sqref="E1831">
    <cfRule type="containsText" dxfId="1504" priority="6220" operator="containsText" text="Pesquisa de Preços">
      <formula>NOT(ISERROR(SEARCH("Pesquisa de Preços",E1831)))</formula>
    </cfRule>
  </conditionalFormatting>
  <conditionalFormatting sqref="E1912">
    <cfRule type="containsText" dxfId="1503" priority="6218" operator="containsText" text="Pesquisa de Preços">
      <formula>NOT(ISERROR(SEARCH("Pesquisa de Preços",E1912)))</formula>
    </cfRule>
  </conditionalFormatting>
  <conditionalFormatting sqref="E842">
    <cfRule type="containsText" dxfId="1502" priority="6217" operator="containsText" text="Pesquisa de Preços">
      <formula>NOT(ISERROR(SEARCH("Pesquisa de Preços",E842)))</formula>
    </cfRule>
  </conditionalFormatting>
  <conditionalFormatting sqref="E2378">
    <cfRule type="containsText" dxfId="1501" priority="6215" operator="containsText" text="Pesquisa de Preços">
      <formula>NOT(ISERROR(SEARCH("Pesquisa de Preços",E2378)))</formula>
    </cfRule>
  </conditionalFormatting>
  <conditionalFormatting sqref="E2248">
    <cfRule type="containsText" dxfId="1500" priority="6214" operator="containsText" text="Pesquisa de Preços">
      <formula>NOT(ISERROR(SEARCH("Pesquisa de Preços",E2248)))</formula>
    </cfRule>
  </conditionalFormatting>
  <conditionalFormatting sqref="E2249">
    <cfRule type="containsText" dxfId="1499" priority="6213" operator="containsText" text="Pesquisa de Preços">
      <formula>NOT(ISERROR(SEARCH("Pesquisa de Preços",E2249)))</formula>
    </cfRule>
  </conditionalFormatting>
  <conditionalFormatting sqref="E2371">
    <cfRule type="containsText" dxfId="1498" priority="6212" operator="containsText" text="Pesquisa de Preços">
      <formula>NOT(ISERROR(SEARCH("Pesquisa de Preços",E2371)))</formula>
    </cfRule>
  </conditionalFormatting>
  <conditionalFormatting sqref="E134">
    <cfRule type="containsText" dxfId="1497" priority="6211" operator="containsText" text="Pesquisa de Preços">
      <formula>NOT(ISERROR(SEARCH("Pesquisa de Preços",E134)))</formula>
    </cfRule>
  </conditionalFormatting>
  <conditionalFormatting sqref="E1120">
    <cfRule type="containsText" dxfId="1496" priority="6210" operator="containsText" text="Pesquisa de Preços">
      <formula>NOT(ISERROR(SEARCH("Pesquisa de Preços",E1120)))</formula>
    </cfRule>
  </conditionalFormatting>
  <conditionalFormatting sqref="E1634">
    <cfRule type="containsText" dxfId="1495" priority="6209" operator="containsText" text="Pesquisa de Preços">
      <formula>NOT(ISERROR(SEARCH("Pesquisa de Preços",E1634)))</formula>
    </cfRule>
  </conditionalFormatting>
  <conditionalFormatting sqref="E1633">
    <cfRule type="containsText" dxfId="1494" priority="6208" operator="containsText" text="Pesquisa de Preços">
      <formula>NOT(ISERROR(SEARCH("Pesquisa de Preços",E1633)))</formula>
    </cfRule>
  </conditionalFormatting>
  <conditionalFormatting sqref="E323">
    <cfRule type="containsText" dxfId="1493" priority="6207" operator="containsText" text="Pesquisa de Preços">
      <formula>NOT(ISERROR(SEARCH("Pesquisa de Preços",E323)))</formula>
    </cfRule>
  </conditionalFormatting>
  <conditionalFormatting sqref="E1949">
    <cfRule type="containsText" dxfId="1492" priority="6184" operator="containsText" text="Pesquisa de Preços">
      <formula>NOT(ISERROR(SEARCH("Pesquisa de Preços",E1949)))</formula>
    </cfRule>
  </conditionalFormatting>
  <conditionalFormatting sqref="E1952">
    <cfRule type="containsText" dxfId="1491" priority="6183" operator="containsText" text="Pesquisa de Preços">
      <formula>NOT(ISERROR(SEARCH("Pesquisa de Preços",E1952)))</formula>
    </cfRule>
  </conditionalFormatting>
  <conditionalFormatting sqref="E81">
    <cfRule type="containsText" dxfId="1490" priority="6206" operator="containsText" text="Pesquisa de Preços">
      <formula>NOT(ISERROR(SEARCH("Pesquisa de Preços",E81)))</formula>
    </cfRule>
  </conditionalFormatting>
  <conditionalFormatting sqref="E1137">
    <cfRule type="containsText" dxfId="1489" priority="6205" operator="containsText" text="Pesquisa de Preços">
      <formula>NOT(ISERROR(SEARCH("Pesquisa de Preços",E1137)))</formula>
    </cfRule>
  </conditionalFormatting>
  <conditionalFormatting sqref="E1136">
    <cfRule type="containsText" dxfId="1488" priority="6204" operator="containsText" text="Pesquisa de Preços">
      <formula>NOT(ISERROR(SEARCH("Pesquisa de Preços",E1136)))</formula>
    </cfRule>
  </conditionalFormatting>
  <conditionalFormatting sqref="E1135">
    <cfRule type="containsText" dxfId="1487" priority="6203" operator="containsText" text="Pesquisa de Preços">
      <formula>NOT(ISERROR(SEARCH("Pesquisa de Preços",E1135)))</formula>
    </cfRule>
  </conditionalFormatting>
  <conditionalFormatting sqref="E404:E414">
    <cfRule type="containsText" dxfId="1486" priority="6202" operator="containsText" text="Pesquisa de Preços">
      <formula>NOT(ISERROR(SEARCH("Pesquisa de Preços",E404)))</formula>
    </cfRule>
  </conditionalFormatting>
  <conditionalFormatting sqref="E2126:E2127">
    <cfRule type="containsText" dxfId="1485" priority="6182" operator="containsText" text="Pesquisa de Preços">
      <formula>NOT(ISERROR(SEARCH("Pesquisa de Preços",E2126)))</formula>
    </cfRule>
  </conditionalFormatting>
  <conditionalFormatting sqref="E196">
    <cfRule type="containsText" dxfId="1484" priority="6201" operator="containsText" text="Pesquisa de Preços">
      <formula>NOT(ISERROR(SEARCH("Pesquisa de Preços",E196)))</formula>
    </cfRule>
  </conditionalFormatting>
  <conditionalFormatting sqref="E835:E839">
    <cfRule type="containsText" dxfId="1483" priority="6200" operator="containsText" text="Pesquisa de Preços">
      <formula>NOT(ISERROR(SEARCH("Pesquisa de Preços",E835)))</formula>
    </cfRule>
  </conditionalFormatting>
  <conditionalFormatting sqref="E835:E839">
    <cfRule type="containsText" dxfId="1482" priority="6199" operator="containsText" text="Pesquisa de Preços">
      <formula>NOT(ISERROR(SEARCH("Pesquisa de Preços",E835)))</formula>
    </cfRule>
  </conditionalFormatting>
  <conditionalFormatting sqref="E1922">
    <cfRule type="containsText" dxfId="1481" priority="6198" operator="containsText" text="Pesquisa de Preços">
      <formula>NOT(ISERROR(SEARCH("Pesquisa de Preços",E1922)))</formula>
    </cfRule>
  </conditionalFormatting>
  <conditionalFormatting sqref="E1923">
    <cfRule type="containsText" dxfId="1480" priority="6197" operator="containsText" text="Pesquisa de Preços">
      <formula>NOT(ISERROR(SEARCH("Pesquisa de Preços",E1923)))</formula>
    </cfRule>
  </conditionalFormatting>
  <conditionalFormatting sqref="E813">
    <cfRule type="containsText" dxfId="1479" priority="6196" operator="containsText" text="Pesquisa de Preços">
      <formula>NOT(ISERROR(SEARCH("Pesquisa de Preços",E813)))</formula>
    </cfRule>
  </conditionalFormatting>
  <conditionalFormatting sqref="E770">
    <cfRule type="containsText" dxfId="1478" priority="6195" operator="containsText" text="Pesquisa de Preços">
      <formula>NOT(ISERROR(SEARCH("Pesquisa de Preços",E770)))</formula>
    </cfRule>
  </conditionalFormatting>
  <conditionalFormatting sqref="E769">
    <cfRule type="containsText" dxfId="1477" priority="6194" operator="containsText" text="Pesquisa de Preços">
      <formula>NOT(ISERROR(SEARCH("Pesquisa de Preços",E769)))</formula>
    </cfRule>
  </conditionalFormatting>
  <conditionalFormatting sqref="E853">
    <cfRule type="containsText" dxfId="1476" priority="6193" operator="containsText" text="Pesquisa de Preços">
      <formula>NOT(ISERROR(SEARCH("Pesquisa de Preços",E853)))</formula>
    </cfRule>
  </conditionalFormatting>
  <conditionalFormatting sqref="E872:E873">
    <cfRule type="containsText" dxfId="1475" priority="6192" operator="containsText" text="Pesquisa de Preços">
      <formula>NOT(ISERROR(SEARCH("Pesquisa de Preços",E872)))</formula>
    </cfRule>
  </conditionalFormatting>
  <conditionalFormatting sqref="E2153">
    <cfRule type="containsText" dxfId="1474" priority="6181" operator="containsText" text="Pesquisa de Preços">
      <formula>NOT(ISERROR(SEARCH("Pesquisa de Preços",E2153)))</formula>
    </cfRule>
  </conditionalFormatting>
  <conditionalFormatting sqref="E870">
    <cfRule type="containsText" dxfId="1473" priority="6191" operator="containsText" text="Pesquisa de Preços">
      <formula>NOT(ISERROR(SEARCH("Pesquisa de Preços",E870)))</formula>
    </cfRule>
  </conditionalFormatting>
  <conditionalFormatting sqref="E895">
    <cfRule type="containsText" dxfId="1472" priority="6190" operator="containsText" text="Pesquisa de Preços">
      <formula>NOT(ISERROR(SEARCH("Pesquisa de Preços",E895)))</formula>
    </cfRule>
  </conditionalFormatting>
  <conditionalFormatting sqref="E172">
    <cfRule type="containsText" dxfId="1471" priority="6179" operator="containsText" text="Pesquisa de Preços">
      <formula>NOT(ISERROR(SEARCH("Pesquisa de Preços",E172)))</formula>
    </cfRule>
  </conditionalFormatting>
  <conditionalFormatting sqref="E173:E174">
    <cfRule type="containsText" dxfId="1470" priority="6180" operator="containsText" text="Pesquisa de Preços">
      <formula>NOT(ISERROR(SEARCH("Pesquisa de Preços",E173)))</formula>
    </cfRule>
  </conditionalFormatting>
  <conditionalFormatting sqref="D2792">
    <cfRule type="containsText" dxfId="1469" priority="6158" operator="containsText" text="Pesquisa de Preços">
      <formula>NOT(ISERROR(SEARCH("Pesquisa de Preços",D2792)))</formula>
    </cfRule>
  </conditionalFormatting>
  <conditionalFormatting sqref="D2797">
    <cfRule type="containsText" dxfId="1468" priority="6154" operator="containsText" text="Pesquisa de Preços">
      <formula>NOT(ISERROR(SEARCH("Pesquisa de Preços",D2797)))</formula>
    </cfRule>
  </conditionalFormatting>
  <conditionalFormatting sqref="D4784">
    <cfRule type="containsText" dxfId="1467" priority="6132" operator="containsText" text="Pesquisa de Preços">
      <formula>NOT(ISERROR(SEARCH("Pesquisa de Preços",D4784)))</formula>
    </cfRule>
  </conditionalFormatting>
  <conditionalFormatting sqref="D4794">
    <cfRule type="containsText" dxfId="1466" priority="6124" operator="containsText" text="Pesquisa de Preços">
      <formula>NOT(ISERROR(SEARCH("Pesquisa de Preços",D4794)))</formula>
    </cfRule>
  </conditionalFormatting>
  <conditionalFormatting sqref="D4804">
    <cfRule type="containsText" dxfId="1465" priority="6108" operator="containsText" text="Pesquisa de Preços">
      <formula>NOT(ISERROR(SEARCH("Pesquisa de Preços",D4804)))</formula>
    </cfRule>
  </conditionalFormatting>
  <conditionalFormatting sqref="D4809">
    <cfRule type="containsText" dxfId="1464" priority="6078" operator="containsText" text="Pesquisa de Preços">
      <formula>NOT(ISERROR(SEARCH("Pesquisa de Preços",D4809)))</formula>
    </cfRule>
  </conditionalFormatting>
  <conditionalFormatting sqref="D4814">
    <cfRule type="containsText" dxfId="1463" priority="6074" operator="containsText" text="Pesquisa de Preços">
      <formula>NOT(ISERROR(SEARCH("Pesquisa de Preços",D4814)))</formula>
    </cfRule>
  </conditionalFormatting>
  <conditionalFormatting sqref="D4884:D4885 D4892">
    <cfRule type="containsText" dxfId="1462" priority="6021" operator="containsText" text="Pesquisa de Preços">
      <formula>NOT(ISERROR(SEARCH("Pesquisa de Preços",D4884)))</formula>
    </cfRule>
  </conditionalFormatting>
  <conditionalFormatting sqref="D4819">
    <cfRule type="containsText" dxfId="1461" priority="6070" operator="containsText" text="Pesquisa de Preços">
      <formula>NOT(ISERROR(SEARCH("Pesquisa de Preços",D4819)))</formula>
    </cfRule>
  </conditionalFormatting>
  <conditionalFormatting sqref="E4887:E4890">
    <cfRule type="containsText" dxfId="1460" priority="6017" operator="containsText" text="Pesquisa de Preços">
      <formula>NOT(ISERROR(SEARCH("Pesquisa de Preços",E4887)))</formula>
    </cfRule>
  </conditionalFormatting>
  <conditionalFormatting sqref="D4827">
    <cfRule type="containsText" dxfId="1459" priority="6066" operator="containsText" text="Pesquisa de Preços">
      <formula>NOT(ISERROR(SEARCH("Pesquisa de Preços",D4827)))</formula>
    </cfRule>
  </conditionalFormatting>
  <conditionalFormatting sqref="D4893">
    <cfRule type="containsText" dxfId="1458" priority="6013" operator="containsText" text="Pesquisa de Preços">
      <formula>NOT(ISERROR(SEARCH("Pesquisa de Preços",D4893)))</formula>
    </cfRule>
  </conditionalFormatting>
  <conditionalFormatting sqref="D4835">
    <cfRule type="containsText" dxfId="1457" priority="6062" operator="containsText" text="Pesquisa de Preços">
      <formula>NOT(ISERROR(SEARCH("Pesquisa de Preços",D4835)))</formula>
    </cfRule>
  </conditionalFormatting>
  <conditionalFormatting sqref="E4893">
    <cfRule type="containsText" dxfId="1456" priority="6009" operator="containsText" text="Pesquisa de Preços">
      <formula>NOT(ISERROR(SEARCH("Pesquisa de Preços",E4893)))</formula>
    </cfRule>
  </conditionalFormatting>
  <conditionalFormatting sqref="D4843">
    <cfRule type="containsText" dxfId="1455" priority="6058" operator="containsText" text="Pesquisa de Preços">
      <formula>NOT(ISERROR(SEARCH("Pesquisa de Preços",D4843)))</formula>
    </cfRule>
  </conditionalFormatting>
  <conditionalFormatting sqref="E4898:E4899">
    <cfRule type="containsText" dxfId="1454" priority="6005" operator="containsText" text="Pesquisa de Preços">
      <formula>NOT(ISERROR(SEARCH("Pesquisa de Preços",E4898)))</formula>
    </cfRule>
  </conditionalFormatting>
  <conditionalFormatting sqref="D4851">
    <cfRule type="containsText" dxfId="1453" priority="6054" operator="containsText" text="Pesquisa de Preços">
      <formula>NOT(ISERROR(SEARCH("Pesquisa de Preços",D4851)))</formula>
    </cfRule>
  </conditionalFormatting>
  <conditionalFormatting sqref="D4902">
    <cfRule type="containsText" dxfId="1452" priority="6001" operator="containsText" text="Pesquisa de Preços">
      <formula>NOT(ISERROR(SEARCH("Pesquisa de Preços",D4902)))</formula>
    </cfRule>
  </conditionalFormatting>
  <conditionalFormatting sqref="D4859">
    <cfRule type="containsText" dxfId="1451" priority="6050" operator="containsText" text="Pesquisa de Preços">
      <formula>NOT(ISERROR(SEARCH("Pesquisa de Preços",D4859)))</formula>
    </cfRule>
  </conditionalFormatting>
  <conditionalFormatting sqref="D4909">
    <cfRule type="containsText" dxfId="1450" priority="5997" operator="containsText" text="Pesquisa de Preços">
      <formula>NOT(ISERROR(SEARCH("Pesquisa de Preços",D4909)))</formula>
    </cfRule>
  </conditionalFormatting>
  <conditionalFormatting sqref="D4867">
    <cfRule type="containsText" dxfId="1449" priority="6046" operator="containsText" text="Pesquisa de Preços">
      <formula>NOT(ISERROR(SEARCH("Pesquisa de Preços",D4867)))</formula>
    </cfRule>
  </conditionalFormatting>
  <conditionalFormatting sqref="D4875">
    <cfRule type="containsText" dxfId="1448" priority="6042" operator="containsText" text="Pesquisa de Preços">
      <formula>NOT(ISERROR(SEARCH("Pesquisa de Preços",D4875)))</formula>
    </cfRule>
  </conditionalFormatting>
  <conditionalFormatting sqref="D4883">
    <cfRule type="containsText" dxfId="1447" priority="6022" operator="containsText" text="Pesquisa de Preços">
      <formula>NOT(ISERROR(SEARCH("Pesquisa de Preços",D4883)))</formula>
    </cfRule>
  </conditionalFormatting>
  <conditionalFormatting sqref="D4916">
    <cfRule type="containsText" dxfId="1446" priority="5993" operator="containsText" text="Pesquisa de Preços">
      <formula>NOT(ISERROR(SEARCH("Pesquisa de Preços",D4916)))</formula>
    </cfRule>
  </conditionalFormatting>
  <conditionalFormatting sqref="E4883">
    <cfRule type="containsText" dxfId="1445" priority="6018" operator="containsText" text="Pesquisa de Preços">
      <formula>NOT(ISERROR(SEARCH("Pesquisa de Preços",E4883)))</formula>
    </cfRule>
  </conditionalFormatting>
  <conditionalFormatting sqref="E4884:E4885 E4892">
    <cfRule type="containsText" dxfId="1444" priority="6019" operator="containsText" text="Pesquisa de Preços">
      <formula>NOT(ISERROR(SEARCH("Pesquisa de Preços",E4884)))</formula>
    </cfRule>
  </conditionalFormatting>
  <conditionalFormatting sqref="D4894:D4895 D4901">
    <cfRule type="containsText" dxfId="1443" priority="6012" operator="containsText" text="Pesquisa de Preços">
      <formula>NOT(ISERROR(SEARCH("Pesquisa de Preços",D4894)))</formula>
    </cfRule>
  </conditionalFormatting>
  <conditionalFormatting sqref="E4894:E4895 E4901">
    <cfRule type="containsText" dxfId="1442" priority="6010" operator="containsText" text="Pesquisa de Preços">
      <formula>NOT(ISERROR(SEARCH("Pesquisa de Preços",E4894)))</formula>
    </cfRule>
  </conditionalFormatting>
  <conditionalFormatting sqref="E1042">
    <cfRule type="containsText" dxfId="1441" priority="6004" operator="containsText" text="Pesquisa de Preços">
      <formula>NOT(ISERROR(SEARCH("Pesquisa de Preços",E1042)))</formula>
    </cfRule>
  </conditionalFormatting>
  <conditionalFormatting sqref="E1043">
    <cfRule type="containsText" dxfId="1440" priority="6003" operator="containsText" text="Pesquisa de Preços">
      <formula>NOT(ISERROR(SEARCH("Pesquisa de Preços",E1043)))</formula>
    </cfRule>
  </conditionalFormatting>
  <conditionalFormatting sqref="E4964 E4969">
    <cfRule type="containsText" dxfId="1439" priority="5952" operator="containsText" text="Pesquisa de Preços">
      <formula>NOT(ISERROR(SEARCH("Pesquisa de Preços",E4964)))</formula>
    </cfRule>
  </conditionalFormatting>
  <conditionalFormatting sqref="E4943:E4944 E4948">
    <cfRule type="containsText" dxfId="1438" priority="5973" operator="containsText" text="Pesquisa de Preços">
      <formula>NOT(ISERROR(SEARCH("Pesquisa de Preços",E4943)))</formula>
    </cfRule>
  </conditionalFormatting>
  <conditionalFormatting sqref="E4942">
    <cfRule type="containsText" dxfId="1437" priority="5972" operator="containsText" text="Pesquisa de Preços">
      <formula>NOT(ISERROR(SEARCH("Pesquisa de Preços",E4942)))</formula>
    </cfRule>
  </conditionalFormatting>
  <conditionalFormatting sqref="D4943:D4944 D4948">
    <cfRule type="containsText" dxfId="1436" priority="5974" operator="containsText" text="Pesquisa de Preços">
      <formula>NOT(ISERROR(SEARCH("Pesquisa de Preços",D4943)))</formula>
    </cfRule>
  </conditionalFormatting>
  <conditionalFormatting sqref="D4923">
    <cfRule type="containsText" dxfId="1435" priority="5989" operator="containsText" text="Pesquisa de Preços">
      <formula>NOT(ISERROR(SEARCH("Pesquisa de Preços",D4923)))</formula>
    </cfRule>
  </conditionalFormatting>
  <conditionalFormatting sqref="D4930">
    <cfRule type="containsText" dxfId="1434" priority="5985" operator="containsText" text="Pesquisa de Preços">
      <formula>NOT(ISERROR(SEARCH("Pesquisa de Preços",D4930)))</formula>
    </cfRule>
  </conditionalFormatting>
  <conditionalFormatting sqref="E4950:E4951 E4955">
    <cfRule type="containsText" dxfId="1433" priority="5966" operator="containsText" text="Pesquisa de Preços">
      <formula>NOT(ISERROR(SEARCH("Pesquisa de Preços",E4950)))</formula>
    </cfRule>
  </conditionalFormatting>
  <conditionalFormatting sqref="D4937">
    <cfRule type="containsText" dxfId="1432" priority="5981" operator="containsText" text="Pesquisa de Preços">
      <formula>NOT(ISERROR(SEARCH("Pesquisa de Preços",D4937)))</formula>
    </cfRule>
  </conditionalFormatting>
  <conditionalFormatting sqref="D4942">
    <cfRule type="containsText" dxfId="1431" priority="5975" operator="containsText" text="Pesquisa de Preços">
      <formula>NOT(ISERROR(SEARCH("Pesquisa de Preços",D4942)))</formula>
    </cfRule>
  </conditionalFormatting>
  <conditionalFormatting sqref="D4949">
    <cfRule type="containsText" dxfId="1430" priority="5968" operator="containsText" text="Pesquisa de Preços">
      <formula>NOT(ISERROR(SEARCH("Pesquisa de Preços",D4949)))</formula>
    </cfRule>
  </conditionalFormatting>
  <conditionalFormatting sqref="D4964 D4969">
    <cfRule type="containsText" dxfId="1429" priority="5953" operator="containsText" text="Pesquisa de Preços">
      <formula>NOT(ISERROR(SEARCH("Pesquisa de Preços",D4964)))</formula>
    </cfRule>
  </conditionalFormatting>
  <conditionalFormatting sqref="D4950 D4955">
    <cfRule type="containsText" dxfId="1428" priority="5967" operator="containsText" text="Pesquisa de Preços">
      <formula>NOT(ISERROR(SEARCH("Pesquisa de Preços",D4950)))</formula>
    </cfRule>
  </conditionalFormatting>
  <conditionalFormatting sqref="E4949">
    <cfRule type="containsText" dxfId="1427" priority="5965" operator="containsText" text="Pesquisa de Preços">
      <formula>NOT(ISERROR(SEARCH("Pesquisa de Preços",E4949)))</formula>
    </cfRule>
  </conditionalFormatting>
  <conditionalFormatting sqref="D4957 D4962">
    <cfRule type="containsText" dxfId="1426" priority="5960" operator="containsText" text="Pesquisa de Preços">
      <formula>NOT(ISERROR(SEARCH("Pesquisa de Preços",D4957)))</formula>
    </cfRule>
  </conditionalFormatting>
  <conditionalFormatting sqref="D4956">
    <cfRule type="containsText" dxfId="1425" priority="5961" operator="containsText" text="Pesquisa de Preços">
      <formula>NOT(ISERROR(SEARCH("Pesquisa de Preços",D4956)))</formula>
    </cfRule>
  </conditionalFormatting>
  <conditionalFormatting sqref="E4956">
    <cfRule type="containsText" dxfId="1424" priority="5958" operator="containsText" text="Pesquisa de Preços">
      <formula>NOT(ISERROR(SEARCH("Pesquisa de Preços",E4956)))</formula>
    </cfRule>
  </conditionalFormatting>
  <conditionalFormatting sqref="E4957:E4958 E4962">
    <cfRule type="containsText" dxfId="1423" priority="5959" operator="containsText" text="Pesquisa de Preços">
      <formula>NOT(ISERROR(SEARCH("Pesquisa de Preços",E4957)))</formula>
    </cfRule>
  </conditionalFormatting>
  <conditionalFormatting sqref="E5006">
    <cfRule type="containsText" dxfId="1422" priority="5905" operator="containsText" text="Pesquisa de Preços">
      <formula>NOT(ISERROR(SEARCH("Pesquisa de Preços",E5006)))</formula>
    </cfRule>
  </conditionalFormatting>
  <conditionalFormatting sqref="D4963">
    <cfRule type="containsText" dxfId="1421" priority="5954" operator="containsText" text="Pesquisa de Preços">
      <formula>NOT(ISERROR(SEARCH("Pesquisa de Preços",D4963)))</formula>
    </cfRule>
  </conditionalFormatting>
  <conditionalFormatting sqref="E4963">
    <cfRule type="containsText" dxfId="1420" priority="5951" operator="containsText" text="Pesquisa de Preços">
      <formula>NOT(ISERROR(SEARCH("Pesquisa de Preços",E4963)))</formula>
    </cfRule>
  </conditionalFormatting>
  <conditionalFormatting sqref="D4994">
    <cfRule type="containsText" dxfId="1419" priority="5930" operator="containsText" text="Pesquisa de Preços">
      <formula>NOT(ISERROR(SEARCH("Pesquisa de Preços",D4994)))</formula>
    </cfRule>
  </conditionalFormatting>
  <conditionalFormatting sqref="D4970">
    <cfRule type="containsText" dxfId="1418" priority="5945" operator="containsText" text="Pesquisa de Preços">
      <formula>NOT(ISERROR(SEARCH("Pesquisa de Preços",D4970)))</formula>
    </cfRule>
  </conditionalFormatting>
  <conditionalFormatting sqref="E5000 E5005">
    <cfRule type="containsText" dxfId="1417" priority="5915" operator="containsText" text="Pesquisa de Preços">
      <formula>NOT(ISERROR(SEARCH("Pesquisa de Preços",E5000)))</formula>
    </cfRule>
  </conditionalFormatting>
  <conditionalFormatting sqref="E4972">
    <cfRule type="containsText" dxfId="1416" priority="5935" operator="containsText" text="Pesquisa de Preços">
      <formula>NOT(ISERROR(SEARCH("Pesquisa de Preços",E4972)))</formula>
    </cfRule>
  </conditionalFormatting>
  <conditionalFormatting sqref="D5000 D5005">
    <cfRule type="containsText" dxfId="1415" priority="5916" operator="containsText" text="Pesquisa de Preços">
      <formula>NOT(ISERROR(SEARCH("Pesquisa de Preços",D5000)))</formula>
    </cfRule>
  </conditionalFormatting>
  <conditionalFormatting sqref="D4975 D4981 D4987 D4993">
    <cfRule type="containsText" dxfId="1414" priority="5931" operator="containsText" text="Pesquisa de Preços">
      <formula>NOT(ISERROR(SEARCH("Pesquisa de Preços",D4975)))</formula>
    </cfRule>
  </conditionalFormatting>
  <conditionalFormatting sqref="E4988 E4992">
    <cfRule type="containsText" dxfId="1413" priority="5924" operator="containsText" text="Pesquisa de Preços">
      <formula>NOT(ISERROR(SEARCH("Pesquisa de Preços",E4988)))</formula>
    </cfRule>
  </conditionalFormatting>
  <conditionalFormatting sqref="D4988 D4992">
    <cfRule type="containsText" dxfId="1412" priority="5928" operator="containsText" text="Pesquisa de Preços">
      <formula>NOT(ISERROR(SEARCH("Pesquisa de Preços",D4988)))</formula>
    </cfRule>
  </conditionalFormatting>
  <conditionalFormatting sqref="E4987">
    <cfRule type="containsText" dxfId="1411" priority="5923" operator="containsText" text="Pesquisa de Preços">
      <formula>NOT(ISERROR(SEARCH("Pesquisa de Preços",E4987)))</formula>
    </cfRule>
  </conditionalFormatting>
  <conditionalFormatting sqref="E4996:E4997">
    <cfRule type="containsText" dxfId="1410" priority="5925" operator="containsText" text="Pesquisa de Preços">
      <formula>NOT(ISERROR(SEARCH("Pesquisa de Preços",E4996)))</formula>
    </cfRule>
  </conditionalFormatting>
  <conditionalFormatting sqref="E4993">
    <cfRule type="containsText" dxfId="1409" priority="5926" operator="containsText" text="Pesquisa de Preços">
      <formula>NOT(ISERROR(SEARCH("Pesquisa de Preços",E4993)))</formula>
    </cfRule>
  </conditionalFormatting>
  <conditionalFormatting sqref="E4994">
    <cfRule type="containsText" dxfId="1408" priority="5927" operator="containsText" text="Pesquisa de Preços">
      <formula>NOT(ISERROR(SEARCH("Pesquisa de Preços",E4994)))</formula>
    </cfRule>
  </conditionalFormatting>
  <conditionalFormatting sqref="D4999">
    <cfRule type="containsText" dxfId="1407" priority="5917" operator="containsText" text="Pesquisa de Preços">
      <formula>NOT(ISERROR(SEARCH("Pesquisa de Preços",D4999)))</formula>
    </cfRule>
  </conditionalFormatting>
  <conditionalFormatting sqref="E4999">
    <cfRule type="containsText" dxfId="1406" priority="5914" operator="containsText" text="Pesquisa de Preços">
      <formula>NOT(ISERROR(SEARCH("Pesquisa de Preços",E4999)))</formula>
    </cfRule>
  </conditionalFormatting>
  <conditionalFormatting sqref="E5019">
    <cfRule type="containsText" dxfId="1405" priority="5887" operator="containsText" text="Pesquisa de Preços">
      <formula>NOT(ISERROR(SEARCH("Pesquisa de Preços",E5019)))</formula>
    </cfRule>
  </conditionalFormatting>
  <conditionalFormatting sqref="D5006">
    <cfRule type="containsText" dxfId="1404" priority="5908" operator="containsText" text="Pesquisa de Preços">
      <formula>NOT(ISERROR(SEARCH("Pesquisa de Preços",D5006)))</formula>
    </cfRule>
  </conditionalFormatting>
  <conditionalFormatting sqref="D5007">
    <cfRule type="containsText" dxfId="1403" priority="5907" operator="containsText" text="Pesquisa de Preços">
      <formula>NOT(ISERROR(SEARCH("Pesquisa de Preços",D5007)))</formula>
    </cfRule>
  </conditionalFormatting>
  <conditionalFormatting sqref="E5007:E5008 E5010">
    <cfRule type="containsText" dxfId="1402" priority="5906" operator="containsText" text="Pesquisa de Preços">
      <formula>NOT(ISERROR(SEARCH("Pesquisa de Preços",E5007)))</formula>
    </cfRule>
  </conditionalFormatting>
  <conditionalFormatting sqref="D5019">
    <cfRule type="containsText" dxfId="1401" priority="5890" operator="containsText" text="Pesquisa de Preços">
      <formula>NOT(ISERROR(SEARCH("Pesquisa de Preços",D5019)))</formula>
    </cfRule>
  </conditionalFormatting>
  <conditionalFormatting sqref="D5020">
    <cfRule type="containsText" dxfId="1400" priority="5889" operator="containsText" text="Pesquisa de Preços">
      <formula>NOT(ISERROR(SEARCH("Pesquisa de Preços",D5020)))</formula>
    </cfRule>
  </conditionalFormatting>
  <conditionalFormatting sqref="E5020:E5021 E5024">
    <cfRule type="containsText" dxfId="1399" priority="5888" operator="containsText" text="Pesquisa de Preços">
      <formula>NOT(ISERROR(SEARCH("Pesquisa de Preços",E5020)))</formula>
    </cfRule>
  </conditionalFormatting>
  <conditionalFormatting sqref="D5011">
    <cfRule type="containsText" dxfId="1398" priority="5883" operator="containsText" text="Pesquisa de Preços">
      <formula>NOT(ISERROR(SEARCH("Pesquisa de Preços",D5011)))</formula>
    </cfRule>
  </conditionalFormatting>
  <conditionalFormatting sqref="D5028">
    <cfRule type="containsText" dxfId="1397" priority="5877" operator="containsText" text="Pesquisa de Preços">
      <formula>NOT(ISERROR(SEARCH("Pesquisa de Preços",D5028)))</formula>
    </cfRule>
  </conditionalFormatting>
  <conditionalFormatting sqref="D5025">
    <cfRule type="containsText" dxfId="1396" priority="5872" operator="containsText" text="Pesquisa de Preços">
      <formula>NOT(ISERROR(SEARCH("Pesquisa de Preços",D5025)))</formula>
    </cfRule>
  </conditionalFormatting>
  <conditionalFormatting sqref="D5026">
    <cfRule type="containsText" dxfId="1395" priority="5871" operator="containsText" text="Pesquisa de Preços">
      <formula>NOT(ISERROR(SEARCH("Pesquisa de Preços",D5026)))</formula>
    </cfRule>
  </conditionalFormatting>
  <conditionalFormatting sqref="E5025">
    <cfRule type="containsText" dxfId="1394" priority="5869" operator="containsText" text="Pesquisa de Preços">
      <formula>NOT(ISERROR(SEARCH("Pesquisa de Preços",E5025)))</formula>
    </cfRule>
  </conditionalFormatting>
  <conditionalFormatting sqref="E5026:E5028">
    <cfRule type="containsText" dxfId="1393" priority="5870" operator="containsText" text="Pesquisa de Preços">
      <formula>NOT(ISERROR(SEARCH("Pesquisa de Preços",E5026)))</formula>
    </cfRule>
  </conditionalFormatting>
  <conditionalFormatting sqref="D5034">
    <cfRule type="containsText" dxfId="1392" priority="5866" operator="containsText" text="Pesquisa de Preços">
      <formula>NOT(ISERROR(SEARCH("Pesquisa de Preços",D5034)))</formula>
    </cfRule>
  </conditionalFormatting>
  <conditionalFormatting sqref="D5029">
    <cfRule type="containsText" dxfId="1391" priority="5861" operator="containsText" text="Pesquisa de Preços">
      <formula>NOT(ISERROR(SEARCH("Pesquisa de Preços",D5029)))</formula>
    </cfRule>
  </conditionalFormatting>
  <conditionalFormatting sqref="D5030">
    <cfRule type="containsText" dxfId="1390" priority="5860" operator="containsText" text="Pesquisa de Preços">
      <formula>NOT(ISERROR(SEARCH("Pesquisa de Preços",D5030)))</formula>
    </cfRule>
  </conditionalFormatting>
  <conditionalFormatting sqref="E5029">
    <cfRule type="containsText" dxfId="1389" priority="5858" operator="containsText" text="Pesquisa de Preços">
      <formula>NOT(ISERROR(SEARCH("Pesquisa de Preços",E5029)))</formula>
    </cfRule>
  </conditionalFormatting>
  <conditionalFormatting sqref="E5030:E5031 E5034">
    <cfRule type="containsText" dxfId="1388" priority="5859" operator="containsText" text="Pesquisa de Preços">
      <formula>NOT(ISERROR(SEARCH("Pesquisa de Preços",E5030)))</formula>
    </cfRule>
  </conditionalFormatting>
  <conditionalFormatting sqref="E5035">
    <cfRule type="containsText" dxfId="1387" priority="5836" operator="containsText" text="Pesquisa de Preços">
      <formula>NOT(ISERROR(SEARCH("Pesquisa de Preços",E5035)))</formula>
    </cfRule>
  </conditionalFormatting>
  <conditionalFormatting sqref="D5041">
    <cfRule type="containsText" dxfId="1386" priority="5830" operator="containsText" text="Pesquisa de Preços">
      <formula>NOT(ISERROR(SEARCH("Pesquisa de Preços",D5041)))</formula>
    </cfRule>
  </conditionalFormatting>
  <conditionalFormatting sqref="E5042:E5043 E5048">
    <cfRule type="containsText" dxfId="1385" priority="5828" operator="containsText" text="Pesquisa de Preços">
      <formula>NOT(ISERROR(SEARCH("Pesquisa de Preços",E5042)))</formula>
    </cfRule>
  </conditionalFormatting>
  <conditionalFormatting sqref="D5042 D5048">
    <cfRule type="containsText" dxfId="1384" priority="5829" operator="containsText" text="Pesquisa de Preços">
      <formula>NOT(ISERROR(SEARCH("Pesquisa de Preços",D5042)))</formula>
    </cfRule>
  </conditionalFormatting>
  <conditionalFormatting sqref="D5040">
    <cfRule type="containsText" dxfId="1383" priority="5844" operator="containsText" text="Pesquisa de Preços">
      <formula>NOT(ISERROR(SEARCH("Pesquisa de Preços",D5040)))</formula>
    </cfRule>
  </conditionalFormatting>
  <conditionalFormatting sqref="D5035">
    <cfRule type="containsText" dxfId="1382" priority="5839" operator="containsText" text="Pesquisa de Preços">
      <formula>NOT(ISERROR(SEARCH("Pesquisa de Preços",D5035)))</formula>
    </cfRule>
  </conditionalFormatting>
  <conditionalFormatting sqref="D5036">
    <cfRule type="containsText" dxfId="1381" priority="5838" operator="containsText" text="Pesquisa de Preços">
      <formula>NOT(ISERROR(SEARCH("Pesquisa de Preços",D5036)))</formula>
    </cfRule>
  </conditionalFormatting>
  <conditionalFormatting sqref="E5036:E5037 E5040">
    <cfRule type="containsText" dxfId="1380" priority="5837" operator="containsText" text="Pesquisa de Preços">
      <formula>NOT(ISERROR(SEARCH("Pesquisa de Preços",E5036)))</formula>
    </cfRule>
  </conditionalFormatting>
  <conditionalFormatting sqref="E5043 E5045">
    <cfRule type="containsText" dxfId="1379" priority="5833" operator="containsText" text="Pesquisa de Preços">
      <formula>NOT(ISERROR(SEARCH("Pesquisa de Preços",E5043)))</formula>
    </cfRule>
  </conditionalFormatting>
  <conditionalFormatting sqref="E5041">
    <cfRule type="containsText" dxfId="1378" priority="5827" operator="containsText" text="Pesquisa de Preços">
      <formula>NOT(ISERROR(SEARCH("Pesquisa de Preços",E5041)))</formula>
    </cfRule>
  </conditionalFormatting>
  <conditionalFormatting sqref="E5045:E5047">
    <cfRule type="containsText" dxfId="1377" priority="5826" operator="containsText" text="Pesquisa de Preços">
      <formula>NOT(ISERROR(SEARCH("Pesquisa de Preços",E5045)))</formula>
    </cfRule>
  </conditionalFormatting>
  <conditionalFormatting sqref="E5053">
    <cfRule type="containsText" dxfId="1376" priority="5809" operator="containsText" text="Pesquisa de Preços">
      <formula>NOT(ISERROR(SEARCH("Pesquisa de Preços",E5053)))</formula>
    </cfRule>
  </conditionalFormatting>
  <conditionalFormatting sqref="D5049">
    <cfRule type="containsText" dxfId="1375" priority="5821" operator="containsText" text="Pesquisa de Preços">
      <formula>NOT(ISERROR(SEARCH("Pesquisa de Preços",D5049)))</formula>
    </cfRule>
  </conditionalFormatting>
  <conditionalFormatting sqref="E5050 E5055">
    <cfRule type="containsText" dxfId="1374" priority="5819" operator="containsText" text="Pesquisa de Preços">
      <formula>NOT(ISERROR(SEARCH("Pesquisa de Preços",E5050)))</formula>
    </cfRule>
  </conditionalFormatting>
  <conditionalFormatting sqref="D5050 D5055">
    <cfRule type="containsText" dxfId="1373" priority="5820" operator="containsText" text="Pesquisa de Preços">
      <formula>NOT(ISERROR(SEARCH("Pesquisa de Preços",D5050)))</formula>
    </cfRule>
  </conditionalFormatting>
  <conditionalFormatting sqref="E5072:E5073">
    <cfRule type="containsText" dxfId="1372" priority="5768" operator="containsText" text="Pesquisa de Preços">
      <formula>NOT(ISERROR(SEARCH("Pesquisa de Preços",E5072)))</formula>
    </cfRule>
  </conditionalFormatting>
  <conditionalFormatting sqref="E5049">
    <cfRule type="containsText" dxfId="1371" priority="5818" operator="containsText" text="Pesquisa de Preços">
      <formula>NOT(ISERROR(SEARCH("Pesquisa de Preços",E5049)))</formula>
    </cfRule>
  </conditionalFormatting>
  <conditionalFormatting sqref="E5054">
    <cfRule type="containsText" dxfId="1370" priority="5817" operator="containsText" text="Pesquisa de Preços">
      <formula>NOT(ISERROR(SEARCH("Pesquisa de Preços",E5054)))</formula>
    </cfRule>
  </conditionalFormatting>
  <conditionalFormatting sqref="D5063">
    <cfRule type="containsText" dxfId="1369" priority="5803" operator="containsText" text="Pesquisa de Preços">
      <formula>NOT(ISERROR(SEARCH("Pesquisa de Preços",D5063)))</formula>
    </cfRule>
  </conditionalFormatting>
  <conditionalFormatting sqref="D5056">
    <cfRule type="containsText" dxfId="1368" priority="5807" operator="containsText" text="Pesquisa de Preços">
      <formula>NOT(ISERROR(SEARCH("Pesquisa de Preços",D5056)))</formula>
    </cfRule>
  </conditionalFormatting>
  <conditionalFormatting sqref="E1328">
    <cfRule type="containsText" dxfId="1367" priority="5790" operator="containsText" text="Pesquisa de Preços">
      <formula>NOT(ISERROR(SEARCH("Pesquisa de Preços",E1328)))</formula>
    </cfRule>
  </conditionalFormatting>
  <conditionalFormatting sqref="E1327">
    <cfRule type="containsText" dxfId="1366" priority="5789" operator="containsText" text="Pesquisa de Preços">
      <formula>NOT(ISERROR(SEARCH("Pesquisa de Preços",E1327)))</formula>
    </cfRule>
  </conditionalFormatting>
  <conditionalFormatting sqref="E1334">
    <cfRule type="containsText" dxfId="1365" priority="5784" operator="containsText" text="Pesquisa de Preços">
      <formula>NOT(ISERROR(SEARCH("Pesquisa de Preços",E1334)))</formula>
    </cfRule>
  </conditionalFormatting>
  <conditionalFormatting sqref="E1333">
    <cfRule type="containsText" dxfId="1364" priority="5783" operator="containsText" text="Pesquisa de Preços">
      <formula>NOT(ISERROR(SEARCH("Pesquisa de Preços",E1333)))</formula>
    </cfRule>
  </conditionalFormatting>
  <conditionalFormatting sqref="E1340">
    <cfRule type="containsText" dxfId="1363" priority="5778" operator="containsText" text="Pesquisa de Preços">
      <formula>NOT(ISERROR(SEARCH("Pesquisa de Preços",E1340)))</formula>
    </cfRule>
  </conditionalFormatting>
  <conditionalFormatting sqref="E1339">
    <cfRule type="containsText" dxfId="1362" priority="5777" operator="containsText" text="Pesquisa de Preços">
      <formula>NOT(ISERROR(SEARCH("Pesquisa de Preços",E1339)))</formula>
    </cfRule>
  </conditionalFormatting>
  <conditionalFormatting sqref="D5071 D5077">
    <cfRule type="containsText" dxfId="1361" priority="5773" operator="containsText" text="Pesquisa de Preços">
      <formula>NOT(ISERROR(SEARCH("Pesquisa de Preços",D5071)))</formula>
    </cfRule>
  </conditionalFormatting>
  <conditionalFormatting sqref="D5072:D5073">
    <cfRule type="containsText" dxfId="1360" priority="5771" operator="containsText" text="Pesquisa de Preços">
      <formula>NOT(ISERROR(SEARCH("Pesquisa de Preços",D5072)))</formula>
    </cfRule>
  </conditionalFormatting>
  <conditionalFormatting sqref="D5078:D5079">
    <cfRule type="containsText" dxfId="1359" priority="5772" operator="containsText" text="Pesquisa de Preços">
      <formula>NOT(ISERROR(SEARCH("Pesquisa de Preços",D5078)))</formula>
    </cfRule>
  </conditionalFormatting>
  <conditionalFormatting sqref="E5077">
    <cfRule type="containsText" dxfId="1358" priority="5769" operator="containsText" text="Pesquisa de Preços">
      <formula>NOT(ISERROR(SEARCH("Pesquisa de Preços",E5077)))</formula>
    </cfRule>
  </conditionalFormatting>
  <conditionalFormatting sqref="E5071">
    <cfRule type="containsText" dxfId="1357" priority="5767" operator="containsText" text="Pesquisa de Preços">
      <formula>NOT(ISERROR(SEARCH("Pesquisa de Preços",E5071)))</formula>
    </cfRule>
  </conditionalFormatting>
  <conditionalFormatting sqref="E5078:E5079">
    <cfRule type="containsText" dxfId="1356" priority="5770" operator="containsText" text="Pesquisa de Preços">
      <formula>NOT(ISERROR(SEARCH("Pesquisa de Preços",E5078)))</formula>
    </cfRule>
  </conditionalFormatting>
  <conditionalFormatting sqref="E5081">
    <cfRule type="containsText" dxfId="1355" priority="5762" operator="containsText" text="Pesquisa de Preços">
      <formula>NOT(ISERROR(SEARCH("Pesquisa de Preços",E5081)))</formula>
    </cfRule>
  </conditionalFormatting>
  <conditionalFormatting sqref="E5080">
    <cfRule type="containsText" dxfId="1354" priority="5761" operator="containsText" text="Pesquisa de Preços">
      <formula>NOT(ISERROR(SEARCH("Pesquisa de Preços",E5080)))</formula>
    </cfRule>
  </conditionalFormatting>
  <conditionalFormatting sqref="E5075">
    <cfRule type="containsText" dxfId="1353" priority="5756" operator="containsText" text="Pesquisa de Preços">
      <formula>NOT(ISERROR(SEARCH("Pesquisa de Preços",E5075)))</formula>
    </cfRule>
  </conditionalFormatting>
  <conditionalFormatting sqref="E5074">
    <cfRule type="containsText" dxfId="1352" priority="5755" operator="containsText" text="Pesquisa de Preços">
      <formula>NOT(ISERROR(SEARCH("Pesquisa de Preços",E5074)))</formula>
    </cfRule>
  </conditionalFormatting>
  <conditionalFormatting sqref="D5083">
    <cfRule type="containsText" dxfId="1351" priority="5751" operator="containsText" text="Pesquisa de Preços">
      <formula>NOT(ISERROR(SEARCH("Pesquisa de Preços",D5083)))</formula>
    </cfRule>
  </conditionalFormatting>
  <conditionalFormatting sqref="D5084 D5088">
    <cfRule type="containsText" dxfId="1350" priority="5750" operator="containsText" text="Pesquisa de Preços">
      <formula>NOT(ISERROR(SEARCH("Pesquisa de Preços",D5084)))</formula>
    </cfRule>
  </conditionalFormatting>
  <conditionalFormatting sqref="D5085">
    <cfRule type="containsText" dxfId="1349" priority="5749" operator="containsText" text="Pesquisa de Preços">
      <formula>NOT(ISERROR(SEARCH("Pesquisa de Preços",D5085)))</formula>
    </cfRule>
  </conditionalFormatting>
  <conditionalFormatting sqref="E5084 E5088">
    <cfRule type="containsText" dxfId="1348" priority="5747" operator="containsText" text="Pesquisa de Preços">
      <formula>NOT(ISERROR(SEARCH("Pesquisa de Preços",E5084)))</formula>
    </cfRule>
  </conditionalFormatting>
  <conditionalFormatting sqref="E5083">
    <cfRule type="containsText" dxfId="1347" priority="5746" operator="containsText" text="Pesquisa de Preços">
      <formula>NOT(ISERROR(SEARCH("Pesquisa de Preços",E5083)))</formula>
    </cfRule>
  </conditionalFormatting>
  <conditionalFormatting sqref="E5085">
    <cfRule type="containsText" dxfId="1346" priority="5745" operator="containsText" text="Pesquisa de Preços">
      <formula>NOT(ISERROR(SEARCH("Pesquisa de Preços",E5085)))</formula>
    </cfRule>
  </conditionalFormatting>
  <conditionalFormatting sqref="E5086:E5087">
    <cfRule type="containsText" dxfId="1345" priority="5744" operator="containsText" text="Pesquisa de Preços">
      <formula>NOT(ISERROR(SEARCH("Pesquisa de Preços",E5086)))</formula>
    </cfRule>
  </conditionalFormatting>
  <conditionalFormatting sqref="D5089">
    <cfRule type="containsText" dxfId="1344" priority="5740" operator="containsText" text="Pesquisa de Preços">
      <formula>NOT(ISERROR(SEARCH("Pesquisa de Preços",D5089)))</formula>
    </cfRule>
  </conditionalFormatting>
  <conditionalFormatting sqref="D5090 D5094">
    <cfRule type="containsText" dxfId="1343" priority="5739" operator="containsText" text="Pesquisa de Preços">
      <formula>NOT(ISERROR(SEARCH("Pesquisa de Preços",D5090)))</formula>
    </cfRule>
  </conditionalFormatting>
  <conditionalFormatting sqref="E5090 E5094">
    <cfRule type="containsText" dxfId="1342" priority="5736" operator="containsText" text="Pesquisa de Preços">
      <formula>NOT(ISERROR(SEARCH("Pesquisa de Preços",E5090)))</formula>
    </cfRule>
  </conditionalFormatting>
  <conditionalFormatting sqref="E5089">
    <cfRule type="containsText" dxfId="1341" priority="5735" operator="containsText" text="Pesquisa de Preços">
      <formula>NOT(ISERROR(SEARCH("Pesquisa de Preços",E5089)))</formula>
    </cfRule>
  </conditionalFormatting>
  <conditionalFormatting sqref="E5091">
    <cfRule type="containsText" dxfId="1340" priority="5734" operator="containsText" text="Pesquisa de Preços">
      <formula>NOT(ISERROR(SEARCH("Pesquisa de Preços",E5091)))</formula>
    </cfRule>
  </conditionalFormatting>
  <conditionalFormatting sqref="E5092:E5093">
    <cfRule type="containsText" dxfId="1339" priority="5733" operator="containsText" text="Pesquisa de Preços">
      <formula>NOT(ISERROR(SEARCH("Pesquisa de Preços",E5092)))</formula>
    </cfRule>
  </conditionalFormatting>
  <conditionalFormatting sqref="E5096:E5097 E5101">
    <cfRule type="containsText" dxfId="1338" priority="5725" operator="containsText" text="Pesquisa de Preços">
      <formula>NOT(ISERROR(SEARCH("Pesquisa de Preços",E5096)))</formula>
    </cfRule>
  </conditionalFormatting>
  <conditionalFormatting sqref="E5095">
    <cfRule type="containsText" dxfId="1337" priority="5724" operator="containsText" text="Pesquisa de Preços">
      <formula>NOT(ISERROR(SEARCH("Pesquisa de Preços",E5095)))</formula>
    </cfRule>
  </conditionalFormatting>
  <conditionalFormatting sqref="D5096 D5101">
    <cfRule type="containsText" dxfId="1336" priority="5726" operator="containsText" text="Pesquisa de Preços">
      <formula>NOT(ISERROR(SEARCH("Pesquisa de Preços",D5096)))</formula>
    </cfRule>
  </conditionalFormatting>
  <conditionalFormatting sqref="D5095">
    <cfRule type="containsText" dxfId="1335" priority="5727" operator="containsText" text="Pesquisa de Preços">
      <formula>NOT(ISERROR(SEARCH("Pesquisa de Preços",D5095)))</formula>
    </cfRule>
  </conditionalFormatting>
  <conditionalFormatting sqref="E4995">
    <cfRule type="containsText" dxfId="1334" priority="5714" operator="containsText" text="Pesquisa de Preços">
      <formula>NOT(ISERROR(SEARCH("Pesquisa de Preços",E4995)))</formula>
    </cfRule>
  </conditionalFormatting>
  <conditionalFormatting sqref="E2284">
    <cfRule type="containsText" dxfId="1333" priority="5704" operator="containsText" text="Pesquisa de Preços">
      <formula>NOT(ISERROR(SEARCH("Pesquisa de Preços",E2284)))</formula>
    </cfRule>
  </conditionalFormatting>
  <conditionalFormatting sqref="E2285:E2286">
    <cfRule type="containsText" dxfId="1332" priority="5692" operator="containsText" text="Pesquisa de Preços">
      <formula>NOT(ISERROR(SEARCH("Pesquisa de Preços",E2285)))</formula>
    </cfRule>
  </conditionalFormatting>
  <conditionalFormatting sqref="E2239">
    <cfRule type="containsText" dxfId="1331" priority="5667" operator="containsText" text="Pesquisa de Preços">
      <formula>NOT(ISERROR(SEARCH("Pesquisa de Preços",E2239)))</formula>
    </cfRule>
  </conditionalFormatting>
  <conditionalFormatting sqref="D5054">
    <cfRule type="containsText" dxfId="1330" priority="5664" operator="containsText" text="Pesquisa de Preços">
      <formula>NOT(ISERROR(SEARCH("Pesquisa de Preços",D5054)))</formula>
    </cfRule>
  </conditionalFormatting>
  <conditionalFormatting sqref="D5103 D5108">
    <cfRule type="containsText" dxfId="1329" priority="5647" operator="containsText" text="Pesquisa de Preços">
      <formula>NOT(ISERROR(SEARCH("Pesquisa de Preços",D5103)))</formula>
    </cfRule>
  </conditionalFormatting>
  <conditionalFormatting sqref="D5102">
    <cfRule type="containsText" dxfId="1328" priority="5648" operator="containsText" text="Pesquisa de Preços">
      <formula>NOT(ISERROR(SEARCH("Pesquisa de Preços",D5102)))</formula>
    </cfRule>
  </conditionalFormatting>
  <conditionalFormatting sqref="E5103 E5108">
    <cfRule type="containsText" dxfId="1327" priority="5646" operator="containsText" text="Pesquisa de Preços">
      <formula>NOT(ISERROR(SEARCH("Pesquisa de Preços",E5103)))</formula>
    </cfRule>
  </conditionalFormatting>
  <conditionalFormatting sqref="E5102">
    <cfRule type="containsText" dxfId="1326" priority="5645" operator="containsText" text="Pesquisa de Preços">
      <formula>NOT(ISERROR(SEARCH("Pesquisa de Preços",E5102)))</formula>
    </cfRule>
  </conditionalFormatting>
  <conditionalFormatting sqref="D5109">
    <cfRule type="containsText" dxfId="1325" priority="5638" operator="containsText" text="Pesquisa de Preços">
      <formula>NOT(ISERROR(SEARCH("Pesquisa de Preços",D5109)))</formula>
    </cfRule>
  </conditionalFormatting>
  <conditionalFormatting sqref="D5110 D5119">
    <cfRule type="containsText" dxfId="1324" priority="5637" operator="containsText" text="Pesquisa de Preços">
      <formula>NOT(ISERROR(SEARCH("Pesquisa de Preços",D5110)))</formula>
    </cfRule>
  </conditionalFormatting>
  <conditionalFormatting sqref="E5109">
    <cfRule type="containsText" dxfId="1323" priority="5635" operator="containsText" text="Pesquisa de Preços">
      <formula>NOT(ISERROR(SEARCH("Pesquisa de Preços",E5109)))</formula>
    </cfRule>
  </conditionalFormatting>
  <conditionalFormatting sqref="E5110 E5119">
    <cfRule type="containsText" dxfId="1322" priority="5636" operator="containsText" text="Pesquisa de Preços">
      <formula>NOT(ISERROR(SEARCH("Pesquisa de Preços",E5110)))</formula>
    </cfRule>
  </conditionalFormatting>
  <conditionalFormatting sqref="D5120">
    <cfRule type="containsText" dxfId="1321" priority="5621" operator="containsText" text="Pesquisa de Preços">
      <formula>NOT(ISERROR(SEARCH("Pesquisa de Preços",D5120)))</formula>
    </cfRule>
  </conditionalFormatting>
  <conditionalFormatting sqref="D5126">
    <cfRule type="containsText" dxfId="1320" priority="5609" operator="containsText" text="Pesquisa de Preços">
      <formula>NOT(ISERROR(SEARCH("Pesquisa de Preços",D5126)))</formula>
    </cfRule>
  </conditionalFormatting>
  <conditionalFormatting sqref="D5129">
    <cfRule type="containsText" dxfId="1319" priority="5601" operator="containsText" text="Pesquisa de Preços">
      <formula>NOT(ISERROR(SEARCH("Pesquisa de Preços",D5129)))</formula>
    </cfRule>
  </conditionalFormatting>
  <conditionalFormatting sqref="D5134">
    <cfRule type="containsText" dxfId="1318" priority="5595" operator="containsText" text="Pesquisa de Preços">
      <formula>NOT(ISERROR(SEARCH("Pesquisa de Preços",D5134)))</formula>
    </cfRule>
  </conditionalFormatting>
  <conditionalFormatting sqref="D5137">
    <cfRule type="containsText" dxfId="1317" priority="5589" operator="containsText" text="Pesquisa de Preços">
      <formula>NOT(ISERROR(SEARCH("Pesquisa de Preços",D5137)))</formula>
    </cfRule>
  </conditionalFormatting>
  <conditionalFormatting sqref="D5142">
    <cfRule type="containsText" dxfId="1316" priority="5583" operator="containsText" text="Pesquisa de Preços">
      <formula>NOT(ISERROR(SEARCH("Pesquisa de Preços",D5142)))</formula>
    </cfRule>
  </conditionalFormatting>
  <conditionalFormatting sqref="D5145">
    <cfRule type="containsText" dxfId="1315" priority="5577" operator="containsText" text="Pesquisa de Preços">
      <formula>NOT(ISERROR(SEARCH("Pesquisa de Preços",D5145)))</formula>
    </cfRule>
  </conditionalFormatting>
  <conditionalFormatting sqref="D5150">
    <cfRule type="containsText" dxfId="1314" priority="5559" operator="containsText" text="Pesquisa de Preços">
      <formula>NOT(ISERROR(SEARCH("Pesquisa de Preços",D5150)))</formula>
    </cfRule>
  </conditionalFormatting>
  <conditionalFormatting sqref="D5153">
    <cfRule type="containsText" dxfId="1313" priority="5553" operator="containsText" text="Pesquisa de Preços">
      <formula>NOT(ISERROR(SEARCH("Pesquisa de Preços",D5153)))</formula>
    </cfRule>
  </conditionalFormatting>
  <conditionalFormatting sqref="D5158">
    <cfRule type="containsText" dxfId="1312" priority="5547" operator="containsText" text="Pesquisa de Preços">
      <formula>NOT(ISERROR(SEARCH("Pesquisa de Preços",D5158)))</formula>
    </cfRule>
  </conditionalFormatting>
  <conditionalFormatting sqref="D5160">
    <cfRule type="containsText" dxfId="1311" priority="5534" operator="containsText" text="Pesquisa de Preços">
      <formula>NOT(ISERROR(SEARCH("Pesquisa de Preços",D5160)))</formula>
    </cfRule>
  </conditionalFormatting>
  <conditionalFormatting sqref="D5164">
    <cfRule type="containsText" dxfId="1310" priority="5532" operator="containsText" text="Pesquisa de Preços">
      <formula>NOT(ISERROR(SEARCH("Pesquisa de Preços",D5164)))</formula>
    </cfRule>
  </conditionalFormatting>
  <conditionalFormatting sqref="D5167">
    <cfRule type="containsText" dxfId="1309" priority="5526" operator="containsText" text="Pesquisa de Preços">
      <formula>NOT(ISERROR(SEARCH("Pesquisa de Preços",D5167)))</formula>
    </cfRule>
  </conditionalFormatting>
  <conditionalFormatting sqref="D5172">
    <cfRule type="containsText" dxfId="1308" priority="5520" operator="containsText" text="Pesquisa de Preços">
      <formula>NOT(ISERROR(SEARCH("Pesquisa de Preços",D5172)))</formula>
    </cfRule>
  </conditionalFormatting>
  <conditionalFormatting sqref="D5174">
    <cfRule type="containsText" dxfId="1307" priority="5512" operator="containsText" text="Pesquisa de Preços">
      <formula>NOT(ISERROR(SEARCH("Pesquisa de Preços",D5174)))</formula>
    </cfRule>
  </conditionalFormatting>
  <conditionalFormatting sqref="D5178">
    <cfRule type="containsText" dxfId="1306" priority="5510" operator="containsText" text="Pesquisa de Preços">
      <formula>NOT(ISERROR(SEARCH("Pesquisa de Preços",D5178)))</formula>
    </cfRule>
  </conditionalFormatting>
  <conditionalFormatting sqref="D5181">
    <cfRule type="containsText" dxfId="1305" priority="5504" operator="containsText" text="Pesquisa de Preços">
      <formula>NOT(ISERROR(SEARCH("Pesquisa de Preços",D5181)))</formula>
    </cfRule>
  </conditionalFormatting>
  <conditionalFormatting sqref="D5186">
    <cfRule type="containsText" dxfId="1304" priority="5496" operator="containsText" text="Pesquisa de Preços">
      <formula>NOT(ISERROR(SEARCH("Pesquisa de Preços",D5186)))</formula>
    </cfRule>
  </conditionalFormatting>
  <conditionalFormatting sqref="D5189">
    <cfRule type="containsText" dxfId="1303" priority="5490" operator="containsText" text="Pesquisa de Preços">
      <formula>NOT(ISERROR(SEARCH("Pesquisa de Preços",D5189)))</formula>
    </cfRule>
  </conditionalFormatting>
  <conditionalFormatting sqref="D5194">
    <cfRule type="containsText" dxfId="1302" priority="5484" operator="containsText" text="Pesquisa de Preços">
      <formula>NOT(ISERROR(SEARCH("Pesquisa de Preços",D5194)))</formula>
    </cfRule>
  </conditionalFormatting>
  <conditionalFormatting sqref="D5197">
    <cfRule type="containsText" dxfId="1301" priority="5478" operator="containsText" text="Pesquisa de Preços">
      <formula>NOT(ISERROR(SEARCH("Pesquisa de Preços",D5197)))</formula>
    </cfRule>
  </conditionalFormatting>
  <conditionalFormatting sqref="D5202">
    <cfRule type="containsText" dxfId="1300" priority="5472" operator="containsText" text="Pesquisa de Preços">
      <formula>NOT(ISERROR(SEARCH("Pesquisa de Preços",D5202)))</formula>
    </cfRule>
  </conditionalFormatting>
  <conditionalFormatting sqref="D5217">
    <cfRule type="containsText" dxfId="1299" priority="5457" operator="containsText" text="Pesquisa de Preços">
      <formula>NOT(ISERROR(SEARCH("Pesquisa de Preços",D5217)))</formula>
    </cfRule>
  </conditionalFormatting>
  <conditionalFormatting sqref="D5232">
    <cfRule type="containsText" dxfId="1298" priority="5442" operator="containsText" text="Pesquisa de Preços">
      <formula>NOT(ISERROR(SEARCH("Pesquisa de Preços",D5232)))</formula>
    </cfRule>
  </conditionalFormatting>
  <conditionalFormatting sqref="D5239">
    <cfRule type="containsText" dxfId="1297" priority="5429" operator="containsText" text="Pesquisa de Preços">
      <formula>NOT(ISERROR(SEARCH("Pesquisa de Preços",D5239)))</formula>
    </cfRule>
  </conditionalFormatting>
  <conditionalFormatting sqref="D5242">
    <cfRule type="containsText" dxfId="1296" priority="5423" operator="containsText" text="Pesquisa de Preços">
      <formula>NOT(ISERROR(SEARCH("Pesquisa de Preços",D5242)))</formula>
    </cfRule>
  </conditionalFormatting>
  <conditionalFormatting sqref="D5246">
    <cfRule type="containsText" dxfId="1295" priority="5407" operator="containsText" text="Pesquisa de Preços">
      <formula>NOT(ISERROR(SEARCH("Pesquisa de Preços",D5246)))</formula>
    </cfRule>
  </conditionalFormatting>
  <conditionalFormatting sqref="D5248">
    <cfRule type="containsText" dxfId="1294" priority="5398" operator="containsText" text="Pesquisa de Preços">
      <formula>NOT(ISERROR(SEARCH("Pesquisa de Preços",D5248)))</formula>
    </cfRule>
  </conditionalFormatting>
  <conditionalFormatting sqref="D5252">
    <cfRule type="containsText" dxfId="1293" priority="5393" operator="containsText" text="Pesquisa de Preços">
      <formula>NOT(ISERROR(SEARCH("Pesquisa de Preços",D5252)))</formula>
    </cfRule>
  </conditionalFormatting>
  <conditionalFormatting sqref="D5254">
    <cfRule type="containsText" dxfId="1292" priority="5386" operator="containsText" text="Pesquisa de Preços">
      <formula>NOT(ISERROR(SEARCH("Pesquisa de Preços",D5254)))</formula>
    </cfRule>
  </conditionalFormatting>
  <conditionalFormatting sqref="D5258">
    <cfRule type="containsText" dxfId="1291" priority="5367" operator="containsText" text="Pesquisa de Preços">
      <formula>NOT(ISERROR(SEARCH("Pesquisa de Preços",D5258)))</formula>
    </cfRule>
  </conditionalFormatting>
  <conditionalFormatting sqref="D5259 D5264">
    <cfRule type="containsText" dxfId="1290" priority="5366" operator="containsText" text="Pesquisa de Preços">
      <formula>NOT(ISERROR(SEARCH("Pesquisa de Preços",D5259)))</formula>
    </cfRule>
  </conditionalFormatting>
  <conditionalFormatting sqref="E5264">
    <cfRule type="containsText" dxfId="1289" priority="5363" operator="containsText" text="Pesquisa de Preços">
      <formula>NOT(ISERROR(SEARCH("Pesquisa de Preços",E5264)))</formula>
    </cfRule>
  </conditionalFormatting>
  <conditionalFormatting sqref="D5265">
    <cfRule type="containsText" dxfId="1288" priority="5359" operator="containsText" text="Pesquisa de Preços">
      <formula>NOT(ISERROR(SEARCH("Pesquisa de Preços",D5265)))</formula>
    </cfRule>
  </conditionalFormatting>
  <conditionalFormatting sqref="D5266">
    <cfRule type="containsText" dxfId="1287" priority="5358" operator="containsText" text="Pesquisa de Preços">
      <formula>NOT(ISERROR(SEARCH("Pesquisa de Preços",D5266)))</formula>
    </cfRule>
  </conditionalFormatting>
  <conditionalFormatting sqref="E5276">
    <cfRule type="containsText" dxfId="1286" priority="5355" operator="containsText" text="Pesquisa de Preços">
      <formula>NOT(ISERROR(SEARCH("Pesquisa de Preços",E5276)))</formula>
    </cfRule>
  </conditionalFormatting>
  <conditionalFormatting sqref="D5285">
    <cfRule type="containsText" dxfId="1285" priority="5351" operator="containsText" text="Pesquisa de Preços">
      <formula>NOT(ISERROR(SEARCH("Pesquisa de Preços",D5285)))</formula>
    </cfRule>
  </conditionalFormatting>
  <conditionalFormatting sqref="D5286 D5290">
    <cfRule type="containsText" dxfId="1284" priority="5350" operator="containsText" text="Pesquisa de Preços">
      <formula>NOT(ISERROR(SEARCH("Pesquisa de Preços",D5286)))</formula>
    </cfRule>
  </conditionalFormatting>
  <conditionalFormatting sqref="E5290">
    <cfRule type="containsText" dxfId="1283" priority="5347" operator="containsText" text="Pesquisa de Preços">
      <formula>NOT(ISERROR(SEARCH("Pesquisa de Preços",E5290)))</formula>
    </cfRule>
  </conditionalFormatting>
  <conditionalFormatting sqref="D5291">
    <cfRule type="containsText" dxfId="1282" priority="5343" operator="containsText" text="Pesquisa de Preços">
      <formula>NOT(ISERROR(SEARCH("Pesquisa de Preços",D5291)))</formula>
    </cfRule>
  </conditionalFormatting>
  <conditionalFormatting sqref="D5296">
    <cfRule type="containsText" dxfId="1281" priority="5340" operator="containsText" text="Pesquisa de Preços">
      <formula>NOT(ISERROR(SEARCH("Pesquisa de Preços",D5296)))</formula>
    </cfRule>
  </conditionalFormatting>
  <conditionalFormatting sqref="D5270">
    <cfRule type="containsText" dxfId="1280" priority="5330" operator="containsText" text="Pesquisa de Preços">
      <formula>NOT(ISERROR(SEARCH("Pesquisa de Preços",D5270)))</formula>
    </cfRule>
  </conditionalFormatting>
  <conditionalFormatting sqref="E1065">
    <cfRule type="containsText" dxfId="1279" priority="5328" operator="containsText" text="Pesquisa de Preços">
      <formula>NOT(ISERROR(SEARCH("Pesquisa de Preços",E1065)))</formula>
    </cfRule>
  </conditionalFormatting>
  <conditionalFormatting sqref="E1064">
    <cfRule type="containsText" dxfId="1278" priority="5327" operator="containsText" text="Pesquisa de Preços">
      <formula>NOT(ISERROR(SEARCH("Pesquisa de Preços",E1064)))</formula>
    </cfRule>
  </conditionalFormatting>
  <conditionalFormatting sqref="E1163">
    <cfRule type="containsText" dxfId="1277" priority="5326" operator="containsText" text="Pesquisa de Preços">
      <formula>NOT(ISERROR(SEARCH("Pesquisa de Preços",E1163)))</formula>
    </cfRule>
  </conditionalFormatting>
  <conditionalFormatting sqref="E1161:E1162">
    <cfRule type="containsText" dxfId="1276" priority="5325" operator="containsText" text="Pesquisa de Preços">
      <formula>NOT(ISERROR(SEARCH("Pesquisa de Preços",E1161)))</formula>
    </cfRule>
  </conditionalFormatting>
  <conditionalFormatting sqref="E1178">
    <cfRule type="containsText" dxfId="1275" priority="5324" operator="containsText" text="Pesquisa de Preços">
      <formula>NOT(ISERROR(SEARCH("Pesquisa de Preços",E1178)))</formula>
    </cfRule>
  </conditionalFormatting>
  <conditionalFormatting sqref="E1176:E1177">
    <cfRule type="containsText" dxfId="1274" priority="5323" operator="containsText" text="Pesquisa de Preços">
      <formula>NOT(ISERROR(SEARCH("Pesquisa de Preços",E1176)))</formula>
    </cfRule>
  </conditionalFormatting>
  <conditionalFormatting sqref="E1192">
    <cfRule type="containsText" dxfId="1273" priority="5322" operator="containsText" text="Pesquisa de Preços">
      <formula>NOT(ISERROR(SEARCH("Pesquisa de Preços",E1192)))</formula>
    </cfRule>
  </conditionalFormatting>
  <conditionalFormatting sqref="E1190:E1191">
    <cfRule type="containsText" dxfId="1272" priority="5321" operator="containsText" text="Pesquisa de Preços">
      <formula>NOT(ISERROR(SEARCH("Pesquisa de Preços",E1190)))</formula>
    </cfRule>
  </conditionalFormatting>
  <conditionalFormatting sqref="E1199">
    <cfRule type="containsText" dxfId="1271" priority="5320" operator="containsText" text="Pesquisa de Preços">
      <formula>NOT(ISERROR(SEARCH("Pesquisa de Preços",E1199)))</formula>
    </cfRule>
  </conditionalFormatting>
  <conditionalFormatting sqref="E1197:E1198">
    <cfRule type="containsText" dxfId="1270" priority="5319" operator="containsText" text="Pesquisa de Preços">
      <formula>NOT(ISERROR(SEARCH("Pesquisa de Preços",E1197)))</formula>
    </cfRule>
  </conditionalFormatting>
  <conditionalFormatting sqref="E1206">
    <cfRule type="containsText" dxfId="1269" priority="5318" operator="containsText" text="Pesquisa de Preços">
      <formula>NOT(ISERROR(SEARCH("Pesquisa de Preços",E1206)))</formula>
    </cfRule>
  </conditionalFormatting>
  <conditionalFormatting sqref="E1204:E1205">
    <cfRule type="containsText" dxfId="1268" priority="5317" operator="containsText" text="Pesquisa de Preços">
      <formula>NOT(ISERROR(SEARCH("Pesquisa de Preços",E1204)))</formula>
    </cfRule>
  </conditionalFormatting>
  <conditionalFormatting sqref="E620">
    <cfRule type="containsText" dxfId="1267" priority="5301" operator="containsText" text="Pesquisa de Preços">
      <formula>NOT(ISERROR(SEARCH("Pesquisa de Preços",E620)))</formula>
    </cfRule>
  </conditionalFormatting>
  <conditionalFormatting sqref="E618:E619">
    <cfRule type="containsText" dxfId="1266" priority="5300" operator="containsText" text="Pesquisa de Preços">
      <formula>NOT(ISERROR(SEARCH("Pesquisa de Preços",E618)))</formula>
    </cfRule>
  </conditionalFormatting>
  <conditionalFormatting sqref="E267">
    <cfRule type="containsText" dxfId="1265" priority="5287" operator="containsText" text="Pesquisa de Preços">
      <formula>NOT(ISERROR(SEARCH("Pesquisa de Preços",E267)))</formula>
    </cfRule>
  </conditionalFormatting>
  <conditionalFormatting sqref="E2123">
    <cfRule type="containsText" dxfId="1264" priority="5283" operator="containsText" text="Pesquisa de Preços">
      <formula>NOT(ISERROR(SEARCH("Pesquisa de Preços",E2123)))</formula>
    </cfRule>
  </conditionalFormatting>
  <conditionalFormatting sqref="D5284">
    <cfRule type="containsText" dxfId="1263" priority="5270" operator="containsText" text="Pesquisa de Preços">
      <formula>NOT(ISERROR(SEARCH("Pesquisa de Preços",D5284)))</formula>
    </cfRule>
  </conditionalFormatting>
  <conditionalFormatting sqref="E5277">
    <cfRule type="containsText" dxfId="1262" priority="5263" operator="containsText" text="Pesquisa de Preços">
      <formula>NOT(ISERROR(SEARCH("Pesquisa de Preços",E5277)))</formula>
    </cfRule>
  </conditionalFormatting>
  <conditionalFormatting sqref="E5284">
    <cfRule type="containsText" dxfId="1261" priority="5267" operator="containsText" text="Pesquisa de Preços">
      <formula>NOT(ISERROR(SEARCH("Pesquisa de Preços",E5284)))</formula>
    </cfRule>
  </conditionalFormatting>
  <conditionalFormatting sqref="D5277">
    <cfRule type="containsText" dxfId="1260" priority="5258" operator="containsText" text="Pesquisa de Preços">
      <formula>NOT(ISERROR(SEARCH("Pesquisa de Preços",D5277)))</formula>
    </cfRule>
  </conditionalFormatting>
  <conditionalFormatting sqref="D5298">
    <cfRule type="containsText" dxfId="1259" priority="5221" operator="containsText" text="Pesquisa de Preços">
      <formula>NOT(ISERROR(SEARCH("Pesquisa de Preços",D5298)))</formula>
    </cfRule>
  </conditionalFormatting>
  <conditionalFormatting sqref="D5304">
    <cfRule type="containsText" dxfId="1258" priority="5220" operator="containsText" text="Pesquisa de Preços">
      <formula>NOT(ISERROR(SEARCH("Pesquisa de Preços",D5304)))</formula>
    </cfRule>
  </conditionalFormatting>
  <conditionalFormatting sqref="D2398">
    <cfRule type="containsText" dxfId="1257" priority="5214" operator="containsText" text="Pesquisa de Preços">
      <formula>NOT(ISERROR(SEARCH("Pesquisa de Preços",D2398)))</formula>
    </cfRule>
  </conditionalFormatting>
  <conditionalFormatting sqref="D2395">
    <cfRule type="containsText" dxfId="1256" priority="5213" operator="containsText" text="Pesquisa de Preços">
      <formula>NOT(ISERROR(SEARCH("Pesquisa de Preços",D2395)))</formula>
    </cfRule>
  </conditionalFormatting>
  <conditionalFormatting sqref="E2398">
    <cfRule type="containsText" dxfId="1255" priority="5212" operator="containsText" text="Pesquisa de Preços">
      <formula>NOT(ISERROR(SEARCH("Pesquisa de Preços",E2398)))</formula>
    </cfRule>
  </conditionalFormatting>
  <conditionalFormatting sqref="D2402">
    <cfRule type="containsText" dxfId="1254" priority="5209" operator="containsText" text="Pesquisa de Preços">
      <formula>NOT(ISERROR(SEARCH("Pesquisa de Preços",D2402)))</formula>
    </cfRule>
  </conditionalFormatting>
  <conditionalFormatting sqref="D2399">
    <cfRule type="containsText" dxfId="1253" priority="5208" operator="containsText" text="Pesquisa de Preços">
      <formula>NOT(ISERROR(SEARCH("Pesquisa de Preços",D2399)))</formula>
    </cfRule>
  </conditionalFormatting>
  <conditionalFormatting sqref="E2402">
    <cfRule type="containsText" dxfId="1252" priority="5207" operator="containsText" text="Pesquisa de Preços">
      <formula>NOT(ISERROR(SEARCH("Pesquisa de Preços",E2402)))</formula>
    </cfRule>
  </conditionalFormatting>
  <conditionalFormatting sqref="D2410">
    <cfRule type="containsText" dxfId="1251" priority="5204" operator="containsText" text="Pesquisa de Preços">
      <formula>NOT(ISERROR(SEARCH("Pesquisa de Preços",D2410)))</formula>
    </cfRule>
  </conditionalFormatting>
  <conditionalFormatting sqref="D2407">
    <cfRule type="containsText" dxfId="1250" priority="5203" operator="containsText" text="Pesquisa de Preços">
      <formula>NOT(ISERROR(SEARCH("Pesquisa de Preços",D2407)))</formula>
    </cfRule>
  </conditionalFormatting>
  <conditionalFormatting sqref="E2410">
    <cfRule type="containsText" dxfId="1249" priority="5202" operator="containsText" text="Pesquisa de Preços">
      <formula>NOT(ISERROR(SEARCH("Pesquisa de Preços",E2410)))</formula>
    </cfRule>
  </conditionalFormatting>
  <conditionalFormatting sqref="D2414">
    <cfRule type="containsText" dxfId="1248" priority="5199" operator="containsText" text="Pesquisa de Preços">
      <formula>NOT(ISERROR(SEARCH("Pesquisa de Preços",D2414)))</formula>
    </cfRule>
  </conditionalFormatting>
  <conditionalFormatting sqref="D2411">
    <cfRule type="containsText" dxfId="1247" priority="5198" operator="containsText" text="Pesquisa de Preços">
      <formula>NOT(ISERROR(SEARCH("Pesquisa de Preços",D2411)))</formula>
    </cfRule>
  </conditionalFormatting>
  <conditionalFormatting sqref="E2414">
    <cfRule type="containsText" dxfId="1246" priority="5197" operator="containsText" text="Pesquisa de Preços">
      <formula>NOT(ISERROR(SEARCH("Pesquisa de Preços",E2414)))</formula>
    </cfRule>
  </conditionalFormatting>
  <conditionalFormatting sqref="D2418">
    <cfRule type="containsText" dxfId="1245" priority="5194" operator="containsText" text="Pesquisa de Preços">
      <formula>NOT(ISERROR(SEARCH("Pesquisa de Preços",D2418)))</formula>
    </cfRule>
  </conditionalFormatting>
  <conditionalFormatting sqref="D2415">
    <cfRule type="containsText" dxfId="1244" priority="5193" operator="containsText" text="Pesquisa de Preços">
      <formula>NOT(ISERROR(SEARCH("Pesquisa de Preços",D2415)))</formula>
    </cfRule>
  </conditionalFormatting>
  <conditionalFormatting sqref="E2418">
    <cfRule type="containsText" dxfId="1243" priority="5192" operator="containsText" text="Pesquisa de Preços">
      <formula>NOT(ISERROR(SEARCH("Pesquisa de Preços",E2418)))</formula>
    </cfRule>
  </conditionalFormatting>
  <conditionalFormatting sqref="D2422">
    <cfRule type="containsText" dxfId="1242" priority="5189" operator="containsText" text="Pesquisa de Preços">
      <formula>NOT(ISERROR(SEARCH("Pesquisa de Preços",D2422)))</formula>
    </cfRule>
  </conditionalFormatting>
  <conditionalFormatting sqref="D2419">
    <cfRule type="containsText" dxfId="1241" priority="5188" operator="containsText" text="Pesquisa de Preços">
      <formula>NOT(ISERROR(SEARCH("Pesquisa de Preços",D2419)))</formula>
    </cfRule>
  </conditionalFormatting>
  <conditionalFormatting sqref="E2422">
    <cfRule type="containsText" dxfId="1240" priority="5187" operator="containsText" text="Pesquisa de Preços">
      <formula>NOT(ISERROR(SEARCH("Pesquisa de Preços",E2422)))</formula>
    </cfRule>
  </conditionalFormatting>
  <conditionalFormatting sqref="D2426">
    <cfRule type="containsText" dxfId="1239" priority="5184" operator="containsText" text="Pesquisa de Preços">
      <formula>NOT(ISERROR(SEARCH("Pesquisa de Preços",D2426)))</formula>
    </cfRule>
  </conditionalFormatting>
  <conditionalFormatting sqref="D2423">
    <cfRule type="containsText" dxfId="1238" priority="5183" operator="containsText" text="Pesquisa de Preços">
      <formula>NOT(ISERROR(SEARCH("Pesquisa de Preços",D2423)))</formula>
    </cfRule>
  </conditionalFormatting>
  <conditionalFormatting sqref="E2426">
    <cfRule type="containsText" dxfId="1237" priority="5182" operator="containsText" text="Pesquisa de Preços">
      <formula>NOT(ISERROR(SEARCH("Pesquisa de Preços",E2426)))</formula>
    </cfRule>
  </conditionalFormatting>
  <conditionalFormatting sqref="D2430">
    <cfRule type="containsText" dxfId="1236" priority="5179" operator="containsText" text="Pesquisa de Preços">
      <formula>NOT(ISERROR(SEARCH("Pesquisa de Preços",D2430)))</formula>
    </cfRule>
  </conditionalFormatting>
  <conditionalFormatting sqref="D2427">
    <cfRule type="containsText" dxfId="1235" priority="5178" operator="containsText" text="Pesquisa de Preços">
      <formula>NOT(ISERROR(SEARCH("Pesquisa de Preços",D2427)))</formula>
    </cfRule>
  </conditionalFormatting>
  <conditionalFormatting sqref="E2430">
    <cfRule type="containsText" dxfId="1234" priority="5177" operator="containsText" text="Pesquisa de Preços">
      <formula>NOT(ISERROR(SEARCH("Pesquisa de Preços",E2430)))</formula>
    </cfRule>
  </conditionalFormatting>
  <conditionalFormatting sqref="D2435">
    <cfRule type="containsText" dxfId="1233" priority="5173" operator="containsText" text="Pesquisa de Preços">
      <formula>NOT(ISERROR(SEARCH("Pesquisa de Preços",D2435)))</formula>
    </cfRule>
  </conditionalFormatting>
  <conditionalFormatting sqref="D2439">
    <cfRule type="containsText" dxfId="1232" priority="5169" operator="containsText" text="Pesquisa de Preços">
      <formula>NOT(ISERROR(SEARCH("Pesquisa de Preços",D2439)))</formula>
    </cfRule>
  </conditionalFormatting>
  <conditionalFormatting sqref="D2451">
    <cfRule type="containsText" dxfId="1231" priority="5165" operator="containsText" text="Pesquisa de Preços">
      <formula>NOT(ISERROR(SEARCH("Pesquisa de Preços",D2451)))</formula>
    </cfRule>
  </conditionalFormatting>
  <conditionalFormatting sqref="D2455">
    <cfRule type="containsText" dxfId="1230" priority="5161" operator="containsText" text="Pesquisa de Preços">
      <formula>NOT(ISERROR(SEARCH("Pesquisa de Preços",D2455)))</formula>
    </cfRule>
  </conditionalFormatting>
  <conditionalFormatting sqref="D2459">
    <cfRule type="containsText" dxfId="1229" priority="5157" operator="containsText" text="Pesquisa de Preços">
      <formula>NOT(ISERROR(SEARCH("Pesquisa de Preços",D2459)))</formula>
    </cfRule>
  </conditionalFormatting>
  <conditionalFormatting sqref="D2463">
    <cfRule type="containsText" dxfId="1228" priority="5153" operator="containsText" text="Pesquisa de Preços">
      <formula>NOT(ISERROR(SEARCH("Pesquisa de Preços",D2463)))</formula>
    </cfRule>
  </conditionalFormatting>
  <conditionalFormatting sqref="D2467">
    <cfRule type="containsText" dxfId="1227" priority="5149" operator="containsText" text="Pesquisa de Preços">
      <formula>NOT(ISERROR(SEARCH("Pesquisa de Preços",D2467)))</formula>
    </cfRule>
  </conditionalFormatting>
  <conditionalFormatting sqref="D2471">
    <cfRule type="containsText" dxfId="1226" priority="5145" operator="containsText" text="Pesquisa de Preços">
      <formula>NOT(ISERROR(SEARCH("Pesquisa de Preços",D2471)))</formula>
    </cfRule>
  </conditionalFormatting>
  <conditionalFormatting sqref="D2475">
    <cfRule type="containsText" dxfId="1225" priority="5141" operator="containsText" text="Pesquisa de Preços">
      <formula>NOT(ISERROR(SEARCH("Pesquisa de Preços",D2475)))</formula>
    </cfRule>
  </conditionalFormatting>
  <conditionalFormatting sqref="D2479">
    <cfRule type="containsText" dxfId="1224" priority="5137" operator="containsText" text="Pesquisa de Preços">
      <formula>NOT(ISERROR(SEARCH("Pesquisa de Preços",D2479)))</formula>
    </cfRule>
  </conditionalFormatting>
  <conditionalFormatting sqref="D2483">
    <cfRule type="containsText" dxfId="1223" priority="5133" operator="containsText" text="Pesquisa de Preços">
      <formula>NOT(ISERROR(SEARCH("Pesquisa de Preços",D2483)))</formula>
    </cfRule>
  </conditionalFormatting>
  <conditionalFormatting sqref="D2487">
    <cfRule type="containsText" dxfId="1222" priority="5129" operator="containsText" text="Pesquisa de Preços">
      <formula>NOT(ISERROR(SEARCH("Pesquisa de Preços",D2487)))</formula>
    </cfRule>
  </conditionalFormatting>
  <conditionalFormatting sqref="D2491">
    <cfRule type="containsText" dxfId="1221" priority="5125" operator="containsText" text="Pesquisa de Preços">
      <formula>NOT(ISERROR(SEARCH("Pesquisa de Preços",D2491)))</formula>
    </cfRule>
  </conditionalFormatting>
  <conditionalFormatting sqref="D2495">
    <cfRule type="containsText" dxfId="1220" priority="5119" operator="containsText" text="Pesquisa de Preços">
      <formula>NOT(ISERROR(SEARCH("Pesquisa de Preços",D2495)))</formula>
    </cfRule>
  </conditionalFormatting>
  <conditionalFormatting sqref="D2499">
    <cfRule type="containsText" dxfId="1219" priority="5115" operator="containsText" text="Pesquisa de Preços">
      <formula>NOT(ISERROR(SEARCH("Pesquisa de Preços",D2499)))</formula>
    </cfRule>
  </conditionalFormatting>
  <conditionalFormatting sqref="D2503">
    <cfRule type="containsText" dxfId="1218" priority="5111" operator="containsText" text="Pesquisa de Preços">
      <formula>NOT(ISERROR(SEARCH("Pesquisa de Preços",D2503)))</formula>
    </cfRule>
  </conditionalFormatting>
  <conditionalFormatting sqref="D2507">
    <cfRule type="containsText" dxfId="1217" priority="5107" operator="containsText" text="Pesquisa de Preços">
      <formula>NOT(ISERROR(SEARCH("Pesquisa de Preços",D2507)))</formula>
    </cfRule>
  </conditionalFormatting>
  <conditionalFormatting sqref="D2511">
    <cfRule type="containsText" dxfId="1216" priority="5103" operator="containsText" text="Pesquisa de Preços">
      <formula>NOT(ISERROR(SEARCH("Pesquisa de Preços",D2511)))</formula>
    </cfRule>
  </conditionalFormatting>
  <conditionalFormatting sqref="D2515">
    <cfRule type="containsText" dxfId="1215" priority="5099" operator="containsText" text="Pesquisa de Preços">
      <formula>NOT(ISERROR(SEARCH("Pesquisa de Preços",D2515)))</formula>
    </cfRule>
  </conditionalFormatting>
  <conditionalFormatting sqref="D2519">
    <cfRule type="containsText" dxfId="1214" priority="5095" operator="containsText" text="Pesquisa de Preços">
      <formula>NOT(ISERROR(SEARCH("Pesquisa de Preços",D2519)))</formula>
    </cfRule>
  </conditionalFormatting>
  <conditionalFormatting sqref="D2523">
    <cfRule type="containsText" dxfId="1213" priority="5091" operator="containsText" text="Pesquisa de Preços">
      <formula>NOT(ISERROR(SEARCH("Pesquisa de Preços",D2523)))</formula>
    </cfRule>
  </conditionalFormatting>
  <conditionalFormatting sqref="D2527">
    <cfRule type="containsText" dxfId="1212" priority="5087" operator="containsText" text="Pesquisa de Preços">
      <formula>NOT(ISERROR(SEARCH("Pesquisa de Preços",D2527)))</formula>
    </cfRule>
  </conditionalFormatting>
  <conditionalFormatting sqref="D2531">
    <cfRule type="containsText" dxfId="1211" priority="5083" operator="containsText" text="Pesquisa de Preços">
      <formula>NOT(ISERROR(SEARCH("Pesquisa de Preços",D2531)))</formula>
    </cfRule>
  </conditionalFormatting>
  <conditionalFormatting sqref="D2535">
    <cfRule type="containsText" dxfId="1210" priority="5079" operator="containsText" text="Pesquisa de Preços">
      <formula>NOT(ISERROR(SEARCH("Pesquisa de Preços",D2535)))</formula>
    </cfRule>
  </conditionalFormatting>
  <conditionalFormatting sqref="D2539">
    <cfRule type="containsText" dxfId="1209" priority="5075" operator="containsText" text="Pesquisa de Preços">
      <formula>NOT(ISERROR(SEARCH("Pesquisa de Preços",D2539)))</formula>
    </cfRule>
  </conditionalFormatting>
  <conditionalFormatting sqref="D2643">
    <cfRule type="containsText" dxfId="1208" priority="5061" operator="containsText" text="Pesquisa de Preços">
      <formula>NOT(ISERROR(SEARCH("Pesquisa de Preços",D2643)))</formula>
    </cfRule>
  </conditionalFormatting>
  <conditionalFormatting sqref="D2547">
    <cfRule type="containsText" dxfId="1207" priority="5067" operator="containsText" text="Pesquisa de Preços">
      <formula>NOT(ISERROR(SEARCH("Pesquisa de Preços",D2547)))</formula>
    </cfRule>
  </conditionalFormatting>
  <conditionalFormatting sqref="D2543">
    <cfRule type="containsText" dxfId="1206" priority="5063" operator="containsText" text="Pesquisa de Preços">
      <formula>NOT(ISERROR(SEARCH("Pesquisa de Preços",D2543)))</formula>
    </cfRule>
  </conditionalFormatting>
  <conditionalFormatting sqref="D2651">
    <cfRule type="containsText" dxfId="1205" priority="5057" operator="containsText" text="Pesquisa de Preços">
      <formula>NOT(ISERROR(SEARCH("Pesquisa de Preços",D2651)))</formula>
    </cfRule>
  </conditionalFormatting>
  <conditionalFormatting sqref="D2443">
    <cfRule type="containsText" dxfId="1204" priority="5053" operator="containsText" text="Pesquisa de Preços">
      <formula>NOT(ISERROR(SEARCH("Pesquisa de Preços",D2443)))</formula>
    </cfRule>
  </conditionalFormatting>
  <conditionalFormatting sqref="D2447">
    <cfRule type="containsText" dxfId="1203" priority="5049" operator="containsText" text="Pesquisa de Preços">
      <formula>NOT(ISERROR(SEARCH("Pesquisa de Preços",D2447)))</formula>
    </cfRule>
  </conditionalFormatting>
  <conditionalFormatting sqref="D5735">
    <cfRule type="containsText" dxfId="1202" priority="4738" operator="containsText" text="Pesquisa de Preços">
      <formula>NOT(ISERROR(SEARCH("Pesquisa de Preços",D5735)))</formula>
    </cfRule>
  </conditionalFormatting>
  <conditionalFormatting sqref="D5727">
    <cfRule type="containsText" dxfId="1201" priority="4746" operator="containsText" text="Pesquisa de Preços">
      <formula>NOT(ISERROR(SEARCH("Pesquisa de Preços",D5727)))</formula>
    </cfRule>
  </conditionalFormatting>
  <conditionalFormatting sqref="D5739">
    <cfRule type="containsText" dxfId="1200" priority="4734" operator="containsText" text="Pesquisa de Preços">
      <formula>NOT(ISERROR(SEARCH("Pesquisa de Preços",D5739)))</formula>
    </cfRule>
  </conditionalFormatting>
  <conditionalFormatting sqref="D6083">
    <cfRule type="containsText" dxfId="1199" priority="4514" operator="containsText" text="Pesquisa de Preços">
      <formula>NOT(ISERROR(SEARCH("Pesquisa de Preços",D6083)))</formula>
    </cfRule>
  </conditionalFormatting>
  <conditionalFormatting sqref="D6144">
    <cfRule type="containsText" dxfId="1198" priority="4506" operator="containsText" text="Pesquisa de Preços">
      <formula>NOT(ISERROR(SEARCH("Pesquisa de Preços",D6144)))</formula>
    </cfRule>
  </conditionalFormatting>
  <conditionalFormatting sqref="D6141:D6143">
    <cfRule type="containsText" dxfId="1197" priority="4504" operator="containsText" text="Pesquisa de Preços">
      <formula>NOT(ISERROR(SEARCH("Pesquisa de Preços",D6141)))</formula>
    </cfRule>
  </conditionalFormatting>
  <conditionalFormatting sqref="D2763">
    <cfRule type="containsText" dxfId="1196" priority="4935" operator="containsText" text="Pesquisa de Preços">
      <formula>NOT(ISERROR(SEARCH("Pesquisa de Preços",D2763)))</formula>
    </cfRule>
  </conditionalFormatting>
  <conditionalFormatting sqref="D5719">
    <cfRule type="containsText" dxfId="1195" priority="4754" operator="containsText" text="Pesquisa de Preços">
      <formula>NOT(ISERROR(SEARCH("Pesquisa de Preços",D5719)))</formula>
    </cfRule>
  </conditionalFormatting>
  <conditionalFormatting sqref="D5723">
    <cfRule type="containsText" dxfId="1194" priority="4750" operator="containsText" text="Pesquisa de Preços">
      <formula>NOT(ISERROR(SEARCH("Pesquisa de Preços",D5723)))</formula>
    </cfRule>
  </conditionalFormatting>
  <conditionalFormatting sqref="D5731">
    <cfRule type="containsText" dxfId="1193" priority="4742" operator="containsText" text="Pesquisa de Preços">
      <formula>NOT(ISERROR(SEARCH("Pesquisa de Preços",D5731)))</formula>
    </cfRule>
  </conditionalFormatting>
  <conditionalFormatting sqref="D5617">
    <cfRule type="containsText" dxfId="1192" priority="4763" operator="containsText" text="Pesquisa de Preços">
      <formula>NOT(ISERROR(SEARCH("Pesquisa de Preços",D5617)))</formula>
    </cfRule>
  </conditionalFormatting>
  <conditionalFormatting sqref="D5747">
    <cfRule type="containsText" dxfId="1191" priority="4642" operator="containsText" text="Pesquisa de Preços">
      <formula>NOT(ISERROR(SEARCH("Pesquisa de Preços",D5747)))</formula>
    </cfRule>
  </conditionalFormatting>
  <conditionalFormatting sqref="D5743">
    <cfRule type="containsText" dxfId="1190" priority="4641" operator="containsText" text="Pesquisa de Preços">
      <formula>NOT(ISERROR(SEARCH("Pesquisa de Preços",D5743)))</formula>
    </cfRule>
  </conditionalFormatting>
  <conditionalFormatting sqref="D6007">
    <cfRule type="containsText" dxfId="1189" priority="4590" operator="containsText" text="Pesquisa de Preços">
      <formula>NOT(ISERROR(SEARCH("Pesquisa de Preços",D6007)))</formula>
    </cfRule>
  </conditionalFormatting>
  <conditionalFormatting sqref="D6015">
    <cfRule type="containsText" dxfId="1188" priority="4582" operator="containsText" text="Pesquisa de Preços">
      <formula>NOT(ISERROR(SEARCH("Pesquisa de Preços",D6015)))</formula>
    </cfRule>
  </conditionalFormatting>
  <conditionalFormatting sqref="D6027">
    <cfRule type="containsText" dxfId="1187" priority="4570" operator="containsText" text="Pesquisa de Preços">
      <formula>NOT(ISERROR(SEARCH("Pesquisa de Preços",D6027)))</formula>
    </cfRule>
  </conditionalFormatting>
  <conditionalFormatting sqref="D6011">
    <cfRule type="containsText" dxfId="1186" priority="4586" operator="containsText" text="Pesquisa de Preços">
      <formula>NOT(ISERROR(SEARCH("Pesquisa de Preços",D6011)))</formula>
    </cfRule>
  </conditionalFormatting>
  <conditionalFormatting sqref="D6035">
    <cfRule type="containsText" dxfId="1185" priority="4562" operator="containsText" text="Pesquisa de Preços">
      <formula>NOT(ISERROR(SEARCH("Pesquisa de Preços",D6035)))</formula>
    </cfRule>
  </conditionalFormatting>
  <conditionalFormatting sqref="D6019">
    <cfRule type="containsText" dxfId="1184" priority="4578" operator="containsText" text="Pesquisa de Preços">
      <formula>NOT(ISERROR(SEARCH("Pesquisa de Preços",D6019)))</formula>
    </cfRule>
  </conditionalFormatting>
  <conditionalFormatting sqref="D6023">
    <cfRule type="containsText" dxfId="1183" priority="4574" operator="containsText" text="Pesquisa de Preços">
      <formula>NOT(ISERROR(SEARCH("Pesquisa de Preços",D6023)))</formula>
    </cfRule>
  </conditionalFormatting>
  <conditionalFormatting sqref="D6031">
    <cfRule type="containsText" dxfId="1182" priority="4566" operator="containsText" text="Pesquisa de Preços">
      <formula>NOT(ISERROR(SEARCH("Pesquisa de Preços",D6031)))</formula>
    </cfRule>
  </conditionalFormatting>
  <conditionalFormatting sqref="D6075">
    <cfRule type="containsText" dxfId="1181" priority="4522" operator="containsText" text="Pesquisa de Preços">
      <formula>NOT(ISERROR(SEARCH("Pesquisa de Preços",D6075)))</formula>
    </cfRule>
  </conditionalFormatting>
  <conditionalFormatting sqref="D5551">
    <cfRule type="containsText" dxfId="1180" priority="4345" operator="containsText" text="Pesquisa de Preços">
      <formula>NOT(ISERROR(SEARCH("Pesquisa de Preços",D5551)))</formula>
    </cfRule>
  </conditionalFormatting>
  <conditionalFormatting sqref="D5545">
    <cfRule type="containsText" dxfId="1179" priority="4346" operator="containsText" text="Pesquisa de Preços">
      <formula>NOT(ISERROR(SEARCH("Pesquisa de Preços",D5545)))</formula>
    </cfRule>
  </conditionalFormatting>
  <conditionalFormatting sqref="D2767">
    <cfRule type="containsText" dxfId="1178" priority="4492" operator="containsText" text="Pesquisa de Preços">
      <formula>NOT(ISERROR(SEARCH("Pesquisa de Preços",D2767)))</formula>
    </cfRule>
  </conditionalFormatting>
  <conditionalFormatting sqref="D2759">
    <cfRule type="containsText" dxfId="1177" priority="4482" operator="containsText" text="Pesquisa de Preços">
      <formula>NOT(ISERROR(SEARCH("Pesquisa de Preços",D2759)))</formula>
    </cfRule>
  </conditionalFormatting>
  <conditionalFormatting sqref="D5649">
    <cfRule type="containsText" dxfId="1176" priority="4327" operator="containsText" text="Pesquisa de Preços">
      <formula>NOT(ISERROR(SEARCH("Pesquisa de Preços",D5649)))</formula>
    </cfRule>
  </conditionalFormatting>
  <conditionalFormatting sqref="D5673">
    <cfRule type="containsText" dxfId="1175" priority="4321" operator="containsText" text="Pesquisa de Preços">
      <formula>NOT(ISERROR(SEARCH("Pesquisa de Preços",D5673)))</formula>
    </cfRule>
  </conditionalFormatting>
  <conditionalFormatting sqref="D5665">
    <cfRule type="containsText" dxfId="1174" priority="4323" operator="containsText" text="Pesquisa de Preços">
      <formula>NOT(ISERROR(SEARCH("Pesquisa de Preços",D5665)))</formula>
    </cfRule>
  </conditionalFormatting>
  <conditionalFormatting sqref="D5677">
    <cfRule type="containsText" dxfId="1173" priority="4320" operator="containsText" text="Pesquisa de Preços">
      <formula>NOT(ISERROR(SEARCH("Pesquisa de Preços",D5677)))</formula>
    </cfRule>
  </conditionalFormatting>
  <conditionalFormatting sqref="D5705">
    <cfRule type="containsText" dxfId="1172" priority="4313" operator="containsText" text="Pesquisa de Preços">
      <formula>NOT(ISERROR(SEARCH("Pesquisa de Preços",D5705)))</formula>
    </cfRule>
  </conditionalFormatting>
  <conditionalFormatting sqref="D5733">
    <cfRule type="containsText" dxfId="1171" priority="4306" operator="containsText" text="Pesquisa de Preços">
      <formula>NOT(ISERROR(SEARCH("Pesquisa de Preços",D5733)))</formula>
    </cfRule>
  </conditionalFormatting>
  <conditionalFormatting sqref="D5797">
    <cfRule type="containsText" dxfId="1170" priority="4290" operator="containsText" text="Pesquisa de Preços">
      <formula>NOT(ISERROR(SEARCH("Pesquisa de Preços",D5797)))</formula>
    </cfRule>
  </conditionalFormatting>
  <conditionalFormatting sqref="D5869">
    <cfRule type="containsText" dxfId="1169" priority="4272" operator="containsText" text="Pesquisa de Preços">
      <formula>NOT(ISERROR(SEARCH("Pesquisa de Preços",D5869)))</formula>
    </cfRule>
  </conditionalFormatting>
  <conditionalFormatting sqref="D5873">
    <cfRule type="containsText" dxfId="1168" priority="4271" operator="containsText" text="Pesquisa de Preços">
      <formula>NOT(ISERROR(SEARCH("Pesquisa de Preços",D5873)))</formula>
    </cfRule>
  </conditionalFormatting>
  <conditionalFormatting sqref="D5901">
    <cfRule type="containsText" dxfId="1167" priority="4264" operator="containsText" text="Pesquisa de Preços">
      <formula>NOT(ISERROR(SEARCH("Pesquisa de Preços",D5901)))</formula>
    </cfRule>
  </conditionalFormatting>
  <conditionalFormatting sqref="D5929">
    <cfRule type="containsText" dxfId="1166" priority="4257" operator="containsText" text="Pesquisa de Preços">
      <formula>NOT(ISERROR(SEARCH("Pesquisa de Preços",D5929)))</formula>
    </cfRule>
  </conditionalFormatting>
  <conditionalFormatting sqref="D5949 D5945">
    <cfRule type="containsText" dxfId="1165" priority="4252" operator="containsText" text="Pesquisa de Preços">
      <formula>NOT(ISERROR(SEARCH("Pesquisa de Preços",D5945)))</formula>
    </cfRule>
  </conditionalFormatting>
  <conditionalFormatting sqref="D5977">
    <cfRule type="containsText" dxfId="1164" priority="4245" operator="containsText" text="Pesquisa de Preços">
      <formula>NOT(ISERROR(SEARCH("Pesquisa de Preços",D5977)))</formula>
    </cfRule>
  </conditionalFormatting>
  <conditionalFormatting sqref="D6001">
    <cfRule type="containsText" dxfId="1163" priority="4239" operator="containsText" text="Pesquisa de Preços">
      <formula>NOT(ISERROR(SEARCH("Pesquisa de Preços",D6001)))</formula>
    </cfRule>
  </conditionalFormatting>
  <conditionalFormatting sqref="D6033">
    <cfRule type="containsText" dxfId="1162" priority="4231" operator="containsText" text="Pesquisa de Preços">
      <formula>NOT(ISERROR(SEARCH("Pesquisa de Preços",D6033)))</formula>
    </cfRule>
  </conditionalFormatting>
  <conditionalFormatting sqref="D6077">
    <cfRule type="containsText" dxfId="1161" priority="4222" operator="containsText" text="Pesquisa de Preços">
      <formula>NOT(ISERROR(SEARCH("Pesquisa de Preços",D6077)))</formula>
    </cfRule>
  </conditionalFormatting>
  <conditionalFormatting sqref="D5497">
    <cfRule type="containsText" dxfId="1160" priority="4355" operator="containsText" text="Pesquisa de Preços">
      <formula>NOT(ISERROR(SEARCH("Pesquisa de Preços",D5497)))</formula>
    </cfRule>
  </conditionalFormatting>
  <conditionalFormatting sqref="D5503">
    <cfRule type="containsText" dxfId="1159" priority="4354" operator="containsText" text="Pesquisa de Preços">
      <formula>NOT(ISERROR(SEARCH("Pesquisa de Preços",D5503)))</formula>
    </cfRule>
  </conditionalFormatting>
  <conditionalFormatting sqref="D5509">
    <cfRule type="containsText" dxfId="1158" priority="4353" operator="containsText" text="Pesquisa de Preços">
      <formula>NOT(ISERROR(SEARCH("Pesquisa de Preços",D5509)))</formula>
    </cfRule>
  </conditionalFormatting>
  <conditionalFormatting sqref="D5515">
    <cfRule type="containsText" dxfId="1157" priority="4352" operator="containsText" text="Pesquisa de Preços">
      <formula>NOT(ISERROR(SEARCH("Pesquisa de Preços",D5515)))</formula>
    </cfRule>
  </conditionalFormatting>
  <conditionalFormatting sqref="D5521">
    <cfRule type="containsText" dxfId="1156" priority="4351" operator="containsText" text="Pesquisa de Preços">
      <formula>NOT(ISERROR(SEARCH("Pesquisa de Preços",D5521)))</formula>
    </cfRule>
  </conditionalFormatting>
  <conditionalFormatting sqref="D5527">
    <cfRule type="containsText" dxfId="1155" priority="4350" operator="containsText" text="Pesquisa de Preços">
      <formula>NOT(ISERROR(SEARCH("Pesquisa de Preços",D5527)))</formula>
    </cfRule>
  </conditionalFormatting>
  <conditionalFormatting sqref="D6153">
    <cfRule type="containsText" dxfId="1154" priority="4207" operator="containsText" text="Pesquisa de Preços">
      <formula>NOT(ISERROR(SEARCH("Pesquisa de Preços",D6153)))</formula>
    </cfRule>
  </conditionalFormatting>
  <conditionalFormatting sqref="D5533">
    <cfRule type="containsText" dxfId="1153" priority="4348" operator="containsText" text="Pesquisa de Preços">
      <formula>NOT(ISERROR(SEARCH("Pesquisa de Preços",D5533)))</formula>
    </cfRule>
  </conditionalFormatting>
  <conditionalFormatting sqref="D5539">
    <cfRule type="containsText" dxfId="1152" priority="4347" operator="containsText" text="Pesquisa de Preços">
      <formula>NOT(ISERROR(SEARCH("Pesquisa de Preços",D5539)))</formula>
    </cfRule>
  </conditionalFormatting>
  <conditionalFormatting sqref="D5599">
    <cfRule type="containsText" dxfId="1151" priority="4337" operator="containsText" text="Pesquisa de Preços">
      <formula>NOT(ISERROR(SEARCH("Pesquisa de Preços",D5599)))</formula>
    </cfRule>
  </conditionalFormatting>
  <conditionalFormatting sqref="D5605">
    <cfRule type="containsText" dxfId="1150" priority="4336" operator="containsText" text="Pesquisa de Preços">
      <formula>NOT(ISERROR(SEARCH("Pesquisa de Preços",D5605)))</formula>
    </cfRule>
  </conditionalFormatting>
  <conditionalFormatting sqref="D5557">
    <cfRule type="containsText" dxfId="1149" priority="4344" operator="containsText" text="Pesquisa de Preços">
      <formula>NOT(ISERROR(SEARCH("Pesquisa de Preços",D5557)))</formula>
    </cfRule>
  </conditionalFormatting>
  <conditionalFormatting sqref="D5563">
    <cfRule type="containsText" dxfId="1148" priority="4343" operator="containsText" text="Pesquisa de Preços">
      <formula>NOT(ISERROR(SEARCH("Pesquisa de Preços",D5563)))</formula>
    </cfRule>
  </conditionalFormatting>
  <conditionalFormatting sqref="D5569">
    <cfRule type="containsText" dxfId="1147" priority="4342" operator="containsText" text="Pesquisa de Preços">
      <formula>NOT(ISERROR(SEARCH("Pesquisa de Preços",D5569)))</formula>
    </cfRule>
  </conditionalFormatting>
  <conditionalFormatting sqref="D5581 D5575">
    <cfRule type="containsText" dxfId="1146" priority="4340" operator="containsText" text="Pesquisa de Preços">
      <formula>NOT(ISERROR(SEARCH("Pesquisa de Preços",D5575)))</formula>
    </cfRule>
  </conditionalFormatting>
  <conditionalFormatting sqref="D5587">
    <cfRule type="containsText" dxfId="1145" priority="4339" operator="containsText" text="Pesquisa de Preços">
      <formula>NOT(ISERROR(SEARCH("Pesquisa de Preços",D5587)))</formula>
    </cfRule>
  </conditionalFormatting>
  <conditionalFormatting sqref="D5593">
    <cfRule type="containsText" dxfId="1144" priority="4338" operator="containsText" text="Pesquisa de Preços">
      <formula>NOT(ISERROR(SEARCH("Pesquisa de Preços",D5593)))</formula>
    </cfRule>
  </conditionalFormatting>
  <conditionalFormatting sqref="D5611">
    <cfRule type="containsText" dxfId="1143" priority="4335" operator="containsText" text="Pesquisa de Preços">
      <formula>NOT(ISERROR(SEARCH("Pesquisa de Preços",D5611)))</formula>
    </cfRule>
  </conditionalFormatting>
  <conditionalFormatting sqref="D5621">
    <cfRule type="containsText" dxfId="1142" priority="4334" operator="containsText" text="Pesquisa de Preços">
      <formula>NOT(ISERROR(SEARCH("Pesquisa de Preços",D5621)))</formula>
    </cfRule>
  </conditionalFormatting>
  <conditionalFormatting sqref="D5625">
    <cfRule type="containsText" dxfId="1141" priority="4333" operator="containsText" text="Pesquisa de Preços">
      <formula>NOT(ISERROR(SEARCH("Pesquisa de Preços",D5625)))</formula>
    </cfRule>
  </conditionalFormatting>
  <conditionalFormatting sqref="D5629">
    <cfRule type="containsText" dxfId="1140" priority="4332" operator="containsText" text="Pesquisa de Preços">
      <formula>NOT(ISERROR(SEARCH("Pesquisa de Preços",D5629)))</formula>
    </cfRule>
  </conditionalFormatting>
  <conditionalFormatting sqref="D5633">
    <cfRule type="containsText" dxfId="1139" priority="4331" operator="containsText" text="Pesquisa de Preços">
      <formula>NOT(ISERROR(SEARCH("Pesquisa de Preços",D5633)))</formula>
    </cfRule>
  </conditionalFormatting>
  <conditionalFormatting sqref="D5637">
    <cfRule type="containsText" dxfId="1138" priority="4330" operator="containsText" text="Pesquisa de Preços">
      <formula>NOT(ISERROR(SEARCH("Pesquisa de Preços",D5637)))</formula>
    </cfRule>
  </conditionalFormatting>
  <conditionalFormatting sqref="D5641">
    <cfRule type="containsText" dxfId="1137" priority="4329" operator="containsText" text="Pesquisa de Preços">
      <formula>NOT(ISERROR(SEARCH("Pesquisa de Preços",D5641)))</formula>
    </cfRule>
  </conditionalFormatting>
  <conditionalFormatting sqref="D5645">
    <cfRule type="containsText" dxfId="1136" priority="4328" operator="containsText" text="Pesquisa de Preços">
      <formula>NOT(ISERROR(SEARCH("Pesquisa de Preços",D5645)))</formula>
    </cfRule>
  </conditionalFormatting>
  <conditionalFormatting sqref="D5653">
    <cfRule type="containsText" dxfId="1135" priority="4326" operator="containsText" text="Pesquisa de Preços">
      <formula>NOT(ISERROR(SEARCH("Pesquisa de Preços",D5653)))</formula>
    </cfRule>
  </conditionalFormatting>
  <conditionalFormatting sqref="D5657">
    <cfRule type="containsText" dxfId="1134" priority="4325" operator="containsText" text="Pesquisa de Preços">
      <formula>NOT(ISERROR(SEARCH("Pesquisa de Preços",D5657)))</formula>
    </cfRule>
  </conditionalFormatting>
  <conditionalFormatting sqref="D5661">
    <cfRule type="containsText" dxfId="1133" priority="4324" operator="containsText" text="Pesquisa de Preços">
      <formula>NOT(ISERROR(SEARCH("Pesquisa de Preços",D5661)))</formula>
    </cfRule>
  </conditionalFormatting>
  <conditionalFormatting sqref="D5701">
    <cfRule type="containsText" dxfId="1132" priority="4314" operator="containsText" text="Pesquisa de Preços">
      <formula>NOT(ISERROR(SEARCH("Pesquisa de Preços",D5701)))</formula>
    </cfRule>
  </conditionalFormatting>
  <conditionalFormatting sqref="D5669">
    <cfRule type="containsText" dxfId="1131" priority="4322" operator="containsText" text="Pesquisa de Preços">
      <formula>NOT(ISERROR(SEARCH("Pesquisa de Preços",D5669)))</formula>
    </cfRule>
  </conditionalFormatting>
  <conditionalFormatting sqref="D5709">
    <cfRule type="containsText" dxfId="1130" priority="4312" operator="containsText" text="Pesquisa de Preços">
      <formula>NOT(ISERROR(SEARCH("Pesquisa de Preços",D5709)))</formula>
    </cfRule>
  </conditionalFormatting>
  <conditionalFormatting sqref="D5713">
    <cfRule type="containsText" dxfId="1129" priority="4311" operator="containsText" text="Pesquisa de Preços">
      <formula>NOT(ISERROR(SEARCH("Pesquisa de Preços",D5713)))</formula>
    </cfRule>
  </conditionalFormatting>
  <conditionalFormatting sqref="D5681">
    <cfRule type="containsText" dxfId="1128" priority="4319" operator="containsText" text="Pesquisa de Preços">
      <formula>NOT(ISERROR(SEARCH("Pesquisa de Preços",D5681)))</formula>
    </cfRule>
  </conditionalFormatting>
  <conditionalFormatting sqref="D5689 D5685">
    <cfRule type="containsText" dxfId="1127" priority="4317" operator="containsText" text="Pesquisa de Preços">
      <formula>NOT(ISERROR(SEARCH("Pesquisa de Preços",D5685)))</formula>
    </cfRule>
  </conditionalFormatting>
  <conditionalFormatting sqref="D5693">
    <cfRule type="containsText" dxfId="1126" priority="4316" operator="containsText" text="Pesquisa de Preços">
      <formula>NOT(ISERROR(SEARCH("Pesquisa de Preços",D5693)))</formula>
    </cfRule>
  </conditionalFormatting>
  <conditionalFormatting sqref="D5697">
    <cfRule type="containsText" dxfId="1125" priority="4315" operator="containsText" text="Pesquisa de Preços">
      <formula>NOT(ISERROR(SEARCH("Pesquisa de Preços",D5697)))</formula>
    </cfRule>
  </conditionalFormatting>
  <conditionalFormatting sqref="D5741">
    <cfRule type="containsText" dxfId="1124" priority="4304" operator="containsText" text="Pesquisa de Preços">
      <formula>NOT(ISERROR(SEARCH("Pesquisa de Preços",D5741)))</formula>
    </cfRule>
  </conditionalFormatting>
  <conditionalFormatting sqref="D5717">
    <cfRule type="containsText" dxfId="1123" priority="4310" operator="containsText" text="Pesquisa de Preços">
      <formula>NOT(ISERROR(SEARCH("Pesquisa de Preços",D5717)))</formula>
    </cfRule>
  </conditionalFormatting>
  <conditionalFormatting sqref="D5721">
    <cfRule type="containsText" dxfId="1122" priority="4309" operator="containsText" text="Pesquisa de Preços">
      <formula>NOT(ISERROR(SEARCH("Pesquisa de Preços",D5721)))</formula>
    </cfRule>
  </conditionalFormatting>
  <conditionalFormatting sqref="D5725">
    <cfRule type="containsText" dxfId="1121" priority="4308" operator="containsText" text="Pesquisa de Preços">
      <formula>NOT(ISERROR(SEARCH("Pesquisa de Preços",D5725)))</formula>
    </cfRule>
  </conditionalFormatting>
  <conditionalFormatting sqref="D5729">
    <cfRule type="containsText" dxfId="1120" priority="4307" operator="containsText" text="Pesquisa de Preços">
      <formula>NOT(ISERROR(SEARCH("Pesquisa de Preços",D5729)))</formula>
    </cfRule>
  </conditionalFormatting>
  <conditionalFormatting sqref="D5769">
    <cfRule type="containsText" dxfId="1119" priority="4297" operator="containsText" text="Pesquisa de Preços">
      <formula>NOT(ISERROR(SEARCH("Pesquisa de Preços",D5769)))</formula>
    </cfRule>
  </conditionalFormatting>
  <conditionalFormatting sqref="D5737">
    <cfRule type="containsText" dxfId="1118" priority="4305" operator="containsText" text="Pesquisa de Preços">
      <formula>NOT(ISERROR(SEARCH("Pesquisa de Preços",D5737)))</formula>
    </cfRule>
  </conditionalFormatting>
  <conditionalFormatting sqref="D5745">
    <cfRule type="containsText" dxfId="1117" priority="4303" operator="containsText" text="Pesquisa de Preços">
      <formula>NOT(ISERROR(SEARCH("Pesquisa de Preços",D5745)))</formula>
    </cfRule>
  </conditionalFormatting>
  <conditionalFormatting sqref="D5749">
    <cfRule type="containsText" dxfId="1116" priority="4302" operator="containsText" text="Pesquisa de Preços">
      <formula>NOT(ISERROR(SEARCH("Pesquisa de Preços",D5749)))</formula>
    </cfRule>
  </conditionalFormatting>
  <conditionalFormatting sqref="D5753">
    <cfRule type="containsText" dxfId="1115" priority="4301" operator="containsText" text="Pesquisa de Preços">
      <formula>NOT(ISERROR(SEARCH("Pesquisa de Preços",D5753)))</formula>
    </cfRule>
  </conditionalFormatting>
  <conditionalFormatting sqref="D5757">
    <cfRule type="containsText" dxfId="1114" priority="4300" operator="containsText" text="Pesquisa de Preços">
      <formula>NOT(ISERROR(SEARCH("Pesquisa de Preços",D5757)))</formula>
    </cfRule>
  </conditionalFormatting>
  <conditionalFormatting sqref="D5765 D5761">
    <cfRule type="containsText" dxfId="1113" priority="4298" operator="containsText" text="Pesquisa de Preços">
      <formula>NOT(ISERROR(SEARCH("Pesquisa de Preços",D5761)))</formula>
    </cfRule>
  </conditionalFormatting>
  <conditionalFormatting sqref="D5773">
    <cfRule type="containsText" dxfId="1112" priority="4296" operator="containsText" text="Pesquisa de Preços">
      <formula>NOT(ISERROR(SEARCH("Pesquisa de Preços",D5773)))</formula>
    </cfRule>
  </conditionalFormatting>
  <conditionalFormatting sqref="D5777">
    <cfRule type="containsText" dxfId="1111" priority="4295" operator="containsText" text="Pesquisa de Preços">
      <formula>NOT(ISERROR(SEARCH("Pesquisa de Preços",D5777)))</formula>
    </cfRule>
  </conditionalFormatting>
  <conditionalFormatting sqref="D5781">
    <cfRule type="containsText" dxfId="1110" priority="4294" operator="containsText" text="Pesquisa de Preços">
      <formula>NOT(ISERROR(SEARCH("Pesquisa de Preços",D5781)))</formula>
    </cfRule>
  </conditionalFormatting>
  <conditionalFormatting sqref="D5785">
    <cfRule type="containsText" dxfId="1109" priority="4293" operator="containsText" text="Pesquisa de Preços">
      <formula>NOT(ISERROR(SEARCH("Pesquisa de Preços",D5785)))</formula>
    </cfRule>
  </conditionalFormatting>
  <conditionalFormatting sqref="D5789">
    <cfRule type="containsText" dxfId="1108" priority="4292" operator="containsText" text="Pesquisa de Preços">
      <formula>NOT(ISERROR(SEARCH("Pesquisa de Preços",D5789)))</formula>
    </cfRule>
  </conditionalFormatting>
  <conditionalFormatting sqref="D5793">
    <cfRule type="containsText" dxfId="1107" priority="4291" operator="containsText" text="Pesquisa de Preços">
      <formula>NOT(ISERROR(SEARCH("Pesquisa de Preços",D5793)))</formula>
    </cfRule>
  </conditionalFormatting>
  <conditionalFormatting sqref="D5801">
    <cfRule type="containsText" dxfId="1106" priority="4289" operator="containsText" text="Pesquisa de Preços">
      <formula>NOT(ISERROR(SEARCH("Pesquisa de Preços",D5801)))</formula>
    </cfRule>
  </conditionalFormatting>
  <conditionalFormatting sqref="D5805">
    <cfRule type="containsText" dxfId="1105" priority="4288" operator="containsText" text="Pesquisa de Preços">
      <formula>NOT(ISERROR(SEARCH("Pesquisa de Preços",D5805)))</formula>
    </cfRule>
  </conditionalFormatting>
  <conditionalFormatting sqref="D5809">
    <cfRule type="containsText" dxfId="1104" priority="4287" operator="containsText" text="Pesquisa de Preços">
      <formula>NOT(ISERROR(SEARCH("Pesquisa de Preços",D5809)))</formula>
    </cfRule>
  </conditionalFormatting>
  <conditionalFormatting sqref="D5813">
    <cfRule type="containsText" dxfId="1103" priority="4286" operator="containsText" text="Pesquisa de Preços">
      <formula>NOT(ISERROR(SEARCH("Pesquisa de Preços",D5813)))</formula>
    </cfRule>
  </conditionalFormatting>
  <conditionalFormatting sqref="D5817">
    <cfRule type="containsText" dxfId="1102" priority="4285" operator="containsText" text="Pesquisa de Preços">
      <formula>NOT(ISERROR(SEARCH("Pesquisa de Preços",D5817)))</formula>
    </cfRule>
  </conditionalFormatting>
  <conditionalFormatting sqref="D5821">
    <cfRule type="containsText" dxfId="1101" priority="4284" operator="containsText" text="Pesquisa de Preços">
      <formula>NOT(ISERROR(SEARCH("Pesquisa de Preços",D5821)))</formula>
    </cfRule>
  </conditionalFormatting>
  <conditionalFormatting sqref="D5825">
    <cfRule type="containsText" dxfId="1100" priority="4283" operator="containsText" text="Pesquisa de Preços">
      <formula>NOT(ISERROR(SEARCH("Pesquisa de Preços",D5825)))</formula>
    </cfRule>
  </conditionalFormatting>
  <conditionalFormatting sqref="D5829">
    <cfRule type="containsText" dxfId="1099" priority="4282" operator="containsText" text="Pesquisa de Preços">
      <formula>NOT(ISERROR(SEARCH("Pesquisa de Preços",D5829)))</formula>
    </cfRule>
  </conditionalFormatting>
  <conditionalFormatting sqref="D5833">
    <cfRule type="containsText" dxfId="1098" priority="4281" operator="containsText" text="Pesquisa de Preços">
      <formula>NOT(ISERROR(SEARCH("Pesquisa de Preços",D5833)))</formula>
    </cfRule>
  </conditionalFormatting>
  <conditionalFormatting sqref="D5837">
    <cfRule type="containsText" dxfId="1097" priority="4280" operator="containsText" text="Pesquisa de Preços">
      <formula>NOT(ISERROR(SEARCH("Pesquisa de Preços",D5837)))</formula>
    </cfRule>
  </conditionalFormatting>
  <conditionalFormatting sqref="D5841">
    <cfRule type="containsText" dxfId="1096" priority="4279" operator="containsText" text="Pesquisa de Preços">
      <formula>NOT(ISERROR(SEARCH("Pesquisa de Preços",D5841)))</formula>
    </cfRule>
  </conditionalFormatting>
  <conditionalFormatting sqref="D5845">
    <cfRule type="containsText" dxfId="1095" priority="4278" operator="containsText" text="Pesquisa de Preços">
      <formula>NOT(ISERROR(SEARCH("Pesquisa de Preços",D5845)))</formula>
    </cfRule>
  </conditionalFormatting>
  <conditionalFormatting sqref="D5849">
    <cfRule type="containsText" dxfId="1094" priority="4277" operator="containsText" text="Pesquisa de Preços">
      <formula>NOT(ISERROR(SEARCH("Pesquisa de Preços",D5849)))</formula>
    </cfRule>
  </conditionalFormatting>
  <conditionalFormatting sqref="D5853">
    <cfRule type="containsText" dxfId="1093" priority="4276" operator="containsText" text="Pesquisa de Preços">
      <formula>NOT(ISERROR(SEARCH("Pesquisa de Preços",D5853)))</formula>
    </cfRule>
  </conditionalFormatting>
  <conditionalFormatting sqref="D5857">
    <cfRule type="containsText" dxfId="1092" priority="4275" operator="containsText" text="Pesquisa de Preços">
      <formula>NOT(ISERROR(SEARCH("Pesquisa de Preços",D5857)))</formula>
    </cfRule>
  </conditionalFormatting>
  <conditionalFormatting sqref="D5861">
    <cfRule type="containsText" dxfId="1091" priority="4274" operator="containsText" text="Pesquisa de Preços">
      <formula>NOT(ISERROR(SEARCH("Pesquisa de Preços",D5861)))</formula>
    </cfRule>
  </conditionalFormatting>
  <conditionalFormatting sqref="D5865">
    <cfRule type="containsText" dxfId="1090" priority="4273" operator="containsText" text="Pesquisa de Preços">
      <formula>NOT(ISERROR(SEARCH("Pesquisa de Preços",D5865)))</formula>
    </cfRule>
  </conditionalFormatting>
  <conditionalFormatting sqref="D5905">
    <cfRule type="containsText" dxfId="1089" priority="4263" operator="containsText" text="Pesquisa de Preços">
      <formula>NOT(ISERROR(SEARCH("Pesquisa de Preços",D5905)))</formula>
    </cfRule>
  </conditionalFormatting>
  <conditionalFormatting sqref="D5909">
    <cfRule type="containsText" dxfId="1088" priority="4262" operator="containsText" text="Pesquisa de Preços">
      <formula>NOT(ISERROR(SEARCH("Pesquisa de Preços",D5909)))</formula>
    </cfRule>
  </conditionalFormatting>
  <conditionalFormatting sqref="D5877">
    <cfRule type="containsText" dxfId="1087" priority="4270" operator="containsText" text="Pesquisa de Preços">
      <formula>NOT(ISERROR(SEARCH("Pesquisa de Preços",D5877)))</formula>
    </cfRule>
  </conditionalFormatting>
  <conditionalFormatting sqref="D5881">
    <cfRule type="containsText" dxfId="1086" priority="4269" operator="containsText" text="Pesquisa de Preços">
      <formula>NOT(ISERROR(SEARCH("Pesquisa de Preços",D5881)))</formula>
    </cfRule>
  </conditionalFormatting>
  <conditionalFormatting sqref="D5885">
    <cfRule type="containsText" dxfId="1085" priority="4268" operator="containsText" text="Pesquisa de Preços">
      <formula>NOT(ISERROR(SEARCH("Pesquisa de Preços",D5885)))</formula>
    </cfRule>
  </conditionalFormatting>
  <conditionalFormatting sqref="D5889">
    <cfRule type="containsText" dxfId="1084" priority="4267" operator="containsText" text="Pesquisa de Preços">
      <formula>NOT(ISERROR(SEARCH("Pesquisa de Preços",D5889)))</formula>
    </cfRule>
  </conditionalFormatting>
  <conditionalFormatting sqref="D5893">
    <cfRule type="containsText" dxfId="1083" priority="4266" operator="containsText" text="Pesquisa de Preços">
      <formula>NOT(ISERROR(SEARCH("Pesquisa de Preços",D5893)))</formula>
    </cfRule>
  </conditionalFormatting>
  <conditionalFormatting sqref="D5897">
    <cfRule type="containsText" dxfId="1082" priority="4265" operator="containsText" text="Pesquisa de Preços">
      <formula>NOT(ISERROR(SEARCH("Pesquisa de Preços",D5897)))</formula>
    </cfRule>
  </conditionalFormatting>
  <conditionalFormatting sqref="D5937">
    <cfRule type="containsText" dxfId="1081" priority="4255" operator="containsText" text="Pesquisa de Preços">
      <formula>NOT(ISERROR(SEARCH("Pesquisa de Preços",D5937)))</formula>
    </cfRule>
  </conditionalFormatting>
  <conditionalFormatting sqref="D5913">
    <cfRule type="containsText" dxfId="1080" priority="4261" operator="containsText" text="Pesquisa de Preços">
      <formula>NOT(ISERROR(SEARCH("Pesquisa de Preços",D5913)))</formula>
    </cfRule>
  </conditionalFormatting>
  <conditionalFormatting sqref="D5917">
    <cfRule type="containsText" dxfId="1079" priority="4260" operator="containsText" text="Pesquisa de Preços">
      <formula>NOT(ISERROR(SEARCH("Pesquisa de Preços",D5917)))</formula>
    </cfRule>
  </conditionalFormatting>
  <conditionalFormatting sqref="D5921">
    <cfRule type="containsText" dxfId="1078" priority="4259" operator="containsText" text="Pesquisa de Preços">
      <formula>NOT(ISERROR(SEARCH("Pesquisa de Preços",D5921)))</formula>
    </cfRule>
  </conditionalFormatting>
  <conditionalFormatting sqref="D5925">
    <cfRule type="containsText" dxfId="1077" priority="4258" operator="containsText" text="Pesquisa de Preços">
      <formula>NOT(ISERROR(SEARCH("Pesquisa de Preços",D5925)))</formula>
    </cfRule>
  </conditionalFormatting>
  <conditionalFormatting sqref="D5965 D5961 D5957">
    <cfRule type="containsText" dxfId="1076" priority="4248" operator="containsText" text="Pesquisa de Preços">
      <formula>NOT(ISERROR(SEARCH("Pesquisa de Preços",D5957)))</formula>
    </cfRule>
  </conditionalFormatting>
  <conditionalFormatting sqref="D5933">
    <cfRule type="containsText" dxfId="1075" priority="4256" operator="containsText" text="Pesquisa de Preços">
      <formula>NOT(ISERROR(SEARCH("Pesquisa de Preços",D5933)))</formula>
    </cfRule>
  </conditionalFormatting>
  <conditionalFormatting sqref="D5941">
    <cfRule type="containsText" dxfId="1074" priority="4254" operator="containsText" text="Pesquisa de Preços">
      <formula>NOT(ISERROR(SEARCH("Pesquisa de Preços",D5941)))</formula>
    </cfRule>
  </conditionalFormatting>
  <conditionalFormatting sqref="D5953">
    <cfRule type="containsText" dxfId="1073" priority="4251" operator="containsText" text="Pesquisa de Preços">
      <formula>NOT(ISERROR(SEARCH("Pesquisa de Preços",D5953)))</formula>
    </cfRule>
  </conditionalFormatting>
  <conditionalFormatting sqref="D6149">
    <cfRule type="containsText" dxfId="1072" priority="4208" operator="containsText" text="Pesquisa de Preços">
      <formula>NOT(ISERROR(SEARCH("Pesquisa de Preços",D6149)))</formula>
    </cfRule>
  </conditionalFormatting>
  <conditionalFormatting sqref="D5969">
    <cfRule type="containsText" dxfId="1071" priority="4247" operator="containsText" text="Pesquisa de Preços">
      <formula>NOT(ISERROR(SEARCH("Pesquisa de Preços",D5969)))</formula>
    </cfRule>
  </conditionalFormatting>
  <conditionalFormatting sqref="D5973">
    <cfRule type="containsText" dxfId="1070" priority="4246" operator="containsText" text="Pesquisa de Preços">
      <formula>NOT(ISERROR(SEARCH("Pesquisa de Preços",D5973)))</formula>
    </cfRule>
  </conditionalFormatting>
  <conditionalFormatting sqref="D6013">
    <cfRule type="containsText" dxfId="1069" priority="4236" operator="containsText" text="Pesquisa de Preços">
      <formula>NOT(ISERROR(SEARCH("Pesquisa de Preços",D6013)))</formula>
    </cfRule>
  </conditionalFormatting>
  <conditionalFormatting sqref="D5981">
    <cfRule type="containsText" dxfId="1068" priority="4244" operator="containsText" text="Pesquisa de Preços">
      <formula>NOT(ISERROR(SEARCH("Pesquisa de Preços",D5981)))</formula>
    </cfRule>
  </conditionalFormatting>
  <conditionalFormatting sqref="D5989 D5985">
    <cfRule type="containsText" dxfId="1067" priority="4242" operator="containsText" text="Pesquisa de Preços">
      <formula>NOT(ISERROR(SEARCH("Pesquisa de Preços",D5985)))</formula>
    </cfRule>
  </conditionalFormatting>
  <conditionalFormatting sqref="D5993">
    <cfRule type="containsText" dxfId="1066" priority="4241" operator="containsText" text="Pesquisa de Preços">
      <formula>NOT(ISERROR(SEARCH("Pesquisa de Preços",D5993)))</formula>
    </cfRule>
  </conditionalFormatting>
  <conditionalFormatting sqref="D5997">
    <cfRule type="containsText" dxfId="1065" priority="4240" operator="containsText" text="Pesquisa de Preços">
      <formula>NOT(ISERROR(SEARCH("Pesquisa de Preços",D5997)))</formula>
    </cfRule>
  </conditionalFormatting>
  <conditionalFormatting sqref="D6037">
    <cfRule type="containsText" dxfId="1064" priority="4230" operator="containsText" text="Pesquisa de Preços">
      <formula>NOT(ISERROR(SEARCH("Pesquisa de Preços",D6037)))</formula>
    </cfRule>
  </conditionalFormatting>
  <conditionalFormatting sqref="D6005">
    <cfRule type="containsText" dxfId="1063" priority="4238" operator="containsText" text="Pesquisa de Preços">
      <formula>NOT(ISERROR(SEARCH("Pesquisa de Preços",D6005)))</formula>
    </cfRule>
  </conditionalFormatting>
  <conditionalFormatting sqref="D6009">
    <cfRule type="containsText" dxfId="1062" priority="4237" operator="containsText" text="Pesquisa de Preços">
      <formula>NOT(ISERROR(SEARCH("Pesquisa de Preços",D6009)))</formula>
    </cfRule>
  </conditionalFormatting>
  <conditionalFormatting sqref="D6017">
    <cfRule type="containsText" dxfId="1061" priority="4235" operator="containsText" text="Pesquisa de Preços">
      <formula>NOT(ISERROR(SEARCH("Pesquisa de Preços",D6017)))</formula>
    </cfRule>
  </conditionalFormatting>
  <conditionalFormatting sqref="D6021">
    <cfRule type="containsText" dxfId="1060" priority="4234" operator="containsText" text="Pesquisa de Preços">
      <formula>NOT(ISERROR(SEARCH("Pesquisa de Preços",D6021)))</formula>
    </cfRule>
  </conditionalFormatting>
  <conditionalFormatting sqref="D6025">
    <cfRule type="containsText" dxfId="1059" priority="4233" operator="containsText" text="Pesquisa de Preços">
      <formula>NOT(ISERROR(SEARCH("Pesquisa de Preços",D6025)))</formula>
    </cfRule>
  </conditionalFormatting>
  <conditionalFormatting sqref="D6029">
    <cfRule type="containsText" dxfId="1058" priority="4232" operator="containsText" text="Pesquisa de Preços">
      <formula>NOT(ISERROR(SEARCH("Pesquisa de Preços",D6029)))</formula>
    </cfRule>
  </conditionalFormatting>
  <conditionalFormatting sqref="D6045">
    <cfRule type="containsText" dxfId="1057" priority="4228" operator="containsText" text="Pesquisa de Preços">
      <formula>NOT(ISERROR(SEARCH("Pesquisa de Preços",D6045)))</formula>
    </cfRule>
  </conditionalFormatting>
  <conditionalFormatting sqref="D6049">
    <cfRule type="containsText" dxfId="1056" priority="4227" operator="containsText" text="Pesquisa de Preços">
      <formula>NOT(ISERROR(SEARCH("Pesquisa de Preços",D6049)))</formula>
    </cfRule>
  </conditionalFormatting>
  <conditionalFormatting sqref="D6053">
    <cfRule type="containsText" dxfId="1055" priority="4226" operator="containsText" text="Pesquisa de Preços">
      <formula>NOT(ISERROR(SEARCH("Pesquisa de Preços",D6053)))</formula>
    </cfRule>
  </conditionalFormatting>
  <conditionalFormatting sqref="D6065">
    <cfRule type="containsText" dxfId="1054" priority="4225" operator="containsText" text="Pesquisa de Preços">
      <formula>NOT(ISERROR(SEARCH("Pesquisa de Preços",D6065)))</formula>
    </cfRule>
  </conditionalFormatting>
  <conditionalFormatting sqref="D6069">
    <cfRule type="containsText" dxfId="1053" priority="4224" operator="containsText" text="Pesquisa de Preços">
      <formula>NOT(ISERROR(SEARCH("Pesquisa de Preços",D6069)))</formula>
    </cfRule>
  </conditionalFormatting>
  <conditionalFormatting sqref="D6073">
    <cfRule type="containsText" dxfId="1052" priority="4223" operator="containsText" text="Pesquisa de Preços">
      <formula>NOT(ISERROR(SEARCH("Pesquisa de Preços",D6073)))</formula>
    </cfRule>
  </conditionalFormatting>
  <conditionalFormatting sqref="D6081">
    <cfRule type="containsText" dxfId="1051" priority="4221" operator="containsText" text="Pesquisa de Preços">
      <formula>NOT(ISERROR(SEARCH("Pesquisa de Preços",D6081)))</formula>
    </cfRule>
  </conditionalFormatting>
  <conditionalFormatting sqref="D6085">
    <cfRule type="containsText" dxfId="1050" priority="4220" operator="containsText" text="Pesquisa de Preços">
      <formula>NOT(ISERROR(SEARCH("Pesquisa de Preços",D6085)))</formula>
    </cfRule>
  </conditionalFormatting>
  <conditionalFormatting sqref="D6089">
    <cfRule type="containsText" dxfId="1049" priority="4219" operator="containsText" text="Pesquisa de Preços">
      <formula>NOT(ISERROR(SEARCH("Pesquisa de Preços",D6089)))</formula>
    </cfRule>
  </conditionalFormatting>
  <conditionalFormatting sqref="D6093">
    <cfRule type="containsText" dxfId="1048" priority="4218" operator="containsText" text="Pesquisa de Preços">
      <formula>NOT(ISERROR(SEARCH("Pesquisa de Preços",D6093)))</formula>
    </cfRule>
  </conditionalFormatting>
  <conditionalFormatting sqref="D6097">
    <cfRule type="containsText" dxfId="1047" priority="4217" operator="containsText" text="Pesquisa de Preços">
      <formula>NOT(ISERROR(SEARCH("Pesquisa de Preços",D6097)))</formula>
    </cfRule>
  </conditionalFormatting>
  <conditionalFormatting sqref="D6101">
    <cfRule type="containsText" dxfId="1046" priority="4216" operator="containsText" text="Pesquisa de Preços">
      <formula>NOT(ISERROR(SEARCH("Pesquisa de Preços",D6101)))</formula>
    </cfRule>
  </conditionalFormatting>
  <conditionalFormatting sqref="D6105">
    <cfRule type="containsText" dxfId="1045" priority="4215" operator="containsText" text="Pesquisa de Preços">
      <formula>NOT(ISERROR(SEARCH("Pesquisa de Preços",D6105)))</formula>
    </cfRule>
  </conditionalFormatting>
  <conditionalFormatting sqref="D6109">
    <cfRule type="containsText" dxfId="1044" priority="4214" operator="containsText" text="Pesquisa de Preços">
      <formula>NOT(ISERROR(SEARCH("Pesquisa de Preços",D6109)))</formula>
    </cfRule>
  </conditionalFormatting>
  <conditionalFormatting sqref="D6113">
    <cfRule type="containsText" dxfId="1043" priority="4213" operator="containsText" text="Pesquisa de Preços">
      <formula>NOT(ISERROR(SEARCH("Pesquisa de Preços",D6113)))</formula>
    </cfRule>
  </conditionalFormatting>
  <conditionalFormatting sqref="D6117">
    <cfRule type="containsText" dxfId="1042" priority="4212" operator="containsText" text="Pesquisa de Preços">
      <formula>NOT(ISERROR(SEARCH("Pesquisa de Preços",D6117)))</formula>
    </cfRule>
  </conditionalFormatting>
  <conditionalFormatting sqref="D6121">
    <cfRule type="containsText" dxfId="1041" priority="4211" operator="containsText" text="Pesquisa de Preços">
      <formula>NOT(ISERROR(SEARCH("Pesquisa de Preços",D6121)))</formula>
    </cfRule>
  </conditionalFormatting>
  <conditionalFormatting sqref="D6137">
    <cfRule type="containsText" dxfId="1040" priority="4210" operator="containsText" text="Pesquisa de Preços">
      <formula>NOT(ISERROR(SEARCH("Pesquisa de Preços",D6137)))</formula>
    </cfRule>
  </conditionalFormatting>
  <conditionalFormatting sqref="D6145">
    <cfRule type="containsText" dxfId="1039" priority="4209" operator="containsText" text="Pesquisa de Preços">
      <formula>NOT(ISERROR(SEARCH("Pesquisa de Preços",D6145)))</formula>
    </cfRule>
  </conditionalFormatting>
  <conditionalFormatting sqref="E119">
    <cfRule type="containsText" dxfId="1038" priority="4203" operator="containsText" text="Pesquisa de Preços">
      <formula>NOT(ISERROR(SEARCH("Pesquisa de Preços",E119)))</formula>
    </cfRule>
  </conditionalFormatting>
  <conditionalFormatting sqref="E120">
    <cfRule type="containsText" dxfId="1037" priority="4202" operator="containsText" text="Pesquisa de Preços">
      <formula>NOT(ISERROR(SEARCH("Pesquisa de Preços",E120)))</formula>
    </cfRule>
  </conditionalFormatting>
  <conditionalFormatting sqref="E693:E694">
    <cfRule type="containsText" dxfId="1036" priority="4195" operator="containsText" text="Pesquisa de Preços">
      <formula>NOT(ISERROR(SEARCH("Pesquisa de Preços",E693)))</formula>
    </cfRule>
  </conditionalFormatting>
  <conditionalFormatting sqref="E861">
    <cfRule type="containsText" dxfId="1035" priority="4191" operator="containsText" text="Pesquisa de Preços">
      <formula>NOT(ISERROR(SEARCH("Pesquisa de Preços",E861)))</formula>
    </cfRule>
  </conditionalFormatting>
  <conditionalFormatting sqref="E865">
    <cfRule type="containsText" dxfId="1034" priority="4189" operator="containsText" text="Pesquisa de Preços">
      <formula>NOT(ISERROR(SEARCH("Pesquisa de Preços",E865)))</formula>
    </cfRule>
  </conditionalFormatting>
  <conditionalFormatting sqref="E878">
    <cfRule type="containsText" dxfId="1033" priority="4185" operator="containsText" text="Pesquisa de Preços">
      <formula>NOT(ISERROR(SEARCH("Pesquisa de Preços",E878)))</formula>
    </cfRule>
  </conditionalFormatting>
  <conditionalFormatting sqref="E884">
    <cfRule type="containsText" dxfId="1032" priority="4180" operator="containsText" text="Pesquisa de Preços">
      <formula>NOT(ISERROR(SEARCH("Pesquisa de Preços",E884)))</formula>
    </cfRule>
  </conditionalFormatting>
  <conditionalFormatting sqref="E885 E889">
    <cfRule type="containsText" dxfId="1031" priority="4181" operator="containsText" text="Pesquisa de Preços">
      <formula>NOT(ISERROR(SEARCH("Pesquisa de Preços",E885)))</formula>
    </cfRule>
  </conditionalFormatting>
  <conditionalFormatting sqref="E886">
    <cfRule type="containsText" dxfId="1030" priority="4175" operator="containsText" text="Pesquisa de Preços">
      <formula>NOT(ISERROR(SEARCH("Pesquisa de Preços",E886)))</formula>
    </cfRule>
  </conditionalFormatting>
  <conditionalFormatting sqref="D5274">
    <cfRule type="containsText" dxfId="1029" priority="4160" operator="containsText" text="Pesquisa de Preços">
      <formula>NOT(ISERROR(SEARCH("Pesquisa de Preços",D5274)))</formula>
    </cfRule>
  </conditionalFormatting>
  <conditionalFormatting sqref="D5275">
    <cfRule type="containsText" dxfId="1028" priority="4164" operator="containsText" text="Pesquisa de Preços">
      <formula>NOT(ISERROR(SEARCH("Pesquisa de Preços",D5275)))</formula>
    </cfRule>
  </conditionalFormatting>
  <conditionalFormatting sqref="D5273">
    <cfRule type="containsText" dxfId="1027" priority="4161" operator="containsText" text="Pesquisa de Preços">
      <formula>NOT(ISERROR(SEARCH("Pesquisa de Preços",D5273)))</formula>
    </cfRule>
  </conditionalFormatting>
  <conditionalFormatting sqref="D5263">
    <cfRule type="containsText" dxfId="1026" priority="4131" operator="containsText" text="Pesquisa de Preços">
      <formula>NOT(ISERROR(SEARCH("Pesquisa de Preços",D5263)))</formula>
    </cfRule>
  </conditionalFormatting>
  <conditionalFormatting sqref="D5384 D5390 D5422 D5360:E5360 D5353:E5353">
    <cfRule type="containsText" dxfId="1025" priority="4119" operator="containsText" text="Pesquisa de Preços">
      <formula>NOT(ISERROR(SEARCH("Pesquisa de Preços",D5353)))</formula>
    </cfRule>
  </conditionalFormatting>
  <conditionalFormatting sqref="D5324">
    <cfRule type="containsText" dxfId="1024" priority="4109" operator="containsText" text="Pesquisa de Preços">
      <formula>NOT(ISERROR(SEARCH("Pesquisa de Preços",D5324)))</formula>
    </cfRule>
  </conditionalFormatting>
  <conditionalFormatting sqref="D5322">
    <cfRule type="containsText" dxfId="1023" priority="4116" operator="containsText" text="Pesquisa de Preços">
      <formula>NOT(ISERROR(SEARCH("Pesquisa de Preços",D5322)))</formula>
    </cfRule>
  </conditionalFormatting>
  <conditionalFormatting sqref="D5318">
    <cfRule type="containsText" dxfId="1022" priority="4098" operator="containsText" text="Pesquisa de Preços">
      <formula>NOT(ISERROR(SEARCH("Pesquisa de Preços",D5318)))</formula>
    </cfRule>
  </conditionalFormatting>
  <conditionalFormatting sqref="D5316">
    <cfRule type="containsText" dxfId="1021" priority="4105" operator="containsText" text="Pesquisa de Preços">
      <formula>NOT(ISERROR(SEARCH("Pesquisa de Preços",D5316)))</formula>
    </cfRule>
  </conditionalFormatting>
  <conditionalFormatting sqref="D5336">
    <cfRule type="containsText" dxfId="1020" priority="4087" operator="containsText" text="Pesquisa de Preços">
      <formula>NOT(ISERROR(SEARCH("Pesquisa de Preços",D5336)))</formula>
    </cfRule>
  </conditionalFormatting>
  <conditionalFormatting sqref="D5334">
    <cfRule type="containsText" dxfId="1019" priority="4094" operator="containsText" text="Pesquisa de Preços">
      <formula>NOT(ISERROR(SEARCH("Pesquisa de Preços",D5334)))</formula>
    </cfRule>
  </conditionalFormatting>
  <conditionalFormatting sqref="D5330">
    <cfRule type="containsText" dxfId="1018" priority="4076" operator="containsText" text="Pesquisa de Preços">
      <formula>NOT(ISERROR(SEARCH("Pesquisa de Preços",D5330)))</formula>
    </cfRule>
  </conditionalFormatting>
  <conditionalFormatting sqref="D5328">
    <cfRule type="containsText" dxfId="1017" priority="4083" operator="containsText" text="Pesquisa de Preços">
      <formula>NOT(ISERROR(SEARCH("Pesquisa de Preços",D5328)))</formula>
    </cfRule>
  </conditionalFormatting>
  <conditionalFormatting sqref="D5340">
    <cfRule type="containsText" dxfId="1016" priority="4072" operator="containsText" text="Pesquisa de Preços">
      <formula>NOT(ISERROR(SEARCH("Pesquisa de Preços",D5340)))</formula>
    </cfRule>
  </conditionalFormatting>
  <conditionalFormatting sqref="D5341 D5346">
    <cfRule type="containsText" dxfId="1015" priority="4071" operator="containsText" text="Pesquisa de Preços">
      <formula>NOT(ISERROR(SEARCH("Pesquisa de Preços",D5341)))</formula>
    </cfRule>
  </conditionalFormatting>
  <conditionalFormatting sqref="E5341:E5342 E5345:E5346">
    <cfRule type="containsText" dxfId="1014" priority="4069" operator="containsText" text="Pesquisa de Preços">
      <formula>NOT(ISERROR(SEARCH("Pesquisa de Preços",E5341)))</formula>
    </cfRule>
  </conditionalFormatting>
  <conditionalFormatting sqref="E5340">
    <cfRule type="containsText" dxfId="1013" priority="4068" operator="containsText" text="Pesquisa de Preços">
      <formula>NOT(ISERROR(SEARCH("Pesquisa de Preços",E5340)))</formula>
    </cfRule>
  </conditionalFormatting>
  <conditionalFormatting sqref="E5343:E5344">
    <cfRule type="containsText" dxfId="1012" priority="4067" operator="containsText" text="Pesquisa de Preços">
      <formula>NOT(ISERROR(SEARCH("Pesquisa de Preços",E5343)))</formula>
    </cfRule>
  </conditionalFormatting>
  <conditionalFormatting sqref="D5312">
    <cfRule type="containsText" dxfId="1011" priority="4059" operator="containsText" text="Pesquisa de Preços">
      <formula>NOT(ISERROR(SEARCH("Pesquisa de Preços",D5312)))</formula>
    </cfRule>
  </conditionalFormatting>
  <conditionalFormatting sqref="D5310">
    <cfRule type="containsText" dxfId="1010" priority="4060" operator="containsText" text="Pesquisa de Preços">
      <formula>NOT(ISERROR(SEARCH("Pesquisa de Preços",D5310)))</formula>
    </cfRule>
  </conditionalFormatting>
  <conditionalFormatting sqref="D5347">
    <cfRule type="containsText" dxfId="1009" priority="4055" operator="containsText" text="Pesquisa de Preços">
      <formula>NOT(ISERROR(SEARCH("Pesquisa de Preços",D5347)))</formula>
    </cfRule>
  </conditionalFormatting>
  <conditionalFormatting sqref="D5348">
    <cfRule type="containsText" dxfId="1008" priority="4054" operator="containsText" text="Pesquisa de Preços">
      <formula>NOT(ISERROR(SEARCH("Pesquisa de Preços",D5348)))</formula>
    </cfRule>
  </conditionalFormatting>
  <conditionalFormatting sqref="E5348:E5349">
    <cfRule type="containsText" dxfId="1007" priority="4052" operator="containsText" text="Pesquisa de Preços">
      <formula>NOT(ISERROR(SEARCH("Pesquisa de Preços",E5348)))</formula>
    </cfRule>
  </conditionalFormatting>
  <conditionalFormatting sqref="E5347">
    <cfRule type="containsText" dxfId="1006" priority="4051" operator="containsText" text="Pesquisa de Preços">
      <formula>NOT(ISERROR(SEARCH("Pesquisa de Preços",E5347)))</formula>
    </cfRule>
  </conditionalFormatting>
  <conditionalFormatting sqref="E5350">
    <cfRule type="containsText" dxfId="1005" priority="4050" operator="containsText" text="Pesquisa de Preços">
      <formula>NOT(ISERROR(SEARCH("Pesquisa de Preços",E5350)))</formula>
    </cfRule>
  </conditionalFormatting>
  <conditionalFormatting sqref="D5354">
    <cfRule type="containsText" dxfId="1004" priority="4045" operator="containsText" text="Pesquisa de Preços">
      <formula>NOT(ISERROR(SEARCH("Pesquisa de Preços",D5354)))</formula>
    </cfRule>
  </conditionalFormatting>
  <conditionalFormatting sqref="D5355">
    <cfRule type="containsText" dxfId="1003" priority="4044" operator="containsText" text="Pesquisa de Preços">
      <formula>NOT(ISERROR(SEARCH("Pesquisa de Preços",D5355)))</formula>
    </cfRule>
  </conditionalFormatting>
  <conditionalFormatting sqref="E5355:E5356">
    <cfRule type="containsText" dxfId="1002" priority="4042" operator="containsText" text="Pesquisa de Preços">
      <formula>NOT(ISERROR(SEARCH("Pesquisa de Preços",E5355)))</formula>
    </cfRule>
  </conditionalFormatting>
  <conditionalFormatting sqref="E5354">
    <cfRule type="containsText" dxfId="1001" priority="4041" operator="containsText" text="Pesquisa de Preços">
      <formula>NOT(ISERROR(SEARCH("Pesquisa de Preços",E5354)))</formula>
    </cfRule>
  </conditionalFormatting>
  <conditionalFormatting sqref="E5357:E5358">
    <cfRule type="containsText" dxfId="1000" priority="4040" operator="containsText" text="Pesquisa de Preços">
      <formula>NOT(ISERROR(SEARCH("Pesquisa de Preços",E5357)))</formula>
    </cfRule>
  </conditionalFormatting>
  <conditionalFormatting sqref="E5352">
    <cfRule type="containsText" dxfId="999" priority="4037" operator="containsText" text="Pesquisa de Preços">
      <formula>NOT(ISERROR(SEARCH("Pesquisa de Preços",E5352)))</formula>
    </cfRule>
  </conditionalFormatting>
  <conditionalFormatting sqref="D5359">
    <cfRule type="containsText" dxfId="998" priority="4036" operator="containsText" text="Pesquisa de Preços">
      <formula>NOT(ISERROR(SEARCH("Pesquisa de Preços",D5359)))</formula>
    </cfRule>
  </conditionalFormatting>
  <conditionalFormatting sqref="E5359">
    <cfRule type="containsText" dxfId="997" priority="4035" operator="containsText" text="Pesquisa de Preços">
      <formula>NOT(ISERROR(SEARCH("Pesquisa de Preços",E5359)))</formula>
    </cfRule>
  </conditionalFormatting>
  <conditionalFormatting sqref="E5351">
    <cfRule type="containsText" dxfId="996" priority="4023" operator="containsText" text="Pesquisa de Preços">
      <formula>NOT(ISERROR(SEARCH("Pesquisa de Preços",E5351)))</formula>
    </cfRule>
  </conditionalFormatting>
  <conditionalFormatting sqref="D5352">
    <cfRule type="containsText" dxfId="995" priority="4020" operator="containsText" text="Pesquisa de Preços">
      <formula>NOT(ISERROR(SEARCH("Pesquisa de Preços",D5352)))</formula>
    </cfRule>
  </conditionalFormatting>
  <conditionalFormatting sqref="E5375">
    <cfRule type="containsText" dxfId="994" priority="3989" operator="containsText" text="Pesquisa de Preços">
      <formula>NOT(ISERROR(SEARCH("Pesquisa de Preços",E5375)))</formula>
    </cfRule>
  </conditionalFormatting>
  <conditionalFormatting sqref="D5361">
    <cfRule type="containsText" dxfId="993" priority="4017" operator="containsText" text="Pesquisa de Preços">
      <formula>NOT(ISERROR(SEARCH("Pesquisa de Preços",D5361)))</formula>
    </cfRule>
  </conditionalFormatting>
  <conditionalFormatting sqref="D5363">
    <cfRule type="containsText" dxfId="992" priority="4007" operator="containsText" text="Pesquisa de Preços">
      <formula>NOT(ISERROR(SEARCH("Pesquisa de Preços",D5363)))</formula>
    </cfRule>
  </conditionalFormatting>
  <conditionalFormatting sqref="E5363">
    <cfRule type="containsText" dxfId="991" priority="4006" operator="containsText" text="Pesquisa de Preços">
      <formula>NOT(ISERROR(SEARCH("Pesquisa de Preços",E5363)))</formula>
    </cfRule>
  </conditionalFormatting>
  <conditionalFormatting sqref="D5367">
    <cfRule type="containsText" dxfId="990" priority="4003" operator="containsText" text="Pesquisa de Preços">
      <formula>NOT(ISERROR(SEARCH("Pesquisa de Preços",D5367)))</formula>
    </cfRule>
  </conditionalFormatting>
  <conditionalFormatting sqref="D5368 D5372">
    <cfRule type="containsText" dxfId="989" priority="4002" operator="containsText" text="Pesquisa de Preços">
      <formula>NOT(ISERROR(SEARCH("Pesquisa de Preços",D5368)))</formula>
    </cfRule>
  </conditionalFormatting>
  <conditionalFormatting sqref="D5369">
    <cfRule type="containsText" dxfId="988" priority="4001" operator="containsText" text="Pesquisa de Preços">
      <formula>NOT(ISERROR(SEARCH("Pesquisa de Preços",D5369)))</formula>
    </cfRule>
  </conditionalFormatting>
  <conditionalFormatting sqref="E5372">
    <cfRule type="containsText" dxfId="987" priority="3999" operator="containsText" text="Pesquisa de Preços">
      <formula>NOT(ISERROR(SEARCH("Pesquisa de Preços",E5372)))</formula>
    </cfRule>
  </conditionalFormatting>
  <conditionalFormatting sqref="D5373">
    <cfRule type="containsText" dxfId="986" priority="3996" operator="containsText" text="Pesquisa de Preços">
      <formula>NOT(ISERROR(SEARCH("Pesquisa de Preços",D5373)))</formula>
    </cfRule>
  </conditionalFormatting>
  <conditionalFormatting sqref="D5374 D5378:D5379">
    <cfRule type="containsText" dxfId="985" priority="3995" operator="containsText" text="Pesquisa de Preços">
      <formula>NOT(ISERROR(SEARCH("Pesquisa de Preços",D5374)))</formula>
    </cfRule>
  </conditionalFormatting>
  <conditionalFormatting sqref="D5377">
    <cfRule type="containsText" dxfId="984" priority="3992" operator="containsText" text="Pesquisa de Preços">
      <formula>NOT(ISERROR(SEARCH("Pesquisa de Preços",D5377)))</formula>
    </cfRule>
  </conditionalFormatting>
  <conditionalFormatting sqref="E5373">
    <cfRule type="containsText" dxfId="983" priority="3990" operator="containsText" text="Pesquisa de Preços">
      <formula>NOT(ISERROR(SEARCH("Pesquisa de Preços",E5373)))</formula>
    </cfRule>
  </conditionalFormatting>
  <conditionalFormatting sqref="E5374 E5378:E5379">
    <cfRule type="containsText" dxfId="982" priority="3991" operator="containsText" text="Pesquisa de Preços">
      <formula>NOT(ISERROR(SEARCH("Pesquisa de Preços",E5374)))</formula>
    </cfRule>
  </conditionalFormatting>
  <conditionalFormatting sqref="E5377">
    <cfRule type="containsText" dxfId="981" priority="3988" operator="containsText" text="Pesquisa de Preços">
      <formula>NOT(ISERROR(SEARCH("Pesquisa de Preços",E5377)))</formula>
    </cfRule>
  </conditionalFormatting>
  <conditionalFormatting sqref="E5382">
    <cfRule type="containsText" dxfId="980" priority="3979" operator="containsText" text="Pesquisa de Preços">
      <formula>NOT(ISERROR(SEARCH("Pesquisa de Preços",E5382)))</formula>
    </cfRule>
  </conditionalFormatting>
  <conditionalFormatting sqref="D5380">
    <cfRule type="containsText" dxfId="979" priority="3985" operator="containsText" text="Pesquisa de Preços">
      <formula>NOT(ISERROR(SEARCH("Pesquisa de Preços",D5380)))</formula>
    </cfRule>
  </conditionalFormatting>
  <conditionalFormatting sqref="D5381 D5385">
    <cfRule type="containsText" dxfId="978" priority="3984" operator="containsText" text="Pesquisa de Preços">
      <formula>NOT(ISERROR(SEARCH("Pesquisa de Preços",D5381)))</formula>
    </cfRule>
  </conditionalFormatting>
  <conditionalFormatting sqref="E5387 E5391">
    <cfRule type="containsText" dxfId="977" priority="3972" operator="containsText" text="Pesquisa de Preços">
      <formula>NOT(ISERROR(SEARCH("Pesquisa de Preços",E5387)))</formula>
    </cfRule>
  </conditionalFormatting>
  <conditionalFormatting sqref="E5380">
    <cfRule type="containsText" dxfId="976" priority="3980" operator="containsText" text="Pesquisa de Preços">
      <formula>NOT(ISERROR(SEARCH("Pesquisa de Preços",E5380)))</formula>
    </cfRule>
  </conditionalFormatting>
  <conditionalFormatting sqref="E5381 E5385">
    <cfRule type="containsText" dxfId="975" priority="3981" operator="containsText" text="Pesquisa de Preços">
      <formula>NOT(ISERROR(SEARCH("Pesquisa de Preços",E5381)))</formula>
    </cfRule>
  </conditionalFormatting>
  <conditionalFormatting sqref="E5388">
    <cfRule type="containsText" dxfId="974" priority="3970" operator="containsText" text="Pesquisa de Preços">
      <formula>NOT(ISERROR(SEARCH("Pesquisa de Preços",E5388)))</formula>
    </cfRule>
  </conditionalFormatting>
  <conditionalFormatting sqref="D5386">
    <cfRule type="containsText" dxfId="973" priority="3976" operator="containsText" text="Pesquisa de Preços">
      <formula>NOT(ISERROR(SEARCH("Pesquisa de Preços",D5386)))</formula>
    </cfRule>
  </conditionalFormatting>
  <conditionalFormatting sqref="D5387 D5391">
    <cfRule type="containsText" dxfId="972" priority="3975" operator="containsText" text="Pesquisa de Preços">
      <formula>NOT(ISERROR(SEARCH("Pesquisa de Preços",D5387)))</formula>
    </cfRule>
  </conditionalFormatting>
  <conditionalFormatting sqref="E5386">
    <cfRule type="containsText" dxfId="971" priority="3971" operator="containsText" text="Pesquisa de Preços">
      <formula>NOT(ISERROR(SEARCH("Pesquisa de Preços",E5386)))</formula>
    </cfRule>
  </conditionalFormatting>
  <conditionalFormatting sqref="D5392">
    <cfRule type="containsText" dxfId="970" priority="3967" operator="containsText" text="Pesquisa de Preços">
      <formula>NOT(ISERROR(SEARCH("Pesquisa de Preços",D5392)))</formula>
    </cfRule>
  </conditionalFormatting>
  <conditionalFormatting sqref="D5399 D5393:D5394">
    <cfRule type="containsText" dxfId="969" priority="3966" operator="containsText" text="Pesquisa de Preços">
      <formula>NOT(ISERROR(SEARCH("Pesquisa de Preços",D5393)))</formula>
    </cfRule>
  </conditionalFormatting>
  <conditionalFormatting sqref="E5392">
    <cfRule type="containsText" dxfId="968" priority="3964" operator="containsText" text="Pesquisa de Preços">
      <formula>NOT(ISERROR(SEARCH("Pesquisa de Preços",E5392)))</formula>
    </cfRule>
  </conditionalFormatting>
  <conditionalFormatting sqref="E5393 E5399">
    <cfRule type="containsText" dxfId="967" priority="3965" operator="containsText" text="Pesquisa de Preços">
      <formula>NOT(ISERROR(SEARCH("Pesquisa de Preços",E5393)))</formula>
    </cfRule>
  </conditionalFormatting>
  <conditionalFormatting sqref="E5394">
    <cfRule type="containsText" dxfId="966" priority="3963" operator="containsText" text="Pesquisa de Preços">
      <formula>NOT(ISERROR(SEARCH("Pesquisa de Preços",E5394)))</formula>
    </cfRule>
  </conditionalFormatting>
  <conditionalFormatting sqref="D5400">
    <cfRule type="containsText" dxfId="965" priority="3960" operator="containsText" text="Pesquisa de Preços">
      <formula>NOT(ISERROR(SEARCH("Pesquisa de Preços",D5400)))</formula>
    </cfRule>
  </conditionalFormatting>
  <conditionalFormatting sqref="D5407 D5401">
    <cfRule type="containsText" dxfId="964" priority="3959" operator="containsText" text="Pesquisa de Preços">
      <formula>NOT(ISERROR(SEARCH("Pesquisa de Preços",D5401)))</formula>
    </cfRule>
  </conditionalFormatting>
  <conditionalFormatting sqref="E5400">
    <cfRule type="containsText" dxfId="963" priority="3957" operator="containsText" text="Pesquisa de Preços">
      <formula>NOT(ISERROR(SEARCH("Pesquisa de Preços",E5400)))</formula>
    </cfRule>
  </conditionalFormatting>
  <conditionalFormatting sqref="E5401 E5407">
    <cfRule type="containsText" dxfId="962" priority="3958" operator="containsText" text="Pesquisa de Preços">
      <formula>NOT(ISERROR(SEARCH("Pesquisa de Preços",E5401)))</formula>
    </cfRule>
  </conditionalFormatting>
  <conditionalFormatting sqref="E5402">
    <cfRule type="containsText" dxfId="961" priority="3956" operator="containsText" text="Pesquisa de Preços">
      <formula>NOT(ISERROR(SEARCH("Pesquisa de Preços",E5402)))</formula>
    </cfRule>
  </conditionalFormatting>
  <conditionalFormatting sqref="D5408">
    <cfRule type="containsText" dxfId="960" priority="3953" operator="containsText" text="Pesquisa de Preços">
      <formula>NOT(ISERROR(SEARCH("Pesquisa de Preços",D5408)))</formula>
    </cfRule>
  </conditionalFormatting>
  <conditionalFormatting sqref="D5415 D5409">
    <cfRule type="containsText" dxfId="959" priority="3952" operator="containsText" text="Pesquisa de Preços">
      <formula>NOT(ISERROR(SEARCH("Pesquisa de Preços",D5409)))</formula>
    </cfRule>
  </conditionalFormatting>
  <conditionalFormatting sqref="E5408">
    <cfRule type="containsText" dxfId="958" priority="3950" operator="containsText" text="Pesquisa de Preços">
      <formula>NOT(ISERROR(SEARCH("Pesquisa de Preços",E5408)))</formula>
    </cfRule>
  </conditionalFormatting>
  <conditionalFormatting sqref="E5409 E5415">
    <cfRule type="containsText" dxfId="957" priority="3951" operator="containsText" text="Pesquisa de Preços">
      <formula>NOT(ISERROR(SEARCH("Pesquisa de Preços",E5409)))</formula>
    </cfRule>
  </conditionalFormatting>
  <conditionalFormatting sqref="E5410">
    <cfRule type="containsText" dxfId="956" priority="3949" operator="containsText" text="Pesquisa de Preços">
      <formula>NOT(ISERROR(SEARCH("Pesquisa de Preços",E5410)))</formula>
    </cfRule>
  </conditionalFormatting>
  <conditionalFormatting sqref="D5416">
    <cfRule type="containsText" dxfId="955" priority="3948" operator="containsText" text="Pesquisa de Preços">
      <formula>NOT(ISERROR(SEARCH("Pesquisa de Preços",D5416)))</formula>
    </cfRule>
  </conditionalFormatting>
  <conditionalFormatting sqref="D5417">
    <cfRule type="containsText" dxfId="954" priority="3947" operator="containsText" text="Pesquisa de Preços">
      <formula>NOT(ISERROR(SEARCH("Pesquisa de Preços",D5417)))</formula>
    </cfRule>
  </conditionalFormatting>
  <conditionalFormatting sqref="E5416">
    <cfRule type="containsText" dxfId="953" priority="3945" operator="containsText" text="Pesquisa de Preços">
      <formula>NOT(ISERROR(SEARCH("Pesquisa de Preços",E5416)))</formula>
    </cfRule>
  </conditionalFormatting>
  <conditionalFormatting sqref="E5417 E5422">
    <cfRule type="containsText" dxfId="952" priority="3946" operator="containsText" text="Pesquisa de Preços">
      <formula>NOT(ISERROR(SEARCH("Pesquisa de Preços",E5417)))</formula>
    </cfRule>
  </conditionalFormatting>
  <conditionalFormatting sqref="E5418">
    <cfRule type="containsText" dxfId="951" priority="3944" operator="containsText" text="Pesquisa de Preços">
      <formula>NOT(ISERROR(SEARCH("Pesquisa de Preços",E5418)))</formula>
    </cfRule>
  </conditionalFormatting>
  <conditionalFormatting sqref="D5432">
    <cfRule type="containsText" dxfId="950" priority="3943" operator="containsText" text="Pesquisa de Preços">
      <formula>NOT(ISERROR(SEARCH("Pesquisa de Preços",D5432)))</formula>
    </cfRule>
  </conditionalFormatting>
  <conditionalFormatting sqref="D5423">
    <cfRule type="containsText" dxfId="949" priority="3940" operator="containsText" text="Pesquisa de Preços">
      <formula>NOT(ISERROR(SEARCH("Pesquisa de Preços",D5423)))</formula>
    </cfRule>
  </conditionalFormatting>
  <conditionalFormatting sqref="D5426">
    <cfRule type="containsText" dxfId="948" priority="3937" operator="containsText" text="Pesquisa de Preços">
      <formula>NOT(ISERROR(SEARCH("Pesquisa de Preços",D5426)))</formula>
    </cfRule>
  </conditionalFormatting>
  <conditionalFormatting sqref="D5424">
    <cfRule type="containsText" dxfId="947" priority="3939" operator="containsText" text="Pesquisa de Preços">
      <formula>NOT(ISERROR(SEARCH("Pesquisa de Preços",D5424)))</formula>
    </cfRule>
  </conditionalFormatting>
  <conditionalFormatting sqref="E5432">
    <cfRule type="containsText" dxfId="946" priority="3936" operator="containsText" text="Pesquisa de Preços">
      <formula>NOT(ISERROR(SEARCH("Pesquisa de Preços",E5432)))</formula>
    </cfRule>
  </conditionalFormatting>
  <conditionalFormatting sqref="D5430">
    <cfRule type="containsText" dxfId="945" priority="3935" operator="containsText" text="Pesquisa de Preços">
      <formula>NOT(ISERROR(SEARCH("Pesquisa de Preços",D5430)))</formula>
    </cfRule>
  </conditionalFormatting>
  <conditionalFormatting sqref="D5429">
    <cfRule type="containsText" dxfId="944" priority="3931" operator="containsText" text="Pesquisa de Preços">
      <formula>NOT(ISERROR(SEARCH("Pesquisa de Preços",D5429)))</formula>
    </cfRule>
  </conditionalFormatting>
  <conditionalFormatting sqref="D5431">
    <cfRule type="containsText" dxfId="943" priority="3930" operator="containsText" text="Pesquisa de Preços">
      <formula>NOT(ISERROR(SEARCH("Pesquisa de Preços",D5431)))</formula>
    </cfRule>
  </conditionalFormatting>
  <conditionalFormatting sqref="D5438">
    <cfRule type="containsText" dxfId="942" priority="3914" operator="containsText" text="Pesquisa de Preços">
      <formula>NOT(ISERROR(SEARCH("Pesquisa de Preços",D5438)))</formula>
    </cfRule>
  </conditionalFormatting>
  <conditionalFormatting sqref="D5443">
    <cfRule type="containsText" dxfId="941" priority="3912" operator="containsText" text="Pesquisa de Preços">
      <formula>NOT(ISERROR(SEARCH("Pesquisa de Preços",D5443)))</formula>
    </cfRule>
  </conditionalFormatting>
  <conditionalFormatting sqref="D5442">
    <cfRule type="containsText" dxfId="940" priority="3908" operator="containsText" text="Pesquisa de Preços">
      <formula>NOT(ISERROR(SEARCH("Pesquisa de Preços",D5442)))</formula>
    </cfRule>
  </conditionalFormatting>
  <conditionalFormatting sqref="D5444">
    <cfRule type="containsText" dxfId="939" priority="3925" operator="containsText" text="Pesquisa de Preços">
      <formula>NOT(ISERROR(SEARCH("Pesquisa de Preços",D5444)))</formula>
    </cfRule>
  </conditionalFormatting>
  <conditionalFormatting sqref="D5433">
    <cfRule type="containsText" dxfId="938" priority="3922" operator="containsText" text="Pesquisa de Preços">
      <formula>NOT(ISERROR(SEARCH("Pesquisa de Preços",D5433)))</formula>
    </cfRule>
  </conditionalFormatting>
  <conditionalFormatting sqref="D5434">
    <cfRule type="containsText" dxfId="937" priority="3921" operator="containsText" text="Pesquisa de Preços">
      <formula>NOT(ISERROR(SEARCH("Pesquisa de Preços",D5434)))</formula>
    </cfRule>
  </conditionalFormatting>
  <conditionalFormatting sqref="E5444">
    <cfRule type="containsText" dxfId="936" priority="3918" operator="containsText" text="Pesquisa de Preços">
      <formula>NOT(ISERROR(SEARCH("Pesquisa de Preços",E5444)))</formula>
    </cfRule>
  </conditionalFormatting>
  <conditionalFormatting sqref="D5441">
    <cfRule type="containsText" dxfId="935" priority="3909" operator="containsText" text="Pesquisa de Preços">
      <formula>NOT(ISERROR(SEARCH("Pesquisa de Preços",D5441)))</formula>
    </cfRule>
  </conditionalFormatting>
  <conditionalFormatting sqref="D5450">
    <cfRule type="containsText" dxfId="934" priority="3897" operator="containsText" text="Pesquisa de Preços">
      <formula>NOT(ISERROR(SEARCH("Pesquisa de Preços",D5450)))</formula>
    </cfRule>
  </conditionalFormatting>
  <conditionalFormatting sqref="D5445">
    <cfRule type="containsText" dxfId="933" priority="3896" operator="containsText" text="Pesquisa de Preços">
      <formula>NOT(ISERROR(SEARCH("Pesquisa de Preços",D5445)))</formula>
    </cfRule>
  </conditionalFormatting>
  <conditionalFormatting sqref="D5446:D5447">
    <cfRule type="containsText" dxfId="932" priority="3895" operator="containsText" text="Pesquisa de Preços">
      <formula>NOT(ISERROR(SEARCH("Pesquisa de Preços",D5446)))</formula>
    </cfRule>
  </conditionalFormatting>
  <conditionalFormatting sqref="E5445">
    <cfRule type="containsText" dxfId="931" priority="3893" operator="containsText" text="Pesquisa de Preços">
      <formula>NOT(ISERROR(SEARCH("Pesquisa de Preços",E5445)))</formula>
    </cfRule>
  </conditionalFormatting>
  <conditionalFormatting sqref="E5446 E5450">
    <cfRule type="containsText" dxfId="930" priority="3894" operator="containsText" text="Pesquisa de Preços">
      <formula>NOT(ISERROR(SEARCH("Pesquisa de Preços",E5446)))</formula>
    </cfRule>
  </conditionalFormatting>
  <conditionalFormatting sqref="E5447">
    <cfRule type="containsText" dxfId="929" priority="3892" operator="containsText" text="Pesquisa de Preços">
      <formula>NOT(ISERROR(SEARCH("Pesquisa de Preços",E5447)))</formula>
    </cfRule>
  </conditionalFormatting>
  <conditionalFormatting sqref="D5456">
    <cfRule type="containsText" dxfId="928" priority="3889" operator="containsText" text="Pesquisa de Preços">
      <formula>NOT(ISERROR(SEARCH("Pesquisa de Preços",D5456)))</formula>
    </cfRule>
  </conditionalFormatting>
  <conditionalFormatting sqref="D5451">
    <cfRule type="containsText" dxfId="927" priority="3888" operator="containsText" text="Pesquisa de Preços">
      <formula>NOT(ISERROR(SEARCH("Pesquisa de Preços",D5451)))</formula>
    </cfRule>
  </conditionalFormatting>
  <conditionalFormatting sqref="D5452:D5453">
    <cfRule type="containsText" dxfId="926" priority="3887" operator="containsText" text="Pesquisa de Preços">
      <formula>NOT(ISERROR(SEARCH("Pesquisa de Preços",D5452)))</formula>
    </cfRule>
  </conditionalFormatting>
  <conditionalFormatting sqref="E5451">
    <cfRule type="containsText" dxfId="925" priority="3885" operator="containsText" text="Pesquisa de Preços">
      <formula>NOT(ISERROR(SEARCH("Pesquisa de Preços",E5451)))</formula>
    </cfRule>
  </conditionalFormatting>
  <conditionalFormatting sqref="E5452 E5456">
    <cfRule type="containsText" dxfId="924" priority="3886" operator="containsText" text="Pesquisa de Preços">
      <formula>NOT(ISERROR(SEARCH("Pesquisa de Preços",E5452)))</formula>
    </cfRule>
  </conditionalFormatting>
  <conditionalFormatting sqref="E5453">
    <cfRule type="containsText" dxfId="923" priority="3884" operator="containsText" text="Pesquisa de Preços">
      <formula>NOT(ISERROR(SEARCH("Pesquisa de Preços",E5453)))</formula>
    </cfRule>
  </conditionalFormatting>
  <conditionalFormatting sqref="D5457">
    <cfRule type="containsText" dxfId="922" priority="3883" operator="containsText" text="Pesquisa de Preços">
      <formula>NOT(ISERROR(SEARCH("Pesquisa de Preços",D5457)))</formula>
    </cfRule>
  </conditionalFormatting>
  <conditionalFormatting sqref="D5458 D5462:D5463">
    <cfRule type="containsText" dxfId="921" priority="3882" operator="containsText" text="Pesquisa de Preços">
      <formula>NOT(ISERROR(SEARCH("Pesquisa de Preços",D5458)))</formula>
    </cfRule>
  </conditionalFormatting>
  <conditionalFormatting sqref="D5461">
    <cfRule type="containsText" dxfId="920" priority="3879" operator="containsText" text="Pesquisa de Preços">
      <formula>NOT(ISERROR(SEARCH("Pesquisa de Preços",D5461)))</formula>
    </cfRule>
  </conditionalFormatting>
  <conditionalFormatting sqref="E5458 E5462:E5463">
    <cfRule type="containsText" dxfId="919" priority="3878" operator="containsText" text="Pesquisa de Preços">
      <formula>NOT(ISERROR(SEARCH("Pesquisa de Preços",E5458)))</formula>
    </cfRule>
  </conditionalFormatting>
  <conditionalFormatting sqref="E5457">
    <cfRule type="containsText" dxfId="918" priority="3877" operator="containsText" text="Pesquisa de Preços">
      <formula>NOT(ISERROR(SEARCH("Pesquisa de Preços",E5457)))</formula>
    </cfRule>
  </conditionalFormatting>
  <conditionalFormatting sqref="E5461">
    <cfRule type="containsText" dxfId="917" priority="3875" operator="containsText" text="Pesquisa de Preços">
      <formula>NOT(ISERROR(SEARCH("Pesquisa de Preços",E5461)))</formula>
    </cfRule>
  </conditionalFormatting>
  <conditionalFormatting sqref="E5459">
    <cfRule type="containsText" dxfId="916" priority="3876" operator="containsText" text="Pesquisa de Preços">
      <formula>NOT(ISERROR(SEARCH("Pesquisa de Preços",E5459)))</formula>
    </cfRule>
  </conditionalFormatting>
  <conditionalFormatting sqref="D5469">
    <cfRule type="containsText" dxfId="915" priority="3870" operator="containsText" text="Pesquisa de Preços">
      <formula>NOT(ISERROR(SEARCH("Pesquisa de Preços",D5469)))</formula>
    </cfRule>
  </conditionalFormatting>
  <conditionalFormatting sqref="D5464">
    <cfRule type="containsText" dxfId="914" priority="3869" operator="containsText" text="Pesquisa de Preços">
      <formula>NOT(ISERROR(SEARCH("Pesquisa de Preços",D5464)))</formula>
    </cfRule>
  </conditionalFormatting>
  <conditionalFormatting sqref="D5465">
    <cfRule type="containsText" dxfId="913" priority="3868" operator="containsText" text="Pesquisa de Preços">
      <formula>NOT(ISERROR(SEARCH("Pesquisa de Preços",D5465)))</formula>
    </cfRule>
  </conditionalFormatting>
  <conditionalFormatting sqref="E5464">
    <cfRule type="containsText" dxfId="912" priority="3866" operator="containsText" text="Pesquisa de Preços">
      <formula>NOT(ISERROR(SEARCH("Pesquisa de Preços",E5464)))</formula>
    </cfRule>
  </conditionalFormatting>
  <conditionalFormatting sqref="E5465 E5469">
    <cfRule type="containsText" dxfId="911" priority="3867" operator="containsText" text="Pesquisa de Preços">
      <formula>NOT(ISERROR(SEARCH("Pesquisa de Preços",E5465)))</formula>
    </cfRule>
  </conditionalFormatting>
  <conditionalFormatting sqref="E5466">
    <cfRule type="containsText" dxfId="910" priority="3865" operator="containsText" text="Pesquisa de Preços">
      <formula>NOT(ISERROR(SEARCH("Pesquisa de Preços",E5466)))</formula>
    </cfRule>
  </conditionalFormatting>
  <conditionalFormatting sqref="D5475">
    <cfRule type="containsText" dxfId="909" priority="3862" operator="containsText" text="Pesquisa de Preços">
      <formula>NOT(ISERROR(SEARCH("Pesquisa de Preços",D5475)))</formula>
    </cfRule>
  </conditionalFormatting>
  <conditionalFormatting sqref="D5470">
    <cfRule type="containsText" dxfId="908" priority="3861" operator="containsText" text="Pesquisa de Preços">
      <formula>NOT(ISERROR(SEARCH("Pesquisa de Preços",D5470)))</formula>
    </cfRule>
  </conditionalFormatting>
  <conditionalFormatting sqref="D5471">
    <cfRule type="containsText" dxfId="907" priority="3860" operator="containsText" text="Pesquisa de Preços">
      <formula>NOT(ISERROR(SEARCH("Pesquisa de Preços",D5471)))</formula>
    </cfRule>
  </conditionalFormatting>
  <conditionalFormatting sqref="E5470">
    <cfRule type="containsText" dxfId="906" priority="3858" operator="containsText" text="Pesquisa de Preços">
      <formula>NOT(ISERROR(SEARCH("Pesquisa de Preços",E5470)))</formula>
    </cfRule>
  </conditionalFormatting>
  <conditionalFormatting sqref="E5471 E5475">
    <cfRule type="containsText" dxfId="905" priority="3859" operator="containsText" text="Pesquisa de Preços">
      <formula>NOT(ISERROR(SEARCH("Pesquisa de Preços",E5471)))</formula>
    </cfRule>
  </conditionalFormatting>
  <conditionalFormatting sqref="D5472">
    <cfRule type="containsText" dxfId="904" priority="3857" operator="containsText" text="Pesquisa de Preços">
      <formula>NOT(ISERROR(SEARCH("Pesquisa de Preços",D5472)))</formula>
    </cfRule>
  </conditionalFormatting>
  <conditionalFormatting sqref="E5472">
    <cfRule type="containsText" dxfId="903" priority="3856" operator="containsText" text="Pesquisa de Preços">
      <formula>NOT(ISERROR(SEARCH("Pesquisa de Preços",E5472)))</formula>
    </cfRule>
  </conditionalFormatting>
  <conditionalFormatting sqref="D5480">
    <cfRule type="containsText" dxfId="902" priority="3855" operator="containsText" text="Pesquisa de Preços">
      <formula>NOT(ISERROR(SEARCH("Pesquisa de Preços",D5480)))</formula>
    </cfRule>
  </conditionalFormatting>
  <conditionalFormatting sqref="E5477 E5481">
    <cfRule type="containsText" dxfId="901" priority="3850" operator="containsText" text="Pesquisa de Preços">
      <formula>NOT(ISERROR(SEARCH("Pesquisa de Preços",E5477)))</formula>
    </cfRule>
  </conditionalFormatting>
  <conditionalFormatting sqref="E5478">
    <cfRule type="containsText" dxfId="900" priority="3848" operator="containsText" text="Pesquisa de Preços">
      <formula>NOT(ISERROR(SEARCH("Pesquisa de Preços",E5478)))</formula>
    </cfRule>
  </conditionalFormatting>
  <conditionalFormatting sqref="D5476">
    <cfRule type="containsText" dxfId="899" priority="3854" operator="containsText" text="Pesquisa de Preços">
      <formula>NOT(ISERROR(SEARCH("Pesquisa de Preços",D5476)))</formula>
    </cfRule>
  </conditionalFormatting>
  <conditionalFormatting sqref="D5477 D5481">
    <cfRule type="containsText" dxfId="898" priority="3853" operator="containsText" text="Pesquisa de Preços">
      <formula>NOT(ISERROR(SEARCH("Pesquisa de Preços",D5477)))</formula>
    </cfRule>
  </conditionalFormatting>
  <conditionalFormatting sqref="E5476">
    <cfRule type="containsText" dxfId="897" priority="3849" operator="containsText" text="Pesquisa de Preços">
      <formula>NOT(ISERROR(SEARCH("Pesquisa de Preços",E5476)))</formula>
    </cfRule>
  </conditionalFormatting>
  <conditionalFormatting sqref="E5479">
    <cfRule type="containsText" dxfId="896" priority="3843" operator="containsText" text="Pesquisa de Preços">
      <formula>NOT(ISERROR(SEARCH("Pesquisa de Preços",E5479)))</formula>
    </cfRule>
  </conditionalFormatting>
  <conditionalFormatting sqref="E5483 E5485">
    <cfRule type="containsText" dxfId="895" priority="3839" operator="containsText" text="Pesquisa de Preços">
      <formula>NOT(ISERROR(SEARCH("Pesquisa de Preços",E5483)))</formula>
    </cfRule>
  </conditionalFormatting>
  <conditionalFormatting sqref="E5484">
    <cfRule type="containsText" dxfId="894" priority="3837" operator="containsText" text="Pesquisa de Preços">
      <formula>NOT(ISERROR(SEARCH("Pesquisa de Preços",E5484)))</formula>
    </cfRule>
  </conditionalFormatting>
  <conditionalFormatting sqref="D5482">
    <cfRule type="containsText" dxfId="893" priority="3842" operator="containsText" text="Pesquisa de Preços">
      <formula>NOT(ISERROR(SEARCH("Pesquisa de Preços",D5482)))</formula>
    </cfRule>
  </conditionalFormatting>
  <conditionalFormatting sqref="D5483 D5485">
    <cfRule type="containsText" dxfId="892" priority="3841" operator="containsText" text="Pesquisa de Preços">
      <formula>NOT(ISERROR(SEARCH("Pesquisa de Preços",D5483)))</formula>
    </cfRule>
  </conditionalFormatting>
  <conditionalFormatting sqref="E5482">
    <cfRule type="containsText" dxfId="891" priority="3838" operator="containsText" text="Pesquisa de Preços">
      <formula>NOT(ISERROR(SEARCH("Pesquisa de Preços",E5482)))</formula>
    </cfRule>
  </conditionalFormatting>
  <conditionalFormatting sqref="E5494 E5496">
    <cfRule type="containsText" dxfId="890" priority="3831" operator="containsText" text="Pesquisa de Preços">
      <formula>NOT(ISERROR(SEARCH("Pesquisa de Preços",E5494)))</formula>
    </cfRule>
  </conditionalFormatting>
  <conditionalFormatting sqref="E5495">
    <cfRule type="containsText" dxfId="889" priority="3829" operator="containsText" text="Pesquisa de Preços">
      <formula>NOT(ISERROR(SEARCH("Pesquisa de Preços",E5495)))</formula>
    </cfRule>
  </conditionalFormatting>
  <conditionalFormatting sqref="D5493">
    <cfRule type="containsText" dxfId="888" priority="3834" operator="containsText" text="Pesquisa de Preços">
      <formula>NOT(ISERROR(SEARCH("Pesquisa de Preços",D5493)))</formula>
    </cfRule>
  </conditionalFormatting>
  <conditionalFormatting sqref="D5494 D5496">
    <cfRule type="containsText" dxfId="887" priority="3833" operator="containsText" text="Pesquisa de Preços">
      <formula>NOT(ISERROR(SEARCH("Pesquisa de Preços",D5494)))</formula>
    </cfRule>
  </conditionalFormatting>
  <conditionalFormatting sqref="E5493">
    <cfRule type="containsText" dxfId="886" priority="3830" operator="containsText" text="Pesquisa de Preços">
      <formula>NOT(ISERROR(SEARCH("Pesquisa de Preços",E5493)))</formula>
    </cfRule>
  </conditionalFormatting>
  <conditionalFormatting sqref="E5487 E5492">
    <cfRule type="containsText" dxfId="885" priority="3818" operator="containsText" text="Pesquisa de Preços">
      <formula>NOT(ISERROR(SEARCH("Pesquisa de Preços",E5487)))</formula>
    </cfRule>
  </conditionalFormatting>
  <conditionalFormatting sqref="D5486">
    <cfRule type="containsText" dxfId="884" priority="3822" operator="containsText" text="Pesquisa de Preços">
      <formula>NOT(ISERROR(SEARCH("Pesquisa de Preços",D5486)))</formula>
    </cfRule>
  </conditionalFormatting>
  <conditionalFormatting sqref="D5487 D5492">
    <cfRule type="containsText" dxfId="883" priority="3821" operator="containsText" text="Pesquisa de Preços">
      <formula>NOT(ISERROR(SEARCH("Pesquisa de Preços",D5487)))</formula>
    </cfRule>
  </conditionalFormatting>
  <conditionalFormatting sqref="E5489:E5490">
    <cfRule type="containsText" dxfId="882" priority="3806" operator="containsText" text="Pesquisa de Preços">
      <formula>NOT(ISERROR(SEARCH("Pesquisa de Preços",E5489)))</formula>
    </cfRule>
  </conditionalFormatting>
  <conditionalFormatting sqref="E5488">
    <cfRule type="containsText" dxfId="881" priority="3807" operator="containsText" text="Pesquisa de Preços">
      <formula>NOT(ISERROR(SEARCH("Pesquisa de Preços",E5488)))</formula>
    </cfRule>
  </conditionalFormatting>
  <conditionalFormatting sqref="E5486">
    <cfRule type="containsText" dxfId="880" priority="3817" operator="containsText" text="Pesquisa de Preços">
      <formula>NOT(ISERROR(SEARCH("Pesquisa de Preços",E5486)))</formula>
    </cfRule>
  </conditionalFormatting>
  <conditionalFormatting sqref="D5489">
    <cfRule type="containsText" dxfId="879" priority="3808" operator="containsText" text="Pesquisa de Preços">
      <formula>NOT(ISERROR(SEARCH("Pesquisa de Preços",D5489)))</formula>
    </cfRule>
  </conditionalFormatting>
  <conditionalFormatting sqref="D6252">
    <cfRule type="containsText" dxfId="878" priority="3792" operator="containsText" text="Pesquisa de Preços">
      <formula>NOT(ISERROR(SEARCH("Pesquisa de Preços",D6252)))</formula>
    </cfRule>
  </conditionalFormatting>
  <conditionalFormatting sqref="D6249">
    <cfRule type="containsText" dxfId="877" priority="3791" operator="containsText" text="Pesquisa de Preços">
      <formula>NOT(ISERROR(SEARCH("Pesquisa de Preços",D6249)))</formula>
    </cfRule>
  </conditionalFormatting>
  <conditionalFormatting sqref="D6247">
    <cfRule type="containsText" dxfId="876" priority="3789" operator="containsText" text="Pesquisa de Preços">
      <formula>NOT(ISERROR(SEARCH("Pesquisa de Preços",D6247)))</formula>
    </cfRule>
  </conditionalFormatting>
  <conditionalFormatting sqref="D6261">
    <cfRule type="containsText" dxfId="875" priority="3784" operator="containsText" text="Pesquisa de Preços">
      <formula>NOT(ISERROR(SEARCH("Pesquisa de Preços",D6261)))</formula>
    </cfRule>
  </conditionalFormatting>
  <conditionalFormatting sqref="D6253">
    <cfRule type="containsText" dxfId="874" priority="3782" operator="containsText" text="Pesquisa de Preços">
      <formula>NOT(ISERROR(SEARCH("Pesquisa de Preços",D6253)))</formula>
    </cfRule>
  </conditionalFormatting>
  <conditionalFormatting sqref="D6272">
    <cfRule type="containsText" dxfId="873" priority="3771" operator="containsText" text="Pesquisa de Preços">
      <formula>NOT(ISERROR(SEARCH("Pesquisa de Preços",D6272)))</formula>
    </cfRule>
  </conditionalFormatting>
  <conditionalFormatting sqref="D6262">
    <cfRule type="containsText" dxfId="872" priority="3769" operator="containsText" text="Pesquisa de Preços">
      <formula>NOT(ISERROR(SEARCH("Pesquisa de Preços",D6262)))</formula>
    </cfRule>
  </conditionalFormatting>
  <conditionalFormatting sqref="D6269">
    <cfRule type="containsText" dxfId="871" priority="3766" operator="containsText" text="Pesquisa de Preços">
      <formula>NOT(ISERROR(SEARCH("Pesquisa de Preços",D6269)))</formula>
    </cfRule>
  </conditionalFormatting>
  <conditionalFormatting sqref="D6271">
    <cfRule type="containsText" dxfId="870" priority="3765" operator="containsText" text="Pesquisa de Preços">
      <formula>NOT(ISERROR(SEARCH("Pesquisa de Preços",D6271)))</formula>
    </cfRule>
  </conditionalFormatting>
  <conditionalFormatting sqref="D6270">
    <cfRule type="containsText" dxfId="869" priority="3762" operator="containsText" text="Pesquisa de Preços">
      <formula>NOT(ISERROR(SEARCH("Pesquisa de Preços",D6270)))</formula>
    </cfRule>
  </conditionalFormatting>
  <conditionalFormatting sqref="D6280">
    <cfRule type="containsText" dxfId="868" priority="3749" operator="containsText" text="Pesquisa de Preços">
      <formula>NOT(ISERROR(SEARCH("Pesquisa de Preços",D6280)))</formula>
    </cfRule>
  </conditionalFormatting>
  <conditionalFormatting sqref="D6273">
    <cfRule type="containsText" dxfId="867" priority="3747" operator="containsText" text="Pesquisa de Preços">
      <formula>NOT(ISERROR(SEARCH("Pesquisa de Preços",D6273)))</formula>
    </cfRule>
  </conditionalFormatting>
  <conditionalFormatting sqref="D6279">
    <cfRule type="containsText" dxfId="866" priority="3744" operator="containsText" text="Pesquisa de Preços">
      <formula>NOT(ISERROR(SEARCH("Pesquisa de Preços",D6279)))</formula>
    </cfRule>
  </conditionalFormatting>
  <conditionalFormatting sqref="D6288">
    <cfRule type="containsText" dxfId="865" priority="3737" operator="containsText" text="Pesquisa de Preços">
      <formula>NOT(ISERROR(SEARCH("Pesquisa de Preços",D6288)))</formula>
    </cfRule>
  </conditionalFormatting>
  <conditionalFormatting sqref="D6281">
    <cfRule type="containsText" dxfId="864" priority="3735" operator="containsText" text="Pesquisa de Preços">
      <formula>NOT(ISERROR(SEARCH("Pesquisa de Preços",D6281)))</formula>
    </cfRule>
  </conditionalFormatting>
  <conditionalFormatting sqref="D6297">
    <cfRule type="containsText" dxfId="863" priority="3727" operator="containsText" text="Pesquisa de Preços">
      <formula>NOT(ISERROR(SEARCH("Pesquisa de Preços",D6297)))</formula>
    </cfRule>
  </conditionalFormatting>
  <conditionalFormatting sqref="D6289">
    <cfRule type="containsText" dxfId="862" priority="3725" operator="containsText" text="Pesquisa de Preços">
      <formula>NOT(ISERROR(SEARCH("Pesquisa de Preços",D6289)))</formula>
    </cfRule>
  </conditionalFormatting>
  <conditionalFormatting sqref="D6308">
    <cfRule type="containsText" dxfId="861" priority="3715" operator="containsText" text="Pesquisa de Preços">
      <formula>NOT(ISERROR(SEARCH("Pesquisa de Preços",D6308)))</formula>
    </cfRule>
  </conditionalFormatting>
  <conditionalFormatting sqref="D6298">
    <cfRule type="containsText" dxfId="860" priority="3713" operator="containsText" text="Pesquisa de Preços">
      <formula>NOT(ISERROR(SEARCH("Pesquisa de Preços",D6298)))</formula>
    </cfRule>
  </conditionalFormatting>
  <conditionalFormatting sqref="D6307">
    <cfRule type="containsText" dxfId="859" priority="3703" operator="containsText" text="Pesquisa de Preços">
      <formula>NOT(ISERROR(SEARCH("Pesquisa de Preços",D6307)))</formula>
    </cfRule>
  </conditionalFormatting>
  <conditionalFormatting sqref="D6332">
    <cfRule type="containsText" dxfId="858" priority="3696" operator="containsText" text="Pesquisa de Preços">
      <formula>NOT(ISERROR(SEARCH("Pesquisa de Preços",D6332)))</formula>
    </cfRule>
  </conditionalFormatting>
  <conditionalFormatting sqref="D6309">
    <cfRule type="containsText" dxfId="857" priority="3694" operator="containsText" text="Pesquisa de Preços">
      <formula>NOT(ISERROR(SEARCH("Pesquisa de Preços",D6309)))</formula>
    </cfRule>
  </conditionalFormatting>
  <conditionalFormatting sqref="D6321 D6324:D6325">
    <cfRule type="containsText" dxfId="856" priority="3688" operator="containsText" text="Pesquisa de Preços">
      <formula>NOT(ISERROR(SEARCH("Pesquisa de Preços",D6321)))</formula>
    </cfRule>
  </conditionalFormatting>
  <conditionalFormatting sqref="D6333">
    <cfRule type="containsText" dxfId="855" priority="3676" operator="containsText" text="Pesquisa de Preços">
      <formula>NOT(ISERROR(SEARCH("Pesquisa de Preços",D6333)))</formula>
    </cfRule>
  </conditionalFormatting>
  <conditionalFormatting sqref="D6326:D6331">
    <cfRule type="containsText" dxfId="854" priority="3685" operator="containsText" text="Pesquisa de Preços">
      <formula>NOT(ISERROR(SEARCH("Pesquisa de Preços",D6326)))</formula>
    </cfRule>
  </conditionalFormatting>
  <conditionalFormatting sqref="D6337">
    <cfRule type="containsText" dxfId="853" priority="3673" operator="containsText" text="Pesquisa de Preços">
      <formula>NOT(ISERROR(SEARCH("Pesquisa de Preços",D6337)))</formula>
    </cfRule>
  </conditionalFormatting>
  <conditionalFormatting sqref="D6342">
    <cfRule type="containsText" dxfId="852" priority="3678" operator="containsText" text="Pesquisa de Preços">
      <formula>NOT(ISERROR(SEARCH("Pesquisa de Preços",D6342)))</formula>
    </cfRule>
  </conditionalFormatting>
  <conditionalFormatting sqref="D6335">
    <cfRule type="containsText" dxfId="851" priority="3677" operator="containsText" text="Pesquisa de Preços">
      <formula>NOT(ISERROR(SEARCH("Pesquisa de Preços",D6335)))</formula>
    </cfRule>
  </conditionalFormatting>
  <conditionalFormatting sqref="D6341">
    <cfRule type="containsText" dxfId="850" priority="3675" operator="containsText" text="Pesquisa de Preços">
      <formula>NOT(ISERROR(SEARCH("Pesquisa de Preços",D6341)))</formula>
    </cfRule>
  </conditionalFormatting>
  <conditionalFormatting sqref="D6352">
    <cfRule type="containsText" dxfId="849" priority="3654" operator="containsText" text="Pesquisa de Preços">
      <formula>NOT(ISERROR(SEARCH("Pesquisa de Preços",D6352)))</formula>
    </cfRule>
  </conditionalFormatting>
  <conditionalFormatting sqref="D6338 D6336">
    <cfRule type="containsText" dxfId="848" priority="3674" operator="containsText" text="Pesquisa de Preços">
      <formula>NOT(ISERROR(SEARCH("Pesquisa de Preços",D6336)))</formula>
    </cfRule>
  </conditionalFormatting>
  <conditionalFormatting sqref="D6343">
    <cfRule type="containsText" dxfId="847" priority="3663" operator="containsText" text="Pesquisa de Preços">
      <formula>NOT(ISERROR(SEARCH("Pesquisa de Preços",D6343)))</formula>
    </cfRule>
  </conditionalFormatting>
  <conditionalFormatting sqref="D6351">
    <cfRule type="containsText" dxfId="846" priority="3665" operator="containsText" text="Pesquisa de Preços">
      <formula>NOT(ISERROR(SEARCH("Pesquisa de Preços",D6351)))</formula>
    </cfRule>
  </conditionalFormatting>
  <conditionalFormatting sqref="D6356">
    <cfRule type="containsText" dxfId="845" priority="3657" operator="containsText" text="Pesquisa de Preços">
      <formula>NOT(ISERROR(SEARCH("Pesquisa de Preços",D6356)))</formula>
    </cfRule>
  </conditionalFormatting>
  <conditionalFormatting sqref="D6370">
    <cfRule type="containsText" dxfId="844" priority="3647" operator="containsText" text="Pesquisa de Preços">
      <formula>NOT(ISERROR(SEARCH("Pesquisa de Preços",D6370)))</formula>
    </cfRule>
  </conditionalFormatting>
  <conditionalFormatting sqref="D6357">
    <cfRule type="containsText" dxfId="843" priority="3645" operator="containsText" text="Pesquisa de Preços">
      <formula>NOT(ISERROR(SEARCH("Pesquisa de Preços",D6357)))</formula>
    </cfRule>
  </conditionalFormatting>
  <conditionalFormatting sqref="D6368">
    <cfRule type="containsText" dxfId="842" priority="3641" operator="containsText" text="Pesquisa de Preços">
      <formula>NOT(ISERROR(SEARCH("Pesquisa de Preços",D6368)))</formula>
    </cfRule>
  </conditionalFormatting>
  <conditionalFormatting sqref="D6369">
    <cfRule type="containsText" dxfId="841" priority="3635" operator="containsText" text="Pesquisa de Preços">
      <formula>NOT(ISERROR(SEARCH("Pesquisa de Preços",D6369)))</formula>
    </cfRule>
  </conditionalFormatting>
  <conditionalFormatting sqref="D6385">
    <cfRule type="containsText" dxfId="840" priority="3622" operator="containsText" text="Pesquisa de Preços">
      <formula>NOT(ISERROR(SEARCH("Pesquisa de Preços",D6385)))</formula>
    </cfRule>
  </conditionalFormatting>
  <conditionalFormatting sqref="D6371">
    <cfRule type="containsText" dxfId="839" priority="3620" operator="containsText" text="Pesquisa de Preços">
      <formula>NOT(ISERROR(SEARCH("Pesquisa de Preços",D6371)))</formula>
    </cfRule>
  </conditionalFormatting>
  <conditionalFormatting sqref="D6387:D6388">
    <cfRule type="containsText" dxfId="838" priority="3610" operator="containsText" text="Pesquisa de Preços">
      <formula>NOT(ISERROR(SEARCH("Pesquisa de Preços",D6387)))</formula>
    </cfRule>
  </conditionalFormatting>
  <conditionalFormatting sqref="E6388">
    <cfRule type="containsText" dxfId="837" priority="3607" operator="containsText" text="Pesquisa de Preços">
      <formula>NOT(ISERROR(SEARCH("Pesquisa de Preços",E6388)))</formula>
    </cfRule>
  </conditionalFormatting>
  <conditionalFormatting sqref="D6383:D6384">
    <cfRule type="containsText" dxfId="836" priority="3615" operator="containsText" text="Pesquisa de Preços">
      <formula>NOT(ISERROR(SEARCH("Pesquisa de Preços",D6383)))</formula>
    </cfRule>
  </conditionalFormatting>
  <conditionalFormatting sqref="D6394:D6395">
    <cfRule type="containsText" dxfId="835" priority="3604" operator="containsText" text="Pesquisa de Preços">
      <formula>NOT(ISERROR(SEARCH("Pesquisa de Preços",D6394)))</formula>
    </cfRule>
  </conditionalFormatting>
  <conditionalFormatting sqref="E6395">
    <cfRule type="containsText" dxfId="834" priority="3601" operator="containsText" text="Pesquisa de Preços">
      <formula>NOT(ISERROR(SEARCH("Pesquisa de Preços",E6395)))</formula>
    </cfRule>
  </conditionalFormatting>
  <conditionalFormatting sqref="D6392">
    <cfRule type="containsText" dxfId="833" priority="3614" operator="containsText" text="Pesquisa de Preços">
      <formula>NOT(ISERROR(SEARCH("Pesquisa de Preços",D6392)))</formula>
    </cfRule>
  </conditionalFormatting>
  <conditionalFormatting sqref="D6386">
    <cfRule type="containsText" dxfId="832" priority="3611" operator="containsText" text="Pesquisa de Preços">
      <formula>NOT(ISERROR(SEARCH("Pesquisa de Preços",D6386)))</formula>
    </cfRule>
  </conditionalFormatting>
  <conditionalFormatting sqref="E6386">
    <cfRule type="containsText" dxfId="831" priority="3608" operator="containsText" text="Pesquisa de Preços">
      <formula>NOT(ISERROR(SEARCH("Pesquisa de Preços",E6386)))</formula>
    </cfRule>
  </conditionalFormatting>
  <conditionalFormatting sqref="E6387 E6392">
    <cfRule type="containsText" dxfId="830" priority="3609" operator="containsText" text="Pesquisa de Preços">
      <formula>NOT(ISERROR(SEARCH("Pesquisa de Preços",E6387)))</formula>
    </cfRule>
  </conditionalFormatting>
  <conditionalFormatting sqref="D6398">
    <cfRule type="containsText" dxfId="829" priority="3606" operator="containsText" text="Pesquisa de Preços">
      <formula>NOT(ISERROR(SEARCH("Pesquisa de Preços",D6398)))</formula>
    </cfRule>
  </conditionalFormatting>
  <conditionalFormatting sqref="D6393">
    <cfRule type="containsText" dxfId="828" priority="3605" operator="containsText" text="Pesquisa de Preços">
      <formula>NOT(ISERROR(SEARCH("Pesquisa de Preços",D6393)))</formula>
    </cfRule>
  </conditionalFormatting>
  <conditionalFormatting sqref="E6393">
    <cfRule type="containsText" dxfId="827" priority="3602" operator="containsText" text="Pesquisa de Preços">
      <formula>NOT(ISERROR(SEARCH("Pesquisa de Preços",E6393)))</formula>
    </cfRule>
  </conditionalFormatting>
  <conditionalFormatting sqref="E6394 E6398">
    <cfRule type="containsText" dxfId="826" priority="3603" operator="containsText" text="Pesquisa de Preços">
      <formula>NOT(ISERROR(SEARCH("Pesquisa de Preços",E6394)))</formula>
    </cfRule>
  </conditionalFormatting>
  <conditionalFormatting sqref="E6381:E6382">
    <cfRule type="containsText" dxfId="825" priority="3590" operator="containsText" text="Pesquisa de Preços">
      <formula>NOT(ISERROR(SEARCH("Pesquisa de Preços",E6381)))</formula>
    </cfRule>
  </conditionalFormatting>
  <conditionalFormatting sqref="D6373">
    <cfRule type="containsText" dxfId="824" priority="3589" operator="containsText" text="Pesquisa de Preços">
      <formula>NOT(ISERROR(SEARCH("Pesquisa de Preços",D6373)))</formula>
    </cfRule>
  </conditionalFormatting>
  <conditionalFormatting sqref="D6185">
    <cfRule type="containsText" dxfId="823" priority="3581" operator="containsText" text="Pesquisa de Preços">
      <formula>NOT(ISERROR(SEARCH("Pesquisa de Preços",D6185)))</formula>
    </cfRule>
  </conditionalFormatting>
  <conditionalFormatting sqref="D6179">
    <cfRule type="containsText" dxfId="822" priority="3578" operator="containsText" text="Pesquisa de Preços">
      <formula>NOT(ISERROR(SEARCH("Pesquisa de Preços",D6179)))</formula>
    </cfRule>
  </conditionalFormatting>
  <conditionalFormatting sqref="D6167">
    <cfRule type="containsText" dxfId="821" priority="3574" operator="containsText" text="Pesquisa de Preços">
      <formula>NOT(ISERROR(SEARCH("Pesquisa de Preços",D6167)))</formula>
    </cfRule>
  </conditionalFormatting>
  <conditionalFormatting sqref="D6157">
    <cfRule type="containsText" dxfId="820" priority="3571" operator="containsText" text="Pesquisa de Preços">
      <formula>NOT(ISERROR(SEARCH("Pesquisa de Preços",D6157)))</formula>
    </cfRule>
  </conditionalFormatting>
  <conditionalFormatting sqref="D6158">
    <cfRule type="containsText" dxfId="819" priority="3570" operator="containsText" text="Pesquisa de Preços">
      <formula>NOT(ISERROR(SEARCH("Pesquisa de Preços",D6158)))</formula>
    </cfRule>
  </conditionalFormatting>
  <conditionalFormatting sqref="E6167">
    <cfRule type="containsText" dxfId="818" priority="3567" operator="containsText" text="Pesquisa de Preços">
      <formula>NOT(ISERROR(SEARCH("Pesquisa de Preços",E6167)))</formula>
    </cfRule>
  </conditionalFormatting>
  <conditionalFormatting sqref="D6178">
    <cfRule type="containsText" dxfId="817" priority="3547" operator="containsText" text="Pesquisa de Preços">
      <formula>NOT(ISERROR(SEARCH("Pesquisa de Preços",D6178)))</formula>
    </cfRule>
  </conditionalFormatting>
  <conditionalFormatting sqref="D6168">
    <cfRule type="containsText" dxfId="816" priority="3544" operator="containsText" text="Pesquisa de Preços">
      <formula>NOT(ISERROR(SEARCH("Pesquisa de Preços",D6168)))</formula>
    </cfRule>
  </conditionalFormatting>
  <conditionalFormatting sqref="D6169">
    <cfRule type="containsText" dxfId="815" priority="3543" operator="containsText" text="Pesquisa de Preços">
      <formula>NOT(ISERROR(SEARCH("Pesquisa de Preços",D6169)))</formula>
    </cfRule>
  </conditionalFormatting>
  <conditionalFormatting sqref="E6178">
    <cfRule type="containsText" dxfId="814" priority="3540" operator="containsText" text="Pesquisa de Preços">
      <formula>NOT(ISERROR(SEARCH("Pesquisa de Preços",E6178)))</formula>
    </cfRule>
  </conditionalFormatting>
  <conditionalFormatting sqref="D6190">
    <cfRule type="containsText" dxfId="813" priority="3506" operator="containsText" text="Pesquisa de Preços">
      <formula>NOT(ISERROR(SEARCH("Pesquisa de Preços",D6190)))</formula>
    </cfRule>
  </conditionalFormatting>
  <conditionalFormatting sqref="D6186">
    <cfRule type="containsText" dxfId="812" priority="3504" operator="containsText" text="Pesquisa de Preços">
      <formula>NOT(ISERROR(SEARCH("Pesquisa de Preços",D6186)))</formula>
    </cfRule>
  </conditionalFormatting>
  <conditionalFormatting sqref="D6195">
    <cfRule type="containsText" dxfId="811" priority="3496" operator="containsText" text="Pesquisa de Preços">
      <formula>NOT(ISERROR(SEARCH("Pesquisa de Preços",D6195)))</formula>
    </cfRule>
  </conditionalFormatting>
  <conditionalFormatting sqref="D6191">
    <cfRule type="containsText" dxfId="810" priority="3495" operator="containsText" text="Pesquisa de Preços">
      <formula>NOT(ISERROR(SEARCH("Pesquisa de Preços",D6191)))</formula>
    </cfRule>
  </conditionalFormatting>
  <conditionalFormatting sqref="D6211">
    <cfRule type="containsText" dxfId="809" priority="3485" operator="containsText" text="Pesquisa de Preços">
      <formula>NOT(ISERROR(SEARCH("Pesquisa de Preços",D6211)))</formula>
    </cfRule>
  </conditionalFormatting>
  <conditionalFormatting sqref="D6204">
    <cfRule type="containsText" dxfId="808" priority="3483" operator="containsText" text="Pesquisa de Preços">
      <formula>NOT(ISERROR(SEARCH("Pesquisa de Preços",D6204)))</formula>
    </cfRule>
  </conditionalFormatting>
  <conditionalFormatting sqref="D6210">
    <cfRule type="containsText" dxfId="807" priority="3480" operator="containsText" text="Pesquisa de Preços">
      <formula>NOT(ISERROR(SEARCH("Pesquisa de Preços",D6210)))</formula>
    </cfRule>
  </conditionalFormatting>
  <conditionalFormatting sqref="D6200:D6202">
    <cfRule type="containsText" dxfId="806" priority="3479" operator="containsText" text="Pesquisa de Preços">
      <formula>NOT(ISERROR(SEARCH("Pesquisa de Preços",D6200)))</formula>
    </cfRule>
  </conditionalFormatting>
  <conditionalFormatting sqref="D6203">
    <cfRule type="containsText" dxfId="805" priority="3474" operator="containsText" text="Pesquisa de Preços">
      <formula>NOT(ISERROR(SEARCH("Pesquisa de Preços",D6203)))</formula>
    </cfRule>
  </conditionalFormatting>
  <conditionalFormatting sqref="D6196">
    <cfRule type="containsText" dxfId="804" priority="3472" operator="containsText" text="Pesquisa de Preços">
      <formula>NOT(ISERROR(SEARCH("Pesquisa de Preços",D6196)))</formula>
    </cfRule>
  </conditionalFormatting>
  <conditionalFormatting sqref="D6220">
    <cfRule type="containsText" dxfId="803" priority="3449" operator="containsText" text="Pesquisa de Preços">
      <formula>NOT(ISERROR(SEARCH("Pesquisa de Preços",D6220)))</formula>
    </cfRule>
  </conditionalFormatting>
  <conditionalFormatting sqref="D6214">
    <cfRule type="containsText" dxfId="802" priority="3461" operator="containsText" text="Pesquisa de Preços">
      <formula>NOT(ISERROR(SEARCH("Pesquisa de Preços",D6214)))</formula>
    </cfRule>
  </conditionalFormatting>
  <conditionalFormatting sqref="D6212">
    <cfRule type="containsText" dxfId="801" priority="3460" operator="containsText" text="Pesquisa de Preços">
      <formula>NOT(ISERROR(SEARCH("Pesquisa de Preços",D6212)))</formula>
    </cfRule>
  </conditionalFormatting>
  <conditionalFormatting sqref="D6227">
    <cfRule type="containsText" dxfId="800" priority="3435" operator="containsText" text="Pesquisa de Preços">
      <formula>NOT(ISERROR(SEARCH("Pesquisa de Preços",D6227)))</formula>
    </cfRule>
  </conditionalFormatting>
  <conditionalFormatting sqref="D6221">
    <cfRule type="containsText" dxfId="799" priority="3433" operator="containsText" text="Pesquisa de Preços">
      <formula>NOT(ISERROR(SEARCH("Pesquisa de Preços",D6221)))</formula>
    </cfRule>
  </conditionalFormatting>
  <conditionalFormatting sqref="D6233">
    <cfRule type="containsText" dxfId="798" priority="3422" operator="containsText" text="Pesquisa de Preços">
      <formula>NOT(ISERROR(SEARCH("Pesquisa de Preços",D6233)))</formula>
    </cfRule>
  </conditionalFormatting>
  <conditionalFormatting sqref="D6228">
    <cfRule type="containsText" dxfId="797" priority="3420" operator="containsText" text="Pesquisa de Preços">
      <formula>NOT(ISERROR(SEARCH("Pesquisa de Preços",D6228)))</formula>
    </cfRule>
  </conditionalFormatting>
  <conditionalFormatting sqref="D6240">
    <cfRule type="containsText" dxfId="796" priority="3404" operator="containsText" text="Pesquisa de Preços">
      <formula>NOT(ISERROR(SEARCH("Pesquisa de Preços",D6240)))</formula>
    </cfRule>
  </conditionalFormatting>
  <conditionalFormatting sqref="D6234">
    <cfRule type="containsText" dxfId="795" priority="3402" operator="containsText" text="Pesquisa de Preços">
      <formula>NOT(ISERROR(SEARCH("Pesquisa de Preços",D6234)))</formula>
    </cfRule>
  </conditionalFormatting>
  <conditionalFormatting sqref="D6238:D6239">
    <cfRule type="containsText" dxfId="794" priority="3399" operator="containsText" text="Pesquisa de Preços">
      <formula>NOT(ISERROR(SEARCH("Pesquisa de Preços",D6238)))</formula>
    </cfRule>
  </conditionalFormatting>
  <conditionalFormatting sqref="D6246">
    <cfRule type="containsText" dxfId="793" priority="3389" operator="containsText" text="Pesquisa de Preços">
      <formula>NOT(ISERROR(SEARCH("Pesquisa de Preços",D6246)))</formula>
    </cfRule>
  </conditionalFormatting>
  <conditionalFormatting sqref="D6241">
    <cfRule type="containsText" dxfId="792" priority="3386" operator="containsText" text="Pesquisa de Preços">
      <formula>NOT(ISERROR(SEARCH("Pesquisa de Preços",D6241)))</formula>
    </cfRule>
  </conditionalFormatting>
  <conditionalFormatting sqref="E1235:E1236">
    <cfRule type="containsText" dxfId="791" priority="3370" operator="containsText" text="Pesquisa de Preços">
      <formula>NOT(ISERROR(SEARCH("Pesquisa de Preços",E1235)))</formula>
    </cfRule>
  </conditionalFormatting>
  <conditionalFormatting sqref="E1234">
    <cfRule type="containsText" dxfId="790" priority="3369" operator="containsText" text="Pesquisa de Preços">
      <formula>NOT(ISERROR(SEARCH("Pesquisa de Preços",E1234)))</formula>
    </cfRule>
  </conditionalFormatting>
  <conditionalFormatting sqref="D1240">
    <cfRule type="containsText" dxfId="789" priority="3368" operator="containsText" text="Pesquisa de Preços">
      <formula>NOT(ISERROR(SEARCH("Pesquisa de Preços",D1240)))</formula>
    </cfRule>
  </conditionalFormatting>
  <conditionalFormatting sqref="D1241:D1242">
    <cfRule type="containsText" dxfId="788" priority="3367" operator="containsText" text="Pesquisa de Preços">
      <formula>NOT(ISERROR(SEARCH("Pesquisa de Preços",D1241)))</formula>
    </cfRule>
  </conditionalFormatting>
  <conditionalFormatting sqref="E1241:E1242">
    <cfRule type="containsText" dxfId="787" priority="3366" operator="containsText" text="Pesquisa de Preços">
      <formula>NOT(ISERROR(SEARCH("Pesquisa de Preços",E1241)))</formula>
    </cfRule>
  </conditionalFormatting>
  <conditionalFormatting sqref="E1240">
    <cfRule type="containsText" dxfId="786" priority="3365" operator="containsText" text="Pesquisa de Preços">
      <formula>NOT(ISERROR(SEARCH("Pesquisa de Preços",E1240)))</formula>
    </cfRule>
  </conditionalFormatting>
  <conditionalFormatting sqref="E1971">
    <cfRule type="containsText" dxfId="785" priority="3363" operator="containsText" text="Pesquisa de Preços">
      <formula>NOT(ISERROR(SEARCH("Pesquisa de Preços",E1971)))</formula>
    </cfRule>
  </conditionalFormatting>
  <conditionalFormatting sqref="E1972">
    <cfRule type="containsText" dxfId="784" priority="3362" operator="containsText" text="Pesquisa de Preços">
      <formula>NOT(ISERROR(SEARCH("Pesquisa de Preços",E1972)))</formula>
    </cfRule>
  </conditionalFormatting>
  <conditionalFormatting sqref="E1973">
    <cfRule type="containsText" dxfId="783" priority="3361" operator="containsText" text="Pesquisa de Preços">
      <formula>NOT(ISERROR(SEARCH("Pesquisa de Preços",E1973)))</formula>
    </cfRule>
  </conditionalFormatting>
  <conditionalFormatting sqref="E1979">
    <cfRule type="containsText" dxfId="782" priority="3360" operator="containsText" text="Pesquisa de Preços">
      <formula>NOT(ISERROR(SEARCH("Pesquisa de Preços",E1979)))</formula>
    </cfRule>
  </conditionalFormatting>
  <conditionalFormatting sqref="E1980">
    <cfRule type="containsText" dxfId="781" priority="3359" operator="containsText" text="Pesquisa de Preços">
      <formula>NOT(ISERROR(SEARCH("Pesquisa de Preços",E1980)))</formula>
    </cfRule>
  </conditionalFormatting>
  <conditionalFormatting sqref="E1981">
    <cfRule type="containsText" dxfId="780" priority="3358" operator="containsText" text="Pesquisa de Preços">
      <formula>NOT(ISERROR(SEARCH("Pesquisa de Preços",E1981)))</formula>
    </cfRule>
  </conditionalFormatting>
  <conditionalFormatting sqref="E1997">
    <cfRule type="containsText" dxfId="779" priority="3357" operator="containsText" text="Pesquisa de Preços">
      <formula>NOT(ISERROR(SEARCH("Pesquisa de Preços",E1997)))</formula>
    </cfRule>
  </conditionalFormatting>
  <conditionalFormatting sqref="E2004">
    <cfRule type="containsText" dxfId="778" priority="3356" operator="containsText" text="Pesquisa de Preços">
      <formula>NOT(ISERROR(SEARCH("Pesquisa de Preços",E2004)))</formula>
    </cfRule>
  </conditionalFormatting>
  <conditionalFormatting sqref="E2011">
    <cfRule type="containsText" dxfId="777" priority="3355" operator="containsText" text="Pesquisa de Preços">
      <formula>NOT(ISERROR(SEARCH("Pesquisa de Preços",E2011)))</formula>
    </cfRule>
  </conditionalFormatting>
  <conditionalFormatting sqref="E1322">
    <cfRule type="containsText" dxfId="776" priority="3350" operator="containsText" text="Pesquisa de Preços">
      <formula>NOT(ISERROR(SEARCH("Pesquisa de Preços",E1322)))</formula>
    </cfRule>
  </conditionalFormatting>
  <conditionalFormatting sqref="E1321">
    <cfRule type="containsText" dxfId="775" priority="3349" operator="containsText" text="Pesquisa de Preços">
      <formula>NOT(ISERROR(SEARCH("Pesquisa de Preços",E1321)))</formula>
    </cfRule>
  </conditionalFormatting>
  <conditionalFormatting sqref="E4896">
    <cfRule type="containsText" dxfId="774" priority="3310" operator="containsText" text="Pesquisa de Preços">
      <formula>NOT(ISERROR(SEARCH("Pesquisa de Preços",E4896)))</formula>
    </cfRule>
  </conditionalFormatting>
  <conditionalFormatting sqref="E4965">
    <cfRule type="containsText" dxfId="773" priority="3307" operator="containsText" text="Pesquisa de Preços">
      <formula>NOT(ISERROR(SEARCH("Pesquisa de Preços",E4965)))</formula>
    </cfRule>
  </conditionalFormatting>
  <conditionalFormatting sqref="E5044">
    <cfRule type="containsText" dxfId="772" priority="3301" operator="containsText" text="Pesquisa de Preços">
      <formula>NOT(ISERROR(SEARCH("Pesquisa de Preços",E5044)))</formula>
    </cfRule>
  </conditionalFormatting>
  <conditionalFormatting sqref="E5044">
    <cfRule type="containsText" dxfId="771" priority="3303" operator="containsText" text="Pesquisa de Preços">
      <formula>NOT(ISERROR(SEARCH("Pesquisa de Preços",E5044)))</formula>
    </cfRule>
  </conditionalFormatting>
  <conditionalFormatting sqref="E880:E881">
    <cfRule type="containsText" dxfId="770" priority="3300" operator="containsText" text="Pesquisa de Preços">
      <formula>NOT(ISERROR(SEARCH("Pesquisa de Preços",E880)))</formula>
    </cfRule>
  </conditionalFormatting>
  <conditionalFormatting sqref="E887:E888">
    <cfRule type="containsText" dxfId="769" priority="3294" operator="containsText" text="Pesquisa de Preços">
      <formula>NOT(ISERROR(SEARCH("Pesquisa de Preços",E887)))</formula>
    </cfRule>
  </conditionalFormatting>
  <conditionalFormatting sqref="D6424">
    <cfRule type="containsText" dxfId="768" priority="3284" operator="containsText" text="Pesquisa de Preços">
      <formula>NOT(ISERROR(SEARCH("Pesquisa de Preços",D6424)))</formula>
    </cfRule>
  </conditionalFormatting>
  <conditionalFormatting sqref="D6427">
    <cfRule type="containsText" dxfId="767" priority="3286" operator="containsText" text="Pesquisa de Preços">
      <formula>NOT(ISERROR(SEARCH("Pesquisa de Preços",D6427)))</formula>
    </cfRule>
  </conditionalFormatting>
  <conditionalFormatting sqref="D6423">
    <cfRule type="containsText" dxfId="766" priority="3285" operator="containsText" text="Pesquisa de Preços">
      <formula>NOT(ISERROR(SEARCH("Pesquisa de Preços",D6423)))</formula>
    </cfRule>
  </conditionalFormatting>
  <conditionalFormatting sqref="E6423">
    <cfRule type="containsText" dxfId="765" priority="3282" operator="containsText" text="Pesquisa de Preços">
      <formula>NOT(ISERROR(SEARCH("Pesquisa de Preços",E6423)))</formula>
    </cfRule>
  </conditionalFormatting>
  <conditionalFormatting sqref="E6424 E6427">
    <cfRule type="containsText" dxfId="764" priority="3283" operator="containsText" text="Pesquisa de Preços">
      <formula>NOT(ISERROR(SEARCH("Pesquisa de Preços",E6424)))</formula>
    </cfRule>
  </conditionalFormatting>
  <conditionalFormatting sqref="D6429">
    <cfRule type="containsText" dxfId="763" priority="3275" operator="containsText" text="Pesquisa de Preços">
      <formula>NOT(ISERROR(SEARCH("Pesquisa de Preços",D6429)))</formula>
    </cfRule>
  </conditionalFormatting>
  <conditionalFormatting sqref="E6430">
    <cfRule type="containsText" dxfId="762" priority="3272" operator="containsText" text="Pesquisa de Preços">
      <formula>NOT(ISERROR(SEARCH("Pesquisa de Preços",E6430)))</formula>
    </cfRule>
  </conditionalFormatting>
  <conditionalFormatting sqref="D6432">
    <cfRule type="containsText" dxfId="761" priority="3277" operator="containsText" text="Pesquisa de Preços">
      <formula>NOT(ISERROR(SEARCH("Pesquisa de Preços",D6432)))</formula>
    </cfRule>
  </conditionalFormatting>
  <conditionalFormatting sqref="D6428">
    <cfRule type="containsText" dxfId="760" priority="3276" operator="containsText" text="Pesquisa de Preços">
      <formula>NOT(ISERROR(SEARCH("Pesquisa de Preços",D6428)))</formula>
    </cfRule>
  </conditionalFormatting>
  <conditionalFormatting sqref="E6428">
    <cfRule type="containsText" dxfId="759" priority="3273" operator="containsText" text="Pesquisa de Preços">
      <formula>NOT(ISERROR(SEARCH("Pesquisa de Preços",E6428)))</formula>
    </cfRule>
  </conditionalFormatting>
  <conditionalFormatting sqref="E6429 E6432">
    <cfRule type="containsText" dxfId="758" priority="3274" operator="containsText" text="Pesquisa de Preços">
      <formula>NOT(ISERROR(SEARCH("Pesquisa de Preços",E6429)))</formula>
    </cfRule>
  </conditionalFormatting>
  <conditionalFormatting sqref="D6400">
    <cfRule type="containsText" dxfId="757" priority="3258" operator="containsText" text="Pesquisa de Preços">
      <formula>NOT(ISERROR(SEARCH("Pesquisa de Preços",D6400)))</formula>
    </cfRule>
  </conditionalFormatting>
  <conditionalFormatting sqref="E6401">
    <cfRule type="containsText" dxfId="756" priority="3255" operator="containsText" text="Pesquisa de Preços">
      <formula>NOT(ISERROR(SEARCH("Pesquisa de Preços",E6401)))</formula>
    </cfRule>
  </conditionalFormatting>
  <conditionalFormatting sqref="D6405">
    <cfRule type="containsText" dxfId="755" priority="3262" operator="containsText" text="Pesquisa de Preços">
      <formula>NOT(ISERROR(SEARCH("Pesquisa de Preços",D6405)))</formula>
    </cfRule>
  </conditionalFormatting>
  <conditionalFormatting sqref="D6399">
    <cfRule type="containsText" dxfId="754" priority="3259" operator="containsText" text="Pesquisa de Preços">
      <formula>NOT(ISERROR(SEARCH("Pesquisa de Preços",D6399)))</formula>
    </cfRule>
  </conditionalFormatting>
  <conditionalFormatting sqref="E6399">
    <cfRule type="containsText" dxfId="753" priority="3256" operator="containsText" text="Pesquisa de Preços">
      <formula>NOT(ISERROR(SEARCH("Pesquisa de Preços",E6399)))</formula>
    </cfRule>
  </conditionalFormatting>
  <conditionalFormatting sqref="E6400 E6405">
    <cfRule type="containsText" dxfId="752" priority="3257" operator="containsText" text="Pesquisa de Preços">
      <formula>NOT(ISERROR(SEARCH("Pesquisa de Preços",E6400)))</formula>
    </cfRule>
  </conditionalFormatting>
  <conditionalFormatting sqref="D6407">
    <cfRule type="containsText" dxfId="751" priority="3245" operator="containsText" text="Pesquisa de Preços">
      <formula>NOT(ISERROR(SEARCH("Pesquisa de Preços",D6407)))</formula>
    </cfRule>
  </conditionalFormatting>
  <conditionalFormatting sqref="D6409">
    <cfRule type="containsText" dxfId="750" priority="3247" operator="containsText" text="Pesquisa de Preços">
      <formula>NOT(ISERROR(SEARCH("Pesquisa de Preços",D6409)))</formula>
    </cfRule>
  </conditionalFormatting>
  <conditionalFormatting sqref="D6406">
    <cfRule type="containsText" dxfId="749" priority="3246" operator="containsText" text="Pesquisa de Preços">
      <formula>NOT(ISERROR(SEARCH("Pesquisa de Preços",D6406)))</formula>
    </cfRule>
  </conditionalFormatting>
  <conditionalFormatting sqref="E6406">
    <cfRule type="containsText" dxfId="748" priority="3243" operator="containsText" text="Pesquisa de Preços">
      <formula>NOT(ISERROR(SEARCH("Pesquisa de Preços",E6406)))</formula>
    </cfRule>
  </conditionalFormatting>
  <conditionalFormatting sqref="E6407 E6409">
    <cfRule type="containsText" dxfId="747" priority="3244" operator="containsText" text="Pesquisa de Preços">
      <formula>NOT(ISERROR(SEARCH("Pesquisa de Preços",E6407)))</formula>
    </cfRule>
  </conditionalFormatting>
  <conditionalFormatting sqref="D6411">
    <cfRule type="containsText" dxfId="746" priority="3231" operator="containsText" text="Pesquisa de Preços">
      <formula>NOT(ISERROR(SEARCH("Pesquisa de Preços",D6411)))</formula>
    </cfRule>
  </conditionalFormatting>
  <conditionalFormatting sqref="D6414">
    <cfRule type="containsText" dxfId="745" priority="3233" operator="containsText" text="Pesquisa de Preços">
      <formula>NOT(ISERROR(SEARCH("Pesquisa de Preços",D6414)))</formula>
    </cfRule>
  </conditionalFormatting>
  <conditionalFormatting sqref="D6410">
    <cfRule type="containsText" dxfId="744" priority="3232" operator="containsText" text="Pesquisa de Preços">
      <formula>NOT(ISERROR(SEARCH("Pesquisa de Preços",D6410)))</formula>
    </cfRule>
  </conditionalFormatting>
  <conditionalFormatting sqref="E6410">
    <cfRule type="containsText" dxfId="743" priority="3229" operator="containsText" text="Pesquisa de Preços">
      <formula>NOT(ISERROR(SEARCH("Pesquisa de Preços",E6410)))</formula>
    </cfRule>
  </conditionalFormatting>
  <conditionalFormatting sqref="E6411 E6414">
    <cfRule type="containsText" dxfId="742" priority="3230" operator="containsText" text="Pesquisa de Preços">
      <formula>NOT(ISERROR(SEARCH("Pesquisa de Preços",E6411)))</formula>
    </cfRule>
  </conditionalFormatting>
  <conditionalFormatting sqref="E6419">
    <cfRule type="containsText" dxfId="741" priority="3200" operator="containsText" text="Pesquisa de Preços">
      <formula>NOT(ISERROR(SEARCH("Pesquisa de Preços",E6419)))</formula>
    </cfRule>
  </conditionalFormatting>
  <conditionalFormatting sqref="D6416">
    <cfRule type="containsText" dxfId="740" priority="3212" operator="containsText" text="Pesquisa de Preços">
      <formula>NOT(ISERROR(SEARCH("Pesquisa de Preços",D6416)))</formula>
    </cfRule>
  </conditionalFormatting>
  <conditionalFormatting sqref="D6418">
    <cfRule type="containsText" dxfId="739" priority="3214" operator="containsText" text="Pesquisa de Preços">
      <formula>NOT(ISERROR(SEARCH("Pesquisa de Preços",D6418)))</formula>
    </cfRule>
  </conditionalFormatting>
  <conditionalFormatting sqref="D6415">
    <cfRule type="containsText" dxfId="738" priority="3213" operator="containsText" text="Pesquisa de Preços">
      <formula>NOT(ISERROR(SEARCH("Pesquisa de Preços",D6415)))</formula>
    </cfRule>
  </conditionalFormatting>
  <conditionalFormatting sqref="E6415">
    <cfRule type="containsText" dxfId="737" priority="3210" operator="containsText" text="Pesquisa de Preços">
      <formula>NOT(ISERROR(SEARCH("Pesquisa de Preços",E6415)))</formula>
    </cfRule>
  </conditionalFormatting>
  <conditionalFormatting sqref="E6416 E6418">
    <cfRule type="containsText" dxfId="736" priority="3211" operator="containsText" text="Pesquisa de Preços">
      <formula>NOT(ISERROR(SEARCH("Pesquisa de Preços",E6416)))</formula>
    </cfRule>
  </conditionalFormatting>
  <conditionalFormatting sqref="D6420">
    <cfRule type="containsText" dxfId="735" priority="3202" operator="containsText" text="Pesquisa de Preços">
      <formula>NOT(ISERROR(SEARCH("Pesquisa de Preços",D6420)))</formula>
    </cfRule>
  </conditionalFormatting>
  <conditionalFormatting sqref="D6422">
    <cfRule type="containsText" dxfId="734" priority="3204" operator="containsText" text="Pesquisa de Preços">
      <formula>NOT(ISERROR(SEARCH("Pesquisa de Preços",D6422)))</formula>
    </cfRule>
  </conditionalFormatting>
  <conditionalFormatting sqref="D6419">
    <cfRule type="containsText" dxfId="733" priority="3203" operator="containsText" text="Pesquisa de Preços">
      <formula>NOT(ISERROR(SEARCH("Pesquisa de Preços",D6419)))</formula>
    </cfRule>
  </conditionalFormatting>
  <conditionalFormatting sqref="E6420 E6422">
    <cfRule type="containsText" dxfId="732" priority="3201" operator="containsText" text="Pesquisa de Preços">
      <formula>NOT(ISERROR(SEARCH("Pesquisa de Preços",E6420)))</formula>
    </cfRule>
  </conditionalFormatting>
  <conditionalFormatting sqref="D1378">
    <cfRule type="containsText" dxfId="731" priority="3192" operator="containsText" text="Pesquisa de Preços">
      <formula>NOT(ISERROR(SEARCH("Pesquisa de Preços",D1378)))</formula>
    </cfRule>
  </conditionalFormatting>
  <conditionalFormatting sqref="D1379">
    <cfRule type="containsText" dxfId="730" priority="3189" operator="containsText" text="Pesquisa de Preços">
      <formula>NOT(ISERROR(SEARCH("Pesquisa de Preços",D1379)))</formula>
    </cfRule>
  </conditionalFormatting>
  <conditionalFormatting sqref="D1940">
    <cfRule type="containsText" dxfId="729" priority="3185" operator="containsText" text="Pesquisa de Preços">
      <formula>NOT(ISERROR(SEARCH("Pesquisa de Preços",D1940)))</formula>
    </cfRule>
  </conditionalFormatting>
  <conditionalFormatting sqref="E1940">
    <cfRule type="containsText" dxfId="728" priority="3184" operator="containsText" text="Pesquisa de Preços">
      <formula>NOT(ISERROR(SEARCH("Pesquisa de Preços",E1940)))</formula>
    </cfRule>
  </conditionalFormatting>
  <conditionalFormatting sqref="D1939">
    <cfRule type="containsText" dxfId="727" priority="3183" operator="containsText" text="Pesquisa de Preços">
      <formula>NOT(ISERROR(SEARCH("Pesquisa de Preços",D1939)))</formula>
    </cfRule>
  </conditionalFormatting>
  <conditionalFormatting sqref="E1939">
    <cfRule type="containsText" dxfId="726" priority="3182" operator="containsText" text="Pesquisa de Preços">
      <formula>NOT(ISERROR(SEARCH("Pesquisa de Preços",E1939)))</formula>
    </cfRule>
  </conditionalFormatting>
  <conditionalFormatting sqref="D2218">
    <cfRule type="containsText" dxfId="725" priority="3178" operator="containsText" text="Pesquisa de Preços">
      <formula>NOT(ISERROR(SEARCH("Pesquisa de Preços",D2218)))</formula>
    </cfRule>
  </conditionalFormatting>
  <conditionalFormatting sqref="E2224">
    <cfRule type="containsText" dxfId="724" priority="3176" operator="containsText" text="Pesquisa de Preços">
      <formula>NOT(ISERROR(SEARCH("Pesquisa de Preços",E2224)))</formula>
    </cfRule>
  </conditionalFormatting>
  <conditionalFormatting sqref="D6449">
    <cfRule type="containsText" dxfId="723" priority="3167" operator="containsText" text="Pesquisa de Preços">
      <formula>NOT(ISERROR(SEARCH("Pesquisa de Preços",D6449)))</formula>
    </cfRule>
  </conditionalFormatting>
  <conditionalFormatting sqref="D6446">
    <cfRule type="containsText" dxfId="722" priority="3165" operator="containsText" text="Pesquisa de Preços">
      <formula>NOT(ISERROR(SEARCH("Pesquisa de Preços",D6446)))</formula>
    </cfRule>
  </conditionalFormatting>
  <conditionalFormatting sqref="D6458">
    <cfRule type="containsText" dxfId="721" priority="3156" operator="containsText" text="Pesquisa de Preços">
      <formula>NOT(ISERROR(SEARCH("Pesquisa de Preços",D6458)))</formula>
    </cfRule>
  </conditionalFormatting>
  <conditionalFormatting sqref="D6445">
    <cfRule type="containsText" dxfId="720" priority="3166" operator="containsText" text="Pesquisa de Preços">
      <formula>NOT(ISERROR(SEARCH("Pesquisa de Preços",D6445)))</formula>
    </cfRule>
  </conditionalFormatting>
  <conditionalFormatting sqref="E6445">
    <cfRule type="containsText" dxfId="719" priority="3163" operator="containsText" text="Pesquisa de Preços">
      <formula>NOT(ISERROR(SEARCH("Pesquisa de Preços",E6445)))</formula>
    </cfRule>
  </conditionalFormatting>
  <conditionalFormatting sqref="E6446 E6449">
    <cfRule type="containsText" dxfId="718" priority="3164" operator="containsText" text="Pesquisa de Preços">
      <formula>NOT(ISERROR(SEARCH("Pesquisa de Preços",E6446)))</formula>
    </cfRule>
  </conditionalFormatting>
  <conditionalFormatting sqref="D6451">
    <cfRule type="containsText" dxfId="717" priority="3154" operator="containsText" text="Pesquisa de Preços">
      <formula>NOT(ISERROR(SEARCH("Pesquisa de Preços",D6451)))</formula>
    </cfRule>
  </conditionalFormatting>
  <conditionalFormatting sqref="E6452">
    <cfRule type="containsText" dxfId="716" priority="3151" operator="containsText" text="Pesquisa de Preços">
      <formula>NOT(ISERROR(SEARCH("Pesquisa de Preços",E6452)))</formula>
    </cfRule>
  </conditionalFormatting>
  <conditionalFormatting sqref="D6450">
    <cfRule type="containsText" dxfId="715" priority="3155" operator="containsText" text="Pesquisa de Preços">
      <formula>NOT(ISERROR(SEARCH("Pesquisa de Preços",D6450)))</formula>
    </cfRule>
  </conditionalFormatting>
  <conditionalFormatting sqref="E6450">
    <cfRule type="containsText" dxfId="714" priority="3152" operator="containsText" text="Pesquisa de Preços">
      <formula>NOT(ISERROR(SEARCH("Pesquisa de Preços",E6450)))</formula>
    </cfRule>
  </conditionalFormatting>
  <conditionalFormatting sqref="E6451 E6458">
    <cfRule type="containsText" dxfId="713" priority="3153" operator="containsText" text="Pesquisa de Preços">
      <formula>NOT(ISERROR(SEARCH("Pesquisa de Preços",E6451)))</formula>
    </cfRule>
  </conditionalFormatting>
  <conditionalFormatting sqref="D6460">
    <cfRule type="containsText" dxfId="712" priority="3137" operator="containsText" text="Pesquisa de Preços">
      <formula>NOT(ISERROR(SEARCH("Pesquisa de Preços",D6460)))</formula>
    </cfRule>
  </conditionalFormatting>
  <conditionalFormatting sqref="E6461">
    <cfRule type="containsText" dxfId="711" priority="3128" operator="containsText" text="Pesquisa de Preços">
      <formula>NOT(ISERROR(SEARCH("Pesquisa de Preços",E6461)))</formula>
    </cfRule>
  </conditionalFormatting>
  <conditionalFormatting sqref="D6465">
    <cfRule type="containsText" dxfId="710" priority="3141" operator="containsText" text="Pesquisa de Preços">
      <formula>NOT(ISERROR(SEARCH("Pesquisa de Preços",D6465)))</formula>
    </cfRule>
  </conditionalFormatting>
  <conditionalFormatting sqref="D6459">
    <cfRule type="containsText" dxfId="709" priority="3138" operator="containsText" text="Pesquisa de Preços">
      <formula>NOT(ISERROR(SEARCH("Pesquisa de Preços",D6459)))</formula>
    </cfRule>
  </conditionalFormatting>
  <conditionalFormatting sqref="E6459">
    <cfRule type="containsText" dxfId="708" priority="3135" operator="containsText" text="Pesquisa de Preços">
      <formula>NOT(ISERROR(SEARCH("Pesquisa de Preços",E6459)))</formula>
    </cfRule>
  </conditionalFormatting>
  <conditionalFormatting sqref="E6460 E6465">
    <cfRule type="containsText" dxfId="707" priority="3136" operator="containsText" text="Pesquisa de Preços">
      <formula>NOT(ISERROR(SEARCH("Pesquisa de Preços",E6460)))</formula>
    </cfRule>
  </conditionalFormatting>
  <conditionalFormatting sqref="D6467">
    <cfRule type="containsText" dxfId="706" priority="3118" operator="containsText" text="Pesquisa de Preços">
      <formula>NOT(ISERROR(SEARCH("Pesquisa de Preços",D6467)))</formula>
    </cfRule>
  </conditionalFormatting>
  <conditionalFormatting sqref="D6472">
    <cfRule type="containsText" dxfId="705" priority="3122" operator="containsText" text="Pesquisa de Preços">
      <formula>NOT(ISERROR(SEARCH("Pesquisa de Preços",D6472)))</formula>
    </cfRule>
  </conditionalFormatting>
  <conditionalFormatting sqref="D6466">
    <cfRule type="containsText" dxfId="704" priority="3119" operator="containsText" text="Pesquisa de Preços">
      <formula>NOT(ISERROR(SEARCH("Pesquisa de Preços",D6466)))</formula>
    </cfRule>
  </conditionalFormatting>
  <conditionalFormatting sqref="E6466">
    <cfRule type="containsText" dxfId="703" priority="3116" operator="containsText" text="Pesquisa de Preços">
      <formula>NOT(ISERROR(SEARCH("Pesquisa de Preços",E6466)))</formula>
    </cfRule>
  </conditionalFormatting>
  <conditionalFormatting sqref="E6467 E6472">
    <cfRule type="containsText" dxfId="702" priority="3117" operator="containsText" text="Pesquisa de Preços">
      <formula>NOT(ISERROR(SEARCH("Pesquisa de Preços",E6467)))</formula>
    </cfRule>
  </conditionalFormatting>
  <conditionalFormatting sqref="D6474">
    <cfRule type="containsText" dxfId="701" priority="3104" operator="containsText" text="Pesquisa de Preços">
      <formula>NOT(ISERROR(SEARCH("Pesquisa de Preços",D6474)))</formula>
    </cfRule>
  </conditionalFormatting>
  <conditionalFormatting sqref="D6473">
    <cfRule type="containsText" dxfId="700" priority="3105" operator="containsText" text="Pesquisa de Preços">
      <formula>NOT(ISERROR(SEARCH("Pesquisa de Preços",D6473)))</formula>
    </cfRule>
  </conditionalFormatting>
  <conditionalFormatting sqref="E6473">
    <cfRule type="containsText" dxfId="699" priority="3102" operator="containsText" text="Pesquisa de Preços">
      <formula>NOT(ISERROR(SEARCH("Pesquisa de Preços",E6473)))</formula>
    </cfRule>
  </conditionalFormatting>
  <conditionalFormatting sqref="E6474">
    <cfRule type="containsText" dxfId="698" priority="3103" operator="containsText" text="Pesquisa de Preços">
      <formula>NOT(ISERROR(SEARCH("Pesquisa de Preços",E6474)))</formula>
    </cfRule>
  </conditionalFormatting>
  <conditionalFormatting sqref="E6468">
    <cfRule type="containsText" dxfId="697" priority="3094" operator="containsText" text="Pesquisa de Preços">
      <formula>NOT(ISERROR(SEARCH("Pesquisa de Preços",E6468)))</formula>
    </cfRule>
  </conditionalFormatting>
  <conditionalFormatting sqref="D6479">
    <cfRule type="containsText" dxfId="696" priority="3085" operator="containsText" text="Pesquisa de Preços">
      <formula>NOT(ISERROR(SEARCH("Pesquisa de Preços",D6479)))</formula>
    </cfRule>
  </conditionalFormatting>
  <conditionalFormatting sqref="E6479">
    <cfRule type="containsText" dxfId="695" priority="3082" operator="containsText" text="Pesquisa de Preços">
      <formula>NOT(ISERROR(SEARCH("Pesquisa de Preços",E6479)))</formula>
    </cfRule>
  </conditionalFormatting>
  <conditionalFormatting sqref="D6501">
    <cfRule type="containsText" dxfId="694" priority="3064" operator="containsText" text="Pesquisa de Preços">
      <formula>NOT(ISERROR(SEARCH("Pesquisa de Preços",D6501)))</formula>
    </cfRule>
  </conditionalFormatting>
  <conditionalFormatting sqref="E6498">
    <cfRule type="containsText" dxfId="693" priority="3060" operator="containsText" text="Pesquisa de Preços">
      <formula>NOT(ISERROR(SEARCH("Pesquisa de Preços",E6498)))</formula>
    </cfRule>
  </conditionalFormatting>
  <conditionalFormatting sqref="D6499">
    <cfRule type="containsText" dxfId="692" priority="3062" operator="containsText" text="Pesquisa de Preços">
      <formula>NOT(ISERROR(SEARCH("Pesquisa de Preços",D6499)))</formula>
    </cfRule>
  </conditionalFormatting>
  <conditionalFormatting sqref="D6498">
    <cfRule type="containsText" dxfId="691" priority="3063" operator="containsText" text="Pesquisa de Preços">
      <formula>NOT(ISERROR(SEARCH("Pesquisa de Preços",D6498)))</formula>
    </cfRule>
  </conditionalFormatting>
  <conditionalFormatting sqref="E6499 E6501">
    <cfRule type="containsText" dxfId="690" priority="3061" operator="containsText" text="Pesquisa de Preços">
      <formula>NOT(ISERROR(SEARCH("Pesquisa de Preços",E6499)))</formula>
    </cfRule>
  </conditionalFormatting>
  <conditionalFormatting sqref="D6505">
    <cfRule type="containsText" dxfId="689" priority="3054" operator="containsText" text="Pesquisa de Preços">
      <formula>NOT(ISERROR(SEARCH("Pesquisa de Preços",D6505)))</formula>
    </cfRule>
  </conditionalFormatting>
  <conditionalFormatting sqref="E6502">
    <cfRule type="containsText" dxfId="688" priority="3050" operator="containsText" text="Pesquisa de Preços">
      <formula>NOT(ISERROR(SEARCH("Pesquisa de Preços",E6502)))</formula>
    </cfRule>
  </conditionalFormatting>
  <conditionalFormatting sqref="D6503">
    <cfRule type="containsText" dxfId="687" priority="3052" operator="containsText" text="Pesquisa de Preços">
      <formula>NOT(ISERROR(SEARCH("Pesquisa de Preços",D6503)))</formula>
    </cfRule>
  </conditionalFormatting>
  <conditionalFormatting sqref="D6502">
    <cfRule type="containsText" dxfId="686" priority="3053" operator="containsText" text="Pesquisa de Preços">
      <formula>NOT(ISERROR(SEARCH("Pesquisa de Preços",D6502)))</formula>
    </cfRule>
  </conditionalFormatting>
  <conditionalFormatting sqref="E6503 E6505">
    <cfRule type="containsText" dxfId="685" priority="3051" operator="containsText" text="Pesquisa de Preços">
      <formula>NOT(ISERROR(SEARCH("Pesquisa de Preços",E6503)))</formula>
    </cfRule>
  </conditionalFormatting>
  <conditionalFormatting sqref="D6509">
    <cfRule type="containsText" dxfId="684" priority="3044" operator="containsText" text="Pesquisa de Preços">
      <formula>NOT(ISERROR(SEARCH("Pesquisa de Preços",D6509)))</formula>
    </cfRule>
  </conditionalFormatting>
  <conditionalFormatting sqref="E6506">
    <cfRule type="containsText" dxfId="683" priority="3040" operator="containsText" text="Pesquisa de Preços">
      <formula>NOT(ISERROR(SEARCH("Pesquisa de Preços",E6506)))</formula>
    </cfRule>
  </conditionalFormatting>
  <conditionalFormatting sqref="D6507">
    <cfRule type="containsText" dxfId="682" priority="3042" operator="containsText" text="Pesquisa de Preços">
      <formula>NOT(ISERROR(SEARCH("Pesquisa de Preços",D6507)))</formula>
    </cfRule>
  </conditionalFormatting>
  <conditionalFormatting sqref="D6506">
    <cfRule type="containsText" dxfId="681" priority="3043" operator="containsText" text="Pesquisa de Preços">
      <formula>NOT(ISERROR(SEARCH("Pesquisa de Preços",D6506)))</formula>
    </cfRule>
  </conditionalFormatting>
  <conditionalFormatting sqref="E6507 E6509">
    <cfRule type="containsText" dxfId="680" priority="3041" operator="containsText" text="Pesquisa de Preços">
      <formula>NOT(ISERROR(SEARCH("Pesquisa de Preços",E6507)))</formula>
    </cfRule>
  </conditionalFormatting>
  <conditionalFormatting sqref="D6513">
    <cfRule type="containsText" dxfId="679" priority="3014" operator="containsText" text="Pesquisa de Preços">
      <formula>NOT(ISERROR(SEARCH("Pesquisa de Preços",D6513)))</formula>
    </cfRule>
  </conditionalFormatting>
  <conditionalFormatting sqref="E6510">
    <cfRule type="containsText" dxfId="678" priority="3010" operator="containsText" text="Pesquisa de Preços">
      <formula>NOT(ISERROR(SEARCH("Pesquisa de Preços",E6510)))</formula>
    </cfRule>
  </conditionalFormatting>
  <conditionalFormatting sqref="D6511">
    <cfRule type="containsText" dxfId="677" priority="3012" operator="containsText" text="Pesquisa de Preços">
      <formula>NOT(ISERROR(SEARCH("Pesquisa de Preços",D6511)))</formula>
    </cfRule>
  </conditionalFormatting>
  <conditionalFormatting sqref="D6510">
    <cfRule type="containsText" dxfId="676" priority="3013" operator="containsText" text="Pesquisa de Preços">
      <formula>NOT(ISERROR(SEARCH("Pesquisa de Preços",D6510)))</formula>
    </cfRule>
  </conditionalFormatting>
  <conditionalFormatting sqref="E6511 E6513">
    <cfRule type="containsText" dxfId="675" priority="3011" operator="containsText" text="Pesquisa de Preços">
      <formula>NOT(ISERROR(SEARCH("Pesquisa de Preços",E6511)))</formula>
    </cfRule>
  </conditionalFormatting>
  <conditionalFormatting sqref="D6517">
    <cfRule type="containsText" dxfId="674" priority="3004" operator="containsText" text="Pesquisa de Preços">
      <formula>NOT(ISERROR(SEARCH("Pesquisa de Preços",D6517)))</formula>
    </cfRule>
  </conditionalFormatting>
  <conditionalFormatting sqref="E6514">
    <cfRule type="containsText" dxfId="673" priority="3000" operator="containsText" text="Pesquisa de Preços">
      <formula>NOT(ISERROR(SEARCH("Pesquisa de Preços",E6514)))</formula>
    </cfRule>
  </conditionalFormatting>
  <conditionalFormatting sqref="D6515">
    <cfRule type="containsText" dxfId="672" priority="3002" operator="containsText" text="Pesquisa de Preços">
      <formula>NOT(ISERROR(SEARCH("Pesquisa de Preços",D6515)))</formula>
    </cfRule>
  </conditionalFormatting>
  <conditionalFormatting sqref="D6514">
    <cfRule type="containsText" dxfId="671" priority="3003" operator="containsText" text="Pesquisa de Preços">
      <formula>NOT(ISERROR(SEARCH("Pesquisa de Preços",D6514)))</formula>
    </cfRule>
  </conditionalFormatting>
  <conditionalFormatting sqref="E6515 E6517">
    <cfRule type="containsText" dxfId="670" priority="3001" operator="containsText" text="Pesquisa de Preços">
      <formula>NOT(ISERROR(SEARCH("Pesquisa de Preços",E6515)))</formula>
    </cfRule>
  </conditionalFormatting>
  <conditionalFormatting sqref="D6521">
    <cfRule type="containsText" dxfId="669" priority="2994" operator="containsText" text="Pesquisa de Preços">
      <formula>NOT(ISERROR(SEARCH("Pesquisa de Preços",D6521)))</formula>
    </cfRule>
  </conditionalFormatting>
  <conditionalFormatting sqref="E6518">
    <cfRule type="containsText" dxfId="668" priority="2990" operator="containsText" text="Pesquisa de Preços">
      <formula>NOT(ISERROR(SEARCH("Pesquisa de Preços",E6518)))</formula>
    </cfRule>
  </conditionalFormatting>
  <conditionalFormatting sqref="D6519">
    <cfRule type="containsText" dxfId="667" priority="2992" operator="containsText" text="Pesquisa de Preços">
      <formula>NOT(ISERROR(SEARCH("Pesquisa de Preços",D6519)))</formula>
    </cfRule>
  </conditionalFormatting>
  <conditionalFormatting sqref="D6518">
    <cfRule type="containsText" dxfId="666" priority="2993" operator="containsText" text="Pesquisa de Preços">
      <formula>NOT(ISERROR(SEARCH("Pesquisa de Preços",D6518)))</formula>
    </cfRule>
  </conditionalFormatting>
  <conditionalFormatting sqref="E6519 E6521">
    <cfRule type="containsText" dxfId="665" priority="2991" operator="containsText" text="Pesquisa de Preços">
      <formula>NOT(ISERROR(SEARCH("Pesquisa de Preços",E6519)))</formula>
    </cfRule>
  </conditionalFormatting>
  <conditionalFormatting sqref="D6525">
    <cfRule type="containsText" dxfId="664" priority="2984" operator="containsText" text="Pesquisa de Preços">
      <formula>NOT(ISERROR(SEARCH("Pesquisa de Preços",D6525)))</formula>
    </cfRule>
  </conditionalFormatting>
  <conditionalFormatting sqref="E6522">
    <cfRule type="containsText" dxfId="663" priority="2980" operator="containsText" text="Pesquisa de Preços">
      <formula>NOT(ISERROR(SEARCH("Pesquisa de Preços",E6522)))</formula>
    </cfRule>
  </conditionalFormatting>
  <conditionalFormatting sqref="D6523">
    <cfRule type="containsText" dxfId="662" priority="2982" operator="containsText" text="Pesquisa de Preços">
      <formula>NOT(ISERROR(SEARCH("Pesquisa de Preços",D6523)))</formula>
    </cfRule>
  </conditionalFormatting>
  <conditionalFormatting sqref="D6522">
    <cfRule type="containsText" dxfId="661" priority="2983" operator="containsText" text="Pesquisa de Preços">
      <formula>NOT(ISERROR(SEARCH("Pesquisa de Preços",D6522)))</formula>
    </cfRule>
  </conditionalFormatting>
  <conditionalFormatting sqref="E6523 E6525">
    <cfRule type="containsText" dxfId="660" priority="2981" operator="containsText" text="Pesquisa de Preços">
      <formula>NOT(ISERROR(SEARCH("Pesquisa de Preços",E6523)))</formula>
    </cfRule>
  </conditionalFormatting>
  <conditionalFormatting sqref="D6529">
    <cfRule type="containsText" dxfId="659" priority="2974" operator="containsText" text="Pesquisa de Preços">
      <formula>NOT(ISERROR(SEARCH("Pesquisa de Preços",D6529)))</formula>
    </cfRule>
  </conditionalFormatting>
  <conditionalFormatting sqref="E6526">
    <cfRule type="containsText" dxfId="658" priority="2970" operator="containsText" text="Pesquisa de Preços">
      <formula>NOT(ISERROR(SEARCH("Pesquisa de Preços",E6526)))</formula>
    </cfRule>
  </conditionalFormatting>
  <conditionalFormatting sqref="D6527">
    <cfRule type="containsText" dxfId="657" priority="2972" operator="containsText" text="Pesquisa de Preços">
      <formula>NOT(ISERROR(SEARCH("Pesquisa de Preços",D6527)))</formula>
    </cfRule>
  </conditionalFormatting>
  <conditionalFormatting sqref="D6526">
    <cfRule type="containsText" dxfId="656" priority="2973" operator="containsText" text="Pesquisa de Preços">
      <formula>NOT(ISERROR(SEARCH("Pesquisa de Preços",D6526)))</formula>
    </cfRule>
  </conditionalFormatting>
  <conditionalFormatting sqref="E6527 E6529">
    <cfRule type="containsText" dxfId="655" priority="2971" operator="containsText" text="Pesquisa de Preços">
      <formula>NOT(ISERROR(SEARCH("Pesquisa de Preços",E6527)))</formula>
    </cfRule>
  </conditionalFormatting>
  <conditionalFormatting sqref="D6533">
    <cfRule type="containsText" dxfId="654" priority="2954" operator="containsText" text="Pesquisa de Preços">
      <formula>NOT(ISERROR(SEARCH("Pesquisa de Preços",D6533)))</formula>
    </cfRule>
  </conditionalFormatting>
  <conditionalFormatting sqref="E6530">
    <cfRule type="containsText" dxfId="653" priority="2950" operator="containsText" text="Pesquisa de Preços">
      <formula>NOT(ISERROR(SEARCH("Pesquisa de Preços",E6530)))</formula>
    </cfRule>
  </conditionalFormatting>
  <conditionalFormatting sqref="D6531">
    <cfRule type="containsText" dxfId="652" priority="2952" operator="containsText" text="Pesquisa de Preços">
      <formula>NOT(ISERROR(SEARCH("Pesquisa de Preços",D6531)))</formula>
    </cfRule>
  </conditionalFormatting>
  <conditionalFormatting sqref="D6530">
    <cfRule type="containsText" dxfId="651" priority="2953" operator="containsText" text="Pesquisa de Preços">
      <formula>NOT(ISERROR(SEARCH("Pesquisa de Preços",D6530)))</formula>
    </cfRule>
  </conditionalFormatting>
  <conditionalFormatting sqref="E6531 E6533">
    <cfRule type="containsText" dxfId="650" priority="2951" operator="containsText" text="Pesquisa de Preços">
      <formula>NOT(ISERROR(SEARCH("Pesquisa de Preços",E6531)))</formula>
    </cfRule>
  </conditionalFormatting>
  <conditionalFormatting sqref="D6537">
    <cfRule type="containsText" dxfId="649" priority="2944" operator="containsText" text="Pesquisa de Preços">
      <formula>NOT(ISERROR(SEARCH("Pesquisa de Preços",D6537)))</formula>
    </cfRule>
  </conditionalFormatting>
  <conditionalFormatting sqref="E6534">
    <cfRule type="containsText" dxfId="648" priority="2940" operator="containsText" text="Pesquisa de Preços">
      <formula>NOT(ISERROR(SEARCH("Pesquisa de Preços",E6534)))</formula>
    </cfRule>
  </conditionalFormatting>
  <conditionalFormatting sqref="D6535">
    <cfRule type="containsText" dxfId="647" priority="2942" operator="containsText" text="Pesquisa de Preços">
      <formula>NOT(ISERROR(SEARCH("Pesquisa de Preços",D6535)))</formula>
    </cfRule>
  </conditionalFormatting>
  <conditionalFormatting sqref="D6534">
    <cfRule type="containsText" dxfId="646" priority="2943" operator="containsText" text="Pesquisa de Preços">
      <formula>NOT(ISERROR(SEARCH("Pesquisa de Preços",D6534)))</formula>
    </cfRule>
  </conditionalFormatting>
  <conditionalFormatting sqref="E6535 E6537">
    <cfRule type="containsText" dxfId="645" priority="2941" operator="containsText" text="Pesquisa de Preços">
      <formula>NOT(ISERROR(SEARCH("Pesquisa de Preços",E6535)))</formula>
    </cfRule>
  </conditionalFormatting>
  <conditionalFormatting sqref="D6545">
    <cfRule type="containsText" dxfId="644" priority="2934" operator="containsText" text="Pesquisa de Preços">
      <formula>NOT(ISERROR(SEARCH("Pesquisa de Preços",D6545)))</formula>
    </cfRule>
  </conditionalFormatting>
  <conditionalFormatting sqref="E6542">
    <cfRule type="containsText" dxfId="643" priority="2930" operator="containsText" text="Pesquisa de Preços">
      <formula>NOT(ISERROR(SEARCH("Pesquisa de Preços",E6542)))</formula>
    </cfRule>
  </conditionalFormatting>
  <conditionalFormatting sqref="D6543">
    <cfRule type="containsText" dxfId="642" priority="2932" operator="containsText" text="Pesquisa de Preços">
      <formula>NOT(ISERROR(SEARCH("Pesquisa de Preços",D6543)))</formula>
    </cfRule>
  </conditionalFormatting>
  <conditionalFormatting sqref="D6542">
    <cfRule type="containsText" dxfId="641" priority="2933" operator="containsText" text="Pesquisa de Preços">
      <formula>NOT(ISERROR(SEARCH("Pesquisa de Preços",D6542)))</formula>
    </cfRule>
  </conditionalFormatting>
  <conditionalFormatting sqref="E6543 E6545">
    <cfRule type="containsText" dxfId="640" priority="2931" operator="containsText" text="Pesquisa de Preços">
      <formula>NOT(ISERROR(SEARCH("Pesquisa de Preços",E6543)))</formula>
    </cfRule>
  </conditionalFormatting>
  <conditionalFormatting sqref="D6549">
    <cfRule type="containsText" dxfId="639" priority="2924" operator="containsText" text="Pesquisa de Preços">
      <formula>NOT(ISERROR(SEARCH("Pesquisa de Preços",D6549)))</formula>
    </cfRule>
  </conditionalFormatting>
  <conditionalFormatting sqref="E6546">
    <cfRule type="containsText" dxfId="638" priority="2920" operator="containsText" text="Pesquisa de Preços">
      <formula>NOT(ISERROR(SEARCH("Pesquisa de Preços",E6546)))</formula>
    </cfRule>
  </conditionalFormatting>
  <conditionalFormatting sqref="D6547">
    <cfRule type="containsText" dxfId="637" priority="2922" operator="containsText" text="Pesquisa de Preços">
      <formula>NOT(ISERROR(SEARCH("Pesquisa de Preços",D6547)))</formula>
    </cfRule>
  </conditionalFormatting>
  <conditionalFormatting sqref="D6546">
    <cfRule type="containsText" dxfId="636" priority="2923" operator="containsText" text="Pesquisa de Preços">
      <formula>NOT(ISERROR(SEARCH("Pesquisa de Preços",D6546)))</formula>
    </cfRule>
  </conditionalFormatting>
  <conditionalFormatting sqref="E6547 E6549">
    <cfRule type="containsText" dxfId="635" priority="2921" operator="containsText" text="Pesquisa de Preços">
      <formula>NOT(ISERROR(SEARCH("Pesquisa de Preços",E6547)))</formula>
    </cfRule>
  </conditionalFormatting>
  <conditionalFormatting sqref="D6553">
    <cfRule type="containsText" dxfId="634" priority="2914" operator="containsText" text="Pesquisa de Preços">
      <formula>NOT(ISERROR(SEARCH("Pesquisa de Preços",D6553)))</formula>
    </cfRule>
  </conditionalFormatting>
  <conditionalFormatting sqref="E6550">
    <cfRule type="containsText" dxfId="633" priority="2910" operator="containsText" text="Pesquisa de Preços">
      <formula>NOT(ISERROR(SEARCH("Pesquisa de Preços",E6550)))</formula>
    </cfRule>
  </conditionalFormatting>
  <conditionalFormatting sqref="D6551">
    <cfRule type="containsText" dxfId="632" priority="2912" operator="containsText" text="Pesquisa de Preços">
      <formula>NOT(ISERROR(SEARCH("Pesquisa de Preços",D6551)))</formula>
    </cfRule>
  </conditionalFormatting>
  <conditionalFormatting sqref="D6550">
    <cfRule type="containsText" dxfId="631" priority="2913" operator="containsText" text="Pesquisa de Preços">
      <formula>NOT(ISERROR(SEARCH("Pesquisa de Preços",D6550)))</formula>
    </cfRule>
  </conditionalFormatting>
  <conditionalFormatting sqref="E6551 E6553">
    <cfRule type="containsText" dxfId="630" priority="2911" operator="containsText" text="Pesquisa de Preços">
      <formula>NOT(ISERROR(SEARCH("Pesquisa de Preços",E6551)))</formula>
    </cfRule>
  </conditionalFormatting>
  <conditionalFormatting sqref="D6557">
    <cfRule type="containsText" dxfId="629" priority="2894" operator="containsText" text="Pesquisa de Preços">
      <formula>NOT(ISERROR(SEARCH("Pesquisa de Preços",D6557)))</formula>
    </cfRule>
  </conditionalFormatting>
  <conditionalFormatting sqref="E6554">
    <cfRule type="containsText" dxfId="628" priority="2890" operator="containsText" text="Pesquisa de Preços">
      <formula>NOT(ISERROR(SEARCH("Pesquisa de Preços",E6554)))</formula>
    </cfRule>
  </conditionalFormatting>
  <conditionalFormatting sqref="D6555">
    <cfRule type="containsText" dxfId="627" priority="2892" operator="containsText" text="Pesquisa de Preços">
      <formula>NOT(ISERROR(SEARCH("Pesquisa de Preços",D6555)))</formula>
    </cfRule>
  </conditionalFormatting>
  <conditionalFormatting sqref="D6554">
    <cfRule type="containsText" dxfId="626" priority="2893" operator="containsText" text="Pesquisa de Preços">
      <formula>NOT(ISERROR(SEARCH("Pesquisa de Preços",D6554)))</formula>
    </cfRule>
  </conditionalFormatting>
  <conditionalFormatting sqref="E6555 E6557">
    <cfRule type="containsText" dxfId="625" priority="2891" operator="containsText" text="Pesquisa de Preços">
      <formula>NOT(ISERROR(SEARCH("Pesquisa de Preços",E6555)))</formula>
    </cfRule>
  </conditionalFormatting>
  <conditionalFormatting sqref="D6565">
    <cfRule type="containsText" dxfId="624" priority="2834" operator="containsText" text="Pesquisa de Preços">
      <formula>NOT(ISERROR(SEARCH("Pesquisa de Preços",D6565)))</formula>
    </cfRule>
  </conditionalFormatting>
  <conditionalFormatting sqref="E6562">
    <cfRule type="containsText" dxfId="623" priority="2830" operator="containsText" text="Pesquisa de Preços">
      <formula>NOT(ISERROR(SEARCH("Pesquisa de Preços",E6562)))</formula>
    </cfRule>
  </conditionalFormatting>
  <conditionalFormatting sqref="D6563">
    <cfRule type="containsText" dxfId="622" priority="2832" operator="containsText" text="Pesquisa de Preços">
      <formula>NOT(ISERROR(SEARCH("Pesquisa de Preços",D6563)))</formula>
    </cfRule>
  </conditionalFormatting>
  <conditionalFormatting sqref="D6562">
    <cfRule type="containsText" dxfId="621" priority="2833" operator="containsText" text="Pesquisa de Preços">
      <formula>NOT(ISERROR(SEARCH("Pesquisa de Preços",D6562)))</formula>
    </cfRule>
  </conditionalFormatting>
  <conditionalFormatting sqref="E6563 E6565">
    <cfRule type="containsText" dxfId="620" priority="2831" operator="containsText" text="Pesquisa de Preços">
      <formula>NOT(ISERROR(SEARCH("Pesquisa de Preços",E6563)))</formula>
    </cfRule>
  </conditionalFormatting>
  <conditionalFormatting sqref="D6569">
    <cfRule type="containsText" dxfId="619" priority="2774" operator="containsText" text="Pesquisa de Preços">
      <formula>NOT(ISERROR(SEARCH("Pesquisa de Preços",D6569)))</formula>
    </cfRule>
  </conditionalFormatting>
  <conditionalFormatting sqref="E6566">
    <cfRule type="containsText" dxfId="618" priority="2770" operator="containsText" text="Pesquisa de Preços">
      <formula>NOT(ISERROR(SEARCH("Pesquisa de Preços",E6566)))</formula>
    </cfRule>
  </conditionalFormatting>
  <conditionalFormatting sqref="D6567">
    <cfRule type="containsText" dxfId="617" priority="2772" operator="containsText" text="Pesquisa de Preços">
      <formula>NOT(ISERROR(SEARCH("Pesquisa de Preços",D6567)))</formula>
    </cfRule>
  </conditionalFormatting>
  <conditionalFormatting sqref="D6566">
    <cfRule type="containsText" dxfId="616" priority="2773" operator="containsText" text="Pesquisa de Preços">
      <formula>NOT(ISERROR(SEARCH("Pesquisa de Preços",D6566)))</formula>
    </cfRule>
  </conditionalFormatting>
  <conditionalFormatting sqref="E6567 E6569">
    <cfRule type="containsText" dxfId="615" priority="2771" operator="containsText" text="Pesquisa de Preços">
      <formula>NOT(ISERROR(SEARCH("Pesquisa de Preços",E6567)))</formula>
    </cfRule>
  </conditionalFormatting>
  <conditionalFormatting sqref="D6573">
    <cfRule type="containsText" dxfId="614" priority="2764" operator="containsText" text="Pesquisa de Preços">
      <formula>NOT(ISERROR(SEARCH("Pesquisa de Preços",D6573)))</formula>
    </cfRule>
  </conditionalFormatting>
  <conditionalFormatting sqref="E6570">
    <cfRule type="containsText" dxfId="613" priority="2760" operator="containsText" text="Pesquisa de Preços">
      <formula>NOT(ISERROR(SEARCH("Pesquisa de Preços",E6570)))</formula>
    </cfRule>
  </conditionalFormatting>
  <conditionalFormatting sqref="D6571">
    <cfRule type="containsText" dxfId="612" priority="2762" operator="containsText" text="Pesquisa de Preços">
      <formula>NOT(ISERROR(SEARCH("Pesquisa de Preços",D6571)))</formula>
    </cfRule>
  </conditionalFormatting>
  <conditionalFormatting sqref="D6570">
    <cfRule type="containsText" dxfId="611" priority="2763" operator="containsText" text="Pesquisa de Preços">
      <formula>NOT(ISERROR(SEARCH("Pesquisa de Preços",D6570)))</formula>
    </cfRule>
  </conditionalFormatting>
  <conditionalFormatting sqref="E6571 E6573">
    <cfRule type="containsText" dxfId="610" priority="2761" operator="containsText" text="Pesquisa de Preços">
      <formula>NOT(ISERROR(SEARCH("Pesquisa de Preços",E6571)))</formula>
    </cfRule>
  </conditionalFormatting>
  <conditionalFormatting sqref="D6577">
    <cfRule type="containsText" dxfId="609" priority="2754" operator="containsText" text="Pesquisa de Preços">
      <formula>NOT(ISERROR(SEARCH("Pesquisa de Preços",D6577)))</formula>
    </cfRule>
  </conditionalFormatting>
  <conditionalFormatting sqref="E6574">
    <cfRule type="containsText" dxfId="608" priority="2750" operator="containsText" text="Pesquisa de Preços">
      <formula>NOT(ISERROR(SEARCH("Pesquisa de Preços",E6574)))</formula>
    </cfRule>
  </conditionalFormatting>
  <conditionalFormatting sqref="D6575">
    <cfRule type="containsText" dxfId="607" priority="2752" operator="containsText" text="Pesquisa de Preços">
      <formula>NOT(ISERROR(SEARCH("Pesquisa de Preços",D6575)))</formula>
    </cfRule>
  </conditionalFormatting>
  <conditionalFormatting sqref="D6574">
    <cfRule type="containsText" dxfId="606" priority="2753" operator="containsText" text="Pesquisa de Preços">
      <formula>NOT(ISERROR(SEARCH("Pesquisa de Preços",D6574)))</formula>
    </cfRule>
  </conditionalFormatting>
  <conditionalFormatting sqref="E6575 E6577">
    <cfRule type="containsText" dxfId="605" priority="2751" operator="containsText" text="Pesquisa de Preços">
      <formula>NOT(ISERROR(SEARCH("Pesquisa de Preços",E6575)))</formula>
    </cfRule>
  </conditionalFormatting>
  <conditionalFormatting sqref="D6581">
    <cfRule type="containsText" dxfId="604" priority="2744" operator="containsText" text="Pesquisa de Preços">
      <formula>NOT(ISERROR(SEARCH("Pesquisa de Preços",D6581)))</formula>
    </cfRule>
  </conditionalFormatting>
  <conditionalFormatting sqref="E6578">
    <cfRule type="containsText" dxfId="603" priority="2740" operator="containsText" text="Pesquisa de Preços">
      <formula>NOT(ISERROR(SEARCH("Pesquisa de Preços",E6578)))</formula>
    </cfRule>
  </conditionalFormatting>
  <conditionalFormatting sqref="D6579">
    <cfRule type="containsText" dxfId="602" priority="2742" operator="containsText" text="Pesquisa de Preços">
      <formula>NOT(ISERROR(SEARCH("Pesquisa de Preços",D6579)))</formula>
    </cfRule>
  </conditionalFormatting>
  <conditionalFormatting sqref="D6578">
    <cfRule type="containsText" dxfId="601" priority="2743" operator="containsText" text="Pesquisa de Preços">
      <formula>NOT(ISERROR(SEARCH("Pesquisa de Preços",D6578)))</formula>
    </cfRule>
  </conditionalFormatting>
  <conditionalFormatting sqref="E6579 E6581">
    <cfRule type="containsText" dxfId="600" priority="2741" operator="containsText" text="Pesquisa de Preços">
      <formula>NOT(ISERROR(SEARCH("Pesquisa de Preços",E6579)))</formula>
    </cfRule>
  </conditionalFormatting>
  <conditionalFormatting sqref="D6585">
    <cfRule type="containsText" dxfId="599" priority="2734" operator="containsText" text="Pesquisa de Preços">
      <formula>NOT(ISERROR(SEARCH("Pesquisa de Preços",D6585)))</formula>
    </cfRule>
  </conditionalFormatting>
  <conditionalFormatting sqref="E6582">
    <cfRule type="containsText" dxfId="598" priority="2730" operator="containsText" text="Pesquisa de Preços">
      <formula>NOT(ISERROR(SEARCH("Pesquisa de Preços",E6582)))</formula>
    </cfRule>
  </conditionalFormatting>
  <conditionalFormatting sqref="D6583">
    <cfRule type="containsText" dxfId="597" priority="2732" operator="containsText" text="Pesquisa de Preços">
      <formula>NOT(ISERROR(SEARCH("Pesquisa de Preços",D6583)))</formula>
    </cfRule>
  </conditionalFormatting>
  <conditionalFormatting sqref="D6582">
    <cfRule type="containsText" dxfId="596" priority="2733" operator="containsText" text="Pesquisa de Preços">
      <formula>NOT(ISERROR(SEARCH("Pesquisa de Preços",D6582)))</formula>
    </cfRule>
  </conditionalFormatting>
  <conditionalFormatting sqref="E6583 E6585">
    <cfRule type="containsText" dxfId="595" priority="2731" operator="containsText" text="Pesquisa de Preços">
      <formula>NOT(ISERROR(SEARCH("Pesquisa de Preços",E6583)))</formula>
    </cfRule>
  </conditionalFormatting>
  <conditionalFormatting sqref="D6593">
    <cfRule type="containsText" dxfId="594" priority="2724" operator="containsText" text="Pesquisa de Preços">
      <formula>NOT(ISERROR(SEARCH("Pesquisa de Preços",D6593)))</formula>
    </cfRule>
  </conditionalFormatting>
  <conditionalFormatting sqref="E6590">
    <cfRule type="containsText" dxfId="593" priority="2720" operator="containsText" text="Pesquisa de Preços">
      <formula>NOT(ISERROR(SEARCH("Pesquisa de Preços",E6590)))</formula>
    </cfRule>
  </conditionalFormatting>
  <conditionalFormatting sqref="D6591">
    <cfRule type="containsText" dxfId="592" priority="2722" operator="containsText" text="Pesquisa de Preços">
      <formula>NOT(ISERROR(SEARCH("Pesquisa de Preços",D6591)))</formula>
    </cfRule>
  </conditionalFormatting>
  <conditionalFormatting sqref="D6590">
    <cfRule type="containsText" dxfId="591" priority="2723" operator="containsText" text="Pesquisa de Preços">
      <formula>NOT(ISERROR(SEARCH("Pesquisa de Preços",D6590)))</formula>
    </cfRule>
  </conditionalFormatting>
  <conditionalFormatting sqref="E6591 E6593">
    <cfRule type="containsText" dxfId="590" priority="2721" operator="containsText" text="Pesquisa de Preços">
      <formula>NOT(ISERROR(SEARCH("Pesquisa de Preços",E6591)))</formula>
    </cfRule>
  </conditionalFormatting>
  <conditionalFormatting sqref="D6597">
    <cfRule type="containsText" dxfId="589" priority="2714" operator="containsText" text="Pesquisa de Preços">
      <formula>NOT(ISERROR(SEARCH("Pesquisa de Preços",D6597)))</formula>
    </cfRule>
  </conditionalFormatting>
  <conditionalFormatting sqref="E6594">
    <cfRule type="containsText" dxfId="588" priority="2710" operator="containsText" text="Pesquisa de Preços">
      <formula>NOT(ISERROR(SEARCH("Pesquisa de Preços",E6594)))</formula>
    </cfRule>
  </conditionalFormatting>
  <conditionalFormatting sqref="D6595">
    <cfRule type="containsText" dxfId="587" priority="2712" operator="containsText" text="Pesquisa de Preços">
      <formula>NOT(ISERROR(SEARCH("Pesquisa de Preços",D6595)))</formula>
    </cfRule>
  </conditionalFormatting>
  <conditionalFormatting sqref="D6594">
    <cfRule type="containsText" dxfId="586" priority="2713" operator="containsText" text="Pesquisa de Preços">
      <formula>NOT(ISERROR(SEARCH("Pesquisa de Preços",D6594)))</formula>
    </cfRule>
  </conditionalFormatting>
  <conditionalFormatting sqref="E6595 E6597">
    <cfRule type="containsText" dxfId="585" priority="2711" operator="containsText" text="Pesquisa de Preços">
      <formula>NOT(ISERROR(SEARCH("Pesquisa de Preços",E6595)))</formula>
    </cfRule>
  </conditionalFormatting>
  <conditionalFormatting sqref="D6601">
    <cfRule type="containsText" dxfId="584" priority="2704" operator="containsText" text="Pesquisa de Preços">
      <formula>NOT(ISERROR(SEARCH("Pesquisa de Preços",D6601)))</formula>
    </cfRule>
  </conditionalFormatting>
  <conditionalFormatting sqref="E6598">
    <cfRule type="containsText" dxfId="583" priority="2700" operator="containsText" text="Pesquisa de Preços">
      <formula>NOT(ISERROR(SEARCH("Pesquisa de Preços",E6598)))</formula>
    </cfRule>
  </conditionalFormatting>
  <conditionalFormatting sqref="D6599">
    <cfRule type="containsText" dxfId="582" priority="2702" operator="containsText" text="Pesquisa de Preços">
      <formula>NOT(ISERROR(SEARCH("Pesquisa de Preços",D6599)))</formula>
    </cfRule>
  </conditionalFormatting>
  <conditionalFormatting sqref="D6598">
    <cfRule type="containsText" dxfId="581" priority="2703" operator="containsText" text="Pesquisa de Preços">
      <formula>NOT(ISERROR(SEARCH("Pesquisa de Preços",D6598)))</formula>
    </cfRule>
  </conditionalFormatting>
  <conditionalFormatting sqref="E6599 E6601">
    <cfRule type="containsText" dxfId="580" priority="2701" operator="containsText" text="Pesquisa de Preços">
      <formula>NOT(ISERROR(SEARCH("Pesquisa de Preços",E6599)))</formula>
    </cfRule>
  </conditionalFormatting>
  <conditionalFormatting sqref="D6605">
    <cfRule type="containsText" dxfId="579" priority="2694" operator="containsText" text="Pesquisa de Preços">
      <formula>NOT(ISERROR(SEARCH("Pesquisa de Preços",D6605)))</formula>
    </cfRule>
  </conditionalFormatting>
  <conditionalFormatting sqref="E6602">
    <cfRule type="containsText" dxfId="578" priority="2690" operator="containsText" text="Pesquisa de Preços">
      <formula>NOT(ISERROR(SEARCH("Pesquisa de Preços",E6602)))</formula>
    </cfRule>
  </conditionalFormatting>
  <conditionalFormatting sqref="D6603">
    <cfRule type="containsText" dxfId="577" priority="2692" operator="containsText" text="Pesquisa de Preços">
      <formula>NOT(ISERROR(SEARCH("Pesquisa de Preços",D6603)))</formula>
    </cfRule>
  </conditionalFormatting>
  <conditionalFormatting sqref="D6602">
    <cfRule type="containsText" dxfId="576" priority="2693" operator="containsText" text="Pesquisa de Preços">
      <formula>NOT(ISERROR(SEARCH("Pesquisa de Preços",D6602)))</formula>
    </cfRule>
  </conditionalFormatting>
  <conditionalFormatting sqref="E6603 E6605">
    <cfRule type="containsText" dxfId="575" priority="2691" operator="containsText" text="Pesquisa de Preços">
      <formula>NOT(ISERROR(SEARCH("Pesquisa de Preços",E6603)))</formula>
    </cfRule>
  </conditionalFormatting>
  <conditionalFormatting sqref="D6609">
    <cfRule type="containsText" dxfId="574" priority="2684" operator="containsText" text="Pesquisa de Preços">
      <formula>NOT(ISERROR(SEARCH("Pesquisa de Preços",D6609)))</formula>
    </cfRule>
  </conditionalFormatting>
  <conditionalFormatting sqref="E6606">
    <cfRule type="containsText" dxfId="573" priority="2680" operator="containsText" text="Pesquisa de Preços">
      <formula>NOT(ISERROR(SEARCH("Pesquisa de Preços",E6606)))</formula>
    </cfRule>
  </conditionalFormatting>
  <conditionalFormatting sqref="D6607">
    <cfRule type="containsText" dxfId="572" priority="2682" operator="containsText" text="Pesquisa de Preços">
      <formula>NOT(ISERROR(SEARCH("Pesquisa de Preços",D6607)))</formula>
    </cfRule>
  </conditionalFormatting>
  <conditionalFormatting sqref="D6606">
    <cfRule type="containsText" dxfId="571" priority="2683" operator="containsText" text="Pesquisa de Preços">
      <formula>NOT(ISERROR(SEARCH("Pesquisa de Preços",D6606)))</formula>
    </cfRule>
  </conditionalFormatting>
  <conditionalFormatting sqref="E6607 E6609">
    <cfRule type="containsText" dxfId="570" priority="2681" operator="containsText" text="Pesquisa de Preços">
      <formula>NOT(ISERROR(SEARCH("Pesquisa de Preços",E6607)))</formula>
    </cfRule>
  </conditionalFormatting>
  <conditionalFormatting sqref="D6613">
    <cfRule type="containsText" dxfId="569" priority="2674" operator="containsText" text="Pesquisa de Preços">
      <formula>NOT(ISERROR(SEARCH("Pesquisa de Preços",D6613)))</formula>
    </cfRule>
  </conditionalFormatting>
  <conditionalFormatting sqref="E6610">
    <cfRule type="containsText" dxfId="568" priority="2670" operator="containsText" text="Pesquisa de Preços">
      <formula>NOT(ISERROR(SEARCH("Pesquisa de Preços",E6610)))</formula>
    </cfRule>
  </conditionalFormatting>
  <conditionalFormatting sqref="D6611">
    <cfRule type="containsText" dxfId="567" priority="2672" operator="containsText" text="Pesquisa de Preços">
      <formula>NOT(ISERROR(SEARCH("Pesquisa de Preços",D6611)))</formula>
    </cfRule>
  </conditionalFormatting>
  <conditionalFormatting sqref="D6610">
    <cfRule type="containsText" dxfId="566" priority="2673" operator="containsText" text="Pesquisa de Preços">
      <formula>NOT(ISERROR(SEARCH("Pesquisa de Preços",D6610)))</formula>
    </cfRule>
  </conditionalFormatting>
  <conditionalFormatting sqref="E6611 E6613">
    <cfRule type="containsText" dxfId="565" priority="2671" operator="containsText" text="Pesquisa de Preços">
      <formula>NOT(ISERROR(SEARCH("Pesquisa de Preços",E6611)))</formula>
    </cfRule>
  </conditionalFormatting>
  <conditionalFormatting sqref="D6617">
    <cfRule type="containsText" dxfId="564" priority="2664" operator="containsText" text="Pesquisa de Preços">
      <formula>NOT(ISERROR(SEARCH("Pesquisa de Preços",D6617)))</formula>
    </cfRule>
  </conditionalFormatting>
  <conditionalFormatting sqref="E6614">
    <cfRule type="containsText" dxfId="563" priority="2660" operator="containsText" text="Pesquisa de Preços">
      <formula>NOT(ISERROR(SEARCH("Pesquisa de Preços",E6614)))</formula>
    </cfRule>
  </conditionalFormatting>
  <conditionalFormatting sqref="D6615">
    <cfRule type="containsText" dxfId="562" priority="2662" operator="containsText" text="Pesquisa de Preços">
      <formula>NOT(ISERROR(SEARCH("Pesquisa de Preços",D6615)))</formula>
    </cfRule>
  </conditionalFormatting>
  <conditionalFormatting sqref="D6614">
    <cfRule type="containsText" dxfId="561" priority="2663" operator="containsText" text="Pesquisa de Preços">
      <formula>NOT(ISERROR(SEARCH("Pesquisa de Preços",D6614)))</formula>
    </cfRule>
  </conditionalFormatting>
  <conditionalFormatting sqref="E6615 E6617">
    <cfRule type="containsText" dxfId="560" priority="2661" operator="containsText" text="Pesquisa de Preços">
      <formula>NOT(ISERROR(SEARCH("Pesquisa de Preços",E6615)))</formula>
    </cfRule>
  </conditionalFormatting>
  <conditionalFormatting sqref="D6621">
    <cfRule type="containsText" dxfId="559" priority="2654" operator="containsText" text="Pesquisa de Preços">
      <formula>NOT(ISERROR(SEARCH("Pesquisa de Preços",D6621)))</formula>
    </cfRule>
  </conditionalFormatting>
  <conditionalFormatting sqref="E6618">
    <cfRule type="containsText" dxfId="558" priority="2650" operator="containsText" text="Pesquisa de Preços">
      <formula>NOT(ISERROR(SEARCH("Pesquisa de Preços",E6618)))</formula>
    </cfRule>
  </conditionalFormatting>
  <conditionalFormatting sqref="D6619">
    <cfRule type="containsText" dxfId="557" priority="2652" operator="containsText" text="Pesquisa de Preços">
      <formula>NOT(ISERROR(SEARCH("Pesquisa de Preços",D6619)))</formula>
    </cfRule>
  </conditionalFormatting>
  <conditionalFormatting sqref="D6618">
    <cfRule type="containsText" dxfId="556" priority="2653" operator="containsText" text="Pesquisa de Preços">
      <formula>NOT(ISERROR(SEARCH("Pesquisa de Preços",D6618)))</formula>
    </cfRule>
  </conditionalFormatting>
  <conditionalFormatting sqref="E6619 E6621">
    <cfRule type="containsText" dxfId="555" priority="2651" operator="containsText" text="Pesquisa de Preços">
      <formula>NOT(ISERROR(SEARCH("Pesquisa de Preços",E6619)))</formula>
    </cfRule>
  </conditionalFormatting>
  <conditionalFormatting sqref="D6625">
    <cfRule type="containsText" dxfId="554" priority="2644" operator="containsText" text="Pesquisa de Preços">
      <formula>NOT(ISERROR(SEARCH("Pesquisa de Preços",D6625)))</formula>
    </cfRule>
  </conditionalFormatting>
  <conditionalFormatting sqref="E6622">
    <cfRule type="containsText" dxfId="553" priority="2640" operator="containsText" text="Pesquisa de Preços">
      <formula>NOT(ISERROR(SEARCH("Pesquisa de Preços",E6622)))</formula>
    </cfRule>
  </conditionalFormatting>
  <conditionalFormatting sqref="D6623">
    <cfRule type="containsText" dxfId="552" priority="2642" operator="containsText" text="Pesquisa de Preços">
      <formula>NOT(ISERROR(SEARCH("Pesquisa de Preços",D6623)))</formula>
    </cfRule>
  </conditionalFormatting>
  <conditionalFormatting sqref="D6622">
    <cfRule type="containsText" dxfId="551" priority="2643" operator="containsText" text="Pesquisa de Preços">
      <formula>NOT(ISERROR(SEARCH("Pesquisa de Preços",D6622)))</formula>
    </cfRule>
  </conditionalFormatting>
  <conditionalFormatting sqref="E6623 E6625">
    <cfRule type="containsText" dxfId="550" priority="2641" operator="containsText" text="Pesquisa de Preços">
      <formula>NOT(ISERROR(SEARCH("Pesquisa de Preços",E6623)))</formula>
    </cfRule>
  </conditionalFormatting>
  <conditionalFormatting sqref="D6641">
    <cfRule type="containsText" dxfId="549" priority="2614" operator="containsText" text="Pesquisa de Preços">
      <formula>NOT(ISERROR(SEARCH("Pesquisa de Preços",D6641)))</formula>
    </cfRule>
  </conditionalFormatting>
  <conditionalFormatting sqref="E6638">
    <cfRule type="containsText" dxfId="548" priority="2610" operator="containsText" text="Pesquisa de Preços">
      <formula>NOT(ISERROR(SEARCH("Pesquisa de Preços",E6638)))</formula>
    </cfRule>
  </conditionalFormatting>
  <conditionalFormatting sqref="D6639">
    <cfRule type="containsText" dxfId="547" priority="2612" operator="containsText" text="Pesquisa de Preços">
      <formula>NOT(ISERROR(SEARCH("Pesquisa de Preços",D6639)))</formula>
    </cfRule>
  </conditionalFormatting>
  <conditionalFormatting sqref="D6638">
    <cfRule type="containsText" dxfId="546" priority="2613" operator="containsText" text="Pesquisa de Preços">
      <formula>NOT(ISERROR(SEARCH("Pesquisa de Preços",D6638)))</formula>
    </cfRule>
  </conditionalFormatting>
  <conditionalFormatting sqref="E6639 E6641">
    <cfRule type="containsText" dxfId="545" priority="2611" operator="containsText" text="Pesquisa de Preços">
      <formula>NOT(ISERROR(SEARCH("Pesquisa de Preços",E6639)))</formula>
    </cfRule>
  </conditionalFormatting>
  <conditionalFormatting sqref="D6645">
    <cfRule type="containsText" dxfId="544" priority="2604" operator="containsText" text="Pesquisa de Preços">
      <formula>NOT(ISERROR(SEARCH("Pesquisa de Preços",D6645)))</formula>
    </cfRule>
  </conditionalFormatting>
  <conditionalFormatting sqref="E6642">
    <cfRule type="containsText" dxfId="543" priority="2600" operator="containsText" text="Pesquisa de Preços">
      <formula>NOT(ISERROR(SEARCH("Pesquisa de Preços",E6642)))</formula>
    </cfRule>
  </conditionalFormatting>
  <conditionalFormatting sqref="D6643">
    <cfRule type="containsText" dxfId="542" priority="2602" operator="containsText" text="Pesquisa de Preços">
      <formula>NOT(ISERROR(SEARCH("Pesquisa de Preços",D6643)))</formula>
    </cfRule>
  </conditionalFormatting>
  <conditionalFormatting sqref="D6642">
    <cfRule type="containsText" dxfId="541" priority="2603" operator="containsText" text="Pesquisa de Preços">
      <formula>NOT(ISERROR(SEARCH("Pesquisa de Preços",D6642)))</formula>
    </cfRule>
  </conditionalFormatting>
  <conditionalFormatting sqref="E6643 E6645">
    <cfRule type="containsText" dxfId="540" priority="2601" operator="containsText" text="Pesquisa de Preços">
      <formula>NOT(ISERROR(SEARCH("Pesquisa de Preços",E6643)))</formula>
    </cfRule>
  </conditionalFormatting>
  <conditionalFormatting sqref="D6649">
    <cfRule type="containsText" dxfId="539" priority="2594" operator="containsText" text="Pesquisa de Preços">
      <formula>NOT(ISERROR(SEARCH("Pesquisa de Preços",D6649)))</formula>
    </cfRule>
  </conditionalFormatting>
  <conditionalFormatting sqref="E6646">
    <cfRule type="containsText" dxfId="538" priority="2590" operator="containsText" text="Pesquisa de Preços">
      <formula>NOT(ISERROR(SEARCH("Pesquisa de Preços",E6646)))</formula>
    </cfRule>
  </conditionalFormatting>
  <conditionalFormatting sqref="D6647">
    <cfRule type="containsText" dxfId="537" priority="2592" operator="containsText" text="Pesquisa de Preços">
      <formula>NOT(ISERROR(SEARCH("Pesquisa de Preços",D6647)))</formula>
    </cfRule>
  </conditionalFormatting>
  <conditionalFormatting sqref="D6646">
    <cfRule type="containsText" dxfId="536" priority="2593" operator="containsText" text="Pesquisa de Preços">
      <formula>NOT(ISERROR(SEARCH("Pesquisa de Preços",D6646)))</formula>
    </cfRule>
  </conditionalFormatting>
  <conditionalFormatting sqref="E6647 E6649">
    <cfRule type="containsText" dxfId="535" priority="2591" operator="containsText" text="Pesquisa de Preços">
      <formula>NOT(ISERROR(SEARCH("Pesquisa de Preços",E6647)))</formula>
    </cfRule>
  </conditionalFormatting>
  <conditionalFormatting sqref="D6665">
    <cfRule type="containsText" dxfId="534" priority="2554" operator="containsText" text="Pesquisa de Preços">
      <formula>NOT(ISERROR(SEARCH("Pesquisa de Preços",D6665)))</formula>
    </cfRule>
  </conditionalFormatting>
  <conditionalFormatting sqref="E6662">
    <cfRule type="containsText" dxfId="533" priority="2550" operator="containsText" text="Pesquisa de Preços">
      <formula>NOT(ISERROR(SEARCH("Pesquisa de Preços",E6662)))</formula>
    </cfRule>
  </conditionalFormatting>
  <conditionalFormatting sqref="D6663">
    <cfRule type="containsText" dxfId="532" priority="2552" operator="containsText" text="Pesquisa de Preços">
      <formula>NOT(ISERROR(SEARCH("Pesquisa de Preços",D6663)))</formula>
    </cfRule>
  </conditionalFormatting>
  <conditionalFormatting sqref="D6662">
    <cfRule type="containsText" dxfId="531" priority="2553" operator="containsText" text="Pesquisa de Preços">
      <formula>NOT(ISERROR(SEARCH("Pesquisa de Preços",D6662)))</formula>
    </cfRule>
  </conditionalFormatting>
  <conditionalFormatting sqref="E6663 E6665">
    <cfRule type="containsText" dxfId="530" priority="2551" operator="containsText" text="Pesquisa de Preços">
      <formula>NOT(ISERROR(SEARCH("Pesquisa de Preços",E6663)))</formula>
    </cfRule>
  </conditionalFormatting>
  <conditionalFormatting sqref="D6669">
    <cfRule type="containsText" dxfId="529" priority="2544" operator="containsText" text="Pesquisa de Preços">
      <formula>NOT(ISERROR(SEARCH("Pesquisa de Preços",D6669)))</formula>
    </cfRule>
  </conditionalFormatting>
  <conditionalFormatting sqref="E6666">
    <cfRule type="containsText" dxfId="528" priority="2540" operator="containsText" text="Pesquisa de Preços">
      <formula>NOT(ISERROR(SEARCH("Pesquisa de Preços",E6666)))</formula>
    </cfRule>
  </conditionalFormatting>
  <conditionalFormatting sqref="D6667">
    <cfRule type="containsText" dxfId="527" priority="2542" operator="containsText" text="Pesquisa de Preços">
      <formula>NOT(ISERROR(SEARCH("Pesquisa de Preços",D6667)))</formula>
    </cfRule>
  </conditionalFormatting>
  <conditionalFormatting sqref="D6666">
    <cfRule type="containsText" dxfId="526" priority="2543" operator="containsText" text="Pesquisa de Preços">
      <formula>NOT(ISERROR(SEARCH("Pesquisa de Preços",D6666)))</formula>
    </cfRule>
  </conditionalFormatting>
  <conditionalFormatting sqref="E6667 E6669">
    <cfRule type="containsText" dxfId="525" priority="2541" operator="containsText" text="Pesquisa de Preços">
      <formula>NOT(ISERROR(SEARCH("Pesquisa de Preços",E6667)))</formula>
    </cfRule>
  </conditionalFormatting>
  <conditionalFormatting sqref="D6673">
    <cfRule type="containsText" dxfId="524" priority="2534" operator="containsText" text="Pesquisa de Preços">
      <formula>NOT(ISERROR(SEARCH("Pesquisa de Preços",D6673)))</formula>
    </cfRule>
  </conditionalFormatting>
  <conditionalFormatting sqref="E6670">
    <cfRule type="containsText" dxfId="523" priority="2530" operator="containsText" text="Pesquisa de Preços">
      <formula>NOT(ISERROR(SEARCH("Pesquisa de Preços",E6670)))</formula>
    </cfRule>
  </conditionalFormatting>
  <conditionalFormatting sqref="D6671">
    <cfRule type="containsText" dxfId="522" priority="2532" operator="containsText" text="Pesquisa de Preços">
      <formula>NOT(ISERROR(SEARCH("Pesquisa de Preços",D6671)))</formula>
    </cfRule>
  </conditionalFormatting>
  <conditionalFormatting sqref="D6670">
    <cfRule type="containsText" dxfId="521" priority="2533" operator="containsText" text="Pesquisa de Preços">
      <formula>NOT(ISERROR(SEARCH("Pesquisa de Preços",D6670)))</formula>
    </cfRule>
  </conditionalFormatting>
  <conditionalFormatting sqref="E6671 E6673">
    <cfRule type="containsText" dxfId="520" priority="2531" operator="containsText" text="Pesquisa de Preços">
      <formula>NOT(ISERROR(SEARCH("Pesquisa de Preços",E6671)))</formula>
    </cfRule>
  </conditionalFormatting>
  <conditionalFormatting sqref="D6677">
    <cfRule type="containsText" dxfId="519" priority="2524" operator="containsText" text="Pesquisa de Preços">
      <formula>NOT(ISERROR(SEARCH("Pesquisa de Preços",D6677)))</formula>
    </cfRule>
  </conditionalFormatting>
  <conditionalFormatting sqref="E6674">
    <cfRule type="containsText" dxfId="518" priority="2520" operator="containsText" text="Pesquisa de Preços">
      <formula>NOT(ISERROR(SEARCH("Pesquisa de Preços",E6674)))</formula>
    </cfRule>
  </conditionalFormatting>
  <conditionalFormatting sqref="D6675">
    <cfRule type="containsText" dxfId="517" priority="2522" operator="containsText" text="Pesquisa de Preços">
      <formula>NOT(ISERROR(SEARCH("Pesquisa de Preços",D6675)))</formula>
    </cfRule>
  </conditionalFormatting>
  <conditionalFormatting sqref="D6674">
    <cfRule type="containsText" dxfId="516" priority="2523" operator="containsText" text="Pesquisa de Preços">
      <formula>NOT(ISERROR(SEARCH("Pesquisa de Preços",D6674)))</formula>
    </cfRule>
  </conditionalFormatting>
  <conditionalFormatting sqref="E6675 E6677">
    <cfRule type="containsText" dxfId="515" priority="2521" operator="containsText" text="Pesquisa de Preços">
      <formula>NOT(ISERROR(SEARCH("Pesquisa de Preços",E6675)))</formula>
    </cfRule>
  </conditionalFormatting>
  <conditionalFormatting sqref="D6681">
    <cfRule type="containsText" dxfId="514" priority="2514" operator="containsText" text="Pesquisa de Preços">
      <formula>NOT(ISERROR(SEARCH("Pesquisa de Preços",D6681)))</formula>
    </cfRule>
  </conditionalFormatting>
  <conditionalFormatting sqref="E6678">
    <cfRule type="containsText" dxfId="513" priority="2510" operator="containsText" text="Pesquisa de Preços">
      <formula>NOT(ISERROR(SEARCH("Pesquisa de Preços",E6678)))</formula>
    </cfRule>
  </conditionalFormatting>
  <conditionalFormatting sqref="D6679">
    <cfRule type="containsText" dxfId="512" priority="2512" operator="containsText" text="Pesquisa de Preços">
      <formula>NOT(ISERROR(SEARCH("Pesquisa de Preços",D6679)))</formula>
    </cfRule>
  </conditionalFormatting>
  <conditionalFormatting sqref="D6678">
    <cfRule type="containsText" dxfId="511" priority="2513" operator="containsText" text="Pesquisa de Preços">
      <formula>NOT(ISERROR(SEARCH("Pesquisa de Preços",D6678)))</formula>
    </cfRule>
  </conditionalFormatting>
  <conditionalFormatting sqref="E6679 E6681">
    <cfRule type="containsText" dxfId="510" priority="2511" operator="containsText" text="Pesquisa de Preços">
      <formula>NOT(ISERROR(SEARCH("Pesquisa de Preços",E6679)))</formula>
    </cfRule>
  </conditionalFormatting>
  <conditionalFormatting sqref="D6869">
    <cfRule type="containsText" dxfId="509" priority="2444" operator="containsText" text="Pesquisa de Preços">
      <formula>NOT(ISERROR(SEARCH("Pesquisa de Preços",D6869)))</formula>
    </cfRule>
  </conditionalFormatting>
  <conditionalFormatting sqref="E6866">
    <cfRule type="containsText" dxfId="508" priority="2440" operator="containsText" text="Pesquisa de Preços">
      <formula>NOT(ISERROR(SEARCH("Pesquisa de Preços",E6866)))</formula>
    </cfRule>
  </conditionalFormatting>
  <conditionalFormatting sqref="D6867">
    <cfRule type="containsText" dxfId="507" priority="2442" operator="containsText" text="Pesquisa de Preços">
      <formula>NOT(ISERROR(SEARCH("Pesquisa de Preços",D6867)))</formula>
    </cfRule>
  </conditionalFormatting>
  <conditionalFormatting sqref="D6866">
    <cfRule type="containsText" dxfId="506" priority="2443" operator="containsText" text="Pesquisa de Preços">
      <formula>NOT(ISERROR(SEARCH("Pesquisa de Preços",D6866)))</formula>
    </cfRule>
  </conditionalFormatting>
  <conditionalFormatting sqref="E6867 E6869">
    <cfRule type="containsText" dxfId="505" priority="2441" operator="containsText" text="Pesquisa de Preços">
      <formula>NOT(ISERROR(SEARCH("Pesquisa de Preços",E6867)))</formula>
    </cfRule>
  </conditionalFormatting>
  <conditionalFormatting sqref="D6873">
    <cfRule type="containsText" dxfId="504" priority="2434" operator="containsText" text="Pesquisa de Preços">
      <formula>NOT(ISERROR(SEARCH("Pesquisa de Preços",D6873)))</formula>
    </cfRule>
  </conditionalFormatting>
  <conditionalFormatting sqref="E6870">
    <cfRule type="containsText" dxfId="503" priority="2430" operator="containsText" text="Pesquisa de Preços">
      <formula>NOT(ISERROR(SEARCH("Pesquisa de Preços",E6870)))</formula>
    </cfRule>
  </conditionalFormatting>
  <conditionalFormatting sqref="D6871">
    <cfRule type="containsText" dxfId="502" priority="2432" operator="containsText" text="Pesquisa de Preços">
      <formula>NOT(ISERROR(SEARCH("Pesquisa de Preços",D6871)))</formula>
    </cfRule>
  </conditionalFormatting>
  <conditionalFormatting sqref="D6870">
    <cfRule type="containsText" dxfId="501" priority="2433" operator="containsText" text="Pesquisa de Preços">
      <formula>NOT(ISERROR(SEARCH("Pesquisa de Preços",D6870)))</formula>
    </cfRule>
  </conditionalFormatting>
  <conditionalFormatting sqref="E6871 E6873">
    <cfRule type="containsText" dxfId="500" priority="2431" operator="containsText" text="Pesquisa de Preços">
      <formula>NOT(ISERROR(SEARCH("Pesquisa de Preços",E6871)))</formula>
    </cfRule>
  </conditionalFormatting>
  <conditionalFormatting sqref="D6877">
    <cfRule type="containsText" dxfId="499" priority="2424" operator="containsText" text="Pesquisa de Preços">
      <formula>NOT(ISERROR(SEARCH("Pesquisa de Preços",D6877)))</formula>
    </cfRule>
  </conditionalFormatting>
  <conditionalFormatting sqref="E6874">
    <cfRule type="containsText" dxfId="498" priority="2420" operator="containsText" text="Pesquisa de Preços">
      <formula>NOT(ISERROR(SEARCH("Pesquisa de Preços",E6874)))</formula>
    </cfRule>
  </conditionalFormatting>
  <conditionalFormatting sqref="D6875">
    <cfRule type="containsText" dxfId="497" priority="2422" operator="containsText" text="Pesquisa de Preços">
      <formula>NOT(ISERROR(SEARCH("Pesquisa de Preços",D6875)))</formula>
    </cfRule>
  </conditionalFormatting>
  <conditionalFormatting sqref="D6874">
    <cfRule type="containsText" dxfId="496" priority="2423" operator="containsText" text="Pesquisa de Preços">
      <formula>NOT(ISERROR(SEARCH("Pesquisa de Preços",D6874)))</formula>
    </cfRule>
  </conditionalFormatting>
  <conditionalFormatting sqref="E6875 E6877">
    <cfRule type="containsText" dxfId="495" priority="2421" operator="containsText" text="Pesquisa de Preços">
      <formula>NOT(ISERROR(SEARCH("Pesquisa de Preços",E6875)))</formula>
    </cfRule>
  </conditionalFormatting>
  <conditionalFormatting sqref="D6881">
    <cfRule type="containsText" dxfId="494" priority="2414" operator="containsText" text="Pesquisa de Preços">
      <formula>NOT(ISERROR(SEARCH("Pesquisa de Preços",D6881)))</formula>
    </cfRule>
  </conditionalFormatting>
  <conditionalFormatting sqref="E6878">
    <cfRule type="containsText" dxfId="493" priority="2410" operator="containsText" text="Pesquisa de Preços">
      <formula>NOT(ISERROR(SEARCH("Pesquisa de Preços",E6878)))</formula>
    </cfRule>
  </conditionalFormatting>
  <conditionalFormatting sqref="D6879">
    <cfRule type="containsText" dxfId="492" priority="2412" operator="containsText" text="Pesquisa de Preços">
      <formula>NOT(ISERROR(SEARCH("Pesquisa de Preços",D6879)))</formula>
    </cfRule>
  </conditionalFormatting>
  <conditionalFormatting sqref="D6878">
    <cfRule type="containsText" dxfId="491" priority="2413" operator="containsText" text="Pesquisa de Preços">
      <formula>NOT(ISERROR(SEARCH("Pesquisa de Preços",D6878)))</formula>
    </cfRule>
  </conditionalFormatting>
  <conditionalFormatting sqref="E6879 E6881">
    <cfRule type="containsText" dxfId="490" priority="2411" operator="containsText" text="Pesquisa de Preços">
      <formula>NOT(ISERROR(SEARCH("Pesquisa de Preços",E6879)))</formula>
    </cfRule>
  </conditionalFormatting>
  <conditionalFormatting sqref="D6885">
    <cfRule type="containsText" dxfId="489" priority="2404" operator="containsText" text="Pesquisa de Preços">
      <formula>NOT(ISERROR(SEARCH("Pesquisa de Preços",D6885)))</formula>
    </cfRule>
  </conditionalFormatting>
  <conditionalFormatting sqref="E6882">
    <cfRule type="containsText" dxfId="488" priority="2400" operator="containsText" text="Pesquisa de Preços">
      <formula>NOT(ISERROR(SEARCH("Pesquisa de Preços",E6882)))</formula>
    </cfRule>
  </conditionalFormatting>
  <conditionalFormatting sqref="D6883">
    <cfRule type="containsText" dxfId="487" priority="2402" operator="containsText" text="Pesquisa de Preços">
      <formula>NOT(ISERROR(SEARCH("Pesquisa de Preços",D6883)))</formula>
    </cfRule>
  </conditionalFormatting>
  <conditionalFormatting sqref="D6882">
    <cfRule type="containsText" dxfId="486" priority="2403" operator="containsText" text="Pesquisa de Preços">
      <formula>NOT(ISERROR(SEARCH("Pesquisa de Preços",D6882)))</formula>
    </cfRule>
  </conditionalFormatting>
  <conditionalFormatting sqref="E6883 E6885">
    <cfRule type="containsText" dxfId="485" priority="2401" operator="containsText" text="Pesquisa de Preços">
      <formula>NOT(ISERROR(SEARCH("Pesquisa de Preços",E6883)))</formula>
    </cfRule>
  </conditionalFormatting>
  <conditionalFormatting sqref="D6889">
    <cfRule type="containsText" dxfId="484" priority="2394" operator="containsText" text="Pesquisa de Preços">
      <formula>NOT(ISERROR(SEARCH("Pesquisa de Preços",D6889)))</formula>
    </cfRule>
  </conditionalFormatting>
  <conditionalFormatting sqref="E6886">
    <cfRule type="containsText" dxfId="483" priority="2390" operator="containsText" text="Pesquisa de Preços">
      <formula>NOT(ISERROR(SEARCH("Pesquisa de Preços",E6886)))</formula>
    </cfRule>
  </conditionalFormatting>
  <conditionalFormatting sqref="D6887">
    <cfRule type="containsText" dxfId="482" priority="2392" operator="containsText" text="Pesquisa de Preços">
      <formula>NOT(ISERROR(SEARCH("Pesquisa de Preços",D6887)))</formula>
    </cfRule>
  </conditionalFormatting>
  <conditionalFormatting sqref="D6886">
    <cfRule type="containsText" dxfId="481" priority="2393" operator="containsText" text="Pesquisa de Preços">
      <formula>NOT(ISERROR(SEARCH("Pesquisa de Preços",D6886)))</formula>
    </cfRule>
  </conditionalFormatting>
  <conditionalFormatting sqref="E6887 E6889">
    <cfRule type="containsText" dxfId="480" priority="2391" operator="containsText" text="Pesquisa de Preços">
      <formula>NOT(ISERROR(SEARCH("Pesquisa de Preços",E6887)))</formula>
    </cfRule>
  </conditionalFormatting>
  <conditionalFormatting sqref="D6897">
    <cfRule type="containsText" dxfId="479" priority="2384" operator="containsText" text="Pesquisa de Preços">
      <formula>NOT(ISERROR(SEARCH("Pesquisa de Preços",D6897)))</formula>
    </cfRule>
  </conditionalFormatting>
  <conditionalFormatting sqref="E6914">
    <cfRule type="containsText" dxfId="478" priority="2360" operator="containsText" text="Pesquisa de Preços">
      <formula>NOT(ISERROR(SEARCH("Pesquisa de Preços",E6914)))</formula>
    </cfRule>
  </conditionalFormatting>
  <conditionalFormatting sqref="E6898">
    <cfRule type="containsText" dxfId="477" priority="2370" operator="containsText" text="Pesquisa de Preços">
      <formula>NOT(ISERROR(SEARCH("Pesquisa de Preços",E6898)))</formula>
    </cfRule>
  </conditionalFormatting>
  <conditionalFormatting sqref="E6899 E6901">
    <cfRule type="containsText" dxfId="476" priority="2371" operator="containsText" text="Pesquisa de Preços">
      <formula>NOT(ISERROR(SEARCH("Pesquisa de Preços",E6899)))</formula>
    </cfRule>
  </conditionalFormatting>
  <conditionalFormatting sqref="E6897">
    <cfRule type="containsText" dxfId="475" priority="2381" operator="containsText" text="Pesquisa de Preços">
      <formula>NOT(ISERROR(SEARCH("Pesquisa de Preços",E6897)))</formula>
    </cfRule>
  </conditionalFormatting>
  <conditionalFormatting sqref="D6901">
    <cfRule type="containsText" dxfId="474" priority="2374" operator="containsText" text="Pesquisa de Preços">
      <formula>NOT(ISERROR(SEARCH("Pesquisa de Preços",D6901)))</formula>
    </cfRule>
  </conditionalFormatting>
  <conditionalFormatting sqref="D6915">
    <cfRule type="containsText" dxfId="473" priority="2362" operator="containsText" text="Pesquisa de Preços">
      <formula>NOT(ISERROR(SEARCH("Pesquisa de Preços",D6915)))</formula>
    </cfRule>
  </conditionalFormatting>
  <conditionalFormatting sqref="D6899">
    <cfRule type="containsText" dxfId="472" priority="2372" operator="containsText" text="Pesquisa de Preços">
      <formula>NOT(ISERROR(SEARCH("Pesquisa de Preços",D6899)))</formula>
    </cfRule>
  </conditionalFormatting>
  <conditionalFormatting sqref="D6898">
    <cfRule type="containsText" dxfId="471" priority="2373" operator="containsText" text="Pesquisa de Preços">
      <formula>NOT(ISERROR(SEARCH("Pesquisa de Preços",D6898)))</formula>
    </cfRule>
  </conditionalFormatting>
  <conditionalFormatting sqref="D6914">
    <cfRule type="containsText" dxfId="470" priority="2363" operator="containsText" text="Pesquisa de Preços">
      <formula>NOT(ISERROR(SEARCH("Pesquisa de Preços",D6914)))</formula>
    </cfRule>
  </conditionalFormatting>
  <conditionalFormatting sqref="D6917">
    <cfRule type="containsText" dxfId="469" priority="2364" operator="containsText" text="Pesquisa de Preços">
      <formula>NOT(ISERROR(SEARCH("Pesquisa de Preços",D6917)))</formula>
    </cfRule>
  </conditionalFormatting>
  <conditionalFormatting sqref="D6933">
    <cfRule type="containsText" dxfId="468" priority="2344" operator="containsText" text="Pesquisa de Preços">
      <formula>NOT(ISERROR(SEARCH("Pesquisa de Preços",D6933)))</formula>
    </cfRule>
  </conditionalFormatting>
  <conditionalFormatting sqref="E6934">
    <cfRule type="containsText" dxfId="467" priority="2330" operator="containsText" text="Pesquisa de Preços">
      <formula>NOT(ISERROR(SEARCH("Pesquisa de Preços",E6934)))</formula>
    </cfRule>
  </conditionalFormatting>
  <conditionalFormatting sqref="E6915 E6917">
    <cfRule type="containsText" dxfId="466" priority="2361" operator="containsText" text="Pesquisa de Preços">
      <formula>NOT(ISERROR(SEARCH("Pesquisa de Preços",E6915)))</formula>
    </cfRule>
  </conditionalFormatting>
  <conditionalFormatting sqref="D6929">
    <cfRule type="containsText" dxfId="465" priority="2354" operator="containsText" text="Pesquisa de Preços">
      <formula>NOT(ISERROR(SEARCH("Pesquisa de Preços",D6929)))</formula>
    </cfRule>
  </conditionalFormatting>
  <conditionalFormatting sqref="E6926">
    <cfRule type="containsText" dxfId="464" priority="2350" operator="containsText" text="Pesquisa de Preços">
      <formula>NOT(ISERROR(SEARCH("Pesquisa de Preços",E6926)))</formula>
    </cfRule>
  </conditionalFormatting>
  <conditionalFormatting sqref="D6927">
    <cfRule type="containsText" dxfId="463" priority="2352" operator="containsText" text="Pesquisa de Preços">
      <formula>NOT(ISERROR(SEARCH("Pesquisa de Preços",D6927)))</formula>
    </cfRule>
  </conditionalFormatting>
  <conditionalFormatting sqref="D6926">
    <cfRule type="containsText" dxfId="462" priority="2353" operator="containsText" text="Pesquisa de Preços">
      <formula>NOT(ISERROR(SEARCH("Pesquisa de Preços",D6926)))</formula>
    </cfRule>
  </conditionalFormatting>
  <conditionalFormatting sqref="E6927 E6929">
    <cfRule type="containsText" dxfId="461" priority="2351" operator="containsText" text="Pesquisa de Preços">
      <formula>NOT(ISERROR(SEARCH("Pesquisa de Preços",E6927)))</formula>
    </cfRule>
  </conditionalFormatting>
  <conditionalFormatting sqref="E6935 E6937">
    <cfRule type="containsText" dxfId="460" priority="2331" operator="containsText" text="Pesquisa de Preços">
      <formula>NOT(ISERROR(SEARCH("Pesquisa de Preços",E6935)))</formula>
    </cfRule>
  </conditionalFormatting>
  <conditionalFormatting sqref="E6930">
    <cfRule type="containsText" dxfId="459" priority="2340" operator="containsText" text="Pesquisa de Preços">
      <formula>NOT(ISERROR(SEARCH("Pesquisa de Preços",E6930)))</formula>
    </cfRule>
  </conditionalFormatting>
  <conditionalFormatting sqref="D6931">
    <cfRule type="containsText" dxfId="458" priority="2342" operator="containsText" text="Pesquisa de Preços">
      <formula>NOT(ISERROR(SEARCH("Pesquisa de Preços",D6931)))</formula>
    </cfRule>
  </conditionalFormatting>
  <conditionalFormatting sqref="D6635">
    <cfRule type="containsText" dxfId="457" priority="2213" operator="containsText" text="Pesquisa de Preços">
      <formula>NOT(ISERROR(SEARCH("Pesquisa de Preços",D6635)))</formula>
    </cfRule>
  </conditionalFormatting>
  <conditionalFormatting sqref="D6930">
    <cfRule type="containsText" dxfId="456" priority="2343" operator="containsText" text="Pesquisa de Preços">
      <formula>NOT(ISERROR(SEARCH("Pesquisa de Preços",D6930)))</formula>
    </cfRule>
  </conditionalFormatting>
  <conditionalFormatting sqref="E6931 E6933">
    <cfRule type="containsText" dxfId="455" priority="2341" operator="containsText" text="Pesquisa de Preços">
      <formula>NOT(ISERROR(SEARCH("Pesquisa de Preços",E6931)))</formula>
    </cfRule>
  </conditionalFormatting>
  <conditionalFormatting sqref="D6937">
    <cfRule type="containsText" dxfId="454" priority="2334" operator="containsText" text="Pesquisa de Preços">
      <formula>NOT(ISERROR(SEARCH("Pesquisa de Preços",D6937)))</formula>
    </cfRule>
  </conditionalFormatting>
  <conditionalFormatting sqref="E6950">
    <cfRule type="containsText" dxfId="453" priority="2290" operator="containsText" text="Pesquisa de Preços">
      <formula>NOT(ISERROR(SEARCH("Pesquisa de Preços",E6950)))</formula>
    </cfRule>
  </conditionalFormatting>
  <conditionalFormatting sqref="D6935">
    <cfRule type="containsText" dxfId="452" priority="2332" operator="containsText" text="Pesquisa de Preços">
      <formula>NOT(ISERROR(SEARCH("Pesquisa de Preços",D6935)))</formula>
    </cfRule>
  </conditionalFormatting>
  <conditionalFormatting sqref="D6934">
    <cfRule type="containsText" dxfId="451" priority="2333" operator="containsText" text="Pesquisa de Preços">
      <formula>NOT(ISERROR(SEARCH("Pesquisa de Preços",D6934)))</formula>
    </cfRule>
  </conditionalFormatting>
  <conditionalFormatting sqref="E6951 E6953">
    <cfRule type="containsText" dxfId="450" priority="2291" operator="containsText" text="Pesquisa de Preços">
      <formula>NOT(ISERROR(SEARCH("Pesquisa de Preços",E6951)))</formula>
    </cfRule>
  </conditionalFormatting>
  <conditionalFormatting sqref="D6941">
    <cfRule type="containsText" dxfId="449" priority="2324" operator="containsText" text="Pesquisa de Preços">
      <formula>NOT(ISERROR(SEARCH("Pesquisa de Preços",D6941)))</formula>
    </cfRule>
  </conditionalFormatting>
  <conditionalFormatting sqref="E6938">
    <cfRule type="containsText" dxfId="448" priority="2320" operator="containsText" text="Pesquisa de Preços">
      <formula>NOT(ISERROR(SEARCH("Pesquisa de Preços",E6938)))</formula>
    </cfRule>
  </conditionalFormatting>
  <conditionalFormatting sqref="D6939">
    <cfRule type="containsText" dxfId="447" priority="2322" operator="containsText" text="Pesquisa de Preços">
      <formula>NOT(ISERROR(SEARCH("Pesquisa de Preços",D6939)))</formula>
    </cfRule>
  </conditionalFormatting>
  <conditionalFormatting sqref="D6938">
    <cfRule type="containsText" dxfId="446" priority="2323" operator="containsText" text="Pesquisa de Preços">
      <formula>NOT(ISERROR(SEARCH("Pesquisa de Preços",D6938)))</formula>
    </cfRule>
  </conditionalFormatting>
  <conditionalFormatting sqref="E6939 E6941">
    <cfRule type="containsText" dxfId="445" priority="2321" operator="containsText" text="Pesquisa de Preços">
      <formula>NOT(ISERROR(SEARCH("Pesquisa de Preços",E6939)))</formula>
    </cfRule>
  </conditionalFormatting>
  <conditionalFormatting sqref="D6945">
    <cfRule type="containsText" dxfId="444" priority="2314" operator="containsText" text="Pesquisa de Preços">
      <formula>NOT(ISERROR(SEARCH("Pesquisa de Preços",D6945)))</formula>
    </cfRule>
  </conditionalFormatting>
  <conditionalFormatting sqref="E6942">
    <cfRule type="containsText" dxfId="443" priority="2310" operator="containsText" text="Pesquisa de Preços">
      <formula>NOT(ISERROR(SEARCH("Pesquisa de Preços",E6942)))</formula>
    </cfRule>
  </conditionalFormatting>
  <conditionalFormatting sqref="D6943">
    <cfRule type="containsText" dxfId="442" priority="2312" operator="containsText" text="Pesquisa de Preços">
      <formula>NOT(ISERROR(SEARCH("Pesquisa de Preços",D6943)))</formula>
    </cfRule>
  </conditionalFormatting>
  <conditionalFormatting sqref="D6942">
    <cfRule type="containsText" dxfId="441" priority="2313" operator="containsText" text="Pesquisa de Preços">
      <formula>NOT(ISERROR(SEARCH("Pesquisa de Preços",D6942)))</formula>
    </cfRule>
  </conditionalFormatting>
  <conditionalFormatting sqref="E6943 E6945">
    <cfRule type="containsText" dxfId="440" priority="2311" operator="containsText" text="Pesquisa de Preços">
      <formula>NOT(ISERROR(SEARCH("Pesquisa de Preços",E6943)))</formula>
    </cfRule>
  </conditionalFormatting>
  <conditionalFormatting sqref="D6949">
    <cfRule type="containsText" dxfId="439" priority="2304" operator="containsText" text="Pesquisa de Preços">
      <formula>NOT(ISERROR(SEARCH("Pesquisa de Preços",D6949)))</formula>
    </cfRule>
  </conditionalFormatting>
  <conditionalFormatting sqref="E6946">
    <cfRule type="containsText" dxfId="438" priority="2300" operator="containsText" text="Pesquisa de Preços">
      <formula>NOT(ISERROR(SEARCH("Pesquisa de Preços",E6946)))</formula>
    </cfRule>
  </conditionalFormatting>
  <conditionalFormatting sqref="D6947">
    <cfRule type="containsText" dxfId="437" priority="2302" operator="containsText" text="Pesquisa de Preços">
      <formula>NOT(ISERROR(SEARCH("Pesquisa de Preços",D6947)))</formula>
    </cfRule>
  </conditionalFormatting>
  <conditionalFormatting sqref="D6946">
    <cfRule type="containsText" dxfId="436" priority="2303" operator="containsText" text="Pesquisa de Preços">
      <formula>NOT(ISERROR(SEARCH("Pesquisa de Preços",D6946)))</formula>
    </cfRule>
  </conditionalFormatting>
  <conditionalFormatting sqref="E6947 E6949">
    <cfRule type="containsText" dxfId="435" priority="2301" operator="containsText" text="Pesquisa de Preços">
      <formula>NOT(ISERROR(SEARCH("Pesquisa de Preços",E6947)))</formula>
    </cfRule>
  </conditionalFormatting>
  <conditionalFormatting sqref="D6953">
    <cfRule type="containsText" dxfId="434" priority="2294" operator="containsText" text="Pesquisa de Preços">
      <formula>NOT(ISERROR(SEARCH("Pesquisa de Preços",D6953)))</formula>
    </cfRule>
  </conditionalFormatting>
  <conditionalFormatting sqref="D6637">
    <cfRule type="containsText" dxfId="433" priority="2215" operator="containsText" text="Pesquisa de Preços">
      <formula>NOT(ISERROR(SEARCH("Pesquisa de Preços",D6637)))</formula>
    </cfRule>
  </conditionalFormatting>
  <conditionalFormatting sqref="D6951">
    <cfRule type="containsText" dxfId="432" priority="2292" operator="containsText" text="Pesquisa de Preços">
      <formula>NOT(ISERROR(SEARCH("Pesquisa de Preços",D6951)))</formula>
    </cfRule>
  </conditionalFormatting>
  <conditionalFormatting sqref="D6950">
    <cfRule type="containsText" dxfId="431" priority="2293" operator="containsText" text="Pesquisa de Preços">
      <formula>NOT(ISERROR(SEARCH("Pesquisa de Preços",D6950)))</formula>
    </cfRule>
  </conditionalFormatting>
  <conditionalFormatting sqref="D6957">
    <cfRule type="containsText" dxfId="430" priority="2284" operator="containsText" text="Pesquisa de Preços">
      <formula>NOT(ISERROR(SEARCH("Pesquisa de Preços",D6957)))</formula>
    </cfRule>
  </conditionalFormatting>
  <conditionalFormatting sqref="E6954">
    <cfRule type="containsText" dxfId="429" priority="2280" operator="containsText" text="Pesquisa de Preços">
      <formula>NOT(ISERROR(SEARCH("Pesquisa de Preços",E6954)))</formula>
    </cfRule>
  </conditionalFormatting>
  <conditionalFormatting sqref="D6955">
    <cfRule type="containsText" dxfId="428" priority="2282" operator="containsText" text="Pesquisa de Preços">
      <formula>NOT(ISERROR(SEARCH("Pesquisa de Preços",D6955)))</formula>
    </cfRule>
  </conditionalFormatting>
  <conditionalFormatting sqref="D6954">
    <cfRule type="containsText" dxfId="427" priority="2283" operator="containsText" text="Pesquisa de Preços">
      <formula>NOT(ISERROR(SEARCH("Pesquisa de Preços",D6954)))</formula>
    </cfRule>
  </conditionalFormatting>
  <conditionalFormatting sqref="E6955 E6957">
    <cfRule type="containsText" dxfId="426" priority="2281" operator="containsText" text="Pesquisa de Preços">
      <formula>NOT(ISERROR(SEARCH("Pesquisa de Preços",E6955)))</formula>
    </cfRule>
  </conditionalFormatting>
  <conditionalFormatting sqref="D2731">
    <cfRule type="containsText" dxfId="425" priority="2269" operator="containsText" text="Pesquisa de Preços">
      <formula>NOT(ISERROR(SEARCH("Pesquisa de Preços",D2731)))</formula>
    </cfRule>
  </conditionalFormatting>
  <conditionalFormatting sqref="D2727">
    <cfRule type="containsText" dxfId="424" priority="2266" operator="containsText" text="Pesquisa de Preços">
      <formula>NOT(ISERROR(SEARCH("Pesquisa de Preços",D2727)))</formula>
    </cfRule>
  </conditionalFormatting>
  <conditionalFormatting sqref="D2739">
    <cfRule type="containsText" dxfId="423" priority="2256" operator="containsText" text="Pesquisa de Preços">
      <formula>NOT(ISERROR(SEARCH("Pesquisa de Preços",D2739)))</formula>
    </cfRule>
  </conditionalFormatting>
  <conditionalFormatting sqref="D2735">
    <cfRule type="containsText" dxfId="422" priority="2253" operator="containsText" text="Pesquisa de Preços">
      <formula>NOT(ISERROR(SEARCH("Pesquisa de Preços",D2735)))</formula>
    </cfRule>
  </conditionalFormatting>
  <conditionalFormatting sqref="D2751">
    <cfRule type="containsText" dxfId="421" priority="2243" operator="containsText" text="Pesquisa de Preços">
      <formula>NOT(ISERROR(SEARCH("Pesquisa de Preços",D2751)))</formula>
    </cfRule>
  </conditionalFormatting>
  <conditionalFormatting sqref="D2747">
    <cfRule type="containsText" dxfId="420" priority="2240" operator="containsText" text="Pesquisa de Preços">
      <formula>NOT(ISERROR(SEARCH("Pesquisa de Preços",D2747)))</formula>
    </cfRule>
  </conditionalFormatting>
  <conditionalFormatting sqref="D4744">
    <cfRule type="containsText" dxfId="419" priority="2233" operator="containsText" text="Pesquisa de Preços">
      <formula>NOT(ISERROR(SEARCH("Pesquisa de Preços",D4744)))</formula>
    </cfRule>
  </conditionalFormatting>
  <conditionalFormatting sqref="D4748">
    <cfRule type="containsText" dxfId="418" priority="2229" operator="containsText" text="Pesquisa de Preços">
      <formula>NOT(ISERROR(SEARCH("Pesquisa de Preços",D4748)))</formula>
    </cfRule>
  </conditionalFormatting>
  <conditionalFormatting sqref="D4756">
    <cfRule type="containsText" dxfId="417" priority="2221" operator="containsText" text="Pesquisa de Preços">
      <formula>NOT(ISERROR(SEARCH("Pesquisa de Preços",D4756)))</formula>
    </cfRule>
  </conditionalFormatting>
  <conditionalFormatting sqref="E6634">
    <cfRule type="containsText" dxfId="416" priority="2211" operator="containsText" text="Pesquisa de Preços">
      <formula>NOT(ISERROR(SEARCH("Pesquisa de Preços",E6634)))</formula>
    </cfRule>
  </conditionalFormatting>
  <conditionalFormatting sqref="D6634">
    <cfRule type="containsText" dxfId="415" priority="2214" operator="containsText" text="Pesquisa de Preços">
      <formula>NOT(ISERROR(SEARCH("Pesquisa de Preços",D6634)))</formula>
    </cfRule>
  </conditionalFormatting>
  <conditionalFormatting sqref="E6635 E6637">
    <cfRule type="containsText" dxfId="414" priority="2212" operator="containsText" text="Pesquisa de Preços">
      <formula>NOT(ISERROR(SEARCH("Pesquisa de Preços",E6635)))</formula>
    </cfRule>
  </conditionalFormatting>
  <conditionalFormatting sqref="D6497">
    <cfRule type="containsText" dxfId="413" priority="2205" operator="containsText" text="Pesquisa de Preços">
      <formula>NOT(ISERROR(SEARCH("Pesquisa de Preços",D6497)))</formula>
    </cfRule>
  </conditionalFormatting>
  <conditionalFormatting sqref="E6494">
    <cfRule type="containsText" dxfId="412" priority="2201" operator="containsText" text="Pesquisa de Preços">
      <formula>NOT(ISERROR(SEARCH("Pesquisa de Preços",E6494)))</formula>
    </cfRule>
  </conditionalFormatting>
  <conditionalFormatting sqref="D6495">
    <cfRule type="containsText" dxfId="411" priority="2203" operator="containsText" text="Pesquisa de Preços">
      <formula>NOT(ISERROR(SEARCH("Pesquisa de Preços",D6495)))</formula>
    </cfRule>
  </conditionalFormatting>
  <conditionalFormatting sqref="D6494">
    <cfRule type="containsText" dxfId="410" priority="2204" operator="containsText" text="Pesquisa de Preços">
      <formula>NOT(ISERROR(SEARCH("Pesquisa de Preços",D6494)))</formula>
    </cfRule>
  </conditionalFormatting>
  <conditionalFormatting sqref="E6495 E6497">
    <cfRule type="containsText" dxfId="409" priority="2202" operator="containsText" text="Pesquisa de Preços">
      <formula>NOT(ISERROR(SEARCH("Pesquisa de Preços",E6495)))</formula>
    </cfRule>
  </conditionalFormatting>
  <conditionalFormatting sqref="D6539">
    <cfRule type="containsText" dxfId="408" priority="2197" operator="containsText" text="Pesquisa de Preços">
      <formula>NOT(ISERROR(SEARCH("Pesquisa de Preços",D6539)))</formula>
    </cfRule>
  </conditionalFormatting>
  <conditionalFormatting sqref="E6538">
    <cfRule type="containsText" dxfId="407" priority="2195" operator="containsText" text="Pesquisa de Preços">
      <formula>NOT(ISERROR(SEARCH("Pesquisa de Preços",E6538)))</formula>
    </cfRule>
  </conditionalFormatting>
  <conditionalFormatting sqref="D6541">
    <cfRule type="containsText" dxfId="406" priority="2199" operator="containsText" text="Pesquisa de Preços">
      <formula>NOT(ISERROR(SEARCH("Pesquisa de Preços",D6541)))</formula>
    </cfRule>
  </conditionalFormatting>
  <conditionalFormatting sqref="D6538">
    <cfRule type="containsText" dxfId="405" priority="2198" operator="containsText" text="Pesquisa de Preços">
      <formula>NOT(ISERROR(SEARCH("Pesquisa de Preços",D6538)))</formula>
    </cfRule>
  </conditionalFormatting>
  <conditionalFormatting sqref="E6539 E6541">
    <cfRule type="containsText" dxfId="404" priority="2196" operator="containsText" text="Pesquisa de Preços">
      <formula>NOT(ISERROR(SEARCH("Pesquisa de Preços",E6539)))</formula>
    </cfRule>
  </conditionalFormatting>
  <conditionalFormatting sqref="D6587">
    <cfRule type="containsText" dxfId="403" priority="2189" operator="containsText" text="Pesquisa de Preços">
      <formula>NOT(ISERROR(SEARCH("Pesquisa de Preços",D6587)))</formula>
    </cfRule>
  </conditionalFormatting>
  <conditionalFormatting sqref="E6586">
    <cfRule type="containsText" dxfId="402" priority="2187" operator="containsText" text="Pesquisa de Preços">
      <formula>NOT(ISERROR(SEARCH("Pesquisa de Preços",E6586)))</formula>
    </cfRule>
  </conditionalFormatting>
  <conditionalFormatting sqref="D6589">
    <cfRule type="containsText" dxfId="401" priority="2191" operator="containsText" text="Pesquisa de Preços">
      <formula>NOT(ISERROR(SEARCH("Pesquisa de Preços",D6589)))</formula>
    </cfRule>
  </conditionalFormatting>
  <conditionalFormatting sqref="D6586">
    <cfRule type="containsText" dxfId="400" priority="2190" operator="containsText" text="Pesquisa de Preços">
      <formula>NOT(ISERROR(SEARCH("Pesquisa de Preços",D6586)))</formula>
    </cfRule>
  </conditionalFormatting>
  <conditionalFormatting sqref="E6587 E6589">
    <cfRule type="containsText" dxfId="399" priority="2188" operator="containsText" text="Pesquisa de Preços">
      <formula>NOT(ISERROR(SEARCH("Pesquisa de Preços",E6587)))</formula>
    </cfRule>
  </conditionalFormatting>
  <conditionalFormatting sqref="D6651">
    <cfRule type="containsText" dxfId="398" priority="2179" operator="containsText" text="Pesquisa de Preços">
      <formula>NOT(ISERROR(SEARCH("Pesquisa de Preços",D6651)))</formula>
    </cfRule>
  </conditionalFormatting>
  <conditionalFormatting sqref="E6650">
    <cfRule type="containsText" dxfId="397" priority="2177" operator="containsText" text="Pesquisa de Preços">
      <formula>NOT(ISERROR(SEARCH("Pesquisa de Preços",E6650)))</formula>
    </cfRule>
  </conditionalFormatting>
  <conditionalFormatting sqref="D6653">
    <cfRule type="containsText" dxfId="396" priority="2181" operator="containsText" text="Pesquisa de Preços">
      <formula>NOT(ISERROR(SEARCH("Pesquisa de Preços",D6653)))</formula>
    </cfRule>
  </conditionalFormatting>
  <conditionalFormatting sqref="D6650">
    <cfRule type="containsText" dxfId="395" priority="2180" operator="containsText" text="Pesquisa de Preços">
      <formula>NOT(ISERROR(SEARCH("Pesquisa de Preços",D6650)))</formula>
    </cfRule>
  </conditionalFormatting>
  <conditionalFormatting sqref="E6651 E6653">
    <cfRule type="containsText" dxfId="394" priority="2178" operator="containsText" text="Pesquisa de Preços">
      <formula>NOT(ISERROR(SEARCH("Pesquisa de Preços",E6651)))</formula>
    </cfRule>
  </conditionalFormatting>
  <conditionalFormatting sqref="D6655">
    <cfRule type="containsText" dxfId="393" priority="2173" operator="containsText" text="Pesquisa de Preços">
      <formula>NOT(ISERROR(SEARCH("Pesquisa de Preços",D6655)))</formula>
    </cfRule>
  </conditionalFormatting>
  <conditionalFormatting sqref="E6654">
    <cfRule type="containsText" dxfId="392" priority="2171" operator="containsText" text="Pesquisa de Preços">
      <formula>NOT(ISERROR(SEARCH("Pesquisa de Preços",E6654)))</formula>
    </cfRule>
  </conditionalFormatting>
  <conditionalFormatting sqref="D6657">
    <cfRule type="containsText" dxfId="391" priority="2175" operator="containsText" text="Pesquisa de Preços">
      <formula>NOT(ISERROR(SEARCH("Pesquisa de Preços",D6657)))</formula>
    </cfRule>
  </conditionalFormatting>
  <conditionalFormatting sqref="D6654">
    <cfRule type="containsText" dxfId="390" priority="2174" operator="containsText" text="Pesquisa de Preços">
      <formula>NOT(ISERROR(SEARCH("Pesquisa de Preços",D6654)))</formula>
    </cfRule>
  </conditionalFormatting>
  <conditionalFormatting sqref="E6655 E6657">
    <cfRule type="containsText" dxfId="389" priority="2172" operator="containsText" text="Pesquisa de Preços">
      <formula>NOT(ISERROR(SEARCH("Pesquisa de Preços",E6655)))</formula>
    </cfRule>
  </conditionalFormatting>
  <conditionalFormatting sqref="D6659">
    <cfRule type="containsText" dxfId="388" priority="2167" operator="containsText" text="Pesquisa de Preços">
      <formula>NOT(ISERROR(SEARCH("Pesquisa de Preços",D6659)))</formula>
    </cfRule>
  </conditionalFormatting>
  <conditionalFormatting sqref="E6658">
    <cfRule type="containsText" dxfId="387" priority="2165" operator="containsText" text="Pesquisa de Preços">
      <formula>NOT(ISERROR(SEARCH("Pesquisa de Preços",E6658)))</formula>
    </cfRule>
  </conditionalFormatting>
  <conditionalFormatting sqref="D6661">
    <cfRule type="containsText" dxfId="386" priority="2169" operator="containsText" text="Pesquisa de Preços">
      <formula>NOT(ISERROR(SEARCH("Pesquisa de Preços",D6661)))</formula>
    </cfRule>
  </conditionalFormatting>
  <conditionalFormatting sqref="D6658">
    <cfRule type="containsText" dxfId="385" priority="2168" operator="containsText" text="Pesquisa de Preços">
      <formula>NOT(ISERROR(SEARCH("Pesquisa de Preços",D6658)))</formula>
    </cfRule>
  </conditionalFormatting>
  <conditionalFormatting sqref="E6659 E6661">
    <cfRule type="containsText" dxfId="384" priority="2166" operator="containsText" text="Pesquisa de Preços">
      <formula>NOT(ISERROR(SEARCH("Pesquisa de Preços",E6659)))</formula>
    </cfRule>
  </conditionalFormatting>
  <conditionalFormatting sqref="D6631">
    <cfRule type="containsText" dxfId="383" priority="2157" operator="containsText" text="Pesquisa de Preços">
      <formula>NOT(ISERROR(SEARCH("Pesquisa de Preços",D6631)))</formula>
    </cfRule>
  </conditionalFormatting>
  <conditionalFormatting sqref="E6630">
    <cfRule type="containsText" dxfId="382" priority="2155" operator="containsText" text="Pesquisa de Preços">
      <formula>NOT(ISERROR(SEARCH("Pesquisa de Preços",E6630)))</formula>
    </cfRule>
  </conditionalFormatting>
  <conditionalFormatting sqref="D6633">
    <cfRule type="containsText" dxfId="381" priority="2159" operator="containsText" text="Pesquisa de Preços">
      <formula>NOT(ISERROR(SEARCH("Pesquisa de Preços",D6633)))</formula>
    </cfRule>
  </conditionalFormatting>
  <conditionalFormatting sqref="D6630">
    <cfRule type="containsText" dxfId="380" priority="2158" operator="containsText" text="Pesquisa de Preços">
      <formula>NOT(ISERROR(SEARCH("Pesquisa de Preços",D6630)))</formula>
    </cfRule>
  </conditionalFormatting>
  <conditionalFormatting sqref="E6631 E6633">
    <cfRule type="containsText" dxfId="379" priority="2156" operator="containsText" text="Pesquisa de Preços">
      <formula>NOT(ISERROR(SEARCH("Pesquisa de Preços",E6631)))</formula>
    </cfRule>
  </conditionalFormatting>
  <conditionalFormatting sqref="D6627">
    <cfRule type="containsText" dxfId="378" priority="2147" operator="containsText" text="Pesquisa de Preços">
      <formula>NOT(ISERROR(SEARCH("Pesquisa de Preços",D6627)))</formula>
    </cfRule>
  </conditionalFormatting>
  <conditionalFormatting sqref="E6626">
    <cfRule type="containsText" dxfId="377" priority="2145" operator="containsText" text="Pesquisa de Preços">
      <formula>NOT(ISERROR(SEARCH("Pesquisa de Preços",E6626)))</formula>
    </cfRule>
  </conditionalFormatting>
  <conditionalFormatting sqref="D6629">
    <cfRule type="containsText" dxfId="376" priority="2149" operator="containsText" text="Pesquisa de Preços">
      <formula>NOT(ISERROR(SEARCH("Pesquisa de Preços",D6629)))</formula>
    </cfRule>
  </conditionalFormatting>
  <conditionalFormatting sqref="D6626">
    <cfRule type="containsText" dxfId="375" priority="2148" operator="containsText" text="Pesquisa de Preços">
      <formula>NOT(ISERROR(SEARCH("Pesquisa de Preços",D6626)))</formula>
    </cfRule>
  </conditionalFormatting>
  <conditionalFormatting sqref="E6627 E6629">
    <cfRule type="containsText" dxfId="374" priority="2146" operator="containsText" text="Pesquisa de Preços">
      <formula>NOT(ISERROR(SEARCH("Pesquisa de Preços",E6627)))</formula>
    </cfRule>
  </conditionalFormatting>
  <conditionalFormatting sqref="D6683 D6687 D6691 D6695 D6699 D6703 D6707 D6711 D6715 D6719 D6727 D6731 D6735 D6739 D6743 D6747 D6751 D6755 D6759 D6763 D6767 D6771 D6775 D6779 D6783 D6787 D6791 D6795 D6799 D6803 D6807 D6811 D6815 D6819 D6823 D6827 D6831 D6835 D6839 D6843 D6859 D6863">
    <cfRule type="containsText" dxfId="373" priority="2139" operator="containsText" text="Pesquisa de Preços">
      <formula>NOT(ISERROR(SEARCH("Pesquisa de Preços",D6683)))</formula>
    </cfRule>
  </conditionalFormatting>
  <conditionalFormatting sqref="E6682 E6686 E6690 E6694 E6698 E6702 E6706 E6710 E6714 E6718 E6726 E6730 E6734 E6738 E6742 E6746 E6750 E6754 E6758 E6762 E6766 E6770 E6774 E6778 E6782 E6786 E6790 E6794 E6798 E6802 E6806 E6810 E6814 E6818 E6822 E6826 E6830 E6834 E6838 E6842 E6858 E6862">
    <cfRule type="containsText" dxfId="372" priority="2137" operator="containsText" text="Pesquisa de Preços">
      <formula>NOT(ISERROR(SEARCH("Pesquisa de Preços",E6682)))</formula>
    </cfRule>
  </conditionalFormatting>
  <conditionalFormatting sqref="D6685 D6689 D6693 D6697 D6701 D6705 D6709 D6713 D6717 D6721 D6729 D6733 D6737 D6741 D6745 D6749 D6753 D6757 D6761 D6765 D6769 D6773 D6777 D6781 D6785 D6789 D6793 D6797 D6801 D6805 D6809 D6813 D6817 D6821 D6825 D6829 D6833 D6837 D6841 D6845 D6861 D6865">
    <cfRule type="containsText" dxfId="371" priority="2141" operator="containsText" text="Pesquisa de Preços">
      <formula>NOT(ISERROR(SEARCH("Pesquisa de Preços",D6685)))</formula>
    </cfRule>
  </conditionalFormatting>
  <conditionalFormatting sqref="D6682 D6686 D6690 D6694 D6698 D6702 D6706 D6710 D6714 D6718 D6726 D6730 D6734 D6738 D6742 D6746 D6750 D6754 D6758 D6762 D6766 D6770 D6774 D6778 D6782 D6786 D6790 D6794 D6798 D6802 D6806 D6810 D6814 D6818 D6822 D6826 D6830 D6834 D6838 D6842 D6858 D6862">
    <cfRule type="containsText" dxfId="370" priority="2140" operator="containsText" text="Pesquisa de Preços">
      <formula>NOT(ISERROR(SEARCH("Pesquisa de Preços",D6682)))</formula>
    </cfRule>
  </conditionalFormatting>
  <conditionalFormatting sqref="E6683 E6687 E6691 E6695 E6699 E6703 E6707 E6711 E6715 E6719 E6727 E6731 E6735 E6739 E6743 E6747 E6751 E6755 E6759 E6763 E6767 E6771 E6775 E6779 E6783 E6787 E6791 E6795 E6799 E6803 E6807 E6811 E6815 E6819 E6823 E6827 E6831 E6835 E6839 E6843 E6859 E6863 E6685 E6689 E6693 E6697 E6701 E6705 E6709 E6713 E6717 E6721 E6729 E6733 E6737 E6741 E6745 E6749 E6753 E6757 E6761 E6765 E6769 E6773 E6777 E6781 E6785 E6789 E6793 E6797 E6801 E6805 E6809 E6813 E6817 E6821 E6825 E6829 E6833 E6837 E6841 E6845 E6861 E6865">
    <cfRule type="containsText" dxfId="369" priority="2138" operator="containsText" text="Pesquisa de Preços">
      <formula>NOT(ISERROR(SEARCH("Pesquisa de Preços",E6683)))</formula>
    </cfRule>
  </conditionalFormatting>
  <conditionalFormatting sqref="D6903">
    <cfRule type="containsText" dxfId="368" priority="2125" operator="containsText" text="Pesquisa de Preços">
      <formula>NOT(ISERROR(SEARCH("Pesquisa de Preços",D6903)))</formula>
    </cfRule>
  </conditionalFormatting>
  <conditionalFormatting sqref="E6902">
    <cfRule type="containsText" dxfId="367" priority="2123" operator="containsText" text="Pesquisa de Preços">
      <formula>NOT(ISERROR(SEARCH("Pesquisa de Preços",E6902)))</formula>
    </cfRule>
  </conditionalFormatting>
  <conditionalFormatting sqref="D6905">
    <cfRule type="containsText" dxfId="366" priority="2127" operator="containsText" text="Pesquisa de Preços">
      <formula>NOT(ISERROR(SEARCH("Pesquisa de Preços",D6905)))</formula>
    </cfRule>
  </conditionalFormatting>
  <conditionalFormatting sqref="D6902">
    <cfRule type="containsText" dxfId="365" priority="2126" operator="containsText" text="Pesquisa de Preços">
      <formula>NOT(ISERROR(SEARCH("Pesquisa de Preços",D6902)))</formula>
    </cfRule>
  </conditionalFormatting>
  <conditionalFormatting sqref="E6903 E6905">
    <cfRule type="containsText" dxfId="364" priority="2124" operator="containsText" text="Pesquisa de Preços">
      <formula>NOT(ISERROR(SEARCH("Pesquisa de Preços",E6903)))</formula>
    </cfRule>
  </conditionalFormatting>
  <conditionalFormatting sqref="D6907">
    <cfRule type="containsText" dxfId="363" priority="2117" operator="containsText" text="Pesquisa de Preços">
      <formula>NOT(ISERROR(SEARCH("Pesquisa de Preços",D6907)))</formula>
    </cfRule>
  </conditionalFormatting>
  <conditionalFormatting sqref="E6906">
    <cfRule type="containsText" dxfId="362" priority="2115" operator="containsText" text="Pesquisa de Preços">
      <formula>NOT(ISERROR(SEARCH("Pesquisa de Preços",E6906)))</formula>
    </cfRule>
  </conditionalFormatting>
  <conditionalFormatting sqref="D6909">
    <cfRule type="containsText" dxfId="361" priority="2119" operator="containsText" text="Pesquisa de Preços">
      <formula>NOT(ISERROR(SEARCH("Pesquisa de Preços",D6909)))</formula>
    </cfRule>
  </conditionalFormatting>
  <conditionalFormatting sqref="D6906">
    <cfRule type="containsText" dxfId="360" priority="2118" operator="containsText" text="Pesquisa de Preços">
      <formula>NOT(ISERROR(SEARCH("Pesquisa de Preços",D6906)))</formula>
    </cfRule>
  </conditionalFormatting>
  <conditionalFormatting sqref="E6907 E6909">
    <cfRule type="containsText" dxfId="359" priority="2116" operator="containsText" text="Pesquisa de Preços">
      <formula>NOT(ISERROR(SEARCH("Pesquisa de Preços",E6907)))</formula>
    </cfRule>
  </conditionalFormatting>
  <conditionalFormatting sqref="D6923">
    <cfRule type="containsText" dxfId="358" priority="2109" operator="containsText" text="Pesquisa de Preços">
      <formula>NOT(ISERROR(SEARCH("Pesquisa de Preços",D6923)))</formula>
    </cfRule>
  </conditionalFormatting>
  <conditionalFormatting sqref="E6922">
    <cfRule type="containsText" dxfId="357" priority="2107" operator="containsText" text="Pesquisa de Preços">
      <formula>NOT(ISERROR(SEARCH("Pesquisa de Preços",E6922)))</formula>
    </cfRule>
  </conditionalFormatting>
  <conditionalFormatting sqref="D6925">
    <cfRule type="containsText" dxfId="356" priority="2111" operator="containsText" text="Pesquisa de Preços">
      <formula>NOT(ISERROR(SEARCH("Pesquisa de Preços",D6925)))</formula>
    </cfRule>
  </conditionalFormatting>
  <conditionalFormatting sqref="D6922">
    <cfRule type="containsText" dxfId="355" priority="2110" operator="containsText" text="Pesquisa de Preços">
      <formula>NOT(ISERROR(SEARCH("Pesquisa de Preços",D6922)))</formula>
    </cfRule>
  </conditionalFormatting>
  <conditionalFormatting sqref="E6923 E6925">
    <cfRule type="containsText" dxfId="354" priority="2108" operator="containsText" text="Pesquisa de Preços">
      <formula>NOT(ISERROR(SEARCH("Pesquisa de Preços",E6923)))</formula>
    </cfRule>
  </conditionalFormatting>
  <conditionalFormatting sqref="D6919">
    <cfRule type="containsText" dxfId="353" priority="2101" operator="containsText" text="Pesquisa de Preços">
      <formula>NOT(ISERROR(SEARCH("Pesquisa de Preços",D6919)))</formula>
    </cfRule>
  </conditionalFormatting>
  <conditionalFormatting sqref="E6918">
    <cfRule type="containsText" dxfId="352" priority="2099" operator="containsText" text="Pesquisa de Preços">
      <formula>NOT(ISERROR(SEARCH("Pesquisa de Preços",E6918)))</formula>
    </cfRule>
  </conditionalFormatting>
  <conditionalFormatting sqref="D6921">
    <cfRule type="containsText" dxfId="351" priority="2103" operator="containsText" text="Pesquisa de Preços">
      <formula>NOT(ISERROR(SEARCH("Pesquisa de Preços",D6921)))</formula>
    </cfRule>
  </conditionalFormatting>
  <conditionalFormatting sqref="D6918">
    <cfRule type="containsText" dxfId="350" priority="2102" operator="containsText" text="Pesquisa de Preços">
      <formula>NOT(ISERROR(SEARCH("Pesquisa de Preços",D6918)))</formula>
    </cfRule>
  </conditionalFormatting>
  <conditionalFormatting sqref="E6919 E6921">
    <cfRule type="containsText" dxfId="349" priority="2100" operator="containsText" text="Pesquisa de Preços">
      <formula>NOT(ISERROR(SEARCH("Pesquisa de Preços",E6919)))</formula>
    </cfRule>
  </conditionalFormatting>
  <conditionalFormatting sqref="E6958 E6962 E6970 E6974 E6978 E6982 E6986 E6990 E6994 E6998 E7002 E7006 E7014 E7018 E7022 E7026 E7030 E7034 E7050">
    <cfRule type="containsText" dxfId="348" priority="2091" operator="containsText" text="Pesquisa de Preços">
      <formula>NOT(ISERROR(SEARCH("Pesquisa de Preços",E6958)))</formula>
    </cfRule>
  </conditionalFormatting>
  <conditionalFormatting sqref="D6959 D6963 D6971 D6975 D6979 D6983 D6987 D6991 D6995 D6999 D7003 D7007 D7015 D7019 D7023 D7027 D7031 D7035 D7051">
    <cfRule type="containsText" dxfId="347" priority="2093" operator="containsText" text="Pesquisa de Preços">
      <formula>NOT(ISERROR(SEARCH("Pesquisa de Preços",D6959)))</formula>
    </cfRule>
  </conditionalFormatting>
  <conditionalFormatting sqref="D6961 D6965 D6973 D6977 D6981 D6985 D6989 D6993 D6997 D7001 D7005 D7009 D7017 D7021 D7025 D7029 D7033 D7037 D7053">
    <cfRule type="containsText" dxfId="346" priority="2095" operator="containsText" text="Pesquisa de Preços">
      <formula>NOT(ISERROR(SEARCH("Pesquisa de Preços",D6961)))</formula>
    </cfRule>
  </conditionalFormatting>
  <conditionalFormatting sqref="D6958 D6962 D6970 D6974 D6978 D6982 D6986 D6990 D6994 D6998 D7002 D7006 D7014 D7018 D7022 D7026 D7030 D7034 D7050">
    <cfRule type="containsText" dxfId="345" priority="2094" operator="containsText" text="Pesquisa de Preços">
      <formula>NOT(ISERROR(SEARCH("Pesquisa de Preços",D6958)))</formula>
    </cfRule>
  </conditionalFormatting>
  <conditionalFormatting sqref="E6959 E6963 E6971 E6975 E6979 E6983 E6987 E6991 E6995 E6999 E7003 E7007 E7015 E7019 E7023 E7027 E7031 E7035 E7051 E6961 E6965 E6973 E6977 E6981 E6985 E6989 E6993 E6997 E7001 E7005 E7009 E7017 E7021 E7025 E7029 E7033 E7037 E7053">
    <cfRule type="containsText" dxfId="344" priority="2092" operator="containsText" text="Pesquisa de Preços">
      <formula>NOT(ISERROR(SEARCH("Pesquisa de Preços",E6959)))</formula>
    </cfRule>
  </conditionalFormatting>
  <conditionalFormatting sqref="D7055 D7059 D7063 D7067 D7071 D7075 D7079 D7083 D7087 D7091 D7095 D7099 D7103 D7107 D7111 D7115 D7119 D7123 D7127 D7131 D7135 D7139 D7143 D7215">
    <cfRule type="containsText" dxfId="343" priority="2085" operator="containsText" text="Pesquisa de Preços">
      <formula>NOT(ISERROR(SEARCH("Pesquisa de Preços",D7055)))</formula>
    </cfRule>
  </conditionalFormatting>
  <conditionalFormatting sqref="E7054 E7058 E7062 E7066 E7070 E7074 E7078 E7082 E7086 E7090 E7094 E7098 E7102 E7106 E7110 E7114 E7118 E7122 E7126 E7130 E7134 E7138 E7142 E7214">
    <cfRule type="containsText" dxfId="342" priority="2083" operator="containsText" text="Pesquisa de Preços">
      <formula>NOT(ISERROR(SEARCH("Pesquisa de Preços",E7054)))</formula>
    </cfRule>
  </conditionalFormatting>
  <conditionalFormatting sqref="D7057 D7061 D7065 D7069 D7073 D7077 D7081 D7085 D7089 D7093 D7097 D7101 D7105 D7109 D7113 D7117 D7121 D7125 D7129 D7133 D7137 D7141 D7145 D7217">
    <cfRule type="containsText" dxfId="341" priority="2087" operator="containsText" text="Pesquisa de Preços">
      <formula>NOT(ISERROR(SEARCH("Pesquisa de Preços",D7057)))</formula>
    </cfRule>
  </conditionalFormatting>
  <conditionalFormatting sqref="D7054 D7058 D7062 D7066 D7070 D7074 D7078 D7082 D7086 D7090 D7094 D7098 D7102 D7106 D7110 D7114 D7118 D7122 D7126 D7130 D7134 D7138 D7142 D7214">
    <cfRule type="containsText" dxfId="340" priority="2086" operator="containsText" text="Pesquisa de Preços">
      <formula>NOT(ISERROR(SEARCH("Pesquisa de Preços",D7054)))</formula>
    </cfRule>
  </conditionalFormatting>
  <conditionalFormatting sqref="E7055 E7059 E7063 E7067 E7071 E7075 E7079 E7083 E7087 E7091 E7095 E7099 E7103 E7107 E7111 E7115 E7119 E7123 E7127 E7131 E7135 E7139 E7143 E7215 E7057 E7061 E7065 E7069 E7073 E7077 E7081 E7085 E7089 E7093 E7097 E7101 E7105 E7109 E7113 E7117 E7121 E7125 E7129 E7133 E7137 E7141 E7145 E7217">
    <cfRule type="containsText" dxfId="339" priority="2084" operator="containsText" text="Pesquisa de Preços">
      <formula>NOT(ISERROR(SEARCH("Pesquisa de Preços",E7055)))</formula>
    </cfRule>
  </conditionalFormatting>
  <conditionalFormatting sqref="D7039">
    <cfRule type="containsText" dxfId="338" priority="2077" operator="containsText" text="Pesquisa de Preços">
      <formula>NOT(ISERROR(SEARCH("Pesquisa de Preços",D7039)))</formula>
    </cfRule>
  </conditionalFormatting>
  <conditionalFormatting sqref="E7038">
    <cfRule type="containsText" dxfId="337" priority="2075" operator="containsText" text="Pesquisa de Preços">
      <formula>NOT(ISERROR(SEARCH("Pesquisa de Preços",E7038)))</formula>
    </cfRule>
  </conditionalFormatting>
  <conditionalFormatting sqref="D7041">
    <cfRule type="containsText" dxfId="336" priority="2079" operator="containsText" text="Pesquisa de Preços">
      <formula>NOT(ISERROR(SEARCH("Pesquisa de Preços",D7041)))</formula>
    </cfRule>
  </conditionalFormatting>
  <conditionalFormatting sqref="D7038">
    <cfRule type="containsText" dxfId="335" priority="2078" operator="containsText" text="Pesquisa de Preços">
      <formula>NOT(ISERROR(SEARCH("Pesquisa de Preços",D7038)))</formula>
    </cfRule>
  </conditionalFormatting>
  <conditionalFormatting sqref="E7039 E7041">
    <cfRule type="containsText" dxfId="334" priority="2076" operator="containsText" text="Pesquisa de Preços">
      <formula>NOT(ISERROR(SEARCH("Pesquisa de Preços",E7039)))</formula>
    </cfRule>
  </conditionalFormatting>
  <conditionalFormatting sqref="D7043">
    <cfRule type="containsText" dxfId="333" priority="2069" operator="containsText" text="Pesquisa de Preços">
      <formula>NOT(ISERROR(SEARCH("Pesquisa de Preços",D7043)))</formula>
    </cfRule>
  </conditionalFormatting>
  <conditionalFormatting sqref="E7042">
    <cfRule type="containsText" dxfId="332" priority="2067" operator="containsText" text="Pesquisa de Preços">
      <formula>NOT(ISERROR(SEARCH("Pesquisa de Preços",E7042)))</formula>
    </cfRule>
  </conditionalFormatting>
  <conditionalFormatting sqref="D7045">
    <cfRule type="containsText" dxfId="331" priority="2071" operator="containsText" text="Pesquisa de Preços">
      <formula>NOT(ISERROR(SEARCH("Pesquisa de Preços",D7045)))</formula>
    </cfRule>
  </conditionalFormatting>
  <conditionalFormatting sqref="D7042">
    <cfRule type="containsText" dxfId="330" priority="2070" operator="containsText" text="Pesquisa de Preços">
      <formula>NOT(ISERROR(SEARCH("Pesquisa de Preços",D7042)))</formula>
    </cfRule>
  </conditionalFormatting>
  <conditionalFormatting sqref="E7043 E7045">
    <cfRule type="containsText" dxfId="329" priority="2068" operator="containsText" text="Pesquisa de Preços">
      <formula>NOT(ISERROR(SEARCH("Pesquisa de Preços",E7043)))</formula>
    </cfRule>
  </conditionalFormatting>
  <conditionalFormatting sqref="D7047">
    <cfRule type="containsText" dxfId="328" priority="2061" operator="containsText" text="Pesquisa de Preços">
      <formula>NOT(ISERROR(SEARCH("Pesquisa de Preços",D7047)))</formula>
    </cfRule>
  </conditionalFormatting>
  <conditionalFormatting sqref="E7046">
    <cfRule type="containsText" dxfId="327" priority="2059" operator="containsText" text="Pesquisa de Preços">
      <formula>NOT(ISERROR(SEARCH("Pesquisa de Preços",E7046)))</formula>
    </cfRule>
  </conditionalFormatting>
  <conditionalFormatting sqref="D7049">
    <cfRule type="containsText" dxfId="326" priority="2063" operator="containsText" text="Pesquisa de Preços">
      <formula>NOT(ISERROR(SEARCH("Pesquisa de Preços",D7049)))</formula>
    </cfRule>
  </conditionalFormatting>
  <conditionalFormatting sqref="D7046">
    <cfRule type="containsText" dxfId="325" priority="2062" operator="containsText" text="Pesquisa de Preços">
      <formula>NOT(ISERROR(SEARCH("Pesquisa de Preços",D7046)))</formula>
    </cfRule>
  </conditionalFormatting>
  <conditionalFormatting sqref="E7047 E7049">
    <cfRule type="containsText" dxfId="324" priority="2060" operator="containsText" text="Pesquisa de Preços">
      <formula>NOT(ISERROR(SEARCH("Pesquisa de Preços",E7047)))</formula>
    </cfRule>
  </conditionalFormatting>
  <conditionalFormatting sqref="D6847">
    <cfRule type="containsText" dxfId="323" priority="2053" operator="containsText" text="Pesquisa de Preços">
      <formula>NOT(ISERROR(SEARCH("Pesquisa de Preços",D6847)))</formula>
    </cfRule>
  </conditionalFormatting>
  <conditionalFormatting sqref="E6846">
    <cfRule type="containsText" dxfId="322" priority="2051" operator="containsText" text="Pesquisa de Preços">
      <formula>NOT(ISERROR(SEARCH("Pesquisa de Preços",E6846)))</formula>
    </cfRule>
  </conditionalFormatting>
  <conditionalFormatting sqref="D6849">
    <cfRule type="containsText" dxfId="321" priority="2055" operator="containsText" text="Pesquisa de Preços">
      <formula>NOT(ISERROR(SEARCH("Pesquisa de Preços",D6849)))</formula>
    </cfRule>
  </conditionalFormatting>
  <conditionalFormatting sqref="D6846">
    <cfRule type="containsText" dxfId="320" priority="2054" operator="containsText" text="Pesquisa de Preços">
      <formula>NOT(ISERROR(SEARCH("Pesquisa de Preços",D6846)))</formula>
    </cfRule>
  </conditionalFormatting>
  <conditionalFormatting sqref="E6847 E6849">
    <cfRule type="containsText" dxfId="319" priority="2052" operator="containsText" text="Pesquisa de Preços">
      <formula>NOT(ISERROR(SEARCH("Pesquisa de Preços",E6847)))</formula>
    </cfRule>
  </conditionalFormatting>
  <conditionalFormatting sqref="D6723">
    <cfRule type="containsText" dxfId="318" priority="2045" operator="containsText" text="Pesquisa de Preços">
      <formula>NOT(ISERROR(SEARCH("Pesquisa de Preços",D6723)))</formula>
    </cfRule>
  </conditionalFormatting>
  <conditionalFormatting sqref="E6722">
    <cfRule type="containsText" dxfId="317" priority="2043" operator="containsText" text="Pesquisa de Preços">
      <formula>NOT(ISERROR(SEARCH("Pesquisa de Preços",E6722)))</formula>
    </cfRule>
  </conditionalFormatting>
  <conditionalFormatting sqref="D6725">
    <cfRule type="containsText" dxfId="316" priority="2047" operator="containsText" text="Pesquisa de Preços">
      <formula>NOT(ISERROR(SEARCH("Pesquisa de Preços",D6725)))</formula>
    </cfRule>
  </conditionalFormatting>
  <conditionalFormatting sqref="D6722">
    <cfRule type="containsText" dxfId="315" priority="2046" operator="containsText" text="Pesquisa de Preços">
      <formula>NOT(ISERROR(SEARCH("Pesquisa de Preços",D6722)))</formula>
    </cfRule>
  </conditionalFormatting>
  <conditionalFormatting sqref="E6723 E6725">
    <cfRule type="containsText" dxfId="314" priority="2044" operator="containsText" text="Pesquisa de Preços">
      <formula>NOT(ISERROR(SEARCH("Pesquisa de Preços",E6723)))</formula>
    </cfRule>
  </conditionalFormatting>
  <conditionalFormatting sqref="D6559">
    <cfRule type="containsText" dxfId="313" priority="2035" operator="containsText" text="Pesquisa de Preços">
      <formula>NOT(ISERROR(SEARCH("Pesquisa de Preços",D6559)))</formula>
    </cfRule>
  </conditionalFormatting>
  <conditionalFormatting sqref="E6558">
    <cfRule type="containsText" dxfId="312" priority="2033" operator="containsText" text="Pesquisa de Preços">
      <formula>NOT(ISERROR(SEARCH("Pesquisa de Preços",E6558)))</formula>
    </cfRule>
  </conditionalFormatting>
  <conditionalFormatting sqref="D6561">
    <cfRule type="containsText" dxfId="311" priority="2037" operator="containsText" text="Pesquisa de Preços">
      <formula>NOT(ISERROR(SEARCH("Pesquisa de Preços",D6561)))</formula>
    </cfRule>
  </conditionalFormatting>
  <conditionalFormatting sqref="D6558">
    <cfRule type="containsText" dxfId="310" priority="2036" operator="containsText" text="Pesquisa de Preços">
      <formula>NOT(ISERROR(SEARCH("Pesquisa de Preços",D6558)))</formula>
    </cfRule>
  </conditionalFormatting>
  <conditionalFormatting sqref="E6559 E6561">
    <cfRule type="containsText" dxfId="309" priority="2034" operator="containsText" text="Pesquisa de Preços">
      <formula>NOT(ISERROR(SEARCH("Pesquisa de Preços",E6559)))</formula>
    </cfRule>
  </conditionalFormatting>
  <conditionalFormatting sqref="D6891">
    <cfRule type="containsText" dxfId="308" priority="2027" operator="containsText" text="Pesquisa de Preços">
      <formula>NOT(ISERROR(SEARCH("Pesquisa de Preços",D6891)))</formula>
    </cfRule>
  </conditionalFormatting>
  <conditionalFormatting sqref="E6890">
    <cfRule type="containsText" dxfId="307" priority="2025" operator="containsText" text="Pesquisa de Preços">
      <formula>NOT(ISERROR(SEARCH("Pesquisa de Preços",E6890)))</formula>
    </cfRule>
  </conditionalFormatting>
  <conditionalFormatting sqref="D6893">
    <cfRule type="containsText" dxfId="306" priority="2029" operator="containsText" text="Pesquisa de Preços">
      <formula>NOT(ISERROR(SEARCH("Pesquisa de Preços",D6893)))</formula>
    </cfRule>
  </conditionalFormatting>
  <conditionalFormatting sqref="D6890">
    <cfRule type="containsText" dxfId="305" priority="2028" operator="containsText" text="Pesquisa de Preços">
      <formula>NOT(ISERROR(SEARCH("Pesquisa de Preços",D6890)))</formula>
    </cfRule>
  </conditionalFormatting>
  <conditionalFormatting sqref="E6891 E6893">
    <cfRule type="containsText" dxfId="304" priority="2026" operator="containsText" text="Pesquisa de Preços">
      <formula>NOT(ISERROR(SEARCH("Pesquisa de Preços",E6891)))</formula>
    </cfRule>
  </conditionalFormatting>
  <conditionalFormatting sqref="E6894">
    <cfRule type="containsText" dxfId="303" priority="2019" operator="containsText" text="Pesquisa de Preços">
      <formula>NOT(ISERROR(SEARCH("Pesquisa de Preços",E6894)))</formula>
    </cfRule>
  </conditionalFormatting>
  <conditionalFormatting sqref="D6895">
    <cfRule type="containsText" dxfId="302" priority="2021" operator="containsText" text="Pesquisa de Preços">
      <formula>NOT(ISERROR(SEARCH("Pesquisa de Preços",D6895)))</formula>
    </cfRule>
  </conditionalFormatting>
  <conditionalFormatting sqref="D6894">
    <cfRule type="containsText" dxfId="301" priority="2022" operator="containsText" text="Pesquisa de Preços">
      <formula>NOT(ISERROR(SEARCH("Pesquisa de Preços",D6894)))</formula>
    </cfRule>
  </conditionalFormatting>
  <conditionalFormatting sqref="E6895">
    <cfRule type="containsText" dxfId="300" priority="2020" operator="containsText" text="Pesquisa de Preços">
      <formula>NOT(ISERROR(SEARCH("Pesquisa de Preços",E6895)))</formula>
    </cfRule>
  </conditionalFormatting>
  <conditionalFormatting sqref="D7011">
    <cfRule type="containsText" dxfId="299" priority="2015" operator="containsText" text="Pesquisa de Preços">
      <formula>NOT(ISERROR(SEARCH("Pesquisa de Preços",D7011)))</formula>
    </cfRule>
  </conditionalFormatting>
  <conditionalFormatting sqref="E7010">
    <cfRule type="containsText" dxfId="298" priority="2013" operator="containsText" text="Pesquisa de Preços">
      <formula>NOT(ISERROR(SEARCH("Pesquisa de Preços",E7010)))</formula>
    </cfRule>
  </conditionalFormatting>
  <conditionalFormatting sqref="D7013">
    <cfRule type="containsText" dxfId="297" priority="2017" operator="containsText" text="Pesquisa de Preços">
      <formula>NOT(ISERROR(SEARCH("Pesquisa de Preços",D7013)))</formula>
    </cfRule>
  </conditionalFormatting>
  <conditionalFormatting sqref="D7010">
    <cfRule type="containsText" dxfId="296" priority="2016" operator="containsText" text="Pesquisa de Preços">
      <formula>NOT(ISERROR(SEARCH("Pesquisa de Preços",D7010)))</formula>
    </cfRule>
  </conditionalFormatting>
  <conditionalFormatting sqref="E7011 E7013">
    <cfRule type="containsText" dxfId="295" priority="2014" operator="containsText" text="Pesquisa de Preços">
      <formula>NOT(ISERROR(SEARCH("Pesquisa de Preços",E7011)))</formula>
    </cfRule>
  </conditionalFormatting>
  <conditionalFormatting sqref="D6851 D6855">
    <cfRule type="containsText" dxfId="294" priority="1999" operator="containsText" text="Pesquisa de Preços">
      <formula>NOT(ISERROR(SEARCH("Pesquisa de Preços",D6851)))</formula>
    </cfRule>
  </conditionalFormatting>
  <conditionalFormatting sqref="E6850 E6854">
    <cfRule type="containsText" dxfId="293" priority="1997" operator="containsText" text="Pesquisa de Preços">
      <formula>NOT(ISERROR(SEARCH("Pesquisa de Preços",E6850)))</formula>
    </cfRule>
  </conditionalFormatting>
  <conditionalFormatting sqref="D6853 D6857">
    <cfRule type="containsText" dxfId="292" priority="2001" operator="containsText" text="Pesquisa de Preços">
      <formula>NOT(ISERROR(SEARCH("Pesquisa de Preços",D6853)))</formula>
    </cfRule>
  </conditionalFormatting>
  <conditionalFormatting sqref="D6850 D6854">
    <cfRule type="containsText" dxfId="291" priority="2000" operator="containsText" text="Pesquisa de Preços">
      <formula>NOT(ISERROR(SEARCH("Pesquisa de Preços",D6850)))</formula>
    </cfRule>
  </conditionalFormatting>
  <conditionalFormatting sqref="E6851 E6855 E6853 E6857">
    <cfRule type="containsText" dxfId="290" priority="1998" operator="containsText" text="Pesquisa de Preços">
      <formula>NOT(ISERROR(SEARCH("Pesquisa de Preços",E6851)))</formula>
    </cfRule>
  </conditionalFormatting>
  <conditionalFormatting sqref="D7164">
    <cfRule type="containsText" dxfId="289" priority="1957" operator="containsText" text="Pesquisa de Preços">
      <formula>NOT(ISERROR(SEARCH("Pesquisa de Preços",D7164)))</formula>
    </cfRule>
  </conditionalFormatting>
  <conditionalFormatting sqref="D7158">
    <cfRule type="containsText" dxfId="288" priority="1961" operator="containsText" text="Pesquisa de Preços">
      <formula>NOT(ISERROR(SEARCH("Pesquisa de Preços",D7158)))</formula>
    </cfRule>
  </conditionalFormatting>
  <conditionalFormatting sqref="D7219">
    <cfRule type="containsText" dxfId="287" priority="1991" operator="containsText" text="Pesquisa de Preços">
      <formula>NOT(ISERROR(SEARCH("Pesquisa de Preços",D7219)))</formula>
    </cfRule>
  </conditionalFormatting>
  <conditionalFormatting sqref="E7218">
    <cfRule type="containsText" dxfId="286" priority="1989" operator="containsText" text="Pesquisa de Preços">
      <formula>NOT(ISERROR(SEARCH("Pesquisa de Preços",E7218)))</formula>
    </cfRule>
  </conditionalFormatting>
  <conditionalFormatting sqref="D7221">
    <cfRule type="containsText" dxfId="285" priority="1993" operator="containsText" text="Pesquisa de Preços">
      <formula>NOT(ISERROR(SEARCH("Pesquisa de Preços",D7221)))</formula>
    </cfRule>
  </conditionalFormatting>
  <conditionalFormatting sqref="D7218">
    <cfRule type="containsText" dxfId="284" priority="1992" operator="containsText" text="Pesquisa de Preços">
      <formula>NOT(ISERROR(SEARCH("Pesquisa de Preços",D7218)))</formula>
    </cfRule>
  </conditionalFormatting>
  <conditionalFormatting sqref="E7219 E7221">
    <cfRule type="containsText" dxfId="283" priority="1990" operator="containsText" text="Pesquisa de Preços">
      <formula>NOT(ISERROR(SEARCH("Pesquisa de Preços",E7219)))</formula>
    </cfRule>
  </conditionalFormatting>
  <conditionalFormatting sqref="D7207">
    <cfRule type="containsText" dxfId="282" priority="1983" operator="containsText" text="Pesquisa de Preços">
      <formula>NOT(ISERROR(SEARCH("Pesquisa de Preços",D7207)))</formula>
    </cfRule>
  </conditionalFormatting>
  <conditionalFormatting sqref="E7206">
    <cfRule type="containsText" dxfId="281" priority="1981" operator="containsText" text="Pesquisa de Preços">
      <formula>NOT(ISERROR(SEARCH("Pesquisa de Preços",E7206)))</formula>
    </cfRule>
  </conditionalFormatting>
  <conditionalFormatting sqref="D7209">
    <cfRule type="containsText" dxfId="280" priority="1985" operator="containsText" text="Pesquisa de Preços">
      <formula>NOT(ISERROR(SEARCH("Pesquisa de Preços",D7209)))</formula>
    </cfRule>
  </conditionalFormatting>
  <conditionalFormatting sqref="D7206">
    <cfRule type="containsText" dxfId="279" priority="1984" operator="containsText" text="Pesquisa de Preços">
      <formula>NOT(ISERROR(SEARCH("Pesquisa de Preços",D7206)))</formula>
    </cfRule>
  </conditionalFormatting>
  <conditionalFormatting sqref="E7207 E7209">
    <cfRule type="containsText" dxfId="278" priority="1982" operator="containsText" text="Pesquisa de Preços">
      <formula>NOT(ISERROR(SEARCH("Pesquisa de Preços",E7207)))</formula>
    </cfRule>
  </conditionalFormatting>
  <conditionalFormatting sqref="D7211">
    <cfRule type="containsText" dxfId="277" priority="1975" operator="containsText" text="Pesquisa de Preços">
      <formula>NOT(ISERROR(SEARCH("Pesquisa de Preços",D7211)))</formula>
    </cfRule>
  </conditionalFormatting>
  <conditionalFormatting sqref="E7210">
    <cfRule type="containsText" dxfId="276" priority="1973" operator="containsText" text="Pesquisa de Preços">
      <formula>NOT(ISERROR(SEARCH("Pesquisa de Preços",E7210)))</formula>
    </cfRule>
  </conditionalFormatting>
  <conditionalFormatting sqref="D7213">
    <cfRule type="containsText" dxfId="275" priority="1977" operator="containsText" text="Pesquisa de Preços">
      <formula>NOT(ISERROR(SEARCH("Pesquisa de Preços",D7213)))</formula>
    </cfRule>
  </conditionalFormatting>
  <conditionalFormatting sqref="D7210">
    <cfRule type="containsText" dxfId="274" priority="1976" operator="containsText" text="Pesquisa de Preços">
      <formula>NOT(ISERROR(SEARCH("Pesquisa de Preços",D7210)))</formula>
    </cfRule>
  </conditionalFormatting>
  <conditionalFormatting sqref="E7211 E7213">
    <cfRule type="containsText" dxfId="273" priority="1974" operator="containsText" text="Pesquisa de Preços">
      <formula>NOT(ISERROR(SEARCH("Pesquisa de Preços",E7211)))</formula>
    </cfRule>
  </conditionalFormatting>
  <conditionalFormatting sqref="D7146">
    <cfRule type="containsText" dxfId="272" priority="1969" operator="containsText" text="Pesquisa de Preços">
      <formula>NOT(ISERROR(SEARCH("Pesquisa de Preços",D7146)))</formula>
    </cfRule>
  </conditionalFormatting>
  <conditionalFormatting sqref="D7152">
    <cfRule type="containsText" dxfId="271" priority="1965" operator="containsText" text="Pesquisa de Preços">
      <formula>NOT(ISERROR(SEARCH("Pesquisa de Preços",D7152)))</formula>
    </cfRule>
  </conditionalFormatting>
  <conditionalFormatting sqref="D3774">
    <cfRule type="containsText" dxfId="270" priority="1886" operator="containsText" text="Pesquisa de Preços">
      <formula>NOT(ISERROR(SEARCH("Pesquisa de Preços",D3774)))</formula>
    </cfRule>
  </conditionalFormatting>
  <conditionalFormatting sqref="D3780">
    <cfRule type="containsText" dxfId="269" priority="1882" operator="containsText" text="Pesquisa de Preços">
      <formula>NOT(ISERROR(SEARCH("Pesquisa de Preços",D3780)))</formula>
    </cfRule>
  </conditionalFormatting>
  <conditionalFormatting sqref="D7170">
    <cfRule type="containsText" dxfId="268" priority="1953" operator="containsText" text="Pesquisa de Preços">
      <formula>NOT(ISERROR(SEARCH("Pesquisa de Preços",D7170)))</formula>
    </cfRule>
  </conditionalFormatting>
  <conditionalFormatting sqref="D7176">
    <cfRule type="containsText" dxfId="267" priority="1949" operator="containsText" text="Pesquisa de Preços">
      <formula>NOT(ISERROR(SEARCH("Pesquisa de Preços",D7176)))</formula>
    </cfRule>
  </conditionalFormatting>
  <conditionalFormatting sqref="D7182">
    <cfRule type="containsText" dxfId="266" priority="1945" operator="containsText" text="Pesquisa de Preços">
      <formula>NOT(ISERROR(SEARCH("Pesquisa de Preços",D7182)))</formula>
    </cfRule>
  </conditionalFormatting>
  <conditionalFormatting sqref="D7188">
    <cfRule type="containsText" dxfId="265" priority="1941" operator="containsText" text="Pesquisa de Preços">
      <formula>NOT(ISERROR(SEARCH("Pesquisa de Preços",D7188)))</formula>
    </cfRule>
  </conditionalFormatting>
  <conditionalFormatting sqref="D7194">
    <cfRule type="containsText" dxfId="264" priority="1937" operator="containsText" text="Pesquisa de Preços">
      <formula>NOT(ISERROR(SEARCH("Pesquisa de Preços",D7194)))</formula>
    </cfRule>
  </conditionalFormatting>
  <conditionalFormatting sqref="D7200">
    <cfRule type="containsText" dxfId="263" priority="1933" operator="containsText" text="Pesquisa de Preços">
      <formula>NOT(ISERROR(SEARCH("Pesquisa de Preços",D7200)))</formula>
    </cfRule>
  </conditionalFormatting>
  <conditionalFormatting sqref="D6911">
    <cfRule type="containsText" dxfId="262" priority="1927" operator="containsText" text="Pesquisa de Preços">
      <formula>NOT(ISERROR(SEARCH("Pesquisa de Preços",D6911)))</formula>
    </cfRule>
  </conditionalFormatting>
  <conditionalFormatting sqref="E6910">
    <cfRule type="containsText" dxfId="261" priority="1925" operator="containsText" text="Pesquisa de Preços">
      <formula>NOT(ISERROR(SEARCH("Pesquisa de Preços",E6910)))</formula>
    </cfRule>
  </conditionalFormatting>
  <conditionalFormatting sqref="D6913">
    <cfRule type="containsText" dxfId="260" priority="1929" operator="containsText" text="Pesquisa de Preços">
      <formula>NOT(ISERROR(SEARCH("Pesquisa de Preços",D6913)))</formula>
    </cfRule>
  </conditionalFormatting>
  <conditionalFormatting sqref="D6910">
    <cfRule type="containsText" dxfId="259" priority="1928" operator="containsText" text="Pesquisa de Preços">
      <formula>NOT(ISERROR(SEARCH("Pesquisa de Preços",D6910)))</formula>
    </cfRule>
  </conditionalFormatting>
  <conditionalFormatting sqref="E6911 E6913">
    <cfRule type="containsText" dxfId="258" priority="1926" operator="containsText" text="Pesquisa de Preços">
      <formula>NOT(ISERROR(SEARCH("Pesquisa de Preços",E6911)))</formula>
    </cfRule>
  </conditionalFormatting>
  <conditionalFormatting sqref="D3768">
    <cfRule type="containsText" dxfId="257" priority="1890" operator="containsText" text="Pesquisa de Preços">
      <formula>NOT(ISERROR(SEARCH("Pesquisa de Preços",D3768)))</formula>
    </cfRule>
  </conditionalFormatting>
  <conditionalFormatting sqref="D3786">
    <cfRule type="containsText" dxfId="256" priority="1878" operator="containsText" text="Pesquisa de Preços">
      <formula>NOT(ISERROR(SEARCH("Pesquisa de Preços",D3786)))</formula>
    </cfRule>
  </conditionalFormatting>
  <conditionalFormatting sqref="D3792">
    <cfRule type="containsText" dxfId="255" priority="1874" operator="containsText" text="Pesquisa de Preços">
      <formula>NOT(ISERROR(SEARCH("Pesquisa de Preços",D3792)))</formula>
    </cfRule>
  </conditionalFormatting>
  <conditionalFormatting sqref="D3798">
    <cfRule type="containsText" dxfId="254" priority="1870" operator="containsText" text="Pesquisa de Preços">
      <formula>NOT(ISERROR(SEARCH("Pesquisa de Preços",D3798)))</formula>
    </cfRule>
  </conditionalFormatting>
  <conditionalFormatting sqref="D3804">
    <cfRule type="containsText" dxfId="253" priority="1866" operator="containsText" text="Pesquisa de Preços">
      <formula>NOT(ISERROR(SEARCH("Pesquisa de Preços",D3804)))</formula>
    </cfRule>
  </conditionalFormatting>
  <conditionalFormatting sqref="D3810">
    <cfRule type="containsText" dxfId="252" priority="1862" operator="containsText" text="Pesquisa de Preços">
      <formula>NOT(ISERROR(SEARCH("Pesquisa de Preços",D3810)))</formula>
    </cfRule>
  </conditionalFormatting>
  <conditionalFormatting sqref="D3816">
    <cfRule type="containsText" dxfId="251" priority="1858" operator="containsText" text="Pesquisa de Preços">
      <formula>NOT(ISERROR(SEARCH("Pesquisa de Preços",D3816)))</formula>
    </cfRule>
  </conditionalFormatting>
  <conditionalFormatting sqref="D2715">
    <cfRule type="containsText" dxfId="250" priority="1848" operator="containsText" text="Pesquisa de Preços">
      <formula>NOT(ISERROR(SEARCH("Pesquisa de Preços",D2715)))</formula>
    </cfRule>
  </conditionalFormatting>
  <conditionalFormatting sqref="D2719">
    <cfRule type="containsText" dxfId="249" priority="1841" operator="containsText" text="Pesquisa de Preços">
      <formula>NOT(ISERROR(SEARCH("Pesquisa de Preços",D2719)))</formula>
    </cfRule>
  </conditionalFormatting>
  <conditionalFormatting sqref="D2723">
    <cfRule type="containsText" dxfId="248" priority="1834" operator="containsText" text="Pesquisa de Preços">
      <formula>NOT(ISERROR(SEARCH("Pesquisa de Preços",D2723)))</formula>
    </cfRule>
  </conditionalFormatting>
  <conditionalFormatting sqref="D2743">
    <cfRule type="containsText" dxfId="247" priority="1828" operator="containsText" text="Pesquisa de Preços">
      <formula>NOT(ISERROR(SEARCH("Pesquisa de Preços",D2743)))</formula>
    </cfRule>
  </conditionalFormatting>
  <conditionalFormatting sqref="D2755">
    <cfRule type="containsText" dxfId="246" priority="1818" operator="containsText" text="Pesquisa de Preços">
      <formula>NOT(ISERROR(SEARCH("Pesquisa de Preços",D2755)))</formula>
    </cfRule>
  </conditionalFormatting>
  <conditionalFormatting sqref="D3462">
    <cfRule type="containsText" dxfId="245" priority="1815" operator="containsText" text="Pesquisa de Preços">
      <formula>NOT(ISERROR(SEARCH("Pesquisa de Preços",D3462)))</formula>
    </cfRule>
  </conditionalFormatting>
  <conditionalFormatting sqref="D3533">
    <cfRule type="containsText" dxfId="244" priority="1811" operator="containsText" text="Pesquisa de Preços">
      <formula>NOT(ISERROR(SEARCH("Pesquisa de Preços",D3533)))</formula>
    </cfRule>
  </conditionalFormatting>
  <conditionalFormatting sqref="D4740">
    <cfRule type="containsText" dxfId="243" priority="1805" operator="containsText" text="Pesquisa de Preços">
      <formula>NOT(ISERROR(SEARCH("Pesquisa de Preços",D4740)))</formula>
    </cfRule>
  </conditionalFormatting>
  <conditionalFormatting sqref="D6041">
    <cfRule type="containsText" dxfId="242" priority="1792" operator="containsText" text="Pesquisa de Preços">
      <formula>NOT(ISERROR(SEARCH("Pesquisa de Preços",D6041)))</formula>
    </cfRule>
  </conditionalFormatting>
  <conditionalFormatting sqref="D6061">
    <cfRule type="containsText" dxfId="241" priority="1781" operator="containsText" text="Pesquisa de Preços">
      <formula>NOT(ISERROR(SEARCH("Pesquisa de Preços",D6061)))</formula>
    </cfRule>
  </conditionalFormatting>
  <conditionalFormatting sqref="D4752">
    <cfRule type="containsText" dxfId="240" priority="1801" operator="containsText" text="Pesquisa de Preços">
      <formula>NOT(ISERROR(SEARCH("Pesquisa de Preços",D4752)))</formula>
    </cfRule>
  </conditionalFormatting>
  <conditionalFormatting sqref="D6125">
    <cfRule type="containsText" dxfId="239" priority="1774" operator="containsText" text="Pesquisa de Preços">
      <formula>NOT(ISERROR(SEARCH("Pesquisa de Preços",D6125)))</formula>
    </cfRule>
  </conditionalFormatting>
  <conditionalFormatting sqref="D6057">
    <cfRule type="containsText" dxfId="238" priority="1782" operator="containsText" text="Pesquisa de Preços">
      <formula>NOT(ISERROR(SEARCH("Pesquisa de Preços",D6057)))</formula>
    </cfRule>
  </conditionalFormatting>
  <conditionalFormatting sqref="D6129">
    <cfRule type="containsText" dxfId="237" priority="1767" operator="containsText" text="Pesquisa de Preços">
      <formula>NOT(ISERROR(SEARCH("Pesquisa de Preços",D6129)))</formula>
    </cfRule>
  </conditionalFormatting>
  <conditionalFormatting sqref="D6133">
    <cfRule type="containsText" dxfId="236" priority="1760" operator="containsText" text="Pesquisa de Preços">
      <formula>NOT(ISERROR(SEARCH("Pesquisa de Preços",D6133)))</formula>
    </cfRule>
  </conditionalFormatting>
  <conditionalFormatting sqref="D6969">
    <cfRule type="containsText" dxfId="235" priority="1756" operator="containsText" text="Pesquisa de Preços">
      <formula>NOT(ISERROR(SEARCH("Pesquisa de Preços",D6969)))</formula>
    </cfRule>
  </conditionalFormatting>
  <conditionalFormatting sqref="E6966">
    <cfRule type="containsText" dxfId="234" priority="1752" operator="containsText" text="Pesquisa de Preços">
      <formula>NOT(ISERROR(SEARCH("Pesquisa de Preços",E6966)))</formula>
    </cfRule>
  </conditionalFormatting>
  <conditionalFormatting sqref="D6967">
    <cfRule type="containsText" dxfId="233" priority="1754" operator="containsText" text="Pesquisa de Preços">
      <formula>NOT(ISERROR(SEARCH("Pesquisa de Preços",D6967)))</formula>
    </cfRule>
  </conditionalFormatting>
  <conditionalFormatting sqref="D6966">
    <cfRule type="containsText" dxfId="232" priority="1755" operator="containsText" text="Pesquisa de Preços">
      <formula>NOT(ISERROR(SEARCH("Pesquisa de Preços",D6966)))</formula>
    </cfRule>
  </conditionalFormatting>
  <conditionalFormatting sqref="E6967 E6969">
    <cfRule type="containsText" dxfId="231" priority="1753" operator="containsText" text="Pesquisa de Preços">
      <formula>NOT(ISERROR(SEARCH("Pesquisa de Preços",E6967)))</formula>
    </cfRule>
  </conditionalFormatting>
  <conditionalFormatting sqref="E308">
    <cfRule type="containsText" dxfId="230" priority="1747" operator="containsText" text="Pesquisa de Preços">
      <formula>NOT(ISERROR(SEARCH("Pesquisa de Preços",E308)))</formula>
    </cfRule>
  </conditionalFormatting>
  <conditionalFormatting sqref="D7233">
    <cfRule type="containsText" dxfId="229" priority="1741" operator="containsText" text="Pesquisa de Preços">
      <formula>NOT(ISERROR(SEARCH("Pesquisa de Preços",D7233)))</formula>
    </cfRule>
  </conditionalFormatting>
  <conditionalFormatting sqref="D7228">
    <cfRule type="containsText" dxfId="228" priority="1738" operator="containsText" text="Pesquisa de Preços">
      <formula>NOT(ISERROR(SEARCH("Pesquisa de Preços",D7228)))</formula>
    </cfRule>
  </conditionalFormatting>
  <conditionalFormatting sqref="D7234">
    <cfRule type="containsText" dxfId="227" priority="1731" operator="containsText" text="Pesquisa de Preços">
      <formula>NOT(ISERROR(SEARCH("Pesquisa de Preços",D7234)))</formula>
    </cfRule>
  </conditionalFormatting>
  <conditionalFormatting sqref="E7237">
    <cfRule type="containsText" dxfId="226" priority="1722" operator="containsText" text="Pesquisa de Preços">
      <formula>NOT(ISERROR(SEARCH("Pesquisa de Preços",E7237)))</formula>
    </cfRule>
  </conditionalFormatting>
  <conditionalFormatting sqref="E7222">
    <cfRule type="containsText" dxfId="225" priority="1714" operator="containsText" text="Pesquisa de Preços">
      <formula>NOT(ISERROR(SEARCH("Pesquisa de Preços",E7222)))</formula>
    </cfRule>
  </conditionalFormatting>
  <conditionalFormatting sqref="E7225">
    <cfRule type="containsText" dxfId="224" priority="1713" operator="containsText" text="Pesquisa de Preços">
      <formula>NOT(ISERROR(SEARCH("Pesquisa de Preços",E7225)))</formula>
    </cfRule>
  </conditionalFormatting>
  <conditionalFormatting sqref="D7222">
    <cfRule type="containsText" dxfId="223" priority="1718" operator="containsText" text="Pesquisa de Preços">
      <formula>NOT(ISERROR(SEARCH("Pesquisa de Preços",D7222)))</formula>
    </cfRule>
  </conditionalFormatting>
  <conditionalFormatting sqref="D7223 D7226:D7227">
    <cfRule type="containsText" dxfId="222" priority="1717" operator="containsText" text="Pesquisa de Preços">
      <formula>NOT(ISERROR(SEARCH("Pesquisa de Preços",D7223)))</formula>
    </cfRule>
  </conditionalFormatting>
  <conditionalFormatting sqref="E7223:E7224 E7226:E7227">
    <cfRule type="containsText" dxfId="221" priority="1715" operator="containsText" text="Pesquisa de Preços">
      <formula>NOT(ISERROR(SEARCH("Pesquisa de Preços",E7223)))</formula>
    </cfRule>
  </conditionalFormatting>
  <conditionalFormatting sqref="E7238">
    <cfRule type="containsText" dxfId="220" priority="1702" operator="containsText" text="Pesquisa de Preços">
      <formula>NOT(ISERROR(SEARCH("Pesquisa de Preços",E7238)))</formula>
    </cfRule>
  </conditionalFormatting>
  <conditionalFormatting sqref="E7239">
    <cfRule type="containsText" dxfId="219" priority="1701" operator="containsText" text="Pesquisa de Preços">
      <formula>NOT(ISERROR(SEARCH("Pesquisa de Preços",E7239)))</formula>
    </cfRule>
  </conditionalFormatting>
  <conditionalFormatting sqref="D6433">
    <cfRule type="containsText" dxfId="218" priority="1699" operator="containsText" text="Pesquisa de Preços">
      <formula>NOT(ISERROR(SEARCH("Pesquisa de Preços",D6433)))</formula>
    </cfRule>
  </conditionalFormatting>
  <conditionalFormatting sqref="D6438">
    <cfRule type="containsText" dxfId="217" priority="1693" operator="containsText" text="Pesquisa de Preços">
      <formula>NOT(ISERROR(SEARCH("Pesquisa de Preços",D6438)))</formula>
    </cfRule>
  </conditionalFormatting>
  <conditionalFormatting sqref="D7269">
    <cfRule type="containsText" dxfId="216" priority="1686" operator="containsText" text="Pesquisa de Preços">
      <formula>NOT(ISERROR(SEARCH("Pesquisa de Preços",D7269)))</formula>
    </cfRule>
  </conditionalFormatting>
  <conditionalFormatting sqref="E7268">
    <cfRule type="containsText" dxfId="215" priority="1684" operator="containsText" text="Pesquisa de Preços">
      <formula>NOT(ISERROR(SEARCH("Pesquisa de Preços",E7268)))</formula>
    </cfRule>
  </conditionalFormatting>
  <conditionalFormatting sqref="D7271">
    <cfRule type="containsText" dxfId="214" priority="1688" operator="containsText" text="Pesquisa de Preços">
      <formula>NOT(ISERROR(SEARCH("Pesquisa de Preços",D7271)))</formula>
    </cfRule>
  </conditionalFormatting>
  <conditionalFormatting sqref="D7268">
    <cfRule type="containsText" dxfId="213" priority="1687" operator="containsText" text="Pesquisa de Preços">
      <formula>NOT(ISERROR(SEARCH("Pesquisa de Preços",D7268)))</formula>
    </cfRule>
  </conditionalFormatting>
  <conditionalFormatting sqref="E7269 E7271">
    <cfRule type="containsText" dxfId="212" priority="1685" operator="containsText" text="Pesquisa de Preços">
      <formula>NOT(ISERROR(SEARCH("Pesquisa de Preços",E7269)))</formula>
    </cfRule>
  </conditionalFormatting>
  <conditionalFormatting sqref="D7273">
    <cfRule type="containsText" dxfId="211" priority="1678" operator="containsText" text="Pesquisa de Preços">
      <formula>NOT(ISERROR(SEARCH("Pesquisa de Preços",D7273)))</formula>
    </cfRule>
  </conditionalFormatting>
  <conditionalFormatting sqref="E7272">
    <cfRule type="containsText" dxfId="210" priority="1676" operator="containsText" text="Pesquisa de Preços">
      <formula>NOT(ISERROR(SEARCH("Pesquisa de Preços",E7272)))</formula>
    </cfRule>
  </conditionalFormatting>
  <conditionalFormatting sqref="D7275">
    <cfRule type="containsText" dxfId="209" priority="1680" operator="containsText" text="Pesquisa de Preços">
      <formula>NOT(ISERROR(SEARCH("Pesquisa de Preços",D7275)))</formula>
    </cfRule>
  </conditionalFormatting>
  <conditionalFormatting sqref="D7272">
    <cfRule type="containsText" dxfId="208" priority="1679" operator="containsText" text="Pesquisa de Preços">
      <formula>NOT(ISERROR(SEARCH("Pesquisa de Preços",D7272)))</formula>
    </cfRule>
  </conditionalFormatting>
  <conditionalFormatting sqref="E7273 E7275">
    <cfRule type="containsText" dxfId="207" priority="1677" operator="containsText" text="Pesquisa de Preços">
      <formula>NOT(ISERROR(SEARCH("Pesquisa de Preços",E7273)))</formula>
    </cfRule>
  </conditionalFormatting>
  <conditionalFormatting sqref="D2639">
    <cfRule type="containsText" dxfId="206" priority="1672" operator="containsText" text="Pesquisa de Preços">
      <formula>NOT(ISERROR(SEARCH("Pesquisa de Preços",D2639)))</formula>
    </cfRule>
  </conditionalFormatting>
  <conditionalFormatting sqref="D4760">
    <cfRule type="containsText" dxfId="205" priority="1664" operator="containsText" text="Pesquisa de Preços">
      <formula>NOT(ISERROR(SEARCH("Pesquisa de Preços",D4760)))</formula>
    </cfRule>
  </conditionalFormatting>
  <conditionalFormatting sqref="D4764">
    <cfRule type="containsText" dxfId="204" priority="1658" operator="containsText" text="Pesquisa de Preços">
      <formula>NOT(ISERROR(SEARCH("Pesquisa de Preços",D4764)))</formula>
    </cfRule>
  </conditionalFormatting>
  <conditionalFormatting sqref="D7288">
    <cfRule type="containsText" dxfId="203" priority="1652" operator="containsText" text="Pesquisa de Preços">
      <formula>NOT(ISERROR(SEARCH("Pesquisa de Preços",D7288)))</formula>
    </cfRule>
  </conditionalFormatting>
  <conditionalFormatting sqref="D7280">
    <cfRule type="containsText" dxfId="202" priority="1648" operator="containsText" text="Pesquisa de Preços">
      <formula>NOT(ISERROR(SEARCH("Pesquisa de Preços",D7280)))</formula>
    </cfRule>
  </conditionalFormatting>
  <conditionalFormatting sqref="D7284">
    <cfRule type="containsText" dxfId="201" priority="1644" operator="containsText" text="Pesquisa de Preços">
      <formula>NOT(ISERROR(SEARCH("Pesquisa de Preços",D7284)))</formula>
    </cfRule>
  </conditionalFormatting>
  <conditionalFormatting sqref="D7292">
    <cfRule type="containsText" dxfId="200" priority="1632" operator="containsText" text="Pesquisa de Preços">
      <formula>NOT(ISERROR(SEARCH("Pesquisa de Preços",D7292)))</formula>
    </cfRule>
  </conditionalFormatting>
  <conditionalFormatting sqref="D7276">
    <cfRule type="containsText" dxfId="199" priority="1624" operator="containsText" text="Pesquisa de Preços">
      <formula>NOT(ISERROR(SEARCH("Pesquisa de Preços",D7276)))</formula>
    </cfRule>
  </conditionalFormatting>
  <conditionalFormatting sqref="D4714">
    <cfRule type="containsText" dxfId="198" priority="1628" operator="containsText" text="Pesquisa de Preços">
      <formula>NOT(ISERROR(SEARCH("Pesquisa de Preços",D4714)))</formula>
    </cfRule>
  </conditionalFormatting>
  <conditionalFormatting sqref="D7274">
    <cfRule type="containsText" dxfId="197" priority="1620" operator="containsText" text="Pesquisa de Preços">
      <formula>NOT(ISERROR(SEARCH("Pesquisa de Preços",D7274)))</formula>
    </cfRule>
  </conditionalFormatting>
  <conditionalFormatting sqref="D7308 D7312">
    <cfRule type="containsText" dxfId="196" priority="1584" operator="containsText" text="Pesquisa de Preços">
      <formula>NOT(ISERROR(SEARCH("Pesquisa de Preços",D7308)))</formula>
    </cfRule>
  </conditionalFormatting>
  <conditionalFormatting sqref="D7296 D7300 D7304">
    <cfRule type="containsText" dxfId="195" priority="1559" operator="containsText" text="Pesquisa de Preços">
      <formula>NOT(ISERROR(SEARCH("Pesquisa de Preços",D7296)))</formula>
    </cfRule>
  </conditionalFormatting>
  <conditionalFormatting sqref="D4736">
    <cfRule type="containsText" dxfId="194" priority="1523" operator="containsText" text="Pesquisa de Preços">
      <formula>NOT(ISERROR(SEARCH("Pesquisa de Preços",D4736)))</formula>
    </cfRule>
  </conditionalFormatting>
  <conditionalFormatting sqref="D4732">
    <cfRule type="containsText" dxfId="193" priority="1520" operator="containsText" text="Pesquisa de Preços">
      <formula>NOT(ISERROR(SEARCH("Pesquisa de Preços",D4732)))</formula>
    </cfRule>
  </conditionalFormatting>
  <conditionalFormatting sqref="D7257">
    <cfRule type="containsText" dxfId="192" priority="1514" operator="containsText" text="Pesquisa de Preços">
      <formula>NOT(ISERROR(SEARCH("Pesquisa de Preços",D7257)))</formula>
    </cfRule>
  </conditionalFormatting>
  <conditionalFormatting sqref="E7256">
    <cfRule type="containsText" dxfId="191" priority="1512" operator="containsText" text="Pesquisa de Preços">
      <formula>NOT(ISERROR(SEARCH("Pesquisa de Preços",E7256)))</formula>
    </cfRule>
  </conditionalFormatting>
  <conditionalFormatting sqref="D7259">
    <cfRule type="containsText" dxfId="190" priority="1516" operator="containsText" text="Pesquisa de Preços">
      <formula>NOT(ISERROR(SEARCH("Pesquisa de Preços",D7259)))</formula>
    </cfRule>
  </conditionalFormatting>
  <conditionalFormatting sqref="D7256">
    <cfRule type="containsText" dxfId="189" priority="1515" operator="containsText" text="Pesquisa de Preços">
      <formula>NOT(ISERROR(SEARCH("Pesquisa de Preços",D7256)))</formula>
    </cfRule>
  </conditionalFormatting>
  <conditionalFormatting sqref="E7257 E7259">
    <cfRule type="containsText" dxfId="188" priority="1513" operator="containsText" text="Pesquisa de Preços">
      <formula>NOT(ISERROR(SEARCH("Pesquisa de Preços",E7257)))</formula>
    </cfRule>
  </conditionalFormatting>
  <conditionalFormatting sqref="D7261">
    <cfRule type="containsText" dxfId="187" priority="1508" operator="containsText" text="Pesquisa de Preços">
      <formula>NOT(ISERROR(SEARCH("Pesquisa de Preços",D7261)))</formula>
    </cfRule>
  </conditionalFormatting>
  <conditionalFormatting sqref="E7260">
    <cfRule type="containsText" dxfId="186" priority="1506" operator="containsText" text="Pesquisa de Preços">
      <formula>NOT(ISERROR(SEARCH("Pesquisa de Preços",E7260)))</formula>
    </cfRule>
  </conditionalFormatting>
  <conditionalFormatting sqref="D7263">
    <cfRule type="containsText" dxfId="185" priority="1510" operator="containsText" text="Pesquisa de Preços">
      <formula>NOT(ISERROR(SEARCH("Pesquisa de Preços",D7263)))</formula>
    </cfRule>
  </conditionalFormatting>
  <conditionalFormatting sqref="D7260">
    <cfRule type="containsText" dxfId="184" priority="1509" operator="containsText" text="Pesquisa de Preços">
      <formula>NOT(ISERROR(SEARCH("Pesquisa de Preços",D7260)))</formula>
    </cfRule>
  </conditionalFormatting>
  <conditionalFormatting sqref="E7261 E7263">
    <cfRule type="containsText" dxfId="183" priority="1507" operator="containsText" text="Pesquisa de Preços">
      <formula>NOT(ISERROR(SEARCH("Pesquisa de Preços",E7261)))</formula>
    </cfRule>
  </conditionalFormatting>
  <conditionalFormatting sqref="D7264">
    <cfRule type="containsText" dxfId="182" priority="1504" operator="containsText" text="Pesquisa de Preços">
      <formula>NOT(ISERROR(SEARCH("Pesquisa de Preços",D7264)))</formula>
    </cfRule>
  </conditionalFormatting>
  <conditionalFormatting sqref="D7242">
    <cfRule type="containsText" dxfId="181" priority="1489" operator="containsText" text="Pesquisa de Preços">
      <formula>NOT(ISERROR(SEARCH("Pesquisa de Preços",D7242)))</formula>
    </cfRule>
  </conditionalFormatting>
  <conditionalFormatting sqref="E7241">
    <cfRule type="containsText" dxfId="180" priority="1487" operator="containsText" text="Pesquisa de Preços">
      <formula>NOT(ISERROR(SEARCH("Pesquisa de Preços",E7241)))</formula>
    </cfRule>
  </conditionalFormatting>
  <conditionalFormatting sqref="D7245">
    <cfRule type="containsText" dxfId="179" priority="1491" operator="containsText" text="Pesquisa de Preços">
      <formula>NOT(ISERROR(SEARCH("Pesquisa de Preços",D7245)))</formula>
    </cfRule>
  </conditionalFormatting>
  <conditionalFormatting sqref="D7241">
    <cfRule type="containsText" dxfId="178" priority="1490" operator="containsText" text="Pesquisa de Preços">
      <formula>NOT(ISERROR(SEARCH("Pesquisa de Preços",D7241)))</formula>
    </cfRule>
  </conditionalFormatting>
  <conditionalFormatting sqref="E7242 E7245">
    <cfRule type="containsText" dxfId="177" priority="1488" operator="containsText" text="Pesquisa de Preços">
      <formula>NOT(ISERROR(SEARCH("Pesquisa de Preços",E7242)))</formula>
    </cfRule>
  </conditionalFormatting>
  <conditionalFormatting sqref="D7247">
    <cfRule type="containsText" dxfId="176" priority="1483" operator="containsText" text="Pesquisa de Preços">
      <formula>NOT(ISERROR(SEARCH("Pesquisa de Preços",D7247)))</formula>
    </cfRule>
  </conditionalFormatting>
  <conditionalFormatting sqref="E7246">
    <cfRule type="containsText" dxfId="175" priority="1481" operator="containsText" text="Pesquisa de Preços">
      <formula>NOT(ISERROR(SEARCH("Pesquisa de Preços",E7246)))</formula>
    </cfRule>
  </conditionalFormatting>
  <conditionalFormatting sqref="D7250">
    <cfRule type="containsText" dxfId="174" priority="1485" operator="containsText" text="Pesquisa de Preços">
      <formula>NOT(ISERROR(SEARCH("Pesquisa de Preços",D7250)))</formula>
    </cfRule>
  </conditionalFormatting>
  <conditionalFormatting sqref="D7246">
    <cfRule type="containsText" dxfId="173" priority="1484" operator="containsText" text="Pesquisa de Preços">
      <formula>NOT(ISERROR(SEARCH("Pesquisa de Preços",D7246)))</formula>
    </cfRule>
  </conditionalFormatting>
  <conditionalFormatting sqref="E7247 E7250">
    <cfRule type="containsText" dxfId="172" priority="1482" operator="containsText" text="Pesquisa de Preços">
      <formula>NOT(ISERROR(SEARCH("Pesquisa de Preços",E7247)))</formula>
    </cfRule>
  </conditionalFormatting>
  <conditionalFormatting sqref="D7251">
    <cfRule type="containsText" dxfId="171" priority="1479" operator="containsText" text="Pesquisa de Preços">
      <formula>NOT(ISERROR(SEARCH("Pesquisa de Preços",D7251)))</formula>
    </cfRule>
  </conditionalFormatting>
  <conditionalFormatting sqref="E7248:E7249">
    <cfRule type="containsText" dxfId="170" priority="1453" operator="containsText" text="Pesquisa de Preços">
      <formula>NOT(ISERROR(SEARCH("Pesquisa de Preços",E7248)))</formula>
    </cfRule>
  </conditionalFormatting>
  <conditionalFormatting sqref="E7253:E7254">
    <cfRule type="containsText" dxfId="169" priority="1452" operator="containsText" text="Pesquisa de Preços">
      <formula>NOT(ISERROR(SEARCH("Pesquisa de Preços",E7253)))</formula>
    </cfRule>
  </conditionalFormatting>
  <conditionalFormatting sqref="D7323">
    <cfRule type="containsText" dxfId="168" priority="1447" operator="containsText" text="Pesquisa de Preços">
      <formula>NOT(ISERROR(SEARCH("Pesquisa de Preços",D7323)))</formula>
    </cfRule>
  </conditionalFormatting>
  <conditionalFormatting sqref="E7326">
    <cfRule type="containsText" dxfId="167" priority="1444" operator="containsText" text="Pesquisa de Preços">
      <formula>NOT(ISERROR(SEARCH("Pesquisa de Preços",E7326)))</formula>
    </cfRule>
  </conditionalFormatting>
  <conditionalFormatting sqref="E7327">
    <cfRule type="containsText" dxfId="166" priority="1443" operator="containsText" text="Pesquisa de Preços">
      <formula>NOT(ISERROR(SEARCH("Pesquisa de Preços",E7327)))</formula>
    </cfRule>
  </conditionalFormatting>
  <conditionalFormatting sqref="D7316">
    <cfRule type="containsText" dxfId="165" priority="1433" operator="containsText" text="Pesquisa de Preços">
      <formula>NOT(ISERROR(SEARCH("Pesquisa de Preços",D7316)))</formula>
    </cfRule>
  </conditionalFormatting>
  <conditionalFormatting sqref="E7319">
    <cfRule type="containsText" dxfId="164" priority="1430" operator="containsText" text="Pesquisa de Preços">
      <formula>NOT(ISERROR(SEARCH("Pesquisa de Preços",E7319)))</formula>
    </cfRule>
  </conditionalFormatting>
  <conditionalFormatting sqref="E7320">
    <cfRule type="containsText" dxfId="163" priority="1429" operator="containsText" text="Pesquisa de Preços">
      <formula>NOT(ISERROR(SEARCH("Pesquisa de Preços",E7320)))</formula>
    </cfRule>
  </conditionalFormatting>
  <conditionalFormatting sqref="E7321">
    <cfRule type="containsText" dxfId="162" priority="1428" operator="containsText" text="Pesquisa de Preços">
      <formula>NOT(ISERROR(SEARCH("Pesquisa de Preços",E7321)))</formula>
    </cfRule>
  </conditionalFormatting>
  <conditionalFormatting sqref="D7329">
    <cfRule type="containsText" dxfId="161" priority="1419" operator="containsText" text="Pesquisa de Preços">
      <formula>NOT(ISERROR(SEARCH("Pesquisa de Preços",D7329)))</formula>
    </cfRule>
  </conditionalFormatting>
  <conditionalFormatting sqref="E7332">
    <cfRule type="containsText" dxfId="160" priority="1416" operator="containsText" text="Pesquisa de Preços">
      <formula>NOT(ISERROR(SEARCH("Pesquisa de Preços",E7332)))</formula>
    </cfRule>
  </conditionalFormatting>
  <conditionalFormatting sqref="E7333">
    <cfRule type="containsText" dxfId="159" priority="1415" operator="containsText" text="Pesquisa de Preços">
      <formula>NOT(ISERROR(SEARCH("Pesquisa de Preços",E7333)))</formula>
    </cfRule>
  </conditionalFormatting>
  <conditionalFormatting sqref="E7334">
    <cfRule type="containsText" dxfId="158" priority="1406" operator="containsText" text="Pesquisa de Preços">
      <formula>NOT(ISERROR(SEARCH("Pesquisa de Preços",E7334)))</formula>
    </cfRule>
  </conditionalFormatting>
  <conditionalFormatting sqref="E7340">
    <cfRule type="containsText" dxfId="157" priority="1391" operator="containsText" text="Pesquisa de Preços">
      <formula>NOT(ISERROR(SEARCH("Pesquisa de Preços",E7340)))</formula>
    </cfRule>
  </conditionalFormatting>
  <conditionalFormatting sqref="E7353">
    <cfRule type="containsText" dxfId="156" priority="1345" operator="containsText" text="Pesquisa de Preços">
      <formula>NOT(ISERROR(SEARCH("Pesquisa de Preços",E7353)))</formula>
    </cfRule>
  </conditionalFormatting>
  <conditionalFormatting sqref="E7335">
    <cfRule type="containsText" dxfId="155" priority="1399" operator="containsText" text="Pesquisa de Preços">
      <formula>NOT(ISERROR(SEARCH("Pesquisa de Preços",E7335)))</formula>
    </cfRule>
  </conditionalFormatting>
  <conditionalFormatting sqref="D7337">
    <cfRule type="containsText" dxfId="154" priority="1394" operator="containsText" text="Pesquisa de Preços">
      <formula>NOT(ISERROR(SEARCH("Pesquisa de Preços",D7337)))</formula>
    </cfRule>
  </conditionalFormatting>
  <conditionalFormatting sqref="E7341">
    <cfRule type="containsText" dxfId="153" priority="1390" operator="containsText" text="Pesquisa de Preços">
      <formula>NOT(ISERROR(SEARCH("Pesquisa de Preços",E7341)))</formula>
    </cfRule>
  </conditionalFormatting>
  <conditionalFormatting sqref="E7342">
    <cfRule type="containsText" dxfId="152" priority="1381" operator="containsText" text="Pesquisa de Preços">
      <formula>NOT(ISERROR(SEARCH("Pesquisa de Preços",E7342)))</formula>
    </cfRule>
  </conditionalFormatting>
  <conditionalFormatting sqref="E7349">
    <cfRule type="containsText" dxfId="151" priority="1366" operator="containsText" text="Pesquisa de Preços">
      <formula>NOT(ISERROR(SEARCH("Pesquisa de Preços",E7349)))</formula>
    </cfRule>
  </conditionalFormatting>
  <conditionalFormatting sqref="E7343">
    <cfRule type="containsText" dxfId="150" priority="1375" operator="containsText" text="Pesquisa de Preços">
      <formula>NOT(ISERROR(SEARCH("Pesquisa de Preços",E7343)))</formula>
    </cfRule>
  </conditionalFormatting>
  <conditionalFormatting sqref="D7345">
    <cfRule type="containsText" dxfId="149" priority="1370" operator="containsText" text="Pesquisa de Preços">
      <formula>NOT(ISERROR(SEARCH("Pesquisa de Preços",D7345)))</formula>
    </cfRule>
  </conditionalFormatting>
  <conditionalFormatting sqref="E7348">
    <cfRule type="containsText" dxfId="148" priority="1367" operator="containsText" text="Pesquisa de Preços">
      <formula>NOT(ISERROR(SEARCH("Pesquisa de Preços",E7348)))</formula>
    </cfRule>
  </conditionalFormatting>
  <conditionalFormatting sqref="E7347">
    <cfRule type="containsText" dxfId="147" priority="1361" operator="containsText" text="Pesquisa de Preços">
      <formula>NOT(ISERROR(SEARCH("Pesquisa de Preços",E7347)))</formula>
    </cfRule>
  </conditionalFormatting>
  <conditionalFormatting sqref="D7351">
    <cfRule type="containsText" dxfId="146" priority="1357" operator="containsText" text="Pesquisa de Preços">
      <formula>NOT(ISERROR(SEARCH("Pesquisa de Preços",D7351)))</formula>
    </cfRule>
  </conditionalFormatting>
  <conditionalFormatting sqref="E7354">
    <cfRule type="containsText" dxfId="145" priority="1354" operator="containsText" text="Pesquisa de Preços">
      <formula>NOT(ISERROR(SEARCH("Pesquisa de Preços",E7354)))</formula>
    </cfRule>
  </conditionalFormatting>
  <conditionalFormatting sqref="E7353">
    <cfRule type="containsText" dxfId="144" priority="1348" operator="containsText" text="Pesquisa de Preços">
      <formula>NOT(ISERROR(SEARCH("Pesquisa de Preços",E7353)))</formula>
    </cfRule>
  </conditionalFormatting>
  <conditionalFormatting sqref="E7354">
    <cfRule type="containsText" dxfId="143" priority="1344" operator="containsText" text="Pesquisa de Preços">
      <formula>NOT(ISERROR(SEARCH("Pesquisa de Preços",E7354)))</formula>
    </cfRule>
  </conditionalFormatting>
  <conditionalFormatting sqref="E7358">
    <cfRule type="containsText" dxfId="142" priority="1330" operator="containsText" text="Pesquisa de Preços">
      <formula>NOT(ISERROR(SEARCH("Pesquisa de Preços",E7358)))</formula>
    </cfRule>
  </conditionalFormatting>
  <conditionalFormatting sqref="D7356">
    <cfRule type="containsText" dxfId="141" priority="1340" operator="containsText" text="Pesquisa de Preços">
      <formula>NOT(ISERROR(SEARCH("Pesquisa de Preços",D7356)))</formula>
    </cfRule>
  </conditionalFormatting>
  <conditionalFormatting sqref="E7359">
    <cfRule type="containsText" dxfId="140" priority="1338" operator="containsText" text="Pesquisa de Preços">
      <formula>NOT(ISERROR(SEARCH("Pesquisa de Preços",E7359)))</formula>
    </cfRule>
  </conditionalFormatting>
  <conditionalFormatting sqref="E7358">
    <cfRule type="containsText" dxfId="139" priority="1333" operator="containsText" text="Pesquisa de Preços">
      <formula>NOT(ISERROR(SEARCH("Pesquisa de Preços",E7358)))</formula>
    </cfRule>
  </conditionalFormatting>
  <conditionalFormatting sqref="E7359">
    <cfRule type="containsText" dxfId="138" priority="1329" operator="containsText" text="Pesquisa de Preços">
      <formula>NOT(ISERROR(SEARCH("Pesquisa de Preços",E7359)))</formula>
    </cfRule>
  </conditionalFormatting>
  <conditionalFormatting sqref="D7361">
    <cfRule type="containsText" dxfId="137" priority="1327" operator="containsText" text="Pesquisa de Preços">
      <formula>NOT(ISERROR(SEARCH("Pesquisa de Preços",D7361)))</formula>
    </cfRule>
  </conditionalFormatting>
  <conditionalFormatting sqref="D7367 D7362">
    <cfRule type="containsText" dxfId="136" priority="1325" operator="containsText" text="Pesquisa de Preços">
      <formula>NOT(ISERROR(SEARCH("Pesquisa de Preços",D7362)))</formula>
    </cfRule>
  </conditionalFormatting>
  <conditionalFormatting sqref="D7365">
    <cfRule type="containsText" dxfId="135" priority="1324" operator="containsText" text="Pesquisa de Preços">
      <formula>NOT(ISERROR(SEARCH("Pesquisa de Preços",D7365)))</formula>
    </cfRule>
  </conditionalFormatting>
  <conditionalFormatting sqref="E7362 E7367">
    <cfRule type="containsText" dxfId="134" priority="1323" operator="containsText" text="Pesquisa de Preços">
      <formula>NOT(ISERROR(SEARCH("Pesquisa de Preços",E7362)))</formula>
    </cfRule>
  </conditionalFormatting>
  <conditionalFormatting sqref="E7361">
    <cfRule type="containsText" dxfId="133" priority="1322" operator="containsText" text="Pesquisa de Preços">
      <formula>NOT(ISERROR(SEARCH("Pesquisa de Preços",E7361)))</formula>
    </cfRule>
  </conditionalFormatting>
  <conditionalFormatting sqref="D6480">
    <cfRule type="containsText" dxfId="132" priority="1318" operator="containsText" text="Pesquisa de Preços">
      <formula>NOT(ISERROR(SEARCH("Pesquisa de Preços",D6480)))</formula>
    </cfRule>
  </conditionalFormatting>
  <conditionalFormatting sqref="D6487">
    <cfRule type="containsText" dxfId="131" priority="1312" operator="containsText" text="Pesquisa de Preços">
      <formula>NOT(ISERROR(SEARCH("Pesquisa de Preços",D6487)))</formula>
    </cfRule>
  </conditionalFormatting>
  <conditionalFormatting sqref="D7368">
    <cfRule type="containsText" dxfId="130" priority="1306" operator="containsText" text="Pesquisa de Preços">
      <formula>NOT(ISERROR(SEARCH("Pesquisa de Preços",D7368)))</formula>
    </cfRule>
  </conditionalFormatting>
  <conditionalFormatting sqref="D7375">
    <cfRule type="containsText" dxfId="129" priority="1300" operator="containsText" text="Pesquisa de Preços">
      <formula>NOT(ISERROR(SEARCH("Pesquisa de Preços",D7375)))</formula>
    </cfRule>
  </conditionalFormatting>
  <conditionalFormatting sqref="D7383">
    <cfRule type="containsText" dxfId="128" priority="1288" operator="containsText" text="Pesquisa de Preços">
      <formula>NOT(ISERROR(SEARCH("Pesquisa de Preços",D7383)))</formula>
    </cfRule>
  </conditionalFormatting>
  <conditionalFormatting sqref="E7386">
    <cfRule type="containsText" dxfId="127" priority="1285" operator="containsText" text="Pesquisa de Preços">
      <formula>NOT(ISERROR(SEARCH("Pesquisa de Preços",E7386)))</formula>
    </cfRule>
  </conditionalFormatting>
  <conditionalFormatting sqref="E7387">
    <cfRule type="containsText" dxfId="126" priority="1284" operator="containsText" text="Pesquisa de Preços">
      <formula>NOT(ISERROR(SEARCH("Pesquisa de Preços",E7387)))</formula>
    </cfRule>
  </conditionalFormatting>
  <conditionalFormatting sqref="D7389">
    <cfRule type="containsText" dxfId="125" priority="1232" operator="containsText" text="Pesquisa de Preços">
      <formula>NOT(ISERROR(SEARCH("Pesquisa de Preços",D7389)))</formula>
    </cfRule>
  </conditionalFormatting>
  <conditionalFormatting sqref="D7395 D7390">
    <cfRule type="containsText" dxfId="124" priority="1230" operator="containsText" text="Pesquisa de Preços">
      <formula>NOT(ISERROR(SEARCH("Pesquisa de Preços",D7390)))</formula>
    </cfRule>
  </conditionalFormatting>
  <conditionalFormatting sqref="E7390 E7395">
    <cfRule type="containsText" dxfId="123" priority="1228" operator="containsText" text="Pesquisa de Preços">
      <formula>NOT(ISERROR(SEARCH("Pesquisa de Preços",E7390)))</formula>
    </cfRule>
  </conditionalFormatting>
  <conditionalFormatting sqref="E7389">
    <cfRule type="containsText" dxfId="122" priority="1227" operator="containsText" text="Pesquisa de Preços">
      <formula>NOT(ISERROR(SEARCH("Pesquisa de Preços",E7389)))</formula>
    </cfRule>
  </conditionalFormatting>
  <conditionalFormatting sqref="D7425">
    <cfRule type="containsText" dxfId="121" priority="1223" operator="containsText" text="Pesquisa de Preços">
      <formula>NOT(ISERROR(SEARCH("Pesquisa de Preços",D7425)))</formula>
    </cfRule>
  </conditionalFormatting>
  <conditionalFormatting sqref="D7439">
    <cfRule type="containsText" dxfId="120" priority="1196" operator="containsText" text="Pesquisa de Preços">
      <formula>NOT(ISERROR(SEARCH("Pesquisa de Preços",D7439)))</formula>
    </cfRule>
  </conditionalFormatting>
  <conditionalFormatting sqref="D7420">
    <cfRule type="containsText" dxfId="119" priority="1164" operator="containsText" text="Pesquisa de Preços">
      <formula>NOT(ISERROR(SEARCH("Pesquisa de Preços",D7420)))</formula>
    </cfRule>
  </conditionalFormatting>
  <conditionalFormatting sqref="E7437">
    <cfRule type="containsText" dxfId="118" priority="1151" operator="containsText" text="Pesquisa de Preços">
      <formula>NOT(ISERROR(SEARCH("Pesquisa de Preços",E7437)))</formula>
    </cfRule>
  </conditionalFormatting>
  <conditionalFormatting sqref="D7433">
    <cfRule type="containsText" dxfId="117" priority="1155" operator="containsText" text="Pesquisa de Preços">
      <formula>NOT(ISERROR(SEARCH("Pesquisa de Preços",D7433)))</formula>
    </cfRule>
  </conditionalFormatting>
  <conditionalFormatting sqref="E7436">
    <cfRule type="containsText" dxfId="116" priority="1152" operator="containsText" text="Pesquisa de Preços">
      <formula>NOT(ISERROR(SEARCH("Pesquisa de Preços",E7436)))</formula>
    </cfRule>
  </conditionalFormatting>
  <conditionalFormatting sqref="E7435">
    <cfRule type="containsText" dxfId="115" priority="1148" operator="containsText" text="Pesquisa de Preços">
      <formula>NOT(ISERROR(SEARCH("Pesquisa de Preços",E7435)))</formula>
    </cfRule>
  </conditionalFormatting>
  <conditionalFormatting sqref="D7401">
    <cfRule type="containsText" dxfId="114" priority="1144" operator="containsText" text="Pesquisa de Preços">
      <formula>NOT(ISERROR(SEARCH("Pesquisa de Preços",D7401)))</formula>
    </cfRule>
  </conditionalFormatting>
  <conditionalFormatting sqref="D7397">
    <cfRule type="containsText" dxfId="113" priority="1143" operator="containsText" text="Pesquisa de Preços">
      <formula>NOT(ISERROR(SEARCH("Pesquisa de Preços",D7397)))</formula>
    </cfRule>
  </conditionalFormatting>
  <conditionalFormatting sqref="E7401">
    <cfRule type="containsText" dxfId="112" priority="1142" operator="containsText" text="Pesquisa de Preços">
      <formula>NOT(ISERROR(SEARCH("Pesquisa de Preços",E7401)))</formula>
    </cfRule>
  </conditionalFormatting>
  <conditionalFormatting sqref="E7397">
    <cfRule type="containsText" dxfId="111" priority="1141" operator="containsText" text="Pesquisa de Preços">
      <formula>NOT(ISERROR(SEARCH("Pesquisa de Preços",E7397)))</formula>
    </cfRule>
  </conditionalFormatting>
  <conditionalFormatting sqref="D7402">
    <cfRule type="containsText" dxfId="110" priority="1140" operator="containsText" text="Pesquisa de Preços">
      <formula>NOT(ISERROR(SEARCH("Pesquisa de Preços",D7402)))</formula>
    </cfRule>
  </conditionalFormatting>
  <conditionalFormatting sqref="D7407">
    <cfRule type="containsText" dxfId="109" priority="1139" operator="containsText" text="Pesquisa de Preços">
      <formula>NOT(ISERROR(SEARCH("Pesquisa de Preços",D7407)))</formula>
    </cfRule>
  </conditionalFormatting>
  <conditionalFormatting sqref="D7403">
    <cfRule type="containsText" dxfId="108" priority="1138" operator="containsText" text="Pesquisa de Preços">
      <formula>NOT(ISERROR(SEARCH("Pesquisa de Preços",D7403)))</formula>
    </cfRule>
  </conditionalFormatting>
  <conditionalFormatting sqref="E7407">
    <cfRule type="containsText" dxfId="107" priority="1137" operator="containsText" text="Pesquisa de Preços">
      <formula>NOT(ISERROR(SEARCH("Pesquisa de Preços",E7407)))</formula>
    </cfRule>
  </conditionalFormatting>
  <conditionalFormatting sqref="E7403">
    <cfRule type="containsText" dxfId="106" priority="1136" operator="containsText" text="Pesquisa de Preços">
      <formula>NOT(ISERROR(SEARCH("Pesquisa de Preços",E7403)))</formula>
    </cfRule>
  </conditionalFormatting>
  <conditionalFormatting sqref="D7408">
    <cfRule type="containsText" dxfId="105" priority="1135" operator="containsText" text="Pesquisa de Preços">
      <formula>NOT(ISERROR(SEARCH("Pesquisa de Preços",D7408)))</formula>
    </cfRule>
  </conditionalFormatting>
  <conditionalFormatting sqref="D7413">
    <cfRule type="containsText" dxfId="104" priority="1134" operator="containsText" text="Pesquisa de Preços">
      <formula>NOT(ISERROR(SEARCH("Pesquisa de Preços",D7413)))</formula>
    </cfRule>
  </conditionalFormatting>
  <conditionalFormatting sqref="D7409">
    <cfRule type="containsText" dxfId="103" priority="1133" operator="containsText" text="Pesquisa de Preços">
      <formula>NOT(ISERROR(SEARCH("Pesquisa de Preços",D7409)))</formula>
    </cfRule>
  </conditionalFormatting>
  <conditionalFormatting sqref="E7413">
    <cfRule type="containsText" dxfId="102" priority="1132" operator="containsText" text="Pesquisa de Preços">
      <formula>NOT(ISERROR(SEARCH("Pesquisa de Preços",E7413)))</formula>
    </cfRule>
  </conditionalFormatting>
  <conditionalFormatting sqref="E7409">
    <cfRule type="containsText" dxfId="101" priority="1131" operator="containsText" text="Pesquisa de Preços">
      <formula>NOT(ISERROR(SEARCH("Pesquisa de Preços",E7409)))</formula>
    </cfRule>
  </conditionalFormatting>
  <conditionalFormatting sqref="D7414">
    <cfRule type="containsText" dxfId="100" priority="1128" operator="containsText" text="Pesquisa de Preços">
      <formula>NOT(ISERROR(SEARCH("Pesquisa de Preços",D7414)))</formula>
    </cfRule>
  </conditionalFormatting>
  <conditionalFormatting sqref="D7419">
    <cfRule type="containsText" dxfId="99" priority="1127" operator="containsText" text="Pesquisa de Preços">
      <formula>NOT(ISERROR(SEARCH("Pesquisa de Preços",D7419)))</formula>
    </cfRule>
  </conditionalFormatting>
  <conditionalFormatting sqref="D7415">
    <cfRule type="containsText" dxfId="98" priority="1126" operator="containsText" text="Pesquisa de Preços">
      <formula>NOT(ISERROR(SEARCH("Pesquisa de Preços",D7415)))</formula>
    </cfRule>
  </conditionalFormatting>
  <conditionalFormatting sqref="E7419">
    <cfRule type="containsText" dxfId="97" priority="1125" operator="containsText" text="Pesquisa de Preços">
      <formula>NOT(ISERROR(SEARCH("Pesquisa de Preços",E7419)))</formula>
    </cfRule>
  </conditionalFormatting>
  <conditionalFormatting sqref="E7415">
    <cfRule type="containsText" dxfId="96" priority="1124" operator="containsText" text="Pesquisa de Preços">
      <formula>NOT(ISERROR(SEARCH("Pesquisa de Preços",E7415)))</formula>
    </cfRule>
  </conditionalFormatting>
  <conditionalFormatting sqref="D7396">
    <cfRule type="containsText" dxfId="95" priority="1117" operator="containsText" text="Pesquisa de Preços">
      <formula>NOT(ISERROR(SEARCH("Pesquisa de Preços",D7396)))</formula>
    </cfRule>
  </conditionalFormatting>
  <conditionalFormatting sqref="D7393">
    <cfRule type="containsText" dxfId="94" priority="1114" operator="containsText" text="Pesquisa de Preços">
      <formula>NOT(ISERROR(SEARCH("Pesquisa de Preços",D7393)))</formula>
    </cfRule>
  </conditionalFormatting>
  <conditionalFormatting sqref="E35:E36">
    <cfRule type="containsText" dxfId="93" priority="1109" operator="containsText" text="Pesquisa de Preços">
      <formula>NOT(ISERROR(SEARCH("Pesquisa de Preços",E35)))</formula>
    </cfRule>
  </conditionalFormatting>
  <conditionalFormatting sqref="D7453">
    <cfRule type="containsText" dxfId="92" priority="1104" operator="containsText" text="Pesquisa de Preços">
      <formula>NOT(ISERROR(SEARCH("Pesquisa de Preços",D7453)))</formula>
    </cfRule>
  </conditionalFormatting>
  <conditionalFormatting sqref="E7456">
    <cfRule type="containsText" dxfId="91" priority="1101" operator="containsText" text="Pesquisa de Preços">
      <formula>NOT(ISERROR(SEARCH("Pesquisa de Preços",E7456)))</formula>
    </cfRule>
  </conditionalFormatting>
  <conditionalFormatting sqref="E7457">
    <cfRule type="containsText" dxfId="90" priority="1100" operator="containsText" text="Pesquisa de Preços">
      <formula>NOT(ISERROR(SEARCH("Pesquisa de Preços",E7457)))</formula>
    </cfRule>
  </conditionalFormatting>
  <conditionalFormatting sqref="E7458">
    <cfRule type="containsText" dxfId="89" priority="1099" operator="containsText" text="Pesquisa de Preços">
      <formula>NOT(ISERROR(SEARCH("Pesquisa de Preços",E7458)))</formula>
    </cfRule>
  </conditionalFormatting>
  <conditionalFormatting sqref="D7460">
    <cfRule type="containsText" dxfId="88" priority="1092" operator="containsText" text="Pesquisa de Preços">
      <formula>NOT(ISERROR(SEARCH("Pesquisa de Preços",D7460)))</formula>
    </cfRule>
  </conditionalFormatting>
  <conditionalFormatting sqref="E7463">
    <cfRule type="containsText" dxfId="87" priority="1089" operator="containsText" text="Pesquisa de Preços">
      <formula>NOT(ISERROR(SEARCH("Pesquisa de Preços",E7463)))</formula>
    </cfRule>
  </conditionalFormatting>
  <conditionalFormatting sqref="E7464">
    <cfRule type="containsText" dxfId="86" priority="1088" operator="containsText" text="Pesquisa de Preços">
      <formula>NOT(ISERROR(SEARCH("Pesquisa de Preços",E7464)))</formula>
    </cfRule>
  </conditionalFormatting>
  <conditionalFormatting sqref="E7465">
    <cfRule type="containsText" dxfId="85" priority="1087" operator="containsText" text="Pesquisa de Preços">
      <formula>NOT(ISERROR(SEARCH("Pesquisa de Preços",E7465)))</formula>
    </cfRule>
  </conditionalFormatting>
  <conditionalFormatting sqref="D7446">
    <cfRule type="containsText" dxfId="84" priority="1081" operator="containsText" text="Pesquisa de Preços">
      <formula>NOT(ISERROR(SEARCH("Pesquisa de Preços",D7446)))</formula>
    </cfRule>
  </conditionalFormatting>
  <conditionalFormatting sqref="D7547">
    <cfRule type="containsText" dxfId="83" priority="1057" operator="containsText" text="Pesquisa de Preços">
      <formula>NOT(ISERROR(SEARCH("Pesquisa de Preços",D7547)))</formula>
    </cfRule>
  </conditionalFormatting>
  <conditionalFormatting sqref="D7467">
    <cfRule type="containsText" dxfId="82" priority="866" operator="containsText" text="Pesquisa de Preços">
      <formula>NOT(ISERROR(SEARCH("Pesquisa de Preços",D7467)))</formula>
    </cfRule>
  </conditionalFormatting>
  <conditionalFormatting sqref="D7475">
    <cfRule type="containsText" dxfId="81" priority="865" operator="containsText" text="Pesquisa de Preços">
      <formula>NOT(ISERROR(SEARCH("Pesquisa de Preços",D7475)))</formula>
    </cfRule>
  </conditionalFormatting>
  <conditionalFormatting sqref="D7483">
    <cfRule type="containsText" dxfId="80" priority="864" operator="containsText" text="Pesquisa de Preços">
      <formula>NOT(ISERROR(SEARCH("Pesquisa de Preços",D7483)))</formula>
    </cfRule>
  </conditionalFormatting>
  <conditionalFormatting sqref="D7491">
    <cfRule type="containsText" dxfId="79" priority="863" operator="containsText" text="Pesquisa de Preços">
      <formula>NOT(ISERROR(SEARCH("Pesquisa de Preços",D7491)))</formula>
    </cfRule>
  </conditionalFormatting>
  <conditionalFormatting sqref="D7500">
    <cfRule type="containsText" dxfId="78" priority="862" operator="containsText" text="Pesquisa de Preços">
      <formula>NOT(ISERROR(SEARCH("Pesquisa de Preços",D7500)))</formula>
    </cfRule>
  </conditionalFormatting>
  <conditionalFormatting sqref="D7506">
    <cfRule type="containsText" dxfId="77" priority="861" operator="containsText" text="Pesquisa de Preços">
      <formula>NOT(ISERROR(SEARCH("Pesquisa de Preços",D7506)))</formula>
    </cfRule>
  </conditionalFormatting>
  <conditionalFormatting sqref="D7512">
    <cfRule type="containsText" dxfId="76" priority="860" operator="containsText" text="Pesquisa de Preços">
      <formula>NOT(ISERROR(SEARCH("Pesquisa de Preços",D7512)))</formula>
    </cfRule>
  </conditionalFormatting>
  <conditionalFormatting sqref="D7526">
    <cfRule type="containsText" dxfId="75" priority="859" operator="containsText" text="Pesquisa de Preços">
      <formula>NOT(ISERROR(SEARCH("Pesquisa de Preços",D7526)))</formula>
    </cfRule>
  </conditionalFormatting>
  <conditionalFormatting sqref="D7540">
    <cfRule type="containsText" dxfId="74" priority="858" operator="containsText" text="Pesquisa de Preços">
      <formula>NOT(ISERROR(SEARCH("Pesquisa de Preços",D7540)))</formula>
    </cfRule>
  </conditionalFormatting>
  <conditionalFormatting sqref="D7551 D7555 D7559 D7563 D7567 D7571 D7575 D7579 D7583 D7587 D7591 D7595 D7599 D7603 D7607 D7611 D7615 D7619 D7623 D7627 D7631 D7635 D7639 D7643 D7647 D7651 D7655 D7659 D7663 D7667 D7671 D7675 D7679 D7683 D7687 D7691 D7695 D7699 D7703 D7707 D7711 D7715 D7719 D7723 D7727 D7731 D7735 D7739 D7743 D7747 D7751 D7755 D7759 D7763 D7767 D7771 D7775 D7779 D7783 D7787 D7791 D7795 D7799 D7803 D7807 D7811 D7815 D7819 D7823 D7827 D7831 D7835 D7839 D7843 D7847 D7851 D7855 D7859 D7863 D7867 D7871 D7875 D7879 D7883 D7887 D7891 D7895 D7899 D7903 D7907 D7911 D7915 D7919 D7923 D7927 D7931 D7935 D7939 D7943 D7947 D7951 D7955 D7959 D7963 D7967 D7971 D7975 D7979 D7983 D7987 D7991 D7995 D7999 D8003 D8007 D8011 D8015 D8019 D8023 D8027 D8031 D8035 D8039 D8043 D8047 D8051 D8055 D8059 D8063 D8067 D8071 D8075 D8079 D8083 D8087 D8091 D8095 D8099 D8103 D8107 D8111 D8115 D8119 D8123 D8127 D8131 D8135 D8139 D8143 D8147 D8151 D8155 D8159 D8163 D8167 D8171 D8175">
    <cfRule type="containsText" dxfId="73" priority="93" operator="containsText" text="Pesquisa de Preços">
      <formula>NOT(ISERROR(SEARCH("Pesquisa de Preços",D7551)))</formula>
    </cfRule>
  </conditionalFormatting>
  <conditionalFormatting sqref="D8179">
    <cfRule type="containsText" dxfId="72" priority="85" operator="containsText" text="Pesquisa de Preços">
      <formula>NOT(ISERROR(SEARCH("Pesquisa de Preços",D8179)))</formula>
    </cfRule>
  </conditionalFormatting>
  <conditionalFormatting sqref="D8181:D8187 D8177 D8173 D8169 D8165 D8161 D8157 D8153 D8149 D8145 D8141 D8137 D8133 D8129 D8125 D8121 D8117 D8113 D8109 D8105 D8101 D8097 D8093 D8089 D8085 D8081 D8077 D8073 D8069 D8065 D8061 D8057 D8053 D8049 D8045 D8041 D8037 D8033 D8029 D8025 D8021 D8017 D8013 D8009 D8005 D8001 D7997 D7993 D7989 D7985 D7981 D7977 D7973 D7969 D7965 D7961 D7957 D7953 D7949 D7945 D7937 D7933 D7929 D7925 D7921 D7917 D7913 D7909 D7905 D7901 D7897 D7889 D7885 D7881 D7877 D7873 D7869 D7865 D7861 D7853 D7849 D7841 D7837 D7833 D7829 D7825 D7821 D7817 D7813 D7809 D7801 D7797 D7793 D7789 D7785 D7781 D7777 D7773 D7769 D7765 D7761 D7757 D7753 D7749 D7745 D7741 D7737 D7733 D7729 D7725 D7721 D7717 D7713 D7709 D7705 D7701 D7697 D7693 D7689 D7685 D7681 D7677 D7673 D7669 D7665 D7661 D7657 D7653 D7649 D7645 D7641 D7637 D7633 D7629 D7625 D7621 D7617 D7613 D7609 D7605 D7601 D7597 D7593 D7589 D7585 D7581 D7577 D7573 D7569 D7565 D7561 D7557 D7553 D7549 D7544:D7545 D7528:D7532 D7514:D7518 D7508:D7509 D7502:D7503 D7493:D7494 D7486:D7489 D7478:D7481 D7470:D7473 D7462:D7465 D7455:D7458 D7450:D7451 D7441:D7444 D7436:D7437 D7427:D7431 D7422:D7423 D7417:D7418 D7411:D7412 D7405:D7406 D7399:D7400 D7394 D7391:D7392 D7385:D7387 D7377:D7381 D7372:D7373 D7366 D7363:D7364 D7358:D7359 D7353:D7354 D7348:D7349 D7339:D7343 D7331:D7335 D7325:D7327 D7318:D7321 D7314 D7310 D7290 D7286 D7282 D7278 D7270 D7266 D7262 D7258 D7236:D7239 D7231:D7232 D7224:D7225 D7220 D7216 D7212 D7208 D7202 D7196 D7190 D7184 D7178 D7172 D7166 D7160 D7154 D7148 D7144 D7140 D7136 D7128 D7124 D7120 D7116 D7112 D7108 D7104 D7100 D7096 D7092 D7088 D7084 D7080 D7076 D7072 D7068 D7064 D7060 D7056 D7052 D7048 D7044 D7040 D7036 D7032 D7028 D7024 D7020 D7016 D7012 D7008 D7004 D7000 D6996 D6992 D6988 D6984 D6980 D6976 D6972 D6968 D6964 D6960 D6952 D6948 D6944 D6940 D6936 D6932 D6928 D6924 D6920 D6916 D6912 D6908 D6904 D6900 D6896 D6892 D6888 D6884 D6880 D6876 D6872 D6868 D6864 D6860 D6856 D6852 D6848 D6844 D6840 D6836 D6832 D6828 D6824 D6820 D6816 D6808 D6800 D6796 D6792 D6788 D6784 D6780 D6776 D6772 D6768 D6764 D6760 D6756 D6752 D6748 D6744 D6740 D6736 D6732 D6728 D6724 D6720 D6716 D6712 D6708 D6704 D6700 D6696 D6692 D6688 D6684 D6680 D6676 D6672 D6668 D6664 D6660 D6656 D6652 D6648 D6644 D6640 D6636 D6632 D6628 D6624 D6620 D6616 D6612 D6608 D6604 D6600 D6596 D6592 D6588 D6584 D6580 D6576 D6572 D6568 D6564 D6560 D6556 D6552 D6548 D6544 D6540 D6536 D6532 D6528 D6524 D6520 D6516 D6512 D6508 D6504 D6500 D6496 D6491:D6492 D6484:D6485 D6477:D6478 D6470:D6471 D6468 D6461:D6464 D6452:D6457 D6447:D6448 D6440:D6443 D6435:D6436 D6430:D6431 D6425:D6426 D6421 D6417 D6412:D6413 D6408 D6401:D6404 D6396:D6397 D6389:D6391 D6374:D6381 D6359:D6367 D6354:D6355 D6345:D6350 D6339:D6340 D6322:D6323 D6311:D6320 D6300:D6306 D6291:D6296 D6283:D6287 D6275:D6278 D6264:D6268 D6255:D6260 D6250:D6251 D6243:D6245 D6236:D6237 D6230:D6232 D6223:D6226 D6215:D6219 D6206:D6209 D6198:D6199 D6193:D6194 D6188:D6189 D6181:D6184 D6174:D6176 D6170:D6171 D6163:D6165 D6159:D6160 D6155 D6151 D6147 D6139:D6140 D6135 D6131 D6127 D6123 D6119 D6115 D6111 D6107 D6103 D6099 D6095 D6091 D6087 D6079 D6071 D6067 D6063 D6059 D6055 D6051 D6047 D6043 D6039 D6003 D5999 D5995 D5991 D5987 D5983 D5979 D5975 D5971 D5967 D5963 D5959 D5955 D5951 D5947 D5943 D5939 D5935 D5931 D5927 D5923 D5919 D5915 D5911 D5907 D5903 D5899 D5895 D5891 D5887 D5883 D5879 D5875 D5871 D5867 D5863 D5859 D5855 D5851 D5847 D5843 D5839 D5835 D5831 D5827 D5823 D5819 D5815 D5811 D5807 D5803 D5799 D5795 D5791 D5787 D5783 D5779 D5775 D5771 D5767 D5763 D5759 D5755 D5751 D5715 D5711 D5707 D5703 D5699 D5695 D5691 D5687 D5683 D5679 D5675 D5671 D5667 D5663 D5659 D5655 D5651 D5647 D5643 D5639 D5635 D5631 D5627 D5623 D5619 D5613 D5607 D5601 D5595 D5589 D5583 D5577 D5571 D5565 D5559 D5553 D5547 D5541 D5535 D5529 D5523 D5517 D5511 D5505 D5499 D5495 D5490:D5491 D5488 D5484 D5478:D5479 D5473:D5474 D5466:D5468 D5459:D5460 D5454:D5455 D5448:D5449 D5439:D5440 D5435:D5437 D5427:D5428 D5425 D5418:D5421 D5410:D5414 D5402:D5406 D5397:D5398 D5388:D5389 D5382:D5383 D5375:D5376 D5370:D5371 D5364:D5365 D5356:D5358 D5349:D5351 D5342:D5345 D5337:D5338 D5331:D5332 D5325:D5326 D5319:D5320 D5313:D5314 D5306:D5308 D5300:D5302 D5293:D5295 D5287:D5289 D5279:D5282 D5271:D5272 D5267:D5269 D5260:D5262 D5255:D5256 D5249:D5250 D5243:D5244 D5241 D5234:D5237 D5219:D5225 D5204:D5210 D5198:D5200 D5196 D5190:D5192 D5188 D5182:D5184 D5180 D5175:D5176 D5168:D5170 D5166 D5161:D5162 D5154:D5156 D5152 D5146:D5148 D5144 D5138:D5140 D5136 D5130:D5132 D5128 D5122:D5123 D5116 D5111:D5114 D5104:D5107 D5097:D5100 D5091:D5093 D5086:D5087 D5080:D5081 D5074:D5075 D5065:D5069 D5059:D5061 D5051:D5053 D5043:D5047 D5037:D5039 D5031:D5033 D5027 D5021:D5023 D5014:D5017 D5008:D5009 D5001:D5004 D4995:D4997 D4989:D4991 D4983:D4985 D4977:D4979 D4972:D4973 D4967:D4968 D4965 D4960:D4961 D4958 D4951:D4954 D4946:D4947 D4939 D4934:D4935 D4932 D4927:D4928 D4925 D4920:D4921 D4918 D4913:D4914 D4911 D4905:D4907 D4896:D4900 D4887:D4891 D4877:D4878 D4869:D4870 D4861:D4862 D4853:D4854 D4845:D4846 D4837:D4838 D4829:D4830 D4821:D4822 D4816 D4811 D4806 D4796:D4802 D4786:D4792 D4781:D4782 D4774:D4776 D4770:D4771 D4766 D4762 D4758 D4754 D4750 D4746 D4742 D4738 D4734 D4726 D4720 D4708:D4709 D4704:D4706 D4695:D4700 D4688 D4681:D4683 D4671:D4672 D4665:D4667 D4663 D4655:D4659 D4649:D4651 D4641:D4642 D4629:D4633 D4623:D4624 D4615:D4616 D4606:D4611 D4598:D4602 D4585:D4590 D4579:D4583 D4567:D4575 D4555:D4563 D4551 D4549 D4545 D4538:D4540 D4536 D4528:D4531 D4523:D4524 D4518:D4519 D4512:D4513 D4507:D4508 D4504:D4505 D4496:D4498 D4476:D4490 D4470 D4464:D4465 D4458:D4462 D4452:D4454 D4446:D4450 D4438:D4439 D4428:D4434 D4418:D4424 D4408:D4414 D4400:D4401 D4392:D4393 D4382:D4383 D4375:D4378 D4373 D4365:D4369 D4357:D4360 D4355 D4346:D4351 D4335:D4342 D4328 D4316:D4320 D4301:D4314 D4285:D4293 D4281 D4276 D4268:D4272 D4264 D4258:D4259 D4247:D4252 D4239:D4243 D4231:D4233 D4225:D4227 D4215:D4221 D4210:D4211 D4204:D4205 D4198:D4199 D4190:D4193 D4183:D4186 D4168:D4169 D4161 D4157:D4159 D4151:D4153 D4145 D4137:D4141 D4129:D4132 D4121:D4124 D4114:D4116 D4110 D4104 D4097:D4100 D4091:D4093 D4085:D4087 D4076:D4081 D4067:D4072 D4058:D4063 D4049:D4054 D4040:D4045 D4031:D4036 D4027 D4023 D4018 D4005:D4014 D3992:D3997 D3985:D3988 D3979:D3980 D3977 D3969:D3973 D3967 D3959:D3963 D3954:D3955 D3944:D3946 D3938:D3939 D3932:D3933 D3925:D3927 D3907:D3919 D3902:D3903 D3900 D3885:D3895 D3873:D3877 D3865:D3869 D3856:D3861 D3849:D3852 D3846:D3847 D3839:D3840 D3835:D3836 D3830 D3824 D3818 D3812 D3806 D3800 D3794 D3788 D3782 D3776 D3770 D3766 D3762 D3758 D3751:D3754 D3743:D3744 D3737:D3738 D3727:D3732 D3723 D3712:D3713 D3699:D3704 D3687:D3690 D3679:D3681 D3664:D3671 D3658:D3660 D3654 D3646:D3650 D3641:D3642 D3636:D3637 D3626:D3632 D3620:D3621 D3613:D3616 D3607:D3609 D3603 D3599:D3600 D3594:D3595 D3590 D3587 D3580:D3583 D3573:D3574 D3567:D3568 D3551:D3556 D3544:D3547 D3535:D3536 D3526:D3527 D3509:D3514 D3501:D3504 D3484:D3489 D3476:D3479 D3464:D3465 D3453:D3454 D3443:D3444 D3439 D3435 D3430:D3431 D3425:D3426 D3420:D3421 D3415:D3416 D3413 D3408:D3409 D3406 D3399:D3402 D3395 D3391 D3386:D3387 D3382 D3378 D3373:D3374 D3371 D3366:D3367 D3364 D3358:D3360 D3352:D3353 D3343:D3346 D3337:D3338 D3331:D3332 D3325:D3327 D3318:D3320 D3311:D3313 D3304:D3306 D3297:D3299 D3290:D3292 D3283:D3285 D3276:D3278 D3269:D3271 D3262:D3264 D3257 D3246:D3251 D3240:D3242 D3234:D3236 D3228:D3230 D3215:D3220 D3208:D3210 D3204 D3199:D3200 D3191:D3194 D3183:D3186 D3174:D3176 D3169:D3170 D3164:D3165 D3158:D3159 D3152:D3154 D3146:D3148 D3140:D3142 D3134 D3129 D3124 D3119 D3114 D3109 D3104 D3099 D3094 D3089 D3081:D3084 D3076 D3068:D3071 D3064 D3056:D3057 D3051 D3043:D3044 D3038 D3033 D3028 D3023 D3018 D3013 D3008 D3003 D2998 D2988:D2994 D2983 D2978 D2973 D2968 D2963 D2958 D2953 D2948 D2943 D2938 D2930:D2931 D2922:D2923 D2914:D2915 D2906:D2907 D2898:D2899 D2893 D2888 D2883 D2876:D2877 D2871 D2866 D2861 D2856 D2851 D2846 D2841 D2836 D2829 D2824 D2819 D2814 D2804:D2810 D2799:D2800 D2794:D2795 D2788:D2790 D2778:D2784 D2773:D2774 D2769 D2765 D2761 D2757 D2753 D2749 D2745 D2741 D2737 D2733 D2729 D2725 D2721 D2717 D2711 D2705 D2699 D2693 D2687 D2681 D2675 D2669 D2663 D2657 D2653 D2649 D2645 D2641 D2637 D2633 D2629 D2625 D2621 D2617 D2613 D2605 D2601 D2597 D2589 D2581 D2573 D2569 D2565 D2561 D2557 D2553 D2549 D2545 D2541 D2537 D2533 D2529 D2525 D2521 D2517 D2513 D2509 D2505 D2501 D2497 D2493 D2489 D2485 D2481 D2477 D2473 D2469 D2465 D2461 D2457 D2453 D2449 D2445 D2441 D2437 D2433 D2429 D2425 D2421 D2417 D2413 D2409 D2405 D2401 D2397 D2391:D2392 D2385:D2387 D2378:D2380 D2371:D2372 D2366:D2367 D2357:D2358 D2352 D2347 D2342:D2343 D2337:D2338 D2331:D2332 D2325:D2326 D2318:D2320 D2311:D2314 D2304:D2307 D2298 D2294:D2296 D2288 D2284:D2286 D2278 D2274:D2276 D2268 D2264:D2266 D2258 D2254:D2256 D2248:D2249 D2242 D2234:D2240 D2228:D2229 D2222:D2224 D2215:D2217 D2208:D2211 D2203:D2204 D2196:D2197 D2188:D2189 D2180:D2181 D2171:D2173 D2163:D2165 D2155:D2157 D2147:D2149 D2139:D2141 D2133:D2135 D2127:D2129 D2121:D2123 D2115:D2117 D2109:D2110 D2102:D2103 D2094:D2095 D2086:D2087 D2078:D2079 D2070:D2071 D2062:D2063 D2054:D2055 D2046:D2047 D2038:D2039 D2030:D2031 D2022:D2023 D2015:D2016 D2008:D2011 D2001:D2004 D1994:D1997 D1987:D1990 D1979:D1981 D1971:D1973 D1967 D1964:D1965 D1960 D1957:D1958 D1951:D1952 D1945:D1946 D1938 D1933 D1928 D1922:D1923 D1917:D1918 D1912:D1913 D1907:D1908 D1901:D1902 D1895:D1896 D1889:D1890 D1883:D1884 D1877:D1878 D1871:D1872 D1865:D1866 D1859:D1860 D1853:D1854 D1847:D1848 D1841:D1842 D1835:D1836 D1830:D1831 D1828 D1822:D1823 D1816:D1817 D1811:D1812 D1806:D1807 D1801:D1802 D1795 D1792:D1793 D1788 D1785:D1786 D1781 D1778:D1779 D1774 D1771:D1772 D1767 D1764:D1765 D1760 D1757:D1758 D1753 D1750:D1751 D1745:D1746 D1734:D1735 D1723:D1724 D1712:D1713 D1698:D1699 D1693:D1694 D1685:D1686 D1678:D1679 D1672:D1673 D1667 D1662 D1657 D1651:D1652 D1645:D1647 D1639:D1641 D1633:D1634 D1628 D1622:D1624 D1616:D1618 D1611 D1604:D1605 D1599:D1600 D1592:D1594 D1586:D1588 D1577 D1572:D1573 D1564:D1567 D1557:D1560 D1550:D1552 D1543:D1545 D1538:D1539 D1532:D1533 D1526:D1527 D1520:D1521 D1514:D1515 D1503 D1498:D1499 D1488 D1483:D1484 D1473 D1468:D1469 D1458 D1453:D1454 D1443 D1438:D1439 D1428 D1423:D1424 D1413 D1408:D1409 D1401:D1404 D1396:D1397 D1389:D1390 D1383:D1385 D1376:D1377 D1370:D1371 D1364:D1365 D1360 D1357:D1358 D1351:D1352 D1347 D1344:D1345 D1339:D1340 D1333:D1334 D1327:D1328 D1321:D1322 D1314:D1315 D1311:D1312 D1304:D1307 D1299 D1296:D1297 D1290:D1292 D1283:D1285 D1276:D1278 D1269:D1270 D1262:D1265 D1255:D1258 D1248:D1251 D1243:D1244 D1237:D1238 D1231:D1232 D1225:D1226 D1217:D1220 D1211:D1213 D1203:D1206 D1197:D1199 D1190:D1192 D1183:D1185 D1176:D1178 D1169:D1171 D1161:D1164 D1154:D1157 D1148:D1150 D1140:D1143 D1135:D1136 D1130:D1131 D1125 D1120 D1112:D1115 D1101:D1105 D1093:D1097 D1085:D1089 D1076:D1079 D1069:D1072 D1063:D1065 D1056:D1058 D1049:D1051 D1040:D1044 D1031:D1035 D1029 D1025 D1015:D1020 D1011 D1006 D994:D1001 D983:D990 D977:D979 D969:D972 D962:D965 D956:D958 D950:D952 D941:D946 D932:D937 D925:D928 D916:D921 D910:D911 D906 D899:D900 D894:D895 D886:D890 D878:D882 D870:D872 D865:D866 D860:D861 D853:D855 D848 D842:D844 D835:D838 D830:D831 D826 D821:D822 D817 D807:D813 D793:D803 D786:D787 D777:D782 D775 D769:D771 D758:D765 D753:D754 D751 D740:D743 D733:D735 D726:D729 D717:D722 D710:D713 D707:D708 D700:D703 D691:D695 D689 D682:D685 D679:D680 D672:D675 D667 D663 D659 D655 D651 D647 D640:D643 D632:D635 D624:D627 D618:D620 D610:D612 D600:D603 D591:D594 D583:D585 D573:D576 D564:D567 D559:D560 D556:D557 D549:D552 D540:D544 D534:D536 D527 D521 D514:D516 D507:D510 D500:D503 D492 D486:D487 D477 D474:D475 D467:D470 D457:D460 D449:D450 D444:D445 D438:D439 D432:D433 D429:D430 D425:D427 D418:D421 D404:D414 D399:D400 D397 D383:D393 D378:D379 D374:D376 D368:D370 D360 D354:D358 D344:D348 D335:D336 D332:D333 D329:D330 D323:D325 D309:D315 D294:D300 D286:D289 D279:D282 D271:D274 D266:D267 D261 D254:D259 D251:D252 D243:D247 D239 D235 D231 D227 D222:D223 D217:D218 D213 D208:D209 D204 D200 D193:D196 D186:D187 D182 D178 D174 D169:D170 D164:D165 D157:D158 D152:D153 D147:D148 D142:D143 D138 D134 D129:D130 D124:D125 D119:D120 D114:D115 D109:D110 D105 D100:D101 D95:D96 D90:D91 D85:D86 D80:D81 D72:D76 D67:D68 D62:D63 D55:D58 D50:D51 D45:D46 D40:D41 D35:D36 D30:D31 D25:D26 D20 D16 D12">
    <cfRule type="containsText" dxfId="71" priority="78" operator="containsText" text="Pesquisa de Preços">
      <formula>NOT(ISERROR(SEARCH("Pesquisa de Preços",D12)))</formula>
    </cfRule>
  </conditionalFormatting>
  <conditionalFormatting sqref="D8189">
    <cfRule type="containsText" dxfId="70" priority="72" operator="containsText" text="Pesquisa de Preços">
      <formula>NOT(ISERROR(SEARCH("Pesquisa de Preços",D8189)))</formula>
    </cfRule>
  </conditionalFormatting>
  <conditionalFormatting sqref="D8191:D8197">
    <cfRule type="containsText" dxfId="69" priority="68" operator="containsText" text="Pesquisa de Preços">
      <formula>NOT(ISERROR(SEARCH("Pesquisa de Preços",D8191)))</formula>
    </cfRule>
  </conditionalFormatting>
  <conditionalFormatting sqref="D8211">
    <cfRule type="containsText" dxfId="68" priority="62" operator="containsText" text="Pesquisa de Preços">
      <formula>NOT(ISERROR(SEARCH("Pesquisa de Preços",D8211)))</formula>
    </cfRule>
  </conditionalFormatting>
  <conditionalFormatting sqref="D8213">
    <cfRule type="containsText" dxfId="67" priority="61" operator="containsText" text="Pesquisa de Preços">
      <formula>NOT(ISERROR(SEARCH("Pesquisa de Preços",D8213)))</formula>
    </cfRule>
  </conditionalFormatting>
  <conditionalFormatting sqref="D8199">
    <cfRule type="containsText" dxfId="66" priority="55" operator="containsText" text="Pesquisa de Preços">
      <formula>NOT(ISERROR(SEARCH("Pesquisa de Preços",D8199)))</formula>
    </cfRule>
  </conditionalFormatting>
  <conditionalFormatting sqref="D8201:D8206">
    <cfRule type="containsText" dxfId="65" priority="51" operator="containsText" text="Pesquisa de Preços">
      <formula>NOT(ISERROR(SEARCH("Pesquisa de Preços",D8201)))</formula>
    </cfRule>
  </conditionalFormatting>
  <conditionalFormatting sqref="D8207:D8209">
    <cfRule type="containsText" dxfId="64" priority="47" operator="containsText" text="Pesquisa de Preços">
      <formula>NOT(ISERROR(SEARCH("Pesquisa de Preços",D8207)))</formula>
    </cfRule>
  </conditionalFormatting>
  <conditionalFormatting sqref="D8220">
    <cfRule type="containsText" dxfId="63" priority="41" operator="containsText" text="Pesquisa de Preços">
      <formula>NOT(ISERROR(SEARCH("Pesquisa de Preços",D8220)))</formula>
    </cfRule>
  </conditionalFormatting>
  <conditionalFormatting sqref="D8222:D8223">
    <cfRule type="containsText" dxfId="62" priority="37" operator="containsText" text="Pesquisa de Preços">
      <formula>NOT(ISERROR(SEARCH("Pesquisa de Preços",D8222)))</formula>
    </cfRule>
  </conditionalFormatting>
  <conditionalFormatting sqref="D8231">
    <cfRule type="containsText" dxfId="61" priority="31" operator="containsText" text="Pesquisa de Preços">
      <formula>NOT(ISERROR(SEARCH("Pesquisa de Preços",D8231)))</formula>
    </cfRule>
  </conditionalFormatting>
  <conditionalFormatting sqref="D8235:D8236">
    <cfRule type="containsText" dxfId="60" priority="26" operator="containsText" text="Pesquisa de Preços">
      <formula>NOT(ISERROR(SEARCH("Pesquisa de Preços",D8235)))</formula>
    </cfRule>
  </conditionalFormatting>
  <conditionalFormatting sqref="D8215">
    <cfRule type="containsText" dxfId="59" priority="19" operator="containsText" text="Pesquisa de Preços">
      <formula>NOT(ISERROR(SEARCH("Pesquisa de Preços",D8215)))</formula>
    </cfRule>
  </conditionalFormatting>
  <conditionalFormatting sqref="D8217:D8218">
    <cfRule type="containsText" dxfId="58" priority="16" operator="containsText" text="Pesquisa de Preços">
      <formula>NOT(ISERROR(SEARCH("Pesquisa de Preços",D8217)))</formula>
    </cfRule>
  </conditionalFormatting>
  <conditionalFormatting sqref="D8225">
    <cfRule type="containsText" dxfId="57" priority="10" operator="containsText" text="Pesquisa de Preços">
      <formula>NOT(ISERROR(SEARCH("Pesquisa de Preços",D8225)))</formula>
    </cfRule>
  </conditionalFormatting>
  <conditionalFormatting sqref="D8227">
    <cfRule type="containsText" dxfId="56" priority="7" operator="containsText" text="Pesquisa de Preços">
      <formula>NOT(ISERROR(SEARCH("Pesquisa de Preços",D8227)))</formula>
    </cfRule>
  </conditionalFormatting>
  <conditionalFormatting sqref="D8228">
    <cfRule type="containsText" dxfId="55" priority="3" operator="containsText" text="Pesquisa de Preços">
      <formula>NOT(ISERROR(SEARCH("Pesquisa de Preços",D8228)))</formula>
    </cfRule>
  </conditionalFormatting>
  <hyperlinks>
    <hyperlink ref="C463" r:id="rId1"/>
    <hyperlink ref="C497" r:id="rId2"/>
    <hyperlink ref="C496" r:id="rId3"/>
    <hyperlink ref="C482" r:id="rId4"/>
    <hyperlink ref="C4645" r:id="rId5"/>
    <hyperlink ref="C4712" r:id="rId6"/>
    <hyperlink ref="C4691" r:id="rId7"/>
    <hyperlink ref="C3179" r:id="rId8"/>
    <hyperlink ref="C481" r:id="rId9"/>
  </hyperlinks>
  <printOptions horizontalCentered="1"/>
  <pageMargins left="0.19685039370078741" right="0.19685039370078741" top="0.98425196850393704" bottom="0.59055118110236227" header="0.19685039370078741" footer="0.19685039370078741"/>
  <pageSetup paperSize="9" scale="65" fitToHeight="0" orientation="landscape" r:id="rId10"/>
  <headerFooter>
    <oddHeader>&amp;C&amp;10&amp;G
&amp;11SENADO FEDERAL&amp;10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rowBreaks count="5" manualBreakCount="5">
    <brk id="510" max="10" man="1"/>
    <brk id="953" max="10" man="1"/>
    <brk id="1601" max="10" man="1"/>
    <brk id="1789" max="10" man="1"/>
    <brk id="3286" max="10" man="1"/>
  </rowBreaks>
  <drawing r:id="rId11"/>
  <legacyDrawingHF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5" filterMode="1"/>
  <dimension ref="A1:I643"/>
  <sheetViews>
    <sheetView zoomScale="80" zoomScaleNormal="80" zoomScaleSheetLayoutView="40" workbookViewId="0">
      <pane ySplit="5" topLeftCell="A6" activePane="bottomLeft" state="frozen"/>
      <selection pane="bottomLeft" activeCell="F4" sqref="F4"/>
    </sheetView>
  </sheetViews>
  <sheetFormatPr defaultRowHeight="15" x14ac:dyDescent="0.25"/>
  <cols>
    <col min="1" max="1" width="46.85546875" customWidth="1"/>
    <col min="2" max="2" width="65.7109375" style="4"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80" t="s">
        <v>8514</v>
      </c>
      <c r="B1" s="104"/>
      <c r="C1" s="80"/>
      <c r="D1" s="80"/>
      <c r="E1" s="80"/>
      <c r="F1" s="80"/>
      <c r="G1" s="80"/>
      <c r="H1" s="81"/>
      <c r="I1" s="82"/>
    </row>
    <row r="2" spans="1:9" ht="24.95" customHeight="1" x14ac:dyDescent="0.25">
      <c r="A2" s="9" t="s">
        <v>1267</v>
      </c>
      <c r="B2" s="10"/>
      <c r="C2" s="10"/>
      <c r="D2" s="10"/>
      <c r="E2" s="10"/>
      <c r="F2" s="10"/>
      <c r="G2" s="10"/>
      <c r="H2" s="12"/>
      <c r="I2" s="82"/>
    </row>
    <row r="3" spans="1:9" ht="20.100000000000001" customHeight="1" x14ac:dyDescent="0.25">
      <c r="A3" s="13" t="s">
        <v>8515</v>
      </c>
      <c r="B3" s="13"/>
      <c r="C3" s="13"/>
      <c r="D3" s="13"/>
      <c r="E3" s="13"/>
      <c r="F3" s="13"/>
      <c r="G3" s="13"/>
      <c r="H3" s="13"/>
      <c r="I3" s="83"/>
    </row>
    <row r="4" spans="1:9" ht="15.75" thickBot="1" x14ac:dyDescent="0.3">
      <c r="A4" s="84"/>
      <c r="B4" s="85"/>
      <c r="C4" s="85"/>
      <c r="D4" s="85"/>
      <c r="E4" s="85"/>
      <c r="F4" s="85"/>
      <c r="G4" s="85"/>
      <c r="H4" s="86"/>
      <c r="I4" s="87"/>
    </row>
    <row r="5" spans="1:9" ht="30.75" thickBot="1" x14ac:dyDescent="0.3">
      <c r="A5" s="19" t="s">
        <v>2</v>
      </c>
      <c r="B5" s="20" t="s">
        <v>3</v>
      </c>
      <c r="C5" s="20" t="s">
        <v>4</v>
      </c>
      <c r="D5" s="20" t="s">
        <v>5</v>
      </c>
      <c r="E5" s="20" t="s">
        <v>6</v>
      </c>
      <c r="F5" s="20" t="s">
        <v>7</v>
      </c>
      <c r="G5" s="20" t="s">
        <v>1268</v>
      </c>
      <c r="H5" s="23"/>
      <c r="I5" s="88" t="s">
        <v>9</v>
      </c>
    </row>
    <row r="6" spans="1:9" ht="26.25" hidden="1" customHeight="1" thickBot="1" x14ac:dyDescent="0.3">
      <c r="A6" s="182" t="s">
        <v>79</v>
      </c>
      <c r="B6" s="156" t="s">
        <v>416</v>
      </c>
      <c r="C6" s="89" t="s">
        <v>87</v>
      </c>
      <c r="D6" s="90"/>
      <c r="E6" s="70" t="s">
        <v>416</v>
      </c>
      <c r="F6" s="70" t="str">
        <f>IF(ISNUMBER(E6),E6*$D6,"")</f>
        <v/>
      </c>
      <c r="G6" s="71"/>
      <c r="H6" s="29"/>
      <c r="I6" s="153">
        <v>0</v>
      </c>
    </row>
    <row r="7" spans="1:9" ht="15.75" hidden="1" thickBot="1" x14ac:dyDescent="0.3">
      <c r="A7" s="182"/>
      <c r="B7" s="31" t="s">
        <v>416</v>
      </c>
      <c r="C7" s="31"/>
      <c r="D7" s="91"/>
      <c r="E7" s="30" t="s">
        <v>416</v>
      </c>
      <c r="F7" s="30" t="str">
        <f>IF(ISNUMBER(E7),E7*$D7,"")</f>
        <v/>
      </c>
      <c r="G7" s="34"/>
      <c r="H7" s="30"/>
      <c r="I7" s="153">
        <v>0</v>
      </c>
    </row>
    <row r="8" spans="1:9" ht="26.25" hidden="1" thickBot="1" x14ac:dyDescent="0.3">
      <c r="A8" s="182"/>
      <c r="B8" s="35" t="s">
        <v>7985</v>
      </c>
      <c r="C8" s="35" t="s">
        <v>87</v>
      </c>
      <c r="D8" s="36">
        <v>1.07</v>
      </c>
      <c r="E8" s="30">
        <v>202.33099999999999</v>
      </c>
      <c r="F8" s="33">
        <f>IF(ISNUMBER(E8),E8*$D8,"")</f>
        <v>216.49417</v>
      </c>
      <c r="G8" s="44">
        <f>SUM(F8:F12)</f>
        <v>758.13304558849995</v>
      </c>
      <c r="H8" s="45"/>
      <c r="I8" s="153">
        <v>0</v>
      </c>
    </row>
    <row r="9" spans="1:9" ht="15.75" hidden="1" thickBot="1" x14ac:dyDescent="0.3">
      <c r="A9" s="182"/>
      <c r="B9" s="35" t="s">
        <v>8065</v>
      </c>
      <c r="C9" s="35" t="s">
        <v>773</v>
      </c>
      <c r="D9" s="36">
        <v>482.96</v>
      </c>
      <c r="E9" s="33">
        <v>0.627</v>
      </c>
      <c r="F9" s="33">
        <f>IF(ISNUMBER(E9),E9*$D9,"")</f>
        <v>302.81592000000001</v>
      </c>
      <c r="G9" s="44"/>
      <c r="H9" s="45"/>
      <c r="I9" s="153">
        <v>0</v>
      </c>
    </row>
    <row r="10" spans="1:9" ht="15.75" hidden="1" thickBot="1" x14ac:dyDescent="0.3">
      <c r="A10" s="182"/>
      <c r="B10" s="35" t="s">
        <v>584</v>
      </c>
      <c r="C10" s="35" t="s">
        <v>583</v>
      </c>
      <c r="D10" s="36">
        <v>8.57</v>
      </c>
      <c r="E10" s="30">
        <v>20.225499999999997</v>
      </c>
      <c r="F10" s="33">
        <f>IF(ISNUMBER(E10),E10*$D10,"")</f>
        <v>173.33253499999998</v>
      </c>
      <c r="G10" s="44"/>
      <c r="H10" s="45"/>
      <c r="I10" s="153">
        <v>0</v>
      </c>
    </row>
    <row r="11" spans="1:9" ht="51.75" hidden="1" thickBot="1" x14ac:dyDescent="0.3">
      <c r="A11" s="182"/>
      <c r="B11" s="35" t="s">
        <v>3071</v>
      </c>
      <c r="C11" s="35" t="s">
        <v>87</v>
      </c>
      <c r="D11" s="36">
        <f>ROUND(1*D8,4)</f>
        <v>1.07</v>
      </c>
      <c r="E11" s="30">
        <v>8.0531015499999992</v>
      </c>
      <c r="F11" s="33">
        <f>IF(ISNUMBER(E11),E11*$D11,"")</f>
        <v>8.6168186584999997</v>
      </c>
      <c r="G11" s="44"/>
      <c r="H11" s="45"/>
      <c r="I11" s="153">
        <v>0</v>
      </c>
    </row>
    <row r="12" spans="1:9" ht="39" hidden="1" thickBot="1" x14ac:dyDescent="0.3">
      <c r="A12" s="182"/>
      <c r="B12" s="35" t="s">
        <v>3068</v>
      </c>
      <c r="C12" s="46" t="s">
        <v>89</v>
      </c>
      <c r="D12" s="36">
        <f>ROUND(D8*20,4)</f>
        <v>21.4</v>
      </c>
      <c r="E12" s="30">
        <v>2.6576449499999995</v>
      </c>
      <c r="F12" s="33">
        <f>IF(ISNUMBER(E12),E12*$D12,"")</f>
        <v>56.873601929999985</v>
      </c>
      <c r="G12" s="44"/>
      <c r="H12" s="45"/>
      <c r="I12" s="153">
        <v>0</v>
      </c>
    </row>
    <row r="13" spans="1:9" ht="15.75" hidden="1" thickBot="1" x14ac:dyDescent="0.3">
      <c r="A13" s="182"/>
      <c r="B13" s="50"/>
      <c r="C13" s="46"/>
      <c r="D13" s="36"/>
      <c r="E13" s="30" t="s">
        <v>416</v>
      </c>
      <c r="F13" s="33" t="str">
        <f>IF(ISNUMBER(E13),E13*$D13,"")</f>
        <v/>
      </c>
      <c r="G13" s="44"/>
      <c r="H13" s="45"/>
      <c r="I13" s="153">
        <v>0</v>
      </c>
    </row>
    <row r="14" spans="1:9" ht="15.75" hidden="1" thickBot="1" x14ac:dyDescent="0.3">
      <c r="A14" s="182"/>
      <c r="B14" s="47" t="s">
        <v>631</v>
      </c>
      <c r="C14" s="46"/>
      <c r="D14" s="36"/>
      <c r="E14" s="30" t="s">
        <v>416</v>
      </c>
      <c r="F14" s="33" t="str">
        <f>IF(ISNUMBER(E14),E14*$D14,"")</f>
        <v/>
      </c>
      <c r="G14" s="44"/>
      <c r="H14" s="45"/>
      <c r="I14" s="153">
        <v>0</v>
      </c>
    </row>
    <row r="15" spans="1:9" ht="15.75" hidden="1" thickBot="1" x14ac:dyDescent="0.3">
      <c r="A15" s="184"/>
      <c r="B15" s="35" t="s">
        <v>416</v>
      </c>
      <c r="C15" s="35"/>
      <c r="D15" s="92"/>
      <c r="E15" s="30" t="s">
        <v>416</v>
      </c>
      <c r="F15" s="33" t="str">
        <f>IF(ISNUMBER(E15),E15*$D15,"")</f>
        <v/>
      </c>
      <c r="G15" s="34"/>
      <c r="H15" s="30"/>
      <c r="I15" s="153">
        <v>0</v>
      </c>
    </row>
    <row r="16" spans="1:9" ht="15.75" hidden="1" customHeight="1" thickBot="1" x14ac:dyDescent="0.3">
      <c r="A16" s="183" t="s">
        <v>2892</v>
      </c>
      <c r="B16" s="40" t="s">
        <v>416</v>
      </c>
      <c r="C16" s="25" t="s">
        <v>213</v>
      </c>
      <c r="D16" s="93"/>
      <c r="E16" s="41" t="s">
        <v>416</v>
      </c>
      <c r="F16" s="41" t="str">
        <f>IF(ISNUMBER(E16),E16*$D16,"")</f>
        <v/>
      </c>
      <c r="G16" s="28"/>
      <c r="H16" s="29"/>
      <c r="I16" s="153">
        <v>0</v>
      </c>
    </row>
    <row r="17" spans="1:9" ht="15.75" hidden="1" thickBot="1" x14ac:dyDescent="0.3">
      <c r="A17" s="182"/>
      <c r="B17" s="31" t="s">
        <v>416</v>
      </c>
      <c r="C17" s="31"/>
      <c r="D17" s="91"/>
      <c r="E17" s="42" t="s">
        <v>416</v>
      </c>
      <c r="F17" s="30" t="str">
        <f>IF(ISNUMBER(E17),E17*$D17,"")</f>
        <v/>
      </c>
      <c r="G17" s="34"/>
      <c r="H17" s="30"/>
      <c r="I17" s="153">
        <v>0</v>
      </c>
    </row>
    <row r="18" spans="1:9" ht="26.25" hidden="1" thickBot="1" x14ac:dyDescent="0.3">
      <c r="A18" s="182"/>
      <c r="B18" s="35" t="s">
        <v>824</v>
      </c>
      <c r="C18" s="35" t="s">
        <v>583</v>
      </c>
      <c r="D18" s="36">
        <v>2.2700000000000001E-2</v>
      </c>
      <c r="E18" s="30">
        <v>21.166</v>
      </c>
      <c r="F18" s="33">
        <f>IF(ISNUMBER(E18),E18*$D18,"")</f>
        <v>0.48046820000000001</v>
      </c>
      <c r="G18" s="44">
        <f>SUM(F18:F19)</f>
        <v>4.8246671499999998</v>
      </c>
      <c r="H18" s="45"/>
      <c r="I18" s="153">
        <v>0</v>
      </c>
    </row>
    <row r="19" spans="1:9" ht="26.25" hidden="1" thickBot="1" x14ac:dyDescent="0.3">
      <c r="A19" s="182"/>
      <c r="B19" s="35" t="s">
        <v>825</v>
      </c>
      <c r="C19" s="35" t="s">
        <v>583</v>
      </c>
      <c r="D19" s="36">
        <v>0.16209999999999999</v>
      </c>
      <c r="E19" s="30">
        <v>26.799499999999998</v>
      </c>
      <c r="F19" s="33">
        <f>IF(ISNUMBER(E19),E19*$D19,"")</f>
        <v>4.34419895</v>
      </c>
      <c r="G19" s="44"/>
      <c r="H19" s="45"/>
      <c r="I19" s="153">
        <v>0</v>
      </c>
    </row>
    <row r="20" spans="1:9" ht="15.75" hidden="1" thickBot="1" x14ac:dyDescent="0.3">
      <c r="A20" s="184"/>
      <c r="B20" s="35" t="s">
        <v>416</v>
      </c>
      <c r="C20" s="35"/>
      <c r="D20" s="92"/>
      <c r="E20" s="30" t="s">
        <v>416</v>
      </c>
      <c r="F20" s="30" t="str">
        <f>IF(ISNUMBER(E20),E20*$D20,"")</f>
        <v/>
      </c>
      <c r="G20" s="34"/>
      <c r="H20" s="30"/>
      <c r="I20" s="153">
        <v>0</v>
      </c>
    </row>
    <row r="21" spans="1:9" ht="15.75" customHeight="1" thickBot="1" x14ac:dyDescent="0.3">
      <c r="A21" s="183" t="s">
        <v>2889</v>
      </c>
      <c r="B21" s="40" t="s">
        <v>416</v>
      </c>
      <c r="C21" s="25" t="s">
        <v>385</v>
      </c>
      <c r="D21" s="93"/>
      <c r="E21" s="41" t="s">
        <v>416</v>
      </c>
      <c r="F21" s="41" t="str">
        <f>IF(ISNUMBER(E21),E21*$D21,"")</f>
        <v/>
      </c>
      <c r="G21" s="28"/>
      <c r="H21" s="29"/>
      <c r="I21" s="153">
        <v>30</v>
      </c>
    </row>
    <row r="22" spans="1:9" x14ac:dyDescent="0.25">
      <c r="A22" s="182"/>
      <c r="B22" s="31" t="s">
        <v>416</v>
      </c>
      <c r="C22" s="31"/>
      <c r="D22" s="91"/>
      <c r="E22" s="42" t="s">
        <v>416</v>
      </c>
      <c r="F22" s="30" t="str">
        <f>IF(ISNUMBER(E22),E22*$D22,"")</f>
        <v/>
      </c>
      <c r="G22" s="34"/>
      <c r="H22" s="30"/>
      <c r="I22" s="153">
        <v>30</v>
      </c>
    </row>
    <row r="23" spans="1:9" ht="25.5" x14ac:dyDescent="0.25">
      <c r="A23" s="182"/>
      <c r="B23" s="35" t="s">
        <v>7954</v>
      </c>
      <c r="C23" s="35" t="s">
        <v>213</v>
      </c>
      <c r="D23" s="36">
        <v>0.65</v>
      </c>
      <c r="E23" s="33">
        <v>1.444</v>
      </c>
      <c r="F23" s="33">
        <f>IF(ISNUMBER(E23),E23*$D23,"")</f>
        <v>0.93859999999999999</v>
      </c>
      <c r="G23" s="44">
        <f>SUM(F23:F25)</f>
        <v>2.9994255000000001</v>
      </c>
      <c r="H23" s="45"/>
      <c r="I23" s="153">
        <v>30</v>
      </c>
    </row>
    <row r="24" spans="1:9" ht="25.5" x14ac:dyDescent="0.25">
      <c r="A24" s="182"/>
      <c r="B24" s="35" t="s">
        <v>824</v>
      </c>
      <c r="C24" s="35" t="s">
        <v>583</v>
      </c>
      <c r="D24" s="36">
        <v>0.01</v>
      </c>
      <c r="E24" s="30">
        <v>21.166</v>
      </c>
      <c r="F24" s="33">
        <f>IF(ISNUMBER(E24),E24*$D24,"")</f>
        <v>0.21166000000000001</v>
      </c>
      <c r="G24" s="44"/>
      <c r="H24" s="45"/>
      <c r="I24" s="153">
        <v>30</v>
      </c>
    </row>
    <row r="25" spans="1:9" ht="25.5" x14ac:dyDescent="0.25">
      <c r="A25" s="182"/>
      <c r="B25" s="35" t="s">
        <v>825</v>
      </c>
      <c r="C25" s="35" t="s">
        <v>583</v>
      </c>
      <c r="D25" s="36">
        <v>6.9000000000000006E-2</v>
      </c>
      <c r="E25" s="30">
        <v>26.799499999999998</v>
      </c>
      <c r="F25" s="33">
        <f>IF(ISNUMBER(E25),E25*$D25,"")</f>
        <v>1.8491655</v>
      </c>
      <c r="G25" s="44"/>
      <c r="H25" s="45"/>
      <c r="I25" s="153">
        <v>30</v>
      </c>
    </row>
    <row r="26" spans="1:9" ht="15.75" thickBot="1" x14ac:dyDescent="0.3">
      <c r="A26" s="184"/>
      <c r="B26" s="35" t="s">
        <v>416</v>
      </c>
      <c r="C26" s="35"/>
      <c r="D26" s="92"/>
      <c r="E26" s="30" t="s">
        <v>416</v>
      </c>
      <c r="F26" s="30" t="str">
        <f>IF(ISNUMBER(E26),E26*$D26,"")</f>
        <v/>
      </c>
      <c r="G26" s="34"/>
      <c r="H26" s="30"/>
      <c r="I26" s="153">
        <v>30</v>
      </c>
    </row>
    <row r="27" spans="1:9" ht="15.75" hidden="1" customHeight="1" thickBot="1" x14ac:dyDescent="0.3">
      <c r="A27" s="183" t="s">
        <v>3218</v>
      </c>
      <c r="B27" s="40" t="s">
        <v>416</v>
      </c>
      <c r="C27" s="25" t="s">
        <v>861</v>
      </c>
      <c r="D27" s="93"/>
      <c r="E27" s="41" t="s">
        <v>416</v>
      </c>
      <c r="F27" s="41" t="str">
        <f>IF(ISNUMBER(E27),E27*$D27,"")</f>
        <v/>
      </c>
      <c r="G27" s="28"/>
      <c r="H27" s="29"/>
      <c r="I27" s="153">
        <v>0</v>
      </c>
    </row>
    <row r="28" spans="1:9" ht="15.75" hidden="1" thickBot="1" x14ac:dyDescent="0.3">
      <c r="A28" s="182"/>
      <c r="B28" s="31" t="s">
        <v>416</v>
      </c>
      <c r="C28" s="31"/>
      <c r="D28" s="91"/>
      <c r="E28" s="42" t="s">
        <v>416</v>
      </c>
      <c r="F28" s="30" t="str">
        <f>IF(ISNUMBER(E28),E28*$D28,"")</f>
        <v/>
      </c>
      <c r="G28" s="34"/>
      <c r="H28" s="30"/>
      <c r="I28" s="153">
        <v>0</v>
      </c>
    </row>
    <row r="29" spans="1:9" ht="39" hidden="1" thickBot="1" x14ac:dyDescent="0.3">
      <c r="A29" s="182"/>
      <c r="B29" s="35" t="s">
        <v>8062</v>
      </c>
      <c r="C29" s="35" t="s">
        <v>861</v>
      </c>
      <c r="D29" s="36">
        <v>1.1459999999999999</v>
      </c>
      <c r="E29" s="33">
        <v>55.745999999999995</v>
      </c>
      <c r="F29" s="33">
        <f>IF(ISNUMBER(E29),E29*$D29,"")</f>
        <v>63.88491599999999</v>
      </c>
      <c r="G29" s="44">
        <f>SUM(F29:F36)</f>
        <v>124.33613299999999</v>
      </c>
      <c r="H29" s="45"/>
      <c r="I29" s="153">
        <v>0</v>
      </c>
    </row>
    <row r="30" spans="1:9" ht="26.25" hidden="1" thickBot="1" x14ac:dyDescent="0.3">
      <c r="A30" s="182"/>
      <c r="B30" s="35" t="s">
        <v>3233</v>
      </c>
      <c r="C30" s="35" t="s">
        <v>385</v>
      </c>
      <c r="D30" s="36">
        <v>0.16600000000000001</v>
      </c>
      <c r="E30" s="33">
        <v>8.1889999999999983</v>
      </c>
      <c r="F30" s="33">
        <f>IF(ISNUMBER(E30),E30*$D30,"")</f>
        <v>1.3593739999999999</v>
      </c>
      <c r="G30" s="44"/>
      <c r="H30" s="45"/>
      <c r="I30" s="153">
        <v>0</v>
      </c>
    </row>
    <row r="31" spans="1:9" ht="26.25" hidden="1" thickBot="1" x14ac:dyDescent="0.3">
      <c r="A31" s="182"/>
      <c r="B31" s="35" t="s">
        <v>3235</v>
      </c>
      <c r="C31" s="35" t="s">
        <v>385</v>
      </c>
      <c r="D31" s="36">
        <v>6.952</v>
      </c>
      <c r="E31" s="33">
        <v>2.8594999999999997</v>
      </c>
      <c r="F31" s="33">
        <f>IF(ISNUMBER(E31),E31*$D31,"")</f>
        <v>19.879243999999996</v>
      </c>
      <c r="G31" s="44"/>
      <c r="H31" s="45"/>
      <c r="I31" s="153">
        <v>0</v>
      </c>
    </row>
    <row r="32" spans="1:9" ht="15.75" hidden="1" thickBot="1" x14ac:dyDescent="0.3">
      <c r="A32" s="182"/>
      <c r="B32" s="35" t="s">
        <v>1219</v>
      </c>
      <c r="C32" s="35" t="s">
        <v>773</v>
      </c>
      <c r="D32" s="36">
        <v>0.159</v>
      </c>
      <c r="E32" s="33">
        <v>21.602999999999998</v>
      </c>
      <c r="F32" s="33">
        <f>IF(ISNUMBER(E32),E32*$D32,"")</f>
        <v>3.4348769999999997</v>
      </c>
      <c r="G32" s="44"/>
      <c r="H32" s="45"/>
      <c r="I32" s="153">
        <v>0</v>
      </c>
    </row>
    <row r="33" spans="1:9" ht="15.75" hidden="1" thickBot="1" x14ac:dyDescent="0.3">
      <c r="A33" s="182"/>
      <c r="B33" s="35" t="s">
        <v>660</v>
      </c>
      <c r="C33" s="35" t="s">
        <v>583</v>
      </c>
      <c r="D33" s="36">
        <v>0.20200000000000001</v>
      </c>
      <c r="E33" s="30">
        <v>21.337</v>
      </c>
      <c r="F33" s="33">
        <f>IF(ISNUMBER(E33),E33*$D33,"")</f>
        <v>4.3100740000000002</v>
      </c>
      <c r="G33" s="44"/>
      <c r="H33" s="45"/>
      <c r="I33" s="153">
        <v>0</v>
      </c>
    </row>
    <row r="34" spans="1:9" ht="15.75" hidden="1" thickBot="1" x14ac:dyDescent="0.3">
      <c r="A34" s="182"/>
      <c r="B34" s="35" t="s">
        <v>862</v>
      </c>
      <c r="C34" s="35" t="s">
        <v>583</v>
      </c>
      <c r="D34" s="36">
        <v>1.012</v>
      </c>
      <c r="E34" s="30">
        <v>26.799499999999998</v>
      </c>
      <c r="F34" s="33">
        <f>IF(ISNUMBER(E34),E34*$D34,"")</f>
        <v>27.121093999999999</v>
      </c>
      <c r="G34" s="44"/>
      <c r="H34" s="45"/>
      <c r="I34" s="153">
        <v>0</v>
      </c>
    </row>
    <row r="35" spans="1:9" ht="26.25" hidden="1" thickBot="1" x14ac:dyDescent="0.3">
      <c r="A35" s="182"/>
      <c r="B35" s="35" t="s">
        <v>1013</v>
      </c>
      <c r="C35" s="35" t="s">
        <v>813</v>
      </c>
      <c r="D35" s="36">
        <v>0.05</v>
      </c>
      <c r="E35" s="30">
        <v>22.210999999999999</v>
      </c>
      <c r="F35" s="30">
        <f>IF(ISNUMBER(E35),E35*$D35,"")</f>
        <v>1.1105499999999999</v>
      </c>
      <c r="G35" s="44"/>
      <c r="H35" s="45"/>
      <c r="I35" s="153">
        <v>0</v>
      </c>
    </row>
    <row r="36" spans="1:9" ht="26.25" hidden="1" thickBot="1" x14ac:dyDescent="0.3">
      <c r="A36" s="182"/>
      <c r="B36" s="35" t="s">
        <v>1014</v>
      </c>
      <c r="C36" s="35" t="s">
        <v>815</v>
      </c>
      <c r="D36" s="36">
        <v>0.152</v>
      </c>
      <c r="E36" s="30">
        <v>21.2895</v>
      </c>
      <c r="F36" s="30">
        <f>IF(ISNUMBER(E36),E36*$D36,"")</f>
        <v>3.2360039999999999</v>
      </c>
      <c r="G36" s="44"/>
      <c r="H36" s="45"/>
      <c r="I36" s="153">
        <v>0</v>
      </c>
    </row>
    <row r="37" spans="1:9" ht="15.75" hidden="1" thickBot="1" x14ac:dyDescent="0.3">
      <c r="A37" s="182"/>
      <c r="B37" s="35" t="s">
        <v>416</v>
      </c>
      <c r="C37" s="35"/>
      <c r="D37" s="92"/>
      <c r="E37" s="30" t="s">
        <v>416</v>
      </c>
      <c r="F37" s="30" t="str">
        <f>IF(ISNUMBER(E37),E37*$D37,"")</f>
        <v/>
      </c>
      <c r="G37" s="34"/>
      <c r="H37" s="30"/>
      <c r="I37" s="153">
        <v>0</v>
      </c>
    </row>
    <row r="38" spans="1:9" ht="15.75" hidden="1" thickBot="1" x14ac:dyDescent="0.3">
      <c r="A38" s="183" t="s">
        <v>3220</v>
      </c>
      <c r="B38" s="40" t="s">
        <v>416</v>
      </c>
      <c r="C38" s="25" t="s">
        <v>385</v>
      </c>
      <c r="D38" s="93"/>
      <c r="E38" s="41" t="s">
        <v>416</v>
      </c>
      <c r="F38" s="41" t="str">
        <f>IF(ISNUMBER(E38),E38*$D38,"")</f>
        <v/>
      </c>
      <c r="G38" s="28"/>
      <c r="H38" s="29"/>
      <c r="I38" s="153">
        <v>0</v>
      </c>
    </row>
    <row r="39" spans="1:9" ht="15.75" hidden="1" thickBot="1" x14ac:dyDescent="0.3">
      <c r="A39" s="182"/>
      <c r="B39" s="31" t="s">
        <v>416</v>
      </c>
      <c r="C39" s="31"/>
      <c r="D39" s="91"/>
      <c r="E39" s="42" t="s">
        <v>416</v>
      </c>
      <c r="F39" s="30" t="str">
        <f>IF(ISNUMBER(E39),E39*$D39,"")</f>
        <v/>
      </c>
      <c r="G39" s="34"/>
      <c r="H39" s="30"/>
      <c r="I39" s="153">
        <v>0</v>
      </c>
    </row>
    <row r="40" spans="1:9" ht="39" hidden="1" thickBot="1" x14ac:dyDescent="0.3">
      <c r="A40" s="182"/>
      <c r="B40" s="35" t="s">
        <v>8061</v>
      </c>
      <c r="C40" s="35" t="s">
        <v>861</v>
      </c>
      <c r="D40" s="36">
        <v>0.13600000000000001</v>
      </c>
      <c r="E40" s="30">
        <v>94.401499999999999</v>
      </c>
      <c r="F40" s="30">
        <f>IF(ISNUMBER(E40),E40*$D40,"")</f>
        <v>12.838604</v>
      </c>
      <c r="G40" s="44">
        <f>SUM(F40:F46)</f>
        <v>37.9755185</v>
      </c>
      <c r="H40" s="45"/>
      <c r="I40" s="153">
        <v>0</v>
      </c>
    </row>
    <row r="41" spans="1:9" ht="26.25" hidden="1" thickBot="1" x14ac:dyDescent="0.3">
      <c r="A41" s="182"/>
      <c r="B41" s="35" t="s">
        <v>3233</v>
      </c>
      <c r="C41" s="35" t="s">
        <v>385</v>
      </c>
      <c r="D41" s="36">
        <v>2.3420000000000001</v>
      </c>
      <c r="E41" s="30">
        <v>8.1889999999999983</v>
      </c>
      <c r="F41" s="30">
        <f>IF(ISNUMBER(E41),E41*$D41,"")</f>
        <v>19.178637999999996</v>
      </c>
      <c r="G41" s="44"/>
      <c r="H41" s="45"/>
      <c r="I41" s="153">
        <v>0</v>
      </c>
    </row>
    <row r="42" spans="1:9" ht="15.75" hidden="1" thickBot="1" x14ac:dyDescent="0.3">
      <c r="A42" s="182"/>
      <c r="B42" s="35" t="s">
        <v>1219</v>
      </c>
      <c r="C42" s="35" t="s">
        <v>773</v>
      </c>
      <c r="D42" s="36">
        <v>1.2E-2</v>
      </c>
      <c r="E42" s="30">
        <v>21.602999999999998</v>
      </c>
      <c r="F42" s="30">
        <f>IF(ISNUMBER(E42),E42*$D42,"")</f>
        <v>0.25923599999999997</v>
      </c>
      <c r="G42" s="44"/>
      <c r="H42" s="45"/>
      <c r="I42" s="153">
        <v>0</v>
      </c>
    </row>
    <row r="43" spans="1:9" ht="15.75" hidden="1" thickBot="1" x14ac:dyDescent="0.3">
      <c r="A43" s="182"/>
      <c r="B43" s="35" t="s">
        <v>660</v>
      </c>
      <c r="C43" s="35" t="s">
        <v>583</v>
      </c>
      <c r="D43" s="36">
        <v>3.2000000000000001E-2</v>
      </c>
      <c r="E43" s="30">
        <v>21.337</v>
      </c>
      <c r="F43" s="30">
        <f>IF(ISNUMBER(E43),E43*$D43,"")</f>
        <v>0.68278400000000006</v>
      </c>
      <c r="G43" s="44"/>
      <c r="H43" s="45"/>
      <c r="I43" s="153">
        <v>0</v>
      </c>
    </row>
    <row r="44" spans="1:9" ht="15.75" hidden="1" thickBot="1" x14ac:dyDescent="0.3">
      <c r="A44" s="182"/>
      <c r="B44" s="35" t="s">
        <v>862</v>
      </c>
      <c r="C44" s="35" t="s">
        <v>583</v>
      </c>
      <c r="D44" s="36">
        <v>0.161</v>
      </c>
      <c r="E44" s="30">
        <v>26.799499999999998</v>
      </c>
      <c r="F44" s="30">
        <f>IF(ISNUMBER(E44),E44*$D44,"")</f>
        <v>4.3147194999999998</v>
      </c>
      <c r="G44" s="44"/>
      <c r="H44" s="45"/>
      <c r="I44" s="153">
        <v>0</v>
      </c>
    </row>
    <row r="45" spans="1:9" ht="26.25" hidden="1" thickBot="1" x14ac:dyDescent="0.3">
      <c r="A45" s="182"/>
      <c r="B45" s="35" t="s">
        <v>1013</v>
      </c>
      <c r="C45" s="35" t="s">
        <v>813</v>
      </c>
      <c r="D45" s="36">
        <v>2.1999999999999999E-2</v>
      </c>
      <c r="E45" s="30">
        <v>22.210999999999999</v>
      </c>
      <c r="F45" s="30">
        <f>IF(ISNUMBER(E45),E45*$D45,"")</f>
        <v>0.48864199999999997</v>
      </c>
      <c r="G45" s="44"/>
      <c r="H45" s="45"/>
      <c r="I45" s="153">
        <v>0</v>
      </c>
    </row>
    <row r="46" spans="1:9" ht="26.25" hidden="1" thickBot="1" x14ac:dyDescent="0.3">
      <c r="A46" s="182"/>
      <c r="B46" s="35" t="s">
        <v>1014</v>
      </c>
      <c r="C46" s="35" t="s">
        <v>815</v>
      </c>
      <c r="D46" s="36">
        <v>0.01</v>
      </c>
      <c r="E46" s="30">
        <v>21.2895</v>
      </c>
      <c r="F46" s="33">
        <f>IF(ISNUMBER(E46),E46*$D46,"")</f>
        <v>0.212895</v>
      </c>
      <c r="G46" s="44"/>
      <c r="H46" s="45"/>
      <c r="I46" s="153">
        <v>0</v>
      </c>
    </row>
    <row r="47" spans="1:9" ht="15.75" hidden="1" thickBot="1" x14ac:dyDescent="0.3">
      <c r="A47" s="182"/>
      <c r="B47" s="35" t="s">
        <v>416</v>
      </c>
      <c r="C47" s="35"/>
      <c r="D47" s="92"/>
      <c r="E47" s="30" t="s">
        <v>416</v>
      </c>
      <c r="F47" s="30" t="str">
        <f>IF(ISNUMBER(E47),E47*$D47,"")</f>
        <v/>
      </c>
      <c r="G47" s="34"/>
      <c r="H47" s="30"/>
      <c r="I47" s="153">
        <v>0</v>
      </c>
    </row>
    <row r="48" spans="1:9" ht="15.75" hidden="1" thickBot="1" x14ac:dyDescent="0.3">
      <c r="A48" s="183" t="s">
        <v>110</v>
      </c>
      <c r="B48" s="40" t="s">
        <v>416</v>
      </c>
      <c r="C48" s="25" t="s">
        <v>87</v>
      </c>
      <c r="D48" s="93"/>
      <c r="E48" s="41" t="s">
        <v>416</v>
      </c>
      <c r="F48" s="41" t="str">
        <f>IF(ISNUMBER(E48),E48*$D48,"")</f>
        <v/>
      </c>
      <c r="G48" s="28"/>
      <c r="H48" s="29"/>
      <c r="I48" s="153">
        <v>0</v>
      </c>
    </row>
    <row r="49" spans="1:9" ht="15.75" hidden="1" thickBot="1" x14ac:dyDescent="0.3">
      <c r="A49" s="182"/>
      <c r="B49" s="31" t="s">
        <v>416</v>
      </c>
      <c r="C49" s="31"/>
      <c r="D49" s="91"/>
      <c r="E49" s="42" t="s">
        <v>416</v>
      </c>
      <c r="F49" s="30" t="str">
        <f>IF(ISNUMBER(E49),E49*$D49,"")</f>
        <v/>
      </c>
      <c r="G49" s="34"/>
      <c r="H49" s="30"/>
      <c r="I49" s="153">
        <v>0</v>
      </c>
    </row>
    <row r="50" spans="1:9" ht="26.25" hidden="1" thickBot="1" x14ac:dyDescent="0.3">
      <c r="A50" s="182"/>
      <c r="B50" s="35" t="s">
        <v>7985</v>
      </c>
      <c r="C50" s="35" t="s">
        <v>87</v>
      </c>
      <c r="D50" s="36">
        <v>1.1599999999999999</v>
      </c>
      <c r="E50" s="33">
        <v>202.33099999999999</v>
      </c>
      <c r="F50" s="33">
        <f>IF(ISNUMBER(E50),E50*$D50,"")</f>
        <v>234.70395999999997</v>
      </c>
      <c r="G50" s="44">
        <f>SUM(F50:F57)</f>
        <v>734.72729063799989</v>
      </c>
      <c r="H50" s="45"/>
      <c r="I50" s="153">
        <v>0</v>
      </c>
    </row>
    <row r="51" spans="1:9" ht="15.75" hidden="1" thickBot="1" x14ac:dyDescent="0.3">
      <c r="A51" s="182"/>
      <c r="B51" s="35" t="s">
        <v>8040</v>
      </c>
      <c r="C51" s="35" t="s">
        <v>773</v>
      </c>
      <c r="D51" s="36">
        <v>174.1</v>
      </c>
      <c r="E51" s="33">
        <v>1.216</v>
      </c>
      <c r="F51" s="33">
        <f>IF(ISNUMBER(E51),E51*$D51,"")</f>
        <v>211.70559999999998</v>
      </c>
      <c r="G51" s="44"/>
      <c r="H51" s="45"/>
      <c r="I51" s="153">
        <v>0</v>
      </c>
    </row>
    <row r="52" spans="1:9" ht="15.75" hidden="1" thickBot="1" x14ac:dyDescent="0.3">
      <c r="A52" s="182"/>
      <c r="B52" s="35" t="s">
        <v>8065</v>
      </c>
      <c r="C52" s="35" t="s">
        <v>773</v>
      </c>
      <c r="D52" s="36">
        <v>195.86</v>
      </c>
      <c r="E52" s="33">
        <v>0.627</v>
      </c>
      <c r="F52" s="33">
        <f>IF(ISNUMBER(E52),E52*$D52,"")</f>
        <v>122.80422000000002</v>
      </c>
      <c r="G52" s="44"/>
      <c r="H52" s="45"/>
      <c r="I52" s="153">
        <v>0</v>
      </c>
    </row>
    <row r="53" spans="1:9" ht="26.25" hidden="1" thickBot="1" x14ac:dyDescent="0.3">
      <c r="A53" s="182"/>
      <c r="B53" s="35" t="s">
        <v>1271</v>
      </c>
      <c r="C53" s="35" t="s">
        <v>583</v>
      </c>
      <c r="D53" s="36">
        <v>4.5</v>
      </c>
      <c r="E53" s="30">
        <v>20.291999999999998</v>
      </c>
      <c r="F53" s="33">
        <f>IF(ISNUMBER(E53),E53*$D53,"")</f>
        <v>91.313999999999993</v>
      </c>
      <c r="G53" s="44"/>
      <c r="H53" s="45"/>
      <c r="I53" s="153">
        <v>0</v>
      </c>
    </row>
    <row r="54" spans="1:9" ht="39" hidden="1" thickBot="1" x14ac:dyDescent="0.3">
      <c r="A54" s="182"/>
      <c r="B54" s="35" t="s">
        <v>84</v>
      </c>
      <c r="C54" s="35" t="s">
        <v>813</v>
      </c>
      <c r="D54" s="36">
        <v>1.05</v>
      </c>
      <c r="E54" s="30">
        <v>1.6435</v>
      </c>
      <c r="F54" s="33">
        <f>IF(ISNUMBER(E54),E54*$D54,"")</f>
        <v>1.7256750000000001</v>
      </c>
      <c r="G54" s="44"/>
      <c r="H54" s="45"/>
      <c r="I54" s="153">
        <v>0</v>
      </c>
    </row>
    <row r="55" spans="1:9" ht="39" hidden="1" thickBot="1" x14ac:dyDescent="0.3">
      <c r="A55" s="182"/>
      <c r="B55" s="35" t="s">
        <v>85</v>
      </c>
      <c r="C55" s="35" t="s">
        <v>815</v>
      </c>
      <c r="D55" s="36">
        <v>3.45</v>
      </c>
      <c r="E55" s="30">
        <v>0.42749999999999999</v>
      </c>
      <c r="F55" s="33">
        <f>IF(ISNUMBER(E55),E55*$D55,"")</f>
        <v>1.4748749999999999</v>
      </c>
      <c r="G55" s="44"/>
      <c r="H55" s="45"/>
      <c r="I55" s="153">
        <v>0</v>
      </c>
    </row>
    <row r="56" spans="1:9" ht="51.75" hidden="1" thickBot="1" x14ac:dyDescent="0.3">
      <c r="A56" s="182"/>
      <c r="B56" s="35" t="s">
        <v>3071</v>
      </c>
      <c r="C56" s="35" t="s">
        <v>87</v>
      </c>
      <c r="D56" s="36">
        <f>ROUND(1*D50,4)</f>
        <v>1.1599999999999999</v>
      </c>
      <c r="E56" s="30">
        <v>8.0531015499999992</v>
      </c>
      <c r="F56" s="33">
        <f>IF(ISNUMBER(E56),E56*$D56,"")</f>
        <v>9.3415977979999987</v>
      </c>
      <c r="G56" s="44"/>
      <c r="H56" s="45"/>
      <c r="I56" s="153">
        <v>0</v>
      </c>
    </row>
    <row r="57" spans="1:9" ht="39" hidden="1" thickBot="1" x14ac:dyDescent="0.3">
      <c r="A57" s="182"/>
      <c r="B57" s="35" t="s">
        <v>3068</v>
      </c>
      <c r="C57" s="46" t="s">
        <v>89</v>
      </c>
      <c r="D57" s="36">
        <f>ROUND(D50*20,4)</f>
        <v>23.2</v>
      </c>
      <c r="E57" s="30">
        <v>2.6576449499999995</v>
      </c>
      <c r="F57" s="33">
        <f>IF(ISNUMBER(E57),E57*$D57,"")</f>
        <v>61.657362839999983</v>
      </c>
      <c r="G57" s="44"/>
      <c r="H57" s="45"/>
      <c r="I57" s="153">
        <v>0</v>
      </c>
    </row>
    <row r="58" spans="1:9" ht="15.75" hidden="1" thickBot="1" x14ac:dyDescent="0.3">
      <c r="A58" s="182"/>
      <c r="B58" s="50"/>
      <c r="C58" s="46"/>
      <c r="D58" s="36"/>
      <c r="E58" s="30" t="s">
        <v>416</v>
      </c>
      <c r="F58" s="33" t="str">
        <f>IF(ISNUMBER(E58),E58*$D58,"")</f>
        <v/>
      </c>
      <c r="G58" s="44"/>
      <c r="H58" s="45"/>
      <c r="I58" s="153">
        <v>0</v>
      </c>
    </row>
    <row r="59" spans="1:9" ht="15.75" hidden="1" thickBot="1" x14ac:dyDescent="0.3">
      <c r="A59" s="182"/>
      <c r="B59" s="47" t="s">
        <v>631</v>
      </c>
      <c r="C59" s="46"/>
      <c r="D59" s="36"/>
      <c r="E59" s="30" t="s">
        <v>416</v>
      </c>
      <c r="F59" s="33" t="str">
        <f>IF(ISNUMBER(E59),E59*$D59,"")</f>
        <v/>
      </c>
      <c r="G59" s="44"/>
      <c r="H59" s="45"/>
      <c r="I59" s="153">
        <v>0</v>
      </c>
    </row>
    <row r="60" spans="1:9" ht="15.75" hidden="1" thickBot="1" x14ac:dyDescent="0.3">
      <c r="A60" s="182"/>
      <c r="B60" s="35" t="s">
        <v>416</v>
      </c>
      <c r="C60" s="35"/>
      <c r="D60" s="92"/>
      <c r="E60" s="30" t="s">
        <v>416</v>
      </c>
      <c r="F60" s="30" t="str">
        <f>IF(ISNUMBER(E60),E60*$D60,"")</f>
        <v/>
      </c>
      <c r="G60" s="34"/>
      <c r="H60" s="30"/>
      <c r="I60" s="153">
        <v>0</v>
      </c>
    </row>
    <row r="61" spans="1:9" ht="15.75" hidden="1" thickBot="1" x14ac:dyDescent="0.3">
      <c r="A61" s="183" t="s">
        <v>5741</v>
      </c>
      <c r="B61" s="40" t="s">
        <v>416</v>
      </c>
      <c r="C61" s="25" t="s">
        <v>861</v>
      </c>
      <c r="D61" s="93"/>
      <c r="E61" s="41" t="s">
        <v>416</v>
      </c>
      <c r="F61" s="41" t="str">
        <f>IF(ISNUMBER(E61),E61*$D61,"")</f>
        <v/>
      </c>
      <c r="G61" s="28"/>
      <c r="H61" s="29"/>
      <c r="I61" s="153">
        <v>0</v>
      </c>
    </row>
    <row r="62" spans="1:9" ht="15.75" hidden="1" thickBot="1" x14ac:dyDescent="0.3">
      <c r="A62" s="182"/>
      <c r="B62" s="31" t="s">
        <v>416</v>
      </c>
      <c r="C62" s="31"/>
      <c r="D62" s="91"/>
      <c r="E62" s="97" t="s">
        <v>416</v>
      </c>
      <c r="F62" s="98" t="str">
        <f>IF(ISNUMBER(E62),E62*$D62,"")</f>
        <v/>
      </c>
      <c r="G62" s="34"/>
      <c r="H62" s="30"/>
      <c r="I62" s="153">
        <v>0</v>
      </c>
    </row>
    <row r="63" spans="1:9" ht="15.75" hidden="1" thickBot="1" x14ac:dyDescent="0.3">
      <c r="A63" s="182"/>
      <c r="B63" s="35" t="s">
        <v>8065</v>
      </c>
      <c r="C63" s="35" t="s">
        <v>773</v>
      </c>
      <c r="D63" s="36">
        <v>0.5</v>
      </c>
      <c r="E63" s="33">
        <v>0.627</v>
      </c>
      <c r="F63" s="33">
        <f>IF(ISNUMBER(E63),E63*$D63,"")</f>
        <v>0.3135</v>
      </c>
      <c r="G63" s="44">
        <f>SUM(F63:F67)</f>
        <v>44.988025799738793</v>
      </c>
      <c r="H63" s="45"/>
      <c r="I63" s="153">
        <v>0</v>
      </c>
    </row>
    <row r="64" spans="1:9" ht="26.25" hidden="1" thickBot="1" x14ac:dyDescent="0.3">
      <c r="A64" s="182"/>
      <c r="B64" s="35" t="s">
        <v>7976</v>
      </c>
      <c r="C64" s="35" t="s">
        <v>75</v>
      </c>
      <c r="D64" s="36">
        <v>0.21</v>
      </c>
      <c r="E64" s="33">
        <v>15.560999999999998</v>
      </c>
      <c r="F64" s="33">
        <f>IF(ISNUMBER(E64),E64*$D64,"")</f>
        <v>3.2678099999999994</v>
      </c>
      <c r="G64" s="44"/>
      <c r="H64" s="45"/>
      <c r="I64" s="153">
        <v>0</v>
      </c>
    </row>
    <row r="65" spans="1:9" ht="39" hidden="1" thickBot="1" x14ac:dyDescent="0.3">
      <c r="A65" s="182"/>
      <c r="B65" s="35" t="s">
        <v>1197</v>
      </c>
      <c r="C65" s="35" t="s">
        <v>87</v>
      </c>
      <c r="D65" s="36">
        <v>4.3099999999999999E-2</v>
      </c>
      <c r="E65" s="30">
        <v>748.59992574799992</v>
      </c>
      <c r="F65" s="33">
        <f>IF(ISNUMBER(E65),E65*$D65,"")</f>
        <v>32.264656799738795</v>
      </c>
      <c r="G65" s="44"/>
      <c r="H65" s="45"/>
      <c r="I65" s="153">
        <v>0</v>
      </c>
    </row>
    <row r="66" spans="1:9" ht="15.75" hidden="1" thickBot="1" x14ac:dyDescent="0.3">
      <c r="A66" s="182"/>
      <c r="B66" s="35" t="s">
        <v>591</v>
      </c>
      <c r="C66" s="35" t="s">
        <v>583</v>
      </c>
      <c r="D66" s="36">
        <v>0.245</v>
      </c>
      <c r="E66" s="30">
        <v>27.160499999999999</v>
      </c>
      <c r="F66" s="33">
        <f>IF(ISNUMBER(E66),E66*$D66,"")</f>
        <v>6.6543224999999993</v>
      </c>
      <c r="G66" s="44"/>
      <c r="H66" s="45"/>
      <c r="I66" s="153">
        <v>0</v>
      </c>
    </row>
    <row r="67" spans="1:9" ht="15.75" hidden="1" thickBot="1" x14ac:dyDescent="0.3">
      <c r="A67" s="182"/>
      <c r="B67" s="35" t="s">
        <v>584</v>
      </c>
      <c r="C67" s="35" t="s">
        <v>583</v>
      </c>
      <c r="D67" s="36">
        <v>0.123</v>
      </c>
      <c r="E67" s="30">
        <v>20.225499999999997</v>
      </c>
      <c r="F67" s="33">
        <f>IF(ISNUMBER(E67),E67*$D67,"")</f>
        <v>2.4877364999999996</v>
      </c>
      <c r="G67" s="44"/>
      <c r="H67" s="45"/>
      <c r="I67" s="153">
        <v>0</v>
      </c>
    </row>
    <row r="68" spans="1:9" ht="15.75" hidden="1" thickBot="1" x14ac:dyDescent="0.3">
      <c r="A68" s="182"/>
      <c r="B68" s="35" t="s">
        <v>416</v>
      </c>
      <c r="C68" s="35"/>
      <c r="D68" s="92"/>
      <c r="E68" s="30" t="s">
        <v>416</v>
      </c>
      <c r="F68" s="30" t="str">
        <f>IF(ISNUMBER(E68),E68*$D68,"")</f>
        <v/>
      </c>
      <c r="G68" s="34"/>
      <c r="H68" s="30"/>
      <c r="I68" s="153">
        <v>0</v>
      </c>
    </row>
    <row r="69" spans="1:9" ht="15.75" hidden="1" thickBot="1" x14ac:dyDescent="0.3">
      <c r="A69" s="183" t="s">
        <v>120</v>
      </c>
      <c r="B69" s="40" t="s">
        <v>416</v>
      </c>
      <c r="C69" s="25" t="s">
        <v>87</v>
      </c>
      <c r="D69" s="93"/>
      <c r="E69" s="41" t="s">
        <v>416</v>
      </c>
      <c r="F69" s="41" t="str">
        <f>IF(ISNUMBER(E69),E69*$D69,"")</f>
        <v/>
      </c>
      <c r="G69" s="28"/>
      <c r="H69" s="29"/>
      <c r="I69" s="153">
        <v>0</v>
      </c>
    </row>
    <row r="70" spans="1:9" ht="15.75" hidden="1" thickBot="1" x14ac:dyDescent="0.3">
      <c r="A70" s="182"/>
      <c r="B70" s="31" t="s">
        <v>416</v>
      </c>
      <c r="C70" s="31"/>
      <c r="D70" s="91"/>
      <c r="E70" s="42" t="s">
        <v>416</v>
      </c>
      <c r="F70" s="30" t="str">
        <f>IF(ISNUMBER(E70),E70*$D70,"")</f>
        <v/>
      </c>
      <c r="G70" s="34"/>
      <c r="H70" s="30"/>
      <c r="I70" s="153">
        <v>0</v>
      </c>
    </row>
    <row r="71" spans="1:9" ht="26.25" hidden="1" thickBot="1" x14ac:dyDescent="0.3">
      <c r="A71" s="182"/>
      <c r="B71" s="35" t="s">
        <v>1140</v>
      </c>
      <c r="C71" s="35" t="s">
        <v>87</v>
      </c>
      <c r="D71" s="36">
        <v>0.94</v>
      </c>
      <c r="E71" s="33">
        <v>204.97199999999998</v>
      </c>
      <c r="F71" s="33">
        <f>IF(ISNUMBER(E71),E71*$D71,"")</f>
        <v>192.67367999999996</v>
      </c>
      <c r="G71" s="44">
        <f>SUM(F71:F75)</f>
        <v>738.08134051699994</v>
      </c>
      <c r="H71" s="45"/>
      <c r="I71" s="153">
        <v>0</v>
      </c>
    </row>
    <row r="72" spans="1:9" ht="15.75" hidden="1" thickBot="1" x14ac:dyDescent="0.3">
      <c r="A72" s="182"/>
      <c r="B72" s="35" t="s">
        <v>8065</v>
      </c>
      <c r="C72" s="35" t="s">
        <v>773</v>
      </c>
      <c r="D72" s="36">
        <v>422.63</v>
      </c>
      <c r="E72" s="33">
        <v>0.627</v>
      </c>
      <c r="F72" s="33">
        <f>IF(ISNUMBER(E72),E72*$D72,"")</f>
        <v>264.98901000000001</v>
      </c>
      <c r="G72" s="44"/>
      <c r="H72" s="45"/>
      <c r="I72" s="153">
        <v>0</v>
      </c>
    </row>
    <row r="73" spans="1:9" ht="15.75" hidden="1" thickBot="1" x14ac:dyDescent="0.3">
      <c r="A73" s="182"/>
      <c r="B73" s="35" t="s">
        <v>584</v>
      </c>
      <c r="C73" s="35" t="s">
        <v>583</v>
      </c>
      <c r="D73" s="36">
        <v>11.02</v>
      </c>
      <c r="E73" s="30">
        <v>20.225499999999997</v>
      </c>
      <c r="F73" s="33">
        <f>IF(ISNUMBER(E73),E73*$D73,"")</f>
        <v>222.88500999999997</v>
      </c>
      <c r="G73" s="44"/>
      <c r="H73" s="45"/>
      <c r="I73" s="153">
        <v>0</v>
      </c>
    </row>
    <row r="74" spans="1:9" ht="51.75" hidden="1" thickBot="1" x14ac:dyDescent="0.3">
      <c r="A74" s="182"/>
      <c r="B74" s="35" t="s">
        <v>3071</v>
      </c>
      <c r="C74" s="35" t="s">
        <v>87</v>
      </c>
      <c r="D74" s="36">
        <f>ROUND(1*D71,4)</f>
        <v>0.94</v>
      </c>
      <c r="E74" s="30">
        <v>8.0531015499999992</v>
      </c>
      <c r="F74" s="33">
        <f>IF(ISNUMBER(E74),E74*$D74,"")</f>
        <v>7.5699154569999987</v>
      </c>
      <c r="G74" s="44"/>
      <c r="H74" s="45"/>
      <c r="I74" s="153">
        <v>0</v>
      </c>
    </row>
    <row r="75" spans="1:9" ht="39" hidden="1" thickBot="1" x14ac:dyDescent="0.3">
      <c r="A75" s="182"/>
      <c r="B75" s="35" t="s">
        <v>3068</v>
      </c>
      <c r="C75" s="46" t="s">
        <v>89</v>
      </c>
      <c r="D75" s="36">
        <f>ROUND(D71*20,4)</f>
        <v>18.8</v>
      </c>
      <c r="E75" s="30">
        <v>2.6576449499999995</v>
      </c>
      <c r="F75" s="33">
        <f>IF(ISNUMBER(E75),E75*$D75,"")</f>
        <v>49.963725059999994</v>
      </c>
      <c r="G75" s="44"/>
      <c r="H75" s="45"/>
      <c r="I75" s="153">
        <v>0</v>
      </c>
    </row>
    <row r="76" spans="1:9" ht="15.75" hidden="1" thickBot="1" x14ac:dyDescent="0.3">
      <c r="A76" s="182"/>
      <c r="B76" s="50"/>
      <c r="C76" s="46"/>
      <c r="D76" s="36"/>
      <c r="E76" s="30" t="s">
        <v>416</v>
      </c>
      <c r="F76" s="33" t="str">
        <f>IF(ISNUMBER(E76),E76*$D76,"")</f>
        <v/>
      </c>
      <c r="G76" s="44"/>
      <c r="H76" s="45"/>
      <c r="I76" s="153">
        <v>0</v>
      </c>
    </row>
    <row r="77" spans="1:9" ht="15.75" hidden="1" thickBot="1" x14ac:dyDescent="0.3">
      <c r="A77" s="182"/>
      <c r="B77" s="47" t="s">
        <v>631</v>
      </c>
      <c r="C77" s="46"/>
      <c r="D77" s="36"/>
      <c r="E77" s="30" t="s">
        <v>416</v>
      </c>
      <c r="F77" s="33" t="str">
        <f>IF(ISNUMBER(E77),E77*$D77,"")</f>
        <v/>
      </c>
      <c r="G77" s="44"/>
      <c r="H77" s="45"/>
      <c r="I77" s="153">
        <v>0</v>
      </c>
    </row>
    <row r="78" spans="1:9" ht="15.75" hidden="1" thickBot="1" x14ac:dyDescent="0.3">
      <c r="A78" s="182"/>
      <c r="B78" s="35" t="s">
        <v>416</v>
      </c>
      <c r="C78" s="35"/>
      <c r="D78" s="92"/>
      <c r="E78" s="30" t="s">
        <v>416</v>
      </c>
      <c r="F78" s="30" t="str">
        <f>IF(ISNUMBER(E78),E78*$D78,"")</f>
        <v/>
      </c>
      <c r="G78" s="34"/>
      <c r="H78" s="30"/>
      <c r="I78" s="153">
        <v>0</v>
      </c>
    </row>
    <row r="79" spans="1:9" ht="15.75" hidden="1" thickBot="1" x14ac:dyDescent="0.3">
      <c r="A79" s="183" t="s">
        <v>118</v>
      </c>
      <c r="B79" s="40" t="s">
        <v>416</v>
      </c>
      <c r="C79" s="25" t="s">
        <v>87</v>
      </c>
      <c r="D79" s="93"/>
      <c r="E79" s="41" t="s">
        <v>416</v>
      </c>
      <c r="F79" s="41" t="str">
        <f>IF(ISNUMBER(E79),E79*$D79,"")</f>
        <v/>
      </c>
      <c r="G79" s="28"/>
      <c r="H79" s="29"/>
      <c r="I79" s="153">
        <v>0</v>
      </c>
    </row>
    <row r="80" spans="1:9" ht="15.75" hidden="1" thickBot="1" x14ac:dyDescent="0.3">
      <c r="A80" s="182"/>
      <c r="B80" s="31" t="s">
        <v>416</v>
      </c>
      <c r="C80" s="31"/>
      <c r="D80" s="91"/>
      <c r="E80" s="42" t="s">
        <v>416</v>
      </c>
      <c r="F80" s="30" t="str">
        <f>IF(ISNUMBER(E80),E80*$D80,"")</f>
        <v/>
      </c>
      <c r="G80" s="34"/>
      <c r="H80" s="30"/>
      <c r="I80" s="153">
        <v>0</v>
      </c>
    </row>
    <row r="81" spans="1:9" ht="15.75" hidden="1" thickBot="1" x14ac:dyDescent="0.3">
      <c r="A81" s="182"/>
      <c r="B81" s="35" t="s">
        <v>7990</v>
      </c>
      <c r="C81" s="35" t="s">
        <v>773</v>
      </c>
      <c r="D81" s="36">
        <v>1981.23</v>
      </c>
      <c r="E81" s="33">
        <v>1.1969999999999998</v>
      </c>
      <c r="F81" s="33">
        <f>IF(ISNUMBER(E81),E81*$D81,"")</f>
        <v>2371.5323099999996</v>
      </c>
      <c r="G81" s="44">
        <f>SUM(F81:F84)</f>
        <v>2476.2639199999994</v>
      </c>
      <c r="H81" s="45"/>
      <c r="I81" s="153">
        <v>0</v>
      </c>
    </row>
    <row r="82" spans="1:9" ht="26.25" hidden="1" thickBot="1" x14ac:dyDescent="0.3">
      <c r="A82" s="182"/>
      <c r="B82" s="35" t="s">
        <v>1271</v>
      </c>
      <c r="C82" s="35" t="s">
        <v>583</v>
      </c>
      <c r="D82" s="36">
        <v>4.72</v>
      </c>
      <c r="E82" s="30">
        <v>20.291999999999998</v>
      </c>
      <c r="F82" s="33">
        <f>IF(ISNUMBER(E82),E82*$D82,"")</f>
        <v>95.778239999999983</v>
      </c>
      <c r="G82" s="44"/>
      <c r="H82" s="45"/>
      <c r="I82" s="153">
        <v>0</v>
      </c>
    </row>
    <row r="83" spans="1:9" ht="39" hidden="1" thickBot="1" x14ac:dyDescent="0.3">
      <c r="A83" s="182"/>
      <c r="B83" s="35" t="s">
        <v>2866</v>
      </c>
      <c r="C83" s="35" t="s">
        <v>813</v>
      </c>
      <c r="D83" s="36">
        <v>1.1000000000000001</v>
      </c>
      <c r="E83" s="30">
        <v>4.2939999999999996</v>
      </c>
      <c r="F83" s="94">
        <f>IF(ISNUMBER(E83),E83*$D83,"")</f>
        <v>4.7233999999999998</v>
      </c>
      <c r="G83" s="44"/>
      <c r="H83" s="45"/>
      <c r="I83" s="153">
        <v>0</v>
      </c>
    </row>
    <row r="84" spans="1:9" ht="39" hidden="1" thickBot="1" x14ac:dyDescent="0.3">
      <c r="A84" s="182"/>
      <c r="B84" s="35" t="s">
        <v>2873</v>
      </c>
      <c r="C84" s="35" t="s">
        <v>815</v>
      </c>
      <c r="D84" s="36">
        <v>3.62</v>
      </c>
      <c r="E84" s="30">
        <v>1.1684999999999999</v>
      </c>
      <c r="F84" s="94">
        <f>IF(ISNUMBER(E84),E84*$D84,"")</f>
        <v>4.2299699999999998</v>
      </c>
      <c r="G84" s="44"/>
      <c r="H84" s="45"/>
      <c r="I84" s="153">
        <v>0</v>
      </c>
    </row>
    <row r="85" spans="1:9" ht="15.75" hidden="1" thickBot="1" x14ac:dyDescent="0.3">
      <c r="A85" s="182"/>
      <c r="B85" s="35" t="s">
        <v>416</v>
      </c>
      <c r="C85" s="35"/>
      <c r="D85" s="92"/>
      <c r="E85" s="30" t="s">
        <v>416</v>
      </c>
      <c r="F85" s="30" t="str">
        <f>IF(ISNUMBER(E85),E85*$D85,"")</f>
        <v/>
      </c>
      <c r="G85" s="34"/>
      <c r="H85" s="30"/>
      <c r="I85" s="153">
        <v>0</v>
      </c>
    </row>
    <row r="86" spans="1:9" ht="15.75" hidden="1" thickBot="1" x14ac:dyDescent="0.3">
      <c r="A86" s="183" t="s">
        <v>150</v>
      </c>
      <c r="B86" s="40" t="s">
        <v>416</v>
      </c>
      <c r="C86" s="25" t="s">
        <v>87</v>
      </c>
      <c r="D86" s="93"/>
      <c r="E86" s="41" t="s">
        <v>416</v>
      </c>
      <c r="F86" s="41" t="str">
        <f>IF(ISNUMBER(E86),E86*$D86,"")</f>
        <v/>
      </c>
      <c r="G86" s="28"/>
      <c r="H86" s="29"/>
      <c r="I86" s="153">
        <v>0</v>
      </c>
    </row>
    <row r="87" spans="1:9" ht="15.75" hidden="1" thickBot="1" x14ac:dyDescent="0.3">
      <c r="A87" s="182"/>
      <c r="B87" s="31" t="s">
        <v>416</v>
      </c>
      <c r="C87" s="31"/>
      <c r="D87" s="91"/>
      <c r="E87" s="42" t="s">
        <v>416</v>
      </c>
      <c r="F87" s="30" t="str">
        <f>IF(ISNUMBER(E87),E87*$D87,"")</f>
        <v/>
      </c>
      <c r="G87" s="34"/>
      <c r="H87" s="30"/>
      <c r="I87" s="153">
        <v>0</v>
      </c>
    </row>
    <row r="88" spans="1:9" ht="26.25" hidden="1" thickBot="1" x14ac:dyDescent="0.3">
      <c r="A88" s="182"/>
      <c r="B88" s="35" t="s">
        <v>7985</v>
      </c>
      <c r="C88" s="35" t="s">
        <v>87</v>
      </c>
      <c r="D88" s="36">
        <v>1.35</v>
      </c>
      <c r="E88" s="33">
        <v>202.33099999999999</v>
      </c>
      <c r="F88" s="33">
        <f>IF(ISNUMBER(E88),E88*$D88,"")</f>
        <v>273.14685000000003</v>
      </c>
      <c r="G88" s="44">
        <f>SUM(F88:F92)</f>
        <v>863.68162074249994</v>
      </c>
      <c r="H88" s="45"/>
      <c r="I88" s="153">
        <v>0</v>
      </c>
    </row>
    <row r="89" spans="1:9" ht="15.75" hidden="1" thickBot="1" x14ac:dyDescent="0.3">
      <c r="A89" s="182"/>
      <c r="B89" s="35" t="s">
        <v>8065</v>
      </c>
      <c r="C89" s="35" t="s">
        <v>773</v>
      </c>
      <c r="D89" s="36">
        <v>454.58</v>
      </c>
      <c r="E89" s="33">
        <v>0.627</v>
      </c>
      <c r="F89" s="33">
        <f>IF(ISNUMBER(E89),E89*$D89,"")</f>
        <v>285.02166</v>
      </c>
      <c r="G89" s="44"/>
      <c r="H89" s="45"/>
      <c r="I89" s="153">
        <v>0</v>
      </c>
    </row>
    <row r="90" spans="1:9" ht="15.75" hidden="1" thickBot="1" x14ac:dyDescent="0.3">
      <c r="A90" s="182"/>
      <c r="B90" s="35" t="s">
        <v>584</v>
      </c>
      <c r="C90" s="35" t="s">
        <v>583</v>
      </c>
      <c r="D90" s="36">
        <v>11.02</v>
      </c>
      <c r="E90" s="30">
        <v>20.225499999999997</v>
      </c>
      <c r="F90" s="33">
        <f>IF(ISNUMBER(E90),E90*$D90,"")</f>
        <v>222.88500999999997</v>
      </c>
      <c r="G90" s="44"/>
      <c r="H90" s="45"/>
      <c r="I90" s="153">
        <v>0</v>
      </c>
    </row>
    <row r="91" spans="1:9" ht="51.75" hidden="1" thickBot="1" x14ac:dyDescent="0.3">
      <c r="A91" s="182"/>
      <c r="B91" s="35" t="s">
        <v>3071</v>
      </c>
      <c r="C91" s="35" t="s">
        <v>87</v>
      </c>
      <c r="D91" s="36">
        <f>ROUND(1*D88,4)</f>
        <v>1.35</v>
      </c>
      <c r="E91" s="30">
        <v>8.0531015499999992</v>
      </c>
      <c r="F91" s="33">
        <f>IF(ISNUMBER(E91),E91*$D91,"")</f>
        <v>10.8716870925</v>
      </c>
      <c r="G91" s="44"/>
      <c r="H91" s="45"/>
      <c r="I91" s="153">
        <v>0</v>
      </c>
    </row>
    <row r="92" spans="1:9" ht="39" hidden="1" thickBot="1" x14ac:dyDescent="0.3">
      <c r="A92" s="182"/>
      <c r="B92" s="35" t="s">
        <v>3068</v>
      </c>
      <c r="C92" s="46" t="s">
        <v>89</v>
      </c>
      <c r="D92" s="36">
        <f>ROUND(D88*20,4)</f>
        <v>27</v>
      </c>
      <c r="E92" s="30">
        <v>2.6576449499999995</v>
      </c>
      <c r="F92" s="33">
        <f>IF(ISNUMBER(E92),E92*$D92,"")</f>
        <v>71.756413649999985</v>
      </c>
      <c r="G92" s="44"/>
      <c r="H92" s="45"/>
      <c r="I92" s="153">
        <v>0</v>
      </c>
    </row>
    <row r="93" spans="1:9" ht="15.75" hidden="1" thickBot="1" x14ac:dyDescent="0.3">
      <c r="A93" s="182"/>
      <c r="B93" s="50"/>
      <c r="C93" s="46"/>
      <c r="D93" s="36"/>
      <c r="E93" s="30" t="s">
        <v>416</v>
      </c>
      <c r="F93" s="33" t="str">
        <f>IF(ISNUMBER(E93),E93*$D93,"")</f>
        <v/>
      </c>
      <c r="G93" s="44"/>
      <c r="H93" s="45"/>
      <c r="I93" s="153">
        <v>0</v>
      </c>
    </row>
    <row r="94" spans="1:9" ht="15.75" hidden="1" thickBot="1" x14ac:dyDescent="0.3">
      <c r="A94" s="182"/>
      <c r="B94" s="47" t="s">
        <v>631</v>
      </c>
      <c r="C94" s="46"/>
      <c r="D94" s="36"/>
      <c r="E94" s="30" t="s">
        <v>416</v>
      </c>
      <c r="F94" s="33" t="str">
        <f>IF(ISNUMBER(E94),E94*$D94,"")</f>
        <v/>
      </c>
      <c r="G94" s="44"/>
      <c r="H94" s="45"/>
      <c r="I94" s="153">
        <v>0</v>
      </c>
    </row>
    <row r="95" spans="1:9" ht="15.75" hidden="1" thickBot="1" x14ac:dyDescent="0.3">
      <c r="A95" s="182"/>
      <c r="B95" s="35" t="s">
        <v>416</v>
      </c>
      <c r="C95" s="35"/>
      <c r="D95" s="92"/>
      <c r="E95" s="30" t="s">
        <v>416</v>
      </c>
      <c r="F95" s="30" t="str">
        <f>IF(ISNUMBER(E95),E95*$D95,"")</f>
        <v/>
      </c>
      <c r="G95" s="34"/>
      <c r="H95" s="30"/>
      <c r="I95" s="153">
        <v>0</v>
      </c>
    </row>
    <row r="96" spans="1:9" ht="15.75" hidden="1" thickBot="1" x14ac:dyDescent="0.3">
      <c r="A96" s="183" t="s">
        <v>184</v>
      </c>
      <c r="B96" s="40" t="s">
        <v>416</v>
      </c>
      <c r="C96" s="25" t="s">
        <v>87</v>
      </c>
      <c r="D96" s="93"/>
      <c r="E96" s="41" t="s">
        <v>416</v>
      </c>
      <c r="F96" s="41" t="str">
        <f>IF(ISNUMBER(E96),E96*$D96,"")</f>
        <v/>
      </c>
      <c r="G96" s="28"/>
      <c r="H96" s="29"/>
      <c r="I96" s="153">
        <v>0</v>
      </c>
    </row>
    <row r="97" spans="1:9" ht="15.75" hidden="1" thickBot="1" x14ac:dyDescent="0.3">
      <c r="A97" s="182"/>
      <c r="B97" s="31" t="s">
        <v>416</v>
      </c>
      <c r="C97" s="31"/>
      <c r="D97" s="91"/>
      <c r="E97" s="42" t="s">
        <v>416</v>
      </c>
      <c r="F97" s="30" t="str">
        <f>IF(ISNUMBER(E97),E97*$D97,"")</f>
        <v/>
      </c>
      <c r="G97" s="34"/>
      <c r="H97" s="30"/>
      <c r="I97" s="153">
        <v>0</v>
      </c>
    </row>
    <row r="98" spans="1:9" ht="26.25" hidden="1" thickBot="1" x14ac:dyDescent="0.3">
      <c r="A98" s="182"/>
      <c r="B98" s="35" t="s">
        <v>7985</v>
      </c>
      <c r="C98" s="35" t="s">
        <v>87</v>
      </c>
      <c r="D98" s="36">
        <v>1.1499999999999999</v>
      </c>
      <c r="E98" s="33">
        <v>202.33099999999999</v>
      </c>
      <c r="F98" s="33">
        <f>IF(ISNUMBER(E98),E98*$D98,"")</f>
        <v>232.68064999999996</v>
      </c>
      <c r="G98" s="44">
        <f>SUM(F98:F102)</f>
        <v>714.97852563250001</v>
      </c>
      <c r="H98" s="45"/>
      <c r="I98" s="153">
        <v>0</v>
      </c>
    </row>
    <row r="99" spans="1:9" ht="15.75" hidden="1" thickBot="1" x14ac:dyDescent="0.3">
      <c r="A99" s="182"/>
      <c r="B99" s="35" t="s">
        <v>8065</v>
      </c>
      <c r="C99" s="35" t="s">
        <v>773</v>
      </c>
      <c r="D99" s="36">
        <v>389.54</v>
      </c>
      <c r="E99" s="33">
        <v>0.627</v>
      </c>
      <c r="F99" s="33">
        <f>IF(ISNUMBER(E99),E99*$D99,"")</f>
        <v>244.24158000000003</v>
      </c>
      <c r="G99" s="44"/>
      <c r="H99" s="45"/>
      <c r="I99" s="153">
        <v>0</v>
      </c>
    </row>
    <row r="100" spans="1:9" ht="15.75" hidden="1" thickBot="1" x14ac:dyDescent="0.3">
      <c r="A100" s="182"/>
      <c r="B100" s="35" t="s">
        <v>584</v>
      </c>
      <c r="C100" s="35" t="s">
        <v>583</v>
      </c>
      <c r="D100" s="36">
        <v>8.2899999999999991</v>
      </c>
      <c r="E100" s="30">
        <v>20.225499999999997</v>
      </c>
      <c r="F100" s="33">
        <f>IF(ISNUMBER(E100),E100*$D100,"")</f>
        <v>167.66939499999995</v>
      </c>
      <c r="G100" s="44"/>
      <c r="H100" s="45"/>
      <c r="I100" s="153">
        <v>0</v>
      </c>
    </row>
    <row r="101" spans="1:9" ht="51.75" hidden="1" thickBot="1" x14ac:dyDescent="0.3">
      <c r="A101" s="182"/>
      <c r="B101" s="35" t="s">
        <v>3071</v>
      </c>
      <c r="C101" s="35" t="s">
        <v>87</v>
      </c>
      <c r="D101" s="36">
        <f>ROUND(1*D98,4)</f>
        <v>1.1499999999999999</v>
      </c>
      <c r="E101" s="30">
        <v>8.0531015499999992</v>
      </c>
      <c r="F101" s="33">
        <f>IF(ISNUMBER(E101),E101*$D101,"")</f>
        <v>9.2610667824999986</v>
      </c>
      <c r="G101" s="44"/>
      <c r="H101" s="45"/>
      <c r="I101" s="153">
        <v>0</v>
      </c>
    </row>
    <row r="102" spans="1:9" ht="39" hidden="1" thickBot="1" x14ac:dyDescent="0.3">
      <c r="A102" s="182"/>
      <c r="B102" s="35" t="s">
        <v>3068</v>
      </c>
      <c r="C102" s="46" t="s">
        <v>89</v>
      </c>
      <c r="D102" s="36">
        <f>ROUND(D98*20,4)</f>
        <v>23</v>
      </c>
      <c r="E102" s="30">
        <v>2.6576449499999995</v>
      </c>
      <c r="F102" s="33">
        <f>IF(ISNUMBER(E102),E102*$D102,"")</f>
        <v>61.125833849999985</v>
      </c>
      <c r="G102" s="44"/>
      <c r="H102" s="45"/>
      <c r="I102" s="153">
        <v>0</v>
      </c>
    </row>
    <row r="103" spans="1:9" ht="15.75" hidden="1" thickBot="1" x14ac:dyDescent="0.3">
      <c r="A103" s="182"/>
      <c r="B103" s="50"/>
      <c r="C103" s="46"/>
      <c r="D103" s="36"/>
      <c r="E103" s="30" t="s">
        <v>416</v>
      </c>
      <c r="F103" s="33" t="str">
        <f>IF(ISNUMBER(E103),E103*$D103,"")</f>
        <v/>
      </c>
      <c r="G103" s="44"/>
      <c r="H103" s="45"/>
      <c r="I103" s="153">
        <v>0</v>
      </c>
    </row>
    <row r="104" spans="1:9" ht="15.75" hidden="1" thickBot="1" x14ac:dyDescent="0.3">
      <c r="A104" s="182"/>
      <c r="B104" s="47" t="s">
        <v>631</v>
      </c>
      <c r="C104" s="46"/>
      <c r="D104" s="36"/>
      <c r="E104" s="30" t="s">
        <v>416</v>
      </c>
      <c r="F104" s="33" t="str">
        <f>IF(ISNUMBER(E104),E104*$D104,"")</f>
        <v/>
      </c>
      <c r="G104" s="44"/>
      <c r="H104" s="45"/>
      <c r="I104" s="153">
        <v>0</v>
      </c>
    </row>
    <row r="105" spans="1:9" ht="15.75" hidden="1" thickBot="1" x14ac:dyDescent="0.3">
      <c r="A105" s="182"/>
      <c r="B105" s="35" t="s">
        <v>416</v>
      </c>
      <c r="C105" s="35"/>
      <c r="D105" s="92"/>
      <c r="E105" s="30" t="s">
        <v>416</v>
      </c>
      <c r="F105" s="30" t="str">
        <f>IF(ISNUMBER(E105),E105*$D105,"")</f>
        <v/>
      </c>
      <c r="G105" s="34"/>
      <c r="H105" s="30"/>
      <c r="I105" s="153">
        <v>0</v>
      </c>
    </row>
    <row r="106" spans="1:9" ht="15.75" hidden="1" thickBot="1" x14ac:dyDescent="0.3">
      <c r="A106" s="183" t="s">
        <v>2890</v>
      </c>
      <c r="B106" s="40" t="s">
        <v>416</v>
      </c>
      <c r="C106" s="25" t="s">
        <v>385</v>
      </c>
      <c r="D106" s="93"/>
      <c r="E106" s="41" t="s">
        <v>416</v>
      </c>
      <c r="F106" s="41" t="str">
        <f>IF(ISNUMBER(E106),E106*$D106,"")</f>
        <v/>
      </c>
      <c r="G106" s="28"/>
      <c r="H106" s="29"/>
      <c r="I106" s="153">
        <v>0</v>
      </c>
    </row>
    <row r="107" spans="1:9" ht="15.75" hidden="1" thickBot="1" x14ac:dyDescent="0.3">
      <c r="A107" s="182"/>
      <c r="B107" s="31" t="s">
        <v>416</v>
      </c>
      <c r="C107" s="31"/>
      <c r="D107" s="91"/>
      <c r="E107" s="42" t="s">
        <v>416</v>
      </c>
      <c r="F107" s="30" t="str">
        <f>IF(ISNUMBER(E107),E107*$D107,"")</f>
        <v/>
      </c>
      <c r="G107" s="34"/>
      <c r="H107" s="30"/>
      <c r="I107" s="153">
        <v>0</v>
      </c>
    </row>
    <row r="108" spans="1:9" ht="26.25" hidden="1" thickBot="1" x14ac:dyDescent="0.3">
      <c r="A108" s="182"/>
      <c r="B108" s="35" t="s">
        <v>7954</v>
      </c>
      <c r="C108" s="35" t="s">
        <v>213</v>
      </c>
      <c r="D108" s="36">
        <v>0.33300000000000002</v>
      </c>
      <c r="E108" s="33">
        <v>1.444</v>
      </c>
      <c r="F108" s="33">
        <f>IF(ISNUMBER(E108),E108*$D108,"")</f>
        <v>0.480852</v>
      </c>
      <c r="G108" s="44">
        <f>SUM(F108:F110)</f>
        <v>1.5246645000000001</v>
      </c>
      <c r="H108" s="45"/>
      <c r="I108" s="153">
        <v>0</v>
      </c>
    </row>
    <row r="109" spans="1:9" ht="26.25" hidden="1" thickBot="1" x14ac:dyDescent="0.3">
      <c r="A109" s="182"/>
      <c r="B109" s="35" t="s">
        <v>824</v>
      </c>
      <c r="C109" s="35" t="s">
        <v>583</v>
      </c>
      <c r="D109" s="36">
        <v>5.0000000000000001E-3</v>
      </c>
      <c r="E109" s="30">
        <v>21.166</v>
      </c>
      <c r="F109" s="33">
        <f>IF(ISNUMBER(E109),E109*$D109,"")</f>
        <v>0.10583000000000001</v>
      </c>
      <c r="G109" s="44"/>
      <c r="H109" s="45"/>
      <c r="I109" s="153">
        <v>0</v>
      </c>
    </row>
    <row r="110" spans="1:9" ht="26.25" hidden="1" thickBot="1" x14ac:dyDescent="0.3">
      <c r="A110" s="182"/>
      <c r="B110" s="35" t="s">
        <v>825</v>
      </c>
      <c r="C110" s="35" t="s">
        <v>583</v>
      </c>
      <c r="D110" s="36">
        <v>3.5000000000000003E-2</v>
      </c>
      <c r="E110" s="30">
        <v>26.799499999999998</v>
      </c>
      <c r="F110" s="33">
        <f>IF(ISNUMBER(E110),E110*$D110,"")</f>
        <v>0.93798250000000005</v>
      </c>
      <c r="G110" s="44"/>
      <c r="H110" s="45"/>
      <c r="I110" s="153">
        <v>0</v>
      </c>
    </row>
    <row r="111" spans="1:9" ht="15.75" hidden="1" thickBot="1" x14ac:dyDescent="0.3">
      <c r="A111" s="182"/>
      <c r="B111" s="35" t="s">
        <v>416</v>
      </c>
      <c r="C111" s="35"/>
      <c r="D111" s="92"/>
      <c r="E111" s="30" t="s">
        <v>416</v>
      </c>
      <c r="F111" s="30" t="str">
        <f>IF(ISNUMBER(E111),E111*$D111,"")</f>
        <v/>
      </c>
      <c r="G111" s="34"/>
      <c r="H111" s="30"/>
      <c r="I111" s="153">
        <v>0</v>
      </c>
    </row>
    <row r="112" spans="1:9" ht="15.75" hidden="1" thickBot="1" x14ac:dyDescent="0.3">
      <c r="A112" s="183" t="s">
        <v>6948</v>
      </c>
      <c r="B112" s="40" t="s">
        <v>416</v>
      </c>
      <c r="C112" s="25" t="s">
        <v>213</v>
      </c>
      <c r="D112" s="93"/>
      <c r="E112" s="41" t="s">
        <v>416</v>
      </c>
      <c r="F112" s="41" t="str">
        <f>IF(ISNUMBER(E112),E112*$D112,"")</f>
        <v/>
      </c>
      <c r="G112" s="28"/>
      <c r="H112" s="29"/>
      <c r="I112" s="153">
        <v>0</v>
      </c>
    </row>
    <row r="113" spans="1:9" ht="15.75" hidden="1" thickBot="1" x14ac:dyDescent="0.3">
      <c r="A113" s="182"/>
      <c r="B113" s="31" t="s">
        <v>416</v>
      </c>
      <c r="C113" s="31"/>
      <c r="D113" s="91"/>
      <c r="E113" s="42" t="s">
        <v>416</v>
      </c>
      <c r="F113" s="30" t="str">
        <f>IF(ISNUMBER(E113),E113*$D113,"")</f>
        <v/>
      </c>
      <c r="G113" s="34"/>
      <c r="H113" s="30"/>
      <c r="I113" s="153">
        <v>0</v>
      </c>
    </row>
    <row r="114" spans="1:9" ht="26.25" hidden="1" thickBot="1" x14ac:dyDescent="0.3">
      <c r="A114" s="182"/>
      <c r="B114" s="35" t="s">
        <v>8261</v>
      </c>
      <c r="C114" s="35" t="s">
        <v>213</v>
      </c>
      <c r="D114" s="36">
        <v>1</v>
      </c>
      <c r="E114" s="33">
        <v>2.4319999999999999</v>
      </c>
      <c r="F114" s="33">
        <f>IF(ISNUMBER(E114),E114*$D114,"")</f>
        <v>2.4319999999999999</v>
      </c>
      <c r="G114" s="44">
        <f>SUM(F114:F116)</f>
        <v>5.1052999999999997</v>
      </c>
      <c r="H114" s="45"/>
      <c r="I114" s="153">
        <v>0</v>
      </c>
    </row>
    <row r="115" spans="1:9" ht="15.75" hidden="1" thickBot="1" x14ac:dyDescent="0.3">
      <c r="A115" s="182"/>
      <c r="B115" s="35" t="s">
        <v>1017</v>
      </c>
      <c r="C115" s="35" t="s">
        <v>583</v>
      </c>
      <c r="D115" s="36">
        <v>0.06</v>
      </c>
      <c r="E115" s="30">
        <v>19.4085</v>
      </c>
      <c r="F115" s="33">
        <f>IF(ISNUMBER(E115),E115*$D115,"")</f>
        <v>1.1645099999999999</v>
      </c>
      <c r="G115" s="44"/>
      <c r="H115" s="45"/>
      <c r="I115" s="153">
        <v>0</v>
      </c>
    </row>
    <row r="116" spans="1:9" ht="15.75" hidden="1" thickBot="1" x14ac:dyDescent="0.3">
      <c r="A116" s="182"/>
      <c r="B116" s="35" t="s">
        <v>1018</v>
      </c>
      <c r="C116" s="35" t="s">
        <v>583</v>
      </c>
      <c r="D116" s="36">
        <v>0.06</v>
      </c>
      <c r="E116" s="30">
        <v>25.146499999999996</v>
      </c>
      <c r="F116" s="33">
        <f>IF(ISNUMBER(E116),E116*$D116,"")</f>
        <v>1.5087899999999996</v>
      </c>
      <c r="G116" s="44"/>
      <c r="H116" s="45"/>
      <c r="I116" s="153">
        <v>0</v>
      </c>
    </row>
    <row r="117" spans="1:9" ht="15.75" hidden="1" thickBot="1" x14ac:dyDescent="0.3">
      <c r="A117" s="182"/>
      <c r="B117" s="35" t="s">
        <v>416</v>
      </c>
      <c r="C117" s="35"/>
      <c r="D117" s="92"/>
      <c r="E117" s="30" t="s">
        <v>416</v>
      </c>
      <c r="F117" s="30" t="str">
        <f>IF(ISNUMBER(E117),E117*$D117,"")</f>
        <v/>
      </c>
      <c r="G117" s="34"/>
      <c r="H117" s="30"/>
      <c r="I117" s="153">
        <v>0</v>
      </c>
    </row>
    <row r="118" spans="1:9" ht="15.75" hidden="1" thickBot="1" x14ac:dyDescent="0.3">
      <c r="A118" s="183" t="s">
        <v>6949</v>
      </c>
      <c r="B118" s="40" t="s">
        <v>416</v>
      </c>
      <c r="C118" s="25" t="s">
        <v>213</v>
      </c>
      <c r="D118" s="93"/>
      <c r="E118" s="41" t="s">
        <v>416</v>
      </c>
      <c r="F118" s="41" t="str">
        <f>IF(ISNUMBER(E118),E118*$D118,"")</f>
        <v/>
      </c>
      <c r="G118" s="28"/>
      <c r="H118" s="29"/>
      <c r="I118" s="153">
        <v>0</v>
      </c>
    </row>
    <row r="119" spans="1:9" ht="15.75" hidden="1" thickBot="1" x14ac:dyDescent="0.3">
      <c r="A119" s="182"/>
      <c r="B119" s="31" t="s">
        <v>416</v>
      </c>
      <c r="C119" s="31"/>
      <c r="D119" s="91"/>
      <c r="E119" s="42" t="s">
        <v>416</v>
      </c>
      <c r="F119" s="30" t="str">
        <f>IF(ISNUMBER(E119),E119*$D119,"")</f>
        <v/>
      </c>
      <c r="G119" s="34"/>
      <c r="H119" s="30"/>
      <c r="I119" s="153">
        <v>0</v>
      </c>
    </row>
    <row r="120" spans="1:9" ht="26.25" hidden="1" thickBot="1" x14ac:dyDescent="0.3">
      <c r="A120" s="182"/>
      <c r="B120" s="35" t="s">
        <v>8262</v>
      </c>
      <c r="C120" s="35" t="s">
        <v>213</v>
      </c>
      <c r="D120" s="36">
        <v>1</v>
      </c>
      <c r="E120" s="33">
        <v>2.831</v>
      </c>
      <c r="F120" s="33">
        <f>IF(ISNUMBER(E120),E120*$D120,"")</f>
        <v>2.831</v>
      </c>
      <c r="G120" s="44">
        <f>SUM(F120:F122)</f>
        <v>5.5042999999999997</v>
      </c>
      <c r="H120" s="45"/>
      <c r="I120" s="153">
        <v>0</v>
      </c>
    </row>
    <row r="121" spans="1:9" ht="15.75" hidden="1" thickBot="1" x14ac:dyDescent="0.3">
      <c r="A121" s="182"/>
      <c r="B121" s="35" t="s">
        <v>1017</v>
      </c>
      <c r="C121" s="35" t="s">
        <v>583</v>
      </c>
      <c r="D121" s="36">
        <v>0.06</v>
      </c>
      <c r="E121" s="30">
        <v>19.4085</v>
      </c>
      <c r="F121" s="33">
        <f>IF(ISNUMBER(E121),E121*$D121,"")</f>
        <v>1.1645099999999999</v>
      </c>
      <c r="G121" s="44"/>
      <c r="H121" s="45"/>
      <c r="I121" s="153">
        <v>0</v>
      </c>
    </row>
    <row r="122" spans="1:9" ht="15.75" hidden="1" thickBot="1" x14ac:dyDescent="0.3">
      <c r="A122" s="182"/>
      <c r="B122" s="35" t="s">
        <v>1018</v>
      </c>
      <c r="C122" s="35" t="s">
        <v>583</v>
      </c>
      <c r="D122" s="36">
        <v>0.06</v>
      </c>
      <c r="E122" s="30">
        <v>25.146499999999996</v>
      </c>
      <c r="F122" s="33">
        <f>IF(ISNUMBER(E122),E122*$D122,"")</f>
        <v>1.5087899999999996</v>
      </c>
      <c r="G122" s="44"/>
      <c r="H122" s="45"/>
      <c r="I122" s="153">
        <v>0</v>
      </c>
    </row>
    <row r="123" spans="1:9" ht="15.75" hidden="1" thickBot="1" x14ac:dyDescent="0.3">
      <c r="A123" s="182"/>
      <c r="B123" s="35" t="s">
        <v>416</v>
      </c>
      <c r="C123" s="35"/>
      <c r="D123" s="92"/>
      <c r="E123" s="30" t="s">
        <v>416</v>
      </c>
      <c r="F123" s="30" t="str">
        <f>IF(ISNUMBER(E123),E123*$D123,"")</f>
        <v/>
      </c>
      <c r="G123" s="34"/>
      <c r="H123" s="30"/>
      <c r="I123" s="153">
        <v>0</v>
      </c>
    </row>
    <row r="124" spans="1:9" ht="15.75" hidden="1" thickBot="1" x14ac:dyDescent="0.3">
      <c r="A124" s="183" t="s">
        <v>6950</v>
      </c>
      <c r="B124" s="40" t="s">
        <v>416</v>
      </c>
      <c r="C124" s="25" t="s">
        <v>213</v>
      </c>
      <c r="D124" s="93"/>
      <c r="E124" s="41" t="s">
        <v>416</v>
      </c>
      <c r="F124" s="41" t="str">
        <f>IF(ISNUMBER(E124),E124*$D124,"")</f>
        <v/>
      </c>
      <c r="G124" s="28"/>
      <c r="H124" s="29"/>
      <c r="I124" s="153">
        <v>0</v>
      </c>
    </row>
    <row r="125" spans="1:9" ht="15.75" hidden="1" thickBot="1" x14ac:dyDescent="0.3">
      <c r="A125" s="182"/>
      <c r="B125" s="31" t="s">
        <v>416</v>
      </c>
      <c r="C125" s="31"/>
      <c r="D125" s="91"/>
      <c r="E125" s="42" t="s">
        <v>416</v>
      </c>
      <c r="F125" s="30" t="str">
        <f>IF(ISNUMBER(E125),E125*$D125,"")</f>
        <v/>
      </c>
      <c r="G125" s="34"/>
      <c r="H125" s="30"/>
      <c r="I125" s="153">
        <v>0</v>
      </c>
    </row>
    <row r="126" spans="1:9" ht="26.25" hidden="1" thickBot="1" x14ac:dyDescent="0.3">
      <c r="A126" s="182"/>
      <c r="B126" s="35" t="s">
        <v>8263</v>
      </c>
      <c r="C126" s="35" t="s">
        <v>213</v>
      </c>
      <c r="D126" s="36">
        <v>1</v>
      </c>
      <c r="E126" s="33">
        <v>5.016</v>
      </c>
      <c r="F126" s="33">
        <f>IF(ISNUMBER(E126),E126*$D126,"")</f>
        <v>5.016</v>
      </c>
      <c r="G126" s="44">
        <f>SUM(F126:F128)</f>
        <v>9.0259499999999999</v>
      </c>
      <c r="H126" s="45"/>
      <c r="I126" s="153">
        <v>0</v>
      </c>
    </row>
    <row r="127" spans="1:9" ht="15.75" hidden="1" thickBot="1" x14ac:dyDescent="0.3">
      <c r="A127" s="182"/>
      <c r="B127" s="35" t="s">
        <v>1017</v>
      </c>
      <c r="C127" s="35" t="s">
        <v>583</v>
      </c>
      <c r="D127" s="36">
        <v>0.09</v>
      </c>
      <c r="E127" s="30">
        <v>19.4085</v>
      </c>
      <c r="F127" s="33">
        <f>IF(ISNUMBER(E127),E127*$D127,"")</f>
        <v>1.7467649999999999</v>
      </c>
      <c r="G127" s="44"/>
      <c r="H127" s="45"/>
      <c r="I127" s="153">
        <v>0</v>
      </c>
    </row>
    <row r="128" spans="1:9" ht="15.75" hidden="1" thickBot="1" x14ac:dyDescent="0.3">
      <c r="A128" s="182"/>
      <c r="B128" s="35" t="s">
        <v>1018</v>
      </c>
      <c r="C128" s="35" t="s">
        <v>583</v>
      </c>
      <c r="D128" s="36">
        <v>0.09</v>
      </c>
      <c r="E128" s="30">
        <v>25.146499999999996</v>
      </c>
      <c r="F128" s="33">
        <f>IF(ISNUMBER(E128),E128*$D128,"")</f>
        <v>2.2631849999999996</v>
      </c>
      <c r="G128" s="44"/>
      <c r="H128" s="45"/>
      <c r="I128" s="153">
        <v>0</v>
      </c>
    </row>
    <row r="129" spans="1:9" ht="15.75" hidden="1" thickBot="1" x14ac:dyDescent="0.3">
      <c r="A129" s="182"/>
      <c r="B129" s="35" t="s">
        <v>416</v>
      </c>
      <c r="C129" s="35"/>
      <c r="D129" s="92"/>
      <c r="E129" s="30" t="s">
        <v>416</v>
      </c>
      <c r="F129" s="30" t="str">
        <f>IF(ISNUMBER(E129),E129*$D129,"")</f>
        <v/>
      </c>
      <c r="G129" s="34"/>
      <c r="H129" s="30"/>
      <c r="I129" s="153">
        <v>0</v>
      </c>
    </row>
    <row r="130" spans="1:9" ht="15.75" hidden="1" thickBot="1" x14ac:dyDescent="0.3">
      <c r="A130" s="183" t="s">
        <v>6951</v>
      </c>
      <c r="B130" s="40" t="s">
        <v>416</v>
      </c>
      <c r="C130" s="25" t="s">
        <v>213</v>
      </c>
      <c r="D130" s="93"/>
      <c r="E130" s="41" t="s">
        <v>416</v>
      </c>
      <c r="F130" s="41" t="str">
        <f>IF(ISNUMBER(E130),E130*$D130,"")</f>
        <v/>
      </c>
      <c r="G130" s="28"/>
      <c r="H130" s="29"/>
      <c r="I130" s="153">
        <v>0</v>
      </c>
    </row>
    <row r="131" spans="1:9" ht="15.75" hidden="1" thickBot="1" x14ac:dyDescent="0.3">
      <c r="A131" s="182"/>
      <c r="B131" s="31" t="s">
        <v>416</v>
      </c>
      <c r="C131" s="31"/>
      <c r="D131" s="91"/>
      <c r="E131" s="42" t="s">
        <v>416</v>
      </c>
      <c r="F131" s="30" t="str">
        <f>IF(ISNUMBER(E131),E131*$D131,"")</f>
        <v/>
      </c>
      <c r="G131" s="34"/>
      <c r="H131" s="30"/>
      <c r="I131" s="153">
        <v>0</v>
      </c>
    </row>
    <row r="132" spans="1:9" ht="26.25" hidden="1" thickBot="1" x14ac:dyDescent="0.3">
      <c r="A132" s="182"/>
      <c r="B132" s="35" t="s">
        <v>8264</v>
      </c>
      <c r="C132" s="35" t="s">
        <v>213</v>
      </c>
      <c r="D132" s="36">
        <v>1</v>
      </c>
      <c r="E132" s="33">
        <v>7.2579999999999991</v>
      </c>
      <c r="F132" s="33">
        <f>IF(ISNUMBER(E132),E132*$D132,"")</f>
        <v>7.2579999999999991</v>
      </c>
      <c r="G132" s="44">
        <f>SUM(F132:F134)</f>
        <v>11.267949999999999</v>
      </c>
      <c r="H132" s="45"/>
      <c r="I132" s="153">
        <v>0</v>
      </c>
    </row>
    <row r="133" spans="1:9" ht="15.75" hidden="1" thickBot="1" x14ac:dyDescent="0.3">
      <c r="A133" s="182"/>
      <c r="B133" s="35" t="s">
        <v>1017</v>
      </c>
      <c r="C133" s="35" t="s">
        <v>583</v>
      </c>
      <c r="D133" s="36">
        <v>0.09</v>
      </c>
      <c r="E133" s="30">
        <v>19.4085</v>
      </c>
      <c r="F133" s="33">
        <f>IF(ISNUMBER(E133),E133*$D133,"")</f>
        <v>1.7467649999999999</v>
      </c>
      <c r="G133" s="44"/>
      <c r="H133" s="45"/>
      <c r="I133" s="153">
        <v>0</v>
      </c>
    </row>
    <row r="134" spans="1:9" ht="15.75" hidden="1" thickBot="1" x14ac:dyDescent="0.3">
      <c r="A134" s="182"/>
      <c r="B134" s="35" t="s">
        <v>1018</v>
      </c>
      <c r="C134" s="35" t="s">
        <v>583</v>
      </c>
      <c r="D134" s="36">
        <v>0.09</v>
      </c>
      <c r="E134" s="30">
        <v>25.146499999999996</v>
      </c>
      <c r="F134" s="33">
        <f>IF(ISNUMBER(E134),E134*$D134,"")</f>
        <v>2.2631849999999996</v>
      </c>
      <c r="G134" s="44"/>
      <c r="H134" s="45"/>
      <c r="I134" s="153">
        <v>0</v>
      </c>
    </row>
    <row r="135" spans="1:9" ht="15.75" hidden="1" thickBot="1" x14ac:dyDescent="0.3">
      <c r="A135" s="182"/>
      <c r="B135" s="35" t="s">
        <v>416</v>
      </c>
      <c r="C135" s="35"/>
      <c r="D135" s="92"/>
      <c r="E135" s="30" t="s">
        <v>416</v>
      </c>
      <c r="F135" s="30" t="str">
        <f>IF(ISNUMBER(E135),E135*$D135,"")</f>
        <v/>
      </c>
      <c r="G135" s="34"/>
      <c r="H135" s="30"/>
      <c r="I135" s="153">
        <v>0</v>
      </c>
    </row>
    <row r="136" spans="1:9" ht="15.75" hidden="1" thickBot="1" x14ac:dyDescent="0.3">
      <c r="A136" s="183" t="s">
        <v>2891</v>
      </c>
      <c r="B136" s="40" t="s">
        <v>416</v>
      </c>
      <c r="C136" s="25" t="s">
        <v>385</v>
      </c>
      <c r="D136" s="93"/>
      <c r="E136" s="41" t="s">
        <v>416</v>
      </c>
      <c r="F136" s="41" t="str">
        <f>IF(ISNUMBER(E136),E136*$D136,"")</f>
        <v/>
      </c>
      <c r="G136" s="28"/>
      <c r="H136" s="29"/>
      <c r="I136" s="153">
        <v>0</v>
      </c>
    </row>
    <row r="137" spans="1:9" ht="15.75" hidden="1" thickBot="1" x14ac:dyDescent="0.3">
      <c r="A137" s="182"/>
      <c r="B137" s="31" t="s">
        <v>416</v>
      </c>
      <c r="C137" s="31"/>
      <c r="D137" s="91"/>
      <c r="E137" s="97" t="s">
        <v>416</v>
      </c>
      <c r="F137" s="98" t="str">
        <f>IF(ISNUMBER(E137),E137*$D137,"")</f>
        <v/>
      </c>
      <c r="G137" s="34"/>
      <c r="H137" s="30"/>
      <c r="I137" s="153">
        <v>0</v>
      </c>
    </row>
    <row r="138" spans="1:9" ht="26.25" hidden="1" thickBot="1" x14ac:dyDescent="0.3">
      <c r="A138" s="182"/>
      <c r="B138" s="35" t="s">
        <v>7953</v>
      </c>
      <c r="C138" s="35" t="s">
        <v>213</v>
      </c>
      <c r="D138" s="36">
        <v>0.33300000000000002</v>
      </c>
      <c r="E138" s="33">
        <v>2.9734999999999996</v>
      </c>
      <c r="F138" s="33">
        <f>IF(ISNUMBER(E138),E138*$D138,"")</f>
        <v>0.99017549999999988</v>
      </c>
      <c r="G138" s="44">
        <f>SUM(F138:F140)</f>
        <v>2.9762360000000001</v>
      </c>
      <c r="H138" s="45"/>
      <c r="I138" s="153">
        <v>0</v>
      </c>
    </row>
    <row r="139" spans="1:9" ht="26.25" hidden="1" thickBot="1" x14ac:dyDescent="0.3">
      <c r="A139" s="182"/>
      <c r="B139" s="35" t="s">
        <v>824</v>
      </c>
      <c r="C139" s="35" t="s">
        <v>583</v>
      </c>
      <c r="D139" s="36">
        <v>8.9999999999999993E-3</v>
      </c>
      <c r="E139" s="30">
        <v>21.166</v>
      </c>
      <c r="F139" s="33">
        <f>IF(ISNUMBER(E139),E139*$D139,"")</f>
        <v>0.190494</v>
      </c>
      <c r="G139" s="44"/>
      <c r="H139" s="45"/>
      <c r="I139" s="153">
        <v>0</v>
      </c>
    </row>
    <row r="140" spans="1:9" ht="26.25" hidden="1" thickBot="1" x14ac:dyDescent="0.3">
      <c r="A140" s="182"/>
      <c r="B140" s="35" t="s">
        <v>825</v>
      </c>
      <c r="C140" s="35" t="s">
        <v>583</v>
      </c>
      <c r="D140" s="36">
        <v>6.7000000000000004E-2</v>
      </c>
      <c r="E140" s="30">
        <v>26.799499999999998</v>
      </c>
      <c r="F140" s="33">
        <f>IF(ISNUMBER(E140),E140*$D140,"")</f>
        <v>1.7955665000000001</v>
      </c>
      <c r="G140" s="44"/>
      <c r="H140" s="45"/>
      <c r="I140" s="153">
        <v>0</v>
      </c>
    </row>
    <row r="141" spans="1:9" ht="15.75" hidden="1" thickBot="1" x14ac:dyDescent="0.3">
      <c r="A141" s="182"/>
      <c r="B141" s="35" t="s">
        <v>416</v>
      </c>
      <c r="C141" s="35"/>
      <c r="D141" s="92"/>
      <c r="E141" s="30" t="s">
        <v>416</v>
      </c>
      <c r="F141" s="30" t="str">
        <f>IF(ISNUMBER(E141),E141*$D141,"")</f>
        <v/>
      </c>
      <c r="G141" s="34"/>
      <c r="H141" s="30"/>
      <c r="I141" s="153">
        <v>0</v>
      </c>
    </row>
    <row r="142" spans="1:9" ht="15.75" hidden="1" thickBot="1" x14ac:dyDescent="0.3">
      <c r="A142" s="183" t="s">
        <v>113</v>
      </c>
      <c r="B142" s="40" t="s">
        <v>416</v>
      </c>
      <c r="C142" s="25" t="s">
        <v>87</v>
      </c>
      <c r="D142" s="93"/>
      <c r="E142" s="41" t="s">
        <v>416</v>
      </c>
      <c r="F142" s="41" t="str">
        <f>IF(ISNUMBER(E142),E142*$D142,"")</f>
        <v/>
      </c>
      <c r="G142" s="28"/>
      <c r="H142" s="29"/>
      <c r="I142" s="153">
        <v>0</v>
      </c>
    </row>
    <row r="143" spans="1:9" ht="15.75" hidden="1" thickBot="1" x14ac:dyDescent="0.3">
      <c r="A143" s="182"/>
      <c r="B143" s="31" t="s">
        <v>416</v>
      </c>
      <c r="C143" s="31"/>
      <c r="D143" s="91"/>
      <c r="E143" s="42" t="s">
        <v>416</v>
      </c>
      <c r="F143" s="30" t="str">
        <f>IF(ISNUMBER(E143),E143*$D143,"")</f>
        <v/>
      </c>
      <c r="G143" s="34"/>
      <c r="H143" s="30"/>
      <c r="I143" s="153">
        <v>0</v>
      </c>
    </row>
    <row r="144" spans="1:9" ht="26.25" hidden="1" thickBot="1" x14ac:dyDescent="0.3">
      <c r="A144" s="182"/>
      <c r="B144" s="35" t="s">
        <v>7985</v>
      </c>
      <c r="C144" s="35" t="s">
        <v>87</v>
      </c>
      <c r="D144" s="36">
        <v>1.18</v>
      </c>
      <c r="E144" s="33">
        <v>202.33099999999999</v>
      </c>
      <c r="F144" s="33">
        <f>IF(ISNUMBER(E144),E144*$D144,"")</f>
        <v>238.75057999999999</v>
      </c>
      <c r="G144" s="44">
        <f>SUM(F144:F152)</f>
        <v>712.91486064899982</v>
      </c>
      <c r="H144" s="45"/>
      <c r="I144" s="153">
        <v>0</v>
      </c>
    </row>
    <row r="145" spans="1:9" ht="15.75" hidden="1" thickBot="1" x14ac:dyDescent="0.3">
      <c r="A145" s="182"/>
      <c r="B145" s="35" t="s">
        <v>8040</v>
      </c>
      <c r="C145" s="35" t="s">
        <v>773</v>
      </c>
      <c r="D145" s="36">
        <v>157.44</v>
      </c>
      <c r="E145" s="33">
        <v>1.216</v>
      </c>
      <c r="F145" s="33">
        <f>IF(ISNUMBER(E145),E145*$D145,"")</f>
        <v>191.44703999999999</v>
      </c>
      <c r="G145" s="44"/>
      <c r="H145" s="45"/>
      <c r="I145" s="153">
        <v>0</v>
      </c>
    </row>
    <row r="146" spans="1:9" ht="15.75" hidden="1" thickBot="1" x14ac:dyDescent="0.3">
      <c r="A146" s="182"/>
      <c r="B146" s="35" t="s">
        <v>8065</v>
      </c>
      <c r="C146" s="35" t="s">
        <v>773</v>
      </c>
      <c r="D146" s="36">
        <v>177.12</v>
      </c>
      <c r="E146" s="33">
        <v>0.627</v>
      </c>
      <c r="F146" s="33">
        <f>IF(ISNUMBER(E146),E146*$D146,"")</f>
        <v>111.05424000000001</v>
      </c>
      <c r="G146" s="44"/>
      <c r="H146" s="45"/>
      <c r="I146" s="153">
        <v>0</v>
      </c>
    </row>
    <row r="147" spans="1:9" ht="15.75" hidden="1" thickBot="1" x14ac:dyDescent="0.3">
      <c r="A147" s="182"/>
      <c r="B147" s="35" t="s">
        <v>584</v>
      </c>
      <c r="C147" s="35" t="s">
        <v>583</v>
      </c>
      <c r="D147" s="36">
        <v>0.79</v>
      </c>
      <c r="E147" s="30">
        <v>20.225499999999997</v>
      </c>
      <c r="F147" s="33">
        <f>IF(ISNUMBER(E147),E147*$D147,"")</f>
        <v>15.978144999999998</v>
      </c>
      <c r="G147" s="44"/>
      <c r="H147" s="45"/>
      <c r="I147" s="153">
        <v>0</v>
      </c>
    </row>
    <row r="148" spans="1:9" ht="26.25" hidden="1" thickBot="1" x14ac:dyDescent="0.3">
      <c r="A148" s="182"/>
      <c r="B148" s="35" t="s">
        <v>1271</v>
      </c>
      <c r="C148" s="35" t="s">
        <v>583</v>
      </c>
      <c r="D148" s="36">
        <v>3.65</v>
      </c>
      <c r="E148" s="30">
        <v>20.291999999999998</v>
      </c>
      <c r="F148" s="33">
        <f>IF(ISNUMBER(E148),E148*$D148,"")</f>
        <v>74.065799999999996</v>
      </c>
      <c r="G148" s="44"/>
      <c r="H148" s="45"/>
      <c r="I148" s="153">
        <v>0</v>
      </c>
    </row>
    <row r="149" spans="1:9" ht="39" hidden="1" thickBot="1" x14ac:dyDescent="0.3">
      <c r="A149" s="182"/>
      <c r="B149" s="35" t="s">
        <v>1218</v>
      </c>
      <c r="C149" s="35" t="s">
        <v>813</v>
      </c>
      <c r="D149" s="36">
        <v>0.85</v>
      </c>
      <c r="E149" s="30">
        <v>5.1395</v>
      </c>
      <c r="F149" s="33">
        <f>IF(ISNUMBER(E149),E149*$D149,"")</f>
        <v>4.3685749999999999</v>
      </c>
      <c r="G149" s="44"/>
      <c r="H149" s="45"/>
      <c r="I149" s="153">
        <v>0</v>
      </c>
    </row>
    <row r="150" spans="1:9" ht="39" hidden="1" thickBot="1" x14ac:dyDescent="0.3">
      <c r="A150" s="182"/>
      <c r="B150" s="35" t="s">
        <v>1272</v>
      </c>
      <c r="C150" s="35" t="s">
        <v>815</v>
      </c>
      <c r="D150" s="36">
        <v>2.8</v>
      </c>
      <c r="E150" s="30">
        <v>1.7954999999999999</v>
      </c>
      <c r="F150" s="33">
        <f>IF(ISNUMBER(E150),E150*$D150,"")</f>
        <v>5.0273999999999992</v>
      </c>
      <c r="G150" s="44"/>
      <c r="H150" s="45"/>
      <c r="I150" s="153">
        <v>0</v>
      </c>
    </row>
    <row r="151" spans="1:9" ht="51.75" hidden="1" thickBot="1" x14ac:dyDescent="0.3">
      <c r="A151" s="182"/>
      <c r="B151" s="35" t="s">
        <v>3071</v>
      </c>
      <c r="C151" s="35" t="s">
        <v>87</v>
      </c>
      <c r="D151" s="36">
        <f>ROUND(1*D144,4)</f>
        <v>1.18</v>
      </c>
      <c r="E151" s="30">
        <v>8.0531015499999992</v>
      </c>
      <c r="F151" s="33">
        <f>IF(ISNUMBER(E151),E151*$D151,"")</f>
        <v>9.5026598289999988</v>
      </c>
      <c r="G151" s="44"/>
      <c r="H151" s="45"/>
      <c r="I151" s="153">
        <v>0</v>
      </c>
    </row>
    <row r="152" spans="1:9" ht="39" hidden="1" thickBot="1" x14ac:dyDescent="0.3">
      <c r="A152" s="182"/>
      <c r="B152" s="35" t="s">
        <v>3068</v>
      </c>
      <c r="C152" s="46" t="s">
        <v>89</v>
      </c>
      <c r="D152" s="36">
        <f>ROUND(D144*20,4)</f>
        <v>23.6</v>
      </c>
      <c r="E152" s="30">
        <v>2.6576449499999995</v>
      </c>
      <c r="F152" s="33">
        <f>IF(ISNUMBER(E152),E152*$D152,"")</f>
        <v>62.720420819999994</v>
      </c>
      <c r="G152" s="44"/>
      <c r="H152" s="45"/>
      <c r="I152" s="153">
        <v>0</v>
      </c>
    </row>
    <row r="153" spans="1:9" ht="15.75" hidden="1" thickBot="1" x14ac:dyDescent="0.3">
      <c r="A153" s="182"/>
      <c r="B153" s="50"/>
      <c r="C153" s="46"/>
      <c r="D153" s="36"/>
      <c r="E153" s="30" t="s">
        <v>416</v>
      </c>
      <c r="F153" s="33" t="str">
        <f>IF(ISNUMBER(E153),E153*$D153,"")</f>
        <v/>
      </c>
      <c r="G153" s="44"/>
      <c r="H153" s="45"/>
      <c r="I153" s="153">
        <v>0</v>
      </c>
    </row>
    <row r="154" spans="1:9" ht="15.75" hidden="1" thickBot="1" x14ac:dyDescent="0.3">
      <c r="A154" s="182"/>
      <c r="B154" s="47" t="s">
        <v>631</v>
      </c>
      <c r="C154" s="46"/>
      <c r="D154" s="36"/>
      <c r="E154" s="30" t="s">
        <v>416</v>
      </c>
      <c r="F154" s="33" t="str">
        <f>IF(ISNUMBER(E154),E154*$D154,"")</f>
        <v/>
      </c>
      <c r="G154" s="44"/>
      <c r="H154" s="45"/>
      <c r="I154" s="153">
        <v>0</v>
      </c>
    </row>
    <row r="155" spans="1:9" ht="15.75" hidden="1" thickBot="1" x14ac:dyDescent="0.3">
      <c r="A155" s="182"/>
      <c r="B155" s="35"/>
      <c r="C155" s="35"/>
      <c r="D155" s="92"/>
      <c r="E155" s="30" t="s">
        <v>416</v>
      </c>
      <c r="F155" s="30" t="str">
        <f>IF(ISNUMBER(E155),E155*$D155,"")</f>
        <v/>
      </c>
      <c r="G155" s="34"/>
      <c r="H155" s="30"/>
      <c r="I155" s="153">
        <v>0</v>
      </c>
    </row>
    <row r="156" spans="1:9" ht="15.75" hidden="1" thickBot="1" x14ac:dyDescent="0.3">
      <c r="A156" s="183" t="s">
        <v>1197</v>
      </c>
      <c r="B156" s="40" t="s">
        <v>416</v>
      </c>
      <c r="C156" s="25" t="s">
        <v>87</v>
      </c>
      <c r="D156" s="93"/>
      <c r="E156" s="41" t="s">
        <v>416</v>
      </c>
      <c r="F156" s="41" t="str">
        <f>IF(ISNUMBER(E156),E156*$D156,"")</f>
        <v/>
      </c>
      <c r="G156" s="28"/>
      <c r="H156" s="29"/>
      <c r="I156" s="153">
        <v>0</v>
      </c>
    </row>
    <row r="157" spans="1:9" ht="15.75" hidden="1" thickBot="1" x14ac:dyDescent="0.3">
      <c r="A157" s="182"/>
      <c r="B157" s="31" t="s">
        <v>416</v>
      </c>
      <c r="C157" s="31"/>
      <c r="D157" s="91"/>
      <c r="E157" s="42" t="s">
        <v>416</v>
      </c>
      <c r="F157" s="30" t="str">
        <f>IF(ISNUMBER(E157),E157*$D157,"")</f>
        <v/>
      </c>
      <c r="G157" s="34"/>
      <c r="H157" s="30"/>
      <c r="I157" s="153">
        <v>0</v>
      </c>
    </row>
    <row r="158" spans="1:9" ht="26.25" hidden="1" thickBot="1" x14ac:dyDescent="0.3">
      <c r="A158" s="182"/>
      <c r="B158" s="35" t="s">
        <v>7985</v>
      </c>
      <c r="C158" s="35" t="s">
        <v>87</v>
      </c>
      <c r="D158" s="36">
        <v>1.36</v>
      </c>
      <c r="E158" s="33">
        <v>202.33099999999999</v>
      </c>
      <c r="F158" s="33">
        <f>IF(ISNUMBER(E158),E158*$D158,"")</f>
        <v>275.17016000000001</v>
      </c>
      <c r="G158" s="44">
        <f>SUM(F158:F164)</f>
        <v>748.59992574800003</v>
      </c>
      <c r="H158" s="45"/>
      <c r="I158" s="153">
        <v>0</v>
      </c>
    </row>
    <row r="159" spans="1:9" ht="15.75" hidden="1" thickBot="1" x14ac:dyDescent="0.3">
      <c r="A159" s="182"/>
      <c r="B159" s="35" t="s">
        <v>8065</v>
      </c>
      <c r="C159" s="35" t="s">
        <v>773</v>
      </c>
      <c r="D159" s="36">
        <v>459.85</v>
      </c>
      <c r="E159" s="33">
        <v>0.627</v>
      </c>
      <c r="F159" s="33">
        <f>IF(ISNUMBER(E159),E159*$D159,"")</f>
        <v>288.32595000000003</v>
      </c>
      <c r="G159" s="44"/>
      <c r="H159" s="45"/>
      <c r="I159" s="153">
        <v>0</v>
      </c>
    </row>
    <row r="160" spans="1:9" ht="26.25" hidden="1" thickBot="1" x14ac:dyDescent="0.3">
      <c r="A160" s="182"/>
      <c r="B160" s="35" t="s">
        <v>1271</v>
      </c>
      <c r="C160" s="35" t="s">
        <v>583</v>
      </c>
      <c r="D160" s="36">
        <v>4.8499999999999996</v>
      </c>
      <c r="E160" s="30">
        <v>20.291999999999998</v>
      </c>
      <c r="F160" s="33">
        <f>IF(ISNUMBER(E160),E160*$D160,"")</f>
        <v>98.416199999999989</v>
      </c>
      <c r="G160" s="44"/>
      <c r="H160" s="45"/>
      <c r="I160" s="153">
        <v>0</v>
      </c>
    </row>
    <row r="161" spans="1:9" ht="39" hidden="1" thickBot="1" x14ac:dyDescent="0.3">
      <c r="A161" s="182"/>
      <c r="B161" s="35" t="s">
        <v>84</v>
      </c>
      <c r="C161" s="35" t="s">
        <v>813</v>
      </c>
      <c r="D161" s="36">
        <v>1.1299999999999999</v>
      </c>
      <c r="E161" s="30">
        <v>1.6435</v>
      </c>
      <c r="F161" s="33">
        <f>IF(ISNUMBER(E161),E161*$D161,"")</f>
        <v>1.8571549999999999</v>
      </c>
      <c r="G161" s="44"/>
      <c r="H161" s="45"/>
      <c r="I161" s="153">
        <v>0</v>
      </c>
    </row>
    <row r="162" spans="1:9" ht="39" hidden="1" thickBot="1" x14ac:dyDescent="0.3">
      <c r="A162" s="182"/>
      <c r="B162" s="35" t="s">
        <v>85</v>
      </c>
      <c r="C162" s="35" t="s">
        <v>815</v>
      </c>
      <c r="D162" s="36">
        <v>3.72</v>
      </c>
      <c r="E162" s="30">
        <v>0.42749999999999999</v>
      </c>
      <c r="F162" s="33">
        <f>IF(ISNUMBER(E162),E162*$D162,"")</f>
        <v>1.5903</v>
      </c>
      <c r="G162" s="44"/>
      <c r="H162" s="45"/>
      <c r="I162" s="153">
        <v>0</v>
      </c>
    </row>
    <row r="163" spans="1:9" ht="51.75" hidden="1" thickBot="1" x14ac:dyDescent="0.3">
      <c r="A163" s="182"/>
      <c r="B163" s="35" t="s">
        <v>3071</v>
      </c>
      <c r="C163" s="35" t="s">
        <v>87</v>
      </c>
      <c r="D163" s="36">
        <f>ROUND(1*D158,4)</f>
        <v>1.36</v>
      </c>
      <c r="E163" s="30">
        <v>8.0531015499999992</v>
      </c>
      <c r="F163" s="33">
        <f>IF(ISNUMBER(E163),E163*$D163,"")</f>
        <v>10.952218108</v>
      </c>
      <c r="G163" s="44"/>
      <c r="H163" s="45"/>
      <c r="I163" s="153">
        <v>0</v>
      </c>
    </row>
    <row r="164" spans="1:9" ht="39" hidden="1" thickBot="1" x14ac:dyDescent="0.3">
      <c r="A164" s="182"/>
      <c r="B164" s="35" t="s">
        <v>3068</v>
      </c>
      <c r="C164" s="46" t="s">
        <v>89</v>
      </c>
      <c r="D164" s="36">
        <f>ROUND(D158*20,4)</f>
        <v>27.2</v>
      </c>
      <c r="E164" s="30">
        <v>2.6576449499999995</v>
      </c>
      <c r="F164" s="33">
        <f>IF(ISNUMBER(E164),E164*$D164,"")</f>
        <v>72.287942639999983</v>
      </c>
      <c r="G164" s="44"/>
      <c r="H164" s="45"/>
      <c r="I164" s="153">
        <v>0</v>
      </c>
    </row>
    <row r="165" spans="1:9" ht="15.75" hidden="1" thickBot="1" x14ac:dyDescent="0.3">
      <c r="A165" s="182"/>
      <c r="B165" s="50"/>
      <c r="C165" s="46"/>
      <c r="D165" s="36"/>
      <c r="E165" s="30" t="s">
        <v>416</v>
      </c>
      <c r="F165" s="33" t="str">
        <f>IF(ISNUMBER(E165),E165*$D165,"")</f>
        <v/>
      </c>
      <c r="G165" s="44"/>
      <c r="H165" s="45"/>
      <c r="I165" s="153">
        <v>0</v>
      </c>
    </row>
    <row r="166" spans="1:9" ht="15.75" hidden="1" thickBot="1" x14ac:dyDescent="0.3">
      <c r="A166" s="182"/>
      <c r="B166" s="47" t="s">
        <v>631</v>
      </c>
      <c r="C166" s="46"/>
      <c r="D166" s="36"/>
      <c r="E166" s="30" t="s">
        <v>416</v>
      </c>
      <c r="F166" s="33" t="str">
        <f>IF(ISNUMBER(E166),E166*$D166,"")</f>
        <v/>
      </c>
      <c r="G166" s="44"/>
      <c r="H166" s="45"/>
      <c r="I166" s="153">
        <v>0</v>
      </c>
    </row>
    <row r="167" spans="1:9" ht="15.75" hidden="1" thickBot="1" x14ac:dyDescent="0.3">
      <c r="A167" s="182"/>
      <c r="B167" s="35"/>
      <c r="C167" s="35"/>
      <c r="D167" s="92"/>
      <c r="E167" s="30" t="s">
        <v>416</v>
      </c>
      <c r="F167" s="30" t="str">
        <f>IF(ISNUMBER(E167),E167*$D167,"")</f>
        <v/>
      </c>
      <c r="G167" s="34"/>
      <c r="H167" s="30"/>
      <c r="I167" s="153">
        <v>0</v>
      </c>
    </row>
    <row r="168" spans="1:9" ht="15.75" thickBot="1" x14ac:dyDescent="0.3">
      <c r="A168" s="183" t="s">
        <v>816</v>
      </c>
      <c r="B168" s="40" t="s">
        <v>416</v>
      </c>
      <c r="C168" s="25" t="s">
        <v>87</v>
      </c>
      <c r="D168" s="93"/>
      <c r="E168" s="41" t="s">
        <v>416</v>
      </c>
      <c r="F168" s="41" t="str">
        <f>IF(ISNUMBER(E168),E168*$D168,"")</f>
        <v/>
      </c>
      <c r="G168" s="28"/>
      <c r="H168" s="29"/>
      <c r="I168" s="153">
        <v>12</v>
      </c>
    </row>
    <row r="169" spans="1:9" x14ac:dyDescent="0.25">
      <c r="A169" s="182"/>
      <c r="B169" s="31" t="s">
        <v>416</v>
      </c>
      <c r="C169" s="31"/>
      <c r="D169" s="91"/>
      <c r="E169" s="42" t="s">
        <v>416</v>
      </c>
      <c r="F169" s="30" t="str">
        <f>IF(ISNUMBER(E169),E169*$D169,"")</f>
        <v/>
      </c>
      <c r="G169" s="34"/>
      <c r="H169" s="30"/>
      <c r="I169" s="153">
        <v>12</v>
      </c>
    </row>
    <row r="170" spans="1:9" ht="51" x14ac:dyDescent="0.25">
      <c r="A170" s="182"/>
      <c r="B170" s="35" t="s">
        <v>818</v>
      </c>
      <c r="C170" s="35" t="s">
        <v>813</v>
      </c>
      <c r="D170" s="36">
        <v>6.0000000000000001E-3</v>
      </c>
      <c r="E170" s="33">
        <v>294.57599999999996</v>
      </c>
      <c r="F170" s="33">
        <f>IF(ISNUMBER(E170),E170*$D170,"")</f>
        <v>1.7674559999999999</v>
      </c>
      <c r="G170" s="44">
        <f>SUM(F170:F172)</f>
        <v>2.1305744999999998</v>
      </c>
      <c r="H170" s="45"/>
      <c r="I170" s="153">
        <v>12</v>
      </c>
    </row>
    <row r="171" spans="1:9" ht="51" x14ac:dyDescent="0.25">
      <c r="A171" s="182"/>
      <c r="B171" s="35" t="s">
        <v>819</v>
      </c>
      <c r="C171" s="35" t="s">
        <v>815</v>
      </c>
      <c r="D171" s="36">
        <v>3.0000000000000001E-3</v>
      </c>
      <c r="E171" s="33">
        <v>60.363</v>
      </c>
      <c r="F171" s="33">
        <f>IF(ISNUMBER(E171),E171*$D171,"")</f>
        <v>0.181089</v>
      </c>
      <c r="G171" s="44"/>
      <c r="H171" s="45"/>
      <c r="I171" s="153">
        <v>12</v>
      </c>
    </row>
    <row r="172" spans="1:9" x14ac:dyDescent="0.25">
      <c r="A172" s="182"/>
      <c r="B172" s="35" t="s">
        <v>584</v>
      </c>
      <c r="C172" s="35" t="s">
        <v>583</v>
      </c>
      <c r="D172" s="36">
        <v>8.9999999999999993E-3</v>
      </c>
      <c r="E172" s="33">
        <v>20.225499999999997</v>
      </c>
      <c r="F172" s="33">
        <f>IF(ISNUMBER(E172),E172*$D172,"")</f>
        <v>0.18202949999999996</v>
      </c>
      <c r="G172" s="44"/>
      <c r="H172" s="45"/>
      <c r="I172" s="153">
        <v>12</v>
      </c>
    </row>
    <row r="173" spans="1:9" ht="15.75" thickBot="1" x14ac:dyDescent="0.3">
      <c r="A173" s="182"/>
      <c r="B173" s="35"/>
      <c r="C173" s="35"/>
      <c r="D173" s="92"/>
      <c r="E173" s="30" t="s">
        <v>416</v>
      </c>
      <c r="F173" s="30" t="str">
        <f>IF(ISNUMBER(E173),E173*$D173,"")</f>
        <v/>
      </c>
      <c r="G173" s="34"/>
      <c r="H173" s="30"/>
      <c r="I173" s="153">
        <v>12</v>
      </c>
    </row>
    <row r="174" spans="1:9" ht="15.75" hidden="1" thickBot="1" x14ac:dyDescent="0.3">
      <c r="A174" s="183" t="s">
        <v>6817</v>
      </c>
      <c r="B174" s="40" t="s">
        <v>416</v>
      </c>
      <c r="C174" s="25" t="s">
        <v>773</v>
      </c>
      <c r="D174" s="93"/>
      <c r="E174" s="41" t="s">
        <v>416</v>
      </c>
      <c r="F174" s="41" t="str">
        <f>IF(ISNUMBER(E174),E174*$D174,"")</f>
        <v/>
      </c>
      <c r="G174" s="28"/>
      <c r="H174" s="29"/>
      <c r="I174" s="153">
        <v>0</v>
      </c>
    </row>
    <row r="175" spans="1:9" ht="15.75" hidden="1" thickBot="1" x14ac:dyDescent="0.3">
      <c r="A175" s="182"/>
      <c r="B175" s="31" t="s">
        <v>416</v>
      </c>
      <c r="C175" s="31"/>
      <c r="D175" s="91"/>
      <c r="E175" s="42" t="s">
        <v>416</v>
      </c>
      <c r="F175" s="30" t="str">
        <f>IF(ISNUMBER(E175),E175*$D175,"")</f>
        <v/>
      </c>
      <c r="G175" s="34"/>
      <c r="H175" s="30"/>
      <c r="I175" s="153">
        <v>0</v>
      </c>
    </row>
    <row r="176" spans="1:9" ht="15.75" hidden="1" thickBot="1" x14ac:dyDescent="0.3">
      <c r="A176" s="182"/>
      <c r="B176" s="35" t="s">
        <v>644</v>
      </c>
      <c r="C176" s="35" t="s">
        <v>773</v>
      </c>
      <c r="D176" s="36">
        <v>1.1100000000000001</v>
      </c>
      <c r="E176" s="33">
        <v>10.003499999999999</v>
      </c>
      <c r="F176" s="33">
        <f>IF(ISNUMBER(E176),E176*$D176,"")</f>
        <v>11.103885</v>
      </c>
      <c r="G176" s="44">
        <f>SUM(F176:F178)</f>
        <v>11.593319300000001</v>
      </c>
      <c r="H176" s="45"/>
      <c r="I176" s="153">
        <v>0</v>
      </c>
    </row>
    <row r="177" spans="1:9" ht="15.75" hidden="1" thickBot="1" x14ac:dyDescent="0.3">
      <c r="A177" s="182"/>
      <c r="B177" s="35" t="s">
        <v>775</v>
      </c>
      <c r="C177" s="35" t="s">
        <v>583</v>
      </c>
      <c r="D177" s="36">
        <v>2.5999999999999999E-3</v>
      </c>
      <c r="E177" s="33">
        <v>20.196999999999999</v>
      </c>
      <c r="F177" s="33">
        <f>IF(ISNUMBER(E177),E177*$D177,"")</f>
        <v>5.2512199999999995E-2</v>
      </c>
      <c r="G177" s="44"/>
      <c r="H177" s="45"/>
      <c r="I177" s="153">
        <v>0</v>
      </c>
    </row>
    <row r="178" spans="1:9" ht="15.75" hidden="1" thickBot="1" x14ac:dyDescent="0.3">
      <c r="A178" s="182"/>
      <c r="B178" s="35" t="s">
        <v>776</v>
      </c>
      <c r="C178" s="35" t="s">
        <v>583</v>
      </c>
      <c r="D178" s="36">
        <v>1.6199999999999999E-2</v>
      </c>
      <c r="E178" s="33">
        <v>26.970499999999998</v>
      </c>
      <c r="F178" s="33">
        <f>IF(ISNUMBER(E178),E178*$D178,"")</f>
        <v>0.43692209999999992</v>
      </c>
      <c r="G178" s="44"/>
      <c r="H178" s="45"/>
      <c r="I178" s="153">
        <v>0</v>
      </c>
    </row>
    <row r="179" spans="1:9" ht="15.75" hidden="1" thickBot="1" x14ac:dyDescent="0.3">
      <c r="A179" s="182"/>
      <c r="B179" s="35" t="s">
        <v>416</v>
      </c>
      <c r="C179" s="35"/>
      <c r="D179" s="92"/>
      <c r="E179" s="30" t="s">
        <v>416</v>
      </c>
      <c r="F179" s="30" t="str">
        <f>IF(ISNUMBER(E179),E179*$D179,"")</f>
        <v/>
      </c>
      <c r="G179" s="34"/>
      <c r="H179" s="30"/>
      <c r="I179" s="153">
        <v>0</v>
      </c>
    </row>
    <row r="180" spans="1:9" ht="15.75" hidden="1" thickBot="1" x14ac:dyDescent="0.3">
      <c r="A180" s="183" t="s">
        <v>6818</v>
      </c>
      <c r="B180" s="40" t="s">
        <v>416</v>
      </c>
      <c r="C180" s="25" t="s">
        <v>773</v>
      </c>
      <c r="D180" s="93"/>
      <c r="E180" s="41" t="s">
        <v>416</v>
      </c>
      <c r="F180" s="41" t="str">
        <f>IF(ISNUMBER(E180),E180*$D180,"")</f>
        <v/>
      </c>
      <c r="G180" s="28"/>
      <c r="H180" s="29"/>
      <c r="I180" s="153">
        <v>0</v>
      </c>
    </row>
    <row r="181" spans="1:9" ht="15.75" hidden="1" thickBot="1" x14ac:dyDescent="0.3">
      <c r="A181" s="182"/>
      <c r="B181" s="31" t="s">
        <v>416</v>
      </c>
      <c r="C181" s="31"/>
      <c r="D181" s="91"/>
      <c r="E181" s="42" t="s">
        <v>416</v>
      </c>
      <c r="F181" s="30" t="str">
        <f>IF(ISNUMBER(E181),E181*$D181,"")</f>
        <v/>
      </c>
      <c r="G181" s="34"/>
      <c r="H181" s="30"/>
      <c r="I181" s="153">
        <v>0</v>
      </c>
    </row>
    <row r="182" spans="1:9" ht="15.75" hidden="1" thickBot="1" x14ac:dyDescent="0.3">
      <c r="A182" s="182"/>
      <c r="B182" s="35" t="s">
        <v>647</v>
      </c>
      <c r="C182" s="35" t="s">
        <v>773</v>
      </c>
      <c r="D182" s="36">
        <v>1.1100000000000001</v>
      </c>
      <c r="E182" s="33">
        <v>8.17</v>
      </c>
      <c r="F182" s="33">
        <f>IF(ISNUMBER(E182),E182*$D182,"")</f>
        <v>9.0687000000000015</v>
      </c>
      <c r="G182" s="44">
        <f>SUM(F182:F184)</f>
        <v>9.2143160000000019</v>
      </c>
      <c r="H182" s="45"/>
      <c r="I182" s="153">
        <v>0</v>
      </c>
    </row>
    <row r="183" spans="1:9" ht="15.75" hidden="1" thickBot="1" x14ac:dyDescent="0.3">
      <c r="A183" s="182"/>
      <c r="B183" s="35" t="s">
        <v>775</v>
      </c>
      <c r="C183" s="35" t="s">
        <v>583</v>
      </c>
      <c r="D183" s="36">
        <v>8.0000000000000004E-4</v>
      </c>
      <c r="E183" s="33">
        <v>20.196999999999999</v>
      </c>
      <c r="F183" s="33">
        <f>IF(ISNUMBER(E183),E183*$D183,"")</f>
        <v>1.6157600000000001E-2</v>
      </c>
      <c r="G183" s="44"/>
      <c r="H183" s="45"/>
      <c r="I183" s="153">
        <v>0</v>
      </c>
    </row>
    <row r="184" spans="1:9" ht="15.75" hidden="1" thickBot="1" x14ac:dyDescent="0.3">
      <c r="A184" s="182"/>
      <c r="B184" s="35" t="s">
        <v>776</v>
      </c>
      <c r="C184" s="35" t="s">
        <v>583</v>
      </c>
      <c r="D184" s="36">
        <v>4.7999999999999996E-3</v>
      </c>
      <c r="E184" s="33">
        <v>26.970499999999998</v>
      </c>
      <c r="F184" s="33">
        <f>IF(ISNUMBER(E184),E184*$D184,"")</f>
        <v>0.12945839999999997</v>
      </c>
      <c r="G184" s="44"/>
      <c r="H184" s="45"/>
      <c r="I184" s="153">
        <v>0</v>
      </c>
    </row>
    <row r="185" spans="1:9" ht="15.75" hidden="1" thickBot="1" x14ac:dyDescent="0.3">
      <c r="A185" s="182"/>
      <c r="B185" s="35" t="s">
        <v>416</v>
      </c>
      <c r="C185" s="35"/>
      <c r="D185" s="92"/>
      <c r="E185" s="30" t="s">
        <v>416</v>
      </c>
      <c r="F185" s="30" t="str">
        <f>IF(ISNUMBER(E185),E185*$D185,"")</f>
        <v/>
      </c>
      <c r="G185" s="34"/>
      <c r="H185" s="30"/>
      <c r="I185" s="153">
        <v>0</v>
      </c>
    </row>
    <row r="186" spans="1:9" ht="15.75" hidden="1" thickBot="1" x14ac:dyDescent="0.3">
      <c r="A186" s="183" t="s">
        <v>6819</v>
      </c>
      <c r="B186" s="40" t="s">
        <v>416</v>
      </c>
      <c r="C186" s="25" t="s">
        <v>773</v>
      </c>
      <c r="D186" s="93"/>
      <c r="E186" s="41" t="s">
        <v>416</v>
      </c>
      <c r="F186" s="41" t="str">
        <f>IF(ISNUMBER(E186),E186*$D186,"")</f>
        <v/>
      </c>
      <c r="G186" s="28"/>
      <c r="H186" s="29"/>
      <c r="I186" s="153">
        <v>0</v>
      </c>
    </row>
    <row r="187" spans="1:9" ht="15.75" hidden="1" thickBot="1" x14ac:dyDescent="0.3">
      <c r="A187" s="182"/>
      <c r="B187" s="31" t="s">
        <v>416</v>
      </c>
      <c r="C187" s="31"/>
      <c r="D187" s="91"/>
      <c r="E187" s="42" t="s">
        <v>416</v>
      </c>
      <c r="F187" s="30" t="str">
        <f>IF(ISNUMBER(E187),E187*$D187,"")</f>
        <v/>
      </c>
      <c r="G187" s="34"/>
      <c r="H187" s="30"/>
      <c r="I187" s="153">
        <v>0</v>
      </c>
    </row>
    <row r="188" spans="1:9" ht="15.75" hidden="1" thickBot="1" x14ac:dyDescent="0.3">
      <c r="A188" s="182"/>
      <c r="B188" s="35" t="s">
        <v>647</v>
      </c>
      <c r="C188" s="35" t="s">
        <v>773</v>
      </c>
      <c r="D188" s="36">
        <v>1.1100000000000001</v>
      </c>
      <c r="E188" s="33">
        <v>8.17</v>
      </c>
      <c r="F188" s="33">
        <f>IF(ISNUMBER(E188),E188*$D188,"")</f>
        <v>9.0687000000000015</v>
      </c>
      <c r="G188" s="44">
        <f>SUM(F188:F189)</f>
        <v>9.136126250000002</v>
      </c>
      <c r="H188" s="45"/>
      <c r="I188" s="153">
        <v>0</v>
      </c>
    </row>
    <row r="189" spans="1:9" ht="15.75" hidden="1" thickBot="1" x14ac:dyDescent="0.3">
      <c r="A189" s="182"/>
      <c r="B189" s="35" t="s">
        <v>776</v>
      </c>
      <c r="C189" s="35" t="s">
        <v>583</v>
      </c>
      <c r="D189" s="36">
        <v>2.5000000000000001E-3</v>
      </c>
      <c r="E189" s="33">
        <v>26.970499999999998</v>
      </c>
      <c r="F189" s="33">
        <f>IF(ISNUMBER(E189),E189*$D189,"")</f>
        <v>6.7426249999999993E-2</v>
      </c>
      <c r="G189" s="44"/>
      <c r="H189" s="45"/>
      <c r="I189" s="153">
        <v>0</v>
      </c>
    </row>
    <row r="190" spans="1:9" ht="15.75" hidden="1" thickBot="1" x14ac:dyDescent="0.3">
      <c r="A190" s="182"/>
      <c r="B190" s="35" t="s">
        <v>416</v>
      </c>
      <c r="C190" s="35"/>
      <c r="D190" s="92"/>
      <c r="E190" s="30" t="s">
        <v>416</v>
      </c>
      <c r="F190" s="30" t="str">
        <f>IF(ISNUMBER(E190),E190*$D190,"")</f>
        <v/>
      </c>
      <c r="G190" s="34"/>
      <c r="H190" s="30"/>
      <c r="I190" s="153">
        <v>0</v>
      </c>
    </row>
    <row r="191" spans="1:9" ht="15.75" hidden="1" thickBot="1" x14ac:dyDescent="0.3">
      <c r="A191" s="183" t="s">
        <v>855</v>
      </c>
      <c r="B191" s="40" t="s">
        <v>416</v>
      </c>
      <c r="C191" s="25" t="s">
        <v>856</v>
      </c>
      <c r="D191" s="93"/>
      <c r="E191" s="41" t="s">
        <v>416</v>
      </c>
      <c r="F191" s="41" t="str">
        <f>IF(ISNUMBER(E191),E191*$D191,"")</f>
        <v/>
      </c>
      <c r="G191" s="28"/>
      <c r="H191" s="29"/>
      <c r="I191" s="153">
        <v>0</v>
      </c>
    </row>
    <row r="192" spans="1:9" ht="15.75" hidden="1" thickBot="1" x14ac:dyDescent="0.3">
      <c r="A192" s="182"/>
      <c r="B192" s="31" t="s">
        <v>416</v>
      </c>
      <c r="C192" s="31"/>
      <c r="D192" s="91"/>
      <c r="E192" s="42" t="s">
        <v>416</v>
      </c>
      <c r="F192" s="30" t="str">
        <f>IF(ISNUMBER(E192),E192*$D192,"")</f>
        <v/>
      </c>
      <c r="G192" s="34"/>
      <c r="H192" s="30"/>
      <c r="I192" s="153">
        <v>0</v>
      </c>
    </row>
    <row r="193" spans="1:9" ht="15.75" hidden="1" thickBot="1" x14ac:dyDescent="0.3">
      <c r="A193" s="182"/>
      <c r="B193" s="35" t="s">
        <v>584</v>
      </c>
      <c r="C193" s="35" t="s">
        <v>583</v>
      </c>
      <c r="D193" s="36">
        <v>0.61180000000000001</v>
      </c>
      <c r="E193" s="33">
        <v>20.225499999999997</v>
      </c>
      <c r="F193" s="33">
        <f>IF(ISNUMBER(E193),E193*$D193,"")</f>
        <v>12.373960899999998</v>
      </c>
      <c r="G193" s="44">
        <f>SUM(F193:F193)</f>
        <v>12.373960899999998</v>
      </c>
      <c r="H193" s="45"/>
      <c r="I193" s="153">
        <v>0</v>
      </c>
    </row>
    <row r="194" spans="1:9" ht="15.75" hidden="1" thickBot="1" x14ac:dyDescent="0.3">
      <c r="A194" s="184"/>
      <c r="B194" s="54" t="s">
        <v>416</v>
      </c>
      <c r="C194" s="54"/>
      <c r="D194" s="95"/>
      <c r="E194" s="66" t="s">
        <v>416</v>
      </c>
      <c r="F194" s="66" t="str">
        <f>IF(ISNUMBER(E194),E194*$D194,"")</f>
        <v/>
      </c>
      <c r="G194" s="68"/>
      <c r="H194" s="30"/>
      <c r="I194" s="153">
        <v>0</v>
      </c>
    </row>
    <row r="195" spans="1:9" ht="15.75" hidden="1" thickBot="1" x14ac:dyDescent="0.3">
      <c r="A195" s="183" t="s">
        <v>6584</v>
      </c>
      <c r="B195" s="40" t="s">
        <v>416</v>
      </c>
      <c r="C195" s="25" t="s">
        <v>87</v>
      </c>
      <c r="D195" s="93"/>
      <c r="E195" s="41" t="s">
        <v>416</v>
      </c>
      <c r="F195" s="41" t="str">
        <f>IF(ISNUMBER(E195),E195*$D195,"")</f>
        <v/>
      </c>
      <c r="G195" s="28"/>
      <c r="H195" s="29"/>
      <c r="I195" s="153">
        <v>0</v>
      </c>
    </row>
    <row r="196" spans="1:9" ht="15.75" hidden="1" thickBot="1" x14ac:dyDescent="0.3">
      <c r="A196" s="182"/>
      <c r="B196" s="31" t="s">
        <v>416</v>
      </c>
      <c r="C196" s="31"/>
      <c r="D196" s="91"/>
      <c r="E196" s="42" t="s">
        <v>416</v>
      </c>
      <c r="F196" s="30" t="str">
        <f>IF(ISNUMBER(E196),E196*$D196,"")</f>
        <v/>
      </c>
      <c r="G196" s="34"/>
      <c r="H196" s="30"/>
      <c r="I196" s="153">
        <v>0</v>
      </c>
    </row>
    <row r="197" spans="1:9" ht="15.75" hidden="1" thickBot="1" x14ac:dyDescent="0.3">
      <c r="A197" s="182"/>
      <c r="B197" s="35" t="s">
        <v>862</v>
      </c>
      <c r="C197" s="35" t="s">
        <v>583</v>
      </c>
      <c r="D197" s="36">
        <v>2.4590000000000001</v>
      </c>
      <c r="E197" s="33">
        <v>26.799499999999998</v>
      </c>
      <c r="F197" s="33">
        <f>IF(ISNUMBER(E197),E197*$D197,"")</f>
        <v>65.899970499999995</v>
      </c>
      <c r="G197" s="44">
        <f>SUM(F197:F201)</f>
        <v>283.74220949999994</v>
      </c>
      <c r="H197" s="45"/>
      <c r="I197" s="153">
        <v>0</v>
      </c>
    </row>
    <row r="198" spans="1:9" ht="15.75" hidden="1" thickBot="1" x14ac:dyDescent="0.3">
      <c r="A198" s="182"/>
      <c r="B198" s="35" t="s">
        <v>591</v>
      </c>
      <c r="C198" s="35" t="s">
        <v>583</v>
      </c>
      <c r="D198" s="36">
        <v>2.4590000000000001</v>
      </c>
      <c r="E198" s="33">
        <v>27.160499999999999</v>
      </c>
      <c r="F198" s="33">
        <f>IF(ISNUMBER(E198),E198*$D198,"")</f>
        <v>66.787669499999993</v>
      </c>
      <c r="G198" s="44"/>
      <c r="H198" s="45"/>
      <c r="I198" s="153">
        <v>0</v>
      </c>
    </row>
    <row r="199" spans="1:9" ht="15.75" hidden="1" thickBot="1" x14ac:dyDescent="0.3">
      <c r="A199" s="182"/>
      <c r="B199" s="35" t="s">
        <v>584</v>
      </c>
      <c r="C199" s="35" t="s">
        <v>583</v>
      </c>
      <c r="D199" s="36">
        <v>7.3769999999999998</v>
      </c>
      <c r="E199" s="30">
        <v>20.225499999999997</v>
      </c>
      <c r="F199" s="33">
        <f>IF(ISNUMBER(E199),E199*$D199,"")</f>
        <v>149.20351349999996</v>
      </c>
      <c r="G199" s="44"/>
      <c r="H199" s="45"/>
      <c r="I199" s="153">
        <v>0</v>
      </c>
    </row>
    <row r="200" spans="1:9" ht="26.25" hidden="1" thickBot="1" x14ac:dyDescent="0.3">
      <c r="A200" s="182"/>
      <c r="B200" s="35" t="s">
        <v>1011</v>
      </c>
      <c r="C200" s="35" t="s">
        <v>813</v>
      </c>
      <c r="D200" s="36">
        <v>1.042</v>
      </c>
      <c r="E200" s="30">
        <v>1.1304999999999998</v>
      </c>
      <c r="F200" s="94">
        <f>IF(ISNUMBER(E200),E200*$D200,"")</f>
        <v>1.1779809999999999</v>
      </c>
      <c r="G200" s="44"/>
      <c r="H200" s="45"/>
      <c r="I200" s="153">
        <v>0</v>
      </c>
    </row>
    <row r="201" spans="1:9" ht="26.25" hidden="1" thickBot="1" x14ac:dyDescent="0.3">
      <c r="A201" s="182"/>
      <c r="B201" s="35" t="s">
        <v>1012</v>
      </c>
      <c r="C201" s="35" t="s">
        <v>815</v>
      </c>
      <c r="D201" s="36">
        <v>1.417</v>
      </c>
      <c r="E201" s="30">
        <v>0.47499999999999998</v>
      </c>
      <c r="F201" s="94">
        <f>IF(ISNUMBER(E201),E201*$D201,"")</f>
        <v>0.67307499999999998</v>
      </c>
      <c r="G201" s="44"/>
      <c r="H201" s="45"/>
      <c r="I201" s="153">
        <v>0</v>
      </c>
    </row>
    <row r="202" spans="1:9" ht="15.75" hidden="1" thickBot="1" x14ac:dyDescent="0.3">
      <c r="A202" s="182"/>
      <c r="B202" s="35"/>
      <c r="C202" s="35"/>
      <c r="D202" s="92"/>
      <c r="E202" s="30" t="s">
        <v>416</v>
      </c>
      <c r="F202" s="30" t="str">
        <f>IF(ISNUMBER(E202),E202*$D202,"")</f>
        <v/>
      </c>
      <c r="G202" s="34"/>
      <c r="H202" s="30"/>
      <c r="I202" s="153">
        <v>0</v>
      </c>
    </row>
    <row r="203" spans="1:9" ht="15.75" thickBot="1" x14ac:dyDescent="0.3">
      <c r="A203" s="183" t="s">
        <v>3068</v>
      </c>
      <c r="B203" s="40" t="s">
        <v>416</v>
      </c>
      <c r="C203" s="25" t="s">
        <v>89</v>
      </c>
      <c r="D203" s="93"/>
      <c r="E203" s="41" t="s">
        <v>416</v>
      </c>
      <c r="F203" s="41" t="str">
        <f>IF(ISNUMBER(E203),E203*$D203,"")</f>
        <v/>
      </c>
      <c r="G203" s="28"/>
      <c r="H203" s="29"/>
      <c r="I203" s="153">
        <v>300</v>
      </c>
    </row>
    <row r="204" spans="1:9" x14ac:dyDescent="0.25">
      <c r="A204" s="182"/>
      <c r="B204" s="31" t="s">
        <v>416</v>
      </c>
      <c r="C204" s="31"/>
      <c r="D204" s="91"/>
      <c r="E204" s="42" t="s">
        <v>416</v>
      </c>
      <c r="F204" s="30" t="str">
        <f>IF(ISNUMBER(E204),E204*$D204,"")</f>
        <v/>
      </c>
      <c r="G204" s="34"/>
      <c r="H204" s="30"/>
      <c r="I204" s="153">
        <v>300</v>
      </c>
    </row>
    <row r="205" spans="1:9" ht="51" x14ac:dyDescent="0.25">
      <c r="A205" s="182"/>
      <c r="B205" s="35" t="s">
        <v>939</v>
      </c>
      <c r="C205" s="35" t="s">
        <v>813</v>
      </c>
      <c r="D205" s="36">
        <v>1.3899999999999999E-2</v>
      </c>
      <c r="E205" s="33">
        <v>169.09049999999999</v>
      </c>
      <c r="F205" s="33">
        <f>IF(ISNUMBER(E205),E205*$D205,"")</f>
        <v>2.3503579499999998</v>
      </c>
      <c r="G205" s="44">
        <f>SUM(F205:F206)</f>
        <v>2.6576449499999999</v>
      </c>
      <c r="H205" s="45"/>
      <c r="I205" s="153">
        <v>300</v>
      </c>
    </row>
    <row r="206" spans="1:9" ht="51" x14ac:dyDescent="0.25">
      <c r="A206" s="182"/>
      <c r="B206" s="35" t="s">
        <v>940</v>
      </c>
      <c r="C206" s="35" t="s">
        <v>815</v>
      </c>
      <c r="D206" s="36">
        <v>6.0000000000000001E-3</v>
      </c>
      <c r="E206" s="33">
        <v>51.214499999999994</v>
      </c>
      <c r="F206" s="33">
        <f>IF(ISNUMBER(E206),E206*$D206,"")</f>
        <v>0.30728699999999998</v>
      </c>
      <c r="G206" s="44"/>
      <c r="H206" s="45"/>
      <c r="I206" s="153">
        <v>300</v>
      </c>
    </row>
    <row r="207" spans="1:9" ht="15.75" thickBot="1" x14ac:dyDescent="0.3">
      <c r="A207" s="184"/>
      <c r="B207" s="54" t="s">
        <v>416</v>
      </c>
      <c r="C207" s="54"/>
      <c r="D207" s="95"/>
      <c r="E207" s="66" t="s">
        <v>416</v>
      </c>
      <c r="F207" s="66" t="str">
        <f>IF(ISNUMBER(E207),E207*$D207,"")</f>
        <v/>
      </c>
      <c r="G207" s="68"/>
      <c r="H207" s="30"/>
      <c r="I207" s="153">
        <v>300</v>
      </c>
    </row>
    <row r="208" spans="1:9" ht="15.75" hidden="1" thickBot="1" x14ac:dyDescent="0.3">
      <c r="A208" s="183" t="s">
        <v>3066</v>
      </c>
      <c r="B208" s="40" t="s">
        <v>416</v>
      </c>
      <c r="C208" s="25" t="s">
        <v>630</v>
      </c>
      <c r="D208" s="93"/>
      <c r="E208" s="41" t="s">
        <v>416</v>
      </c>
      <c r="F208" s="41" t="str">
        <f>IF(ISNUMBER(E208),E208*$D208,"")</f>
        <v/>
      </c>
      <c r="G208" s="28"/>
      <c r="H208" s="29"/>
      <c r="I208" s="153">
        <v>0</v>
      </c>
    </row>
    <row r="209" spans="1:9" ht="15.75" hidden="1" thickBot="1" x14ac:dyDescent="0.3">
      <c r="A209" s="182"/>
      <c r="B209" s="31" t="s">
        <v>416</v>
      </c>
      <c r="C209" s="31"/>
      <c r="D209" s="91"/>
      <c r="E209" s="42" t="s">
        <v>416</v>
      </c>
      <c r="F209" s="30" t="str">
        <f>IF(ISNUMBER(E209),E209*$D209,"")</f>
        <v/>
      </c>
      <c r="G209" s="34"/>
      <c r="H209" s="30"/>
      <c r="I209" s="153">
        <v>0</v>
      </c>
    </row>
    <row r="210" spans="1:9" ht="51.75" hidden="1" thickBot="1" x14ac:dyDescent="0.3">
      <c r="A210" s="182"/>
      <c r="B210" s="35" t="s">
        <v>939</v>
      </c>
      <c r="C210" s="35" t="s">
        <v>813</v>
      </c>
      <c r="D210" s="36">
        <v>9.2999999999999992E-3</v>
      </c>
      <c r="E210" s="33">
        <v>169.09049999999999</v>
      </c>
      <c r="F210" s="33">
        <f>IF(ISNUMBER(E210),E210*$D210,"")</f>
        <v>1.5725416499999998</v>
      </c>
      <c r="G210" s="44">
        <f>SUM(F210:F211)</f>
        <v>1.7773996499999998</v>
      </c>
      <c r="H210" s="45"/>
      <c r="I210" s="153">
        <v>0</v>
      </c>
    </row>
    <row r="211" spans="1:9" ht="51.75" hidden="1" thickBot="1" x14ac:dyDescent="0.3">
      <c r="A211" s="182"/>
      <c r="B211" s="35" t="s">
        <v>940</v>
      </c>
      <c r="C211" s="35" t="s">
        <v>815</v>
      </c>
      <c r="D211" s="36">
        <v>4.0000000000000001E-3</v>
      </c>
      <c r="E211" s="33">
        <v>51.214499999999994</v>
      </c>
      <c r="F211" s="33">
        <f>IF(ISNUMBER(E211),E211*$D211,"")</f>
        <v>0.20485799999999998</v>
      </c>
      <c r="G211" s="44"/>
      <c r="H211" s="45"/>
      <c r="I211" s="153">
        <v>0</v>
      </c>
    </row>
    <row r="212" spans="1:9" ht="15.75" hidden="1" thickBot="1" x14ac:dyDescent="0.3">
      <c r="A212" s="184"/>
      <c r="B212" s="54" t="s">
        <v>416</v>
      </c>
      <c r="C212" s="54"/>
      <c r="D212" s="95"/>
      <c r="E212" s="66" t="s">
        <v>416</v>
      </c>
      <c r="F212" s="66" t="str">
        <f>IF(ISNUMBER(E212),E212*$D212,"")</f>
        <v/>
      </c>
      <c r="G212" s="68"/>
      <c r="H212" s="30"/>
      <c r="I212" s="153">
        <v>0</v>
      </c>
    </row>
    <row r="213" spans="1:9" ht="15.75" hidden="1" thickBot="1" x14ac:dyDescent="0.3">
      <c r="A213" s="183" t="s">
        <v>5737</v>
      </c>
      <c r="B213" s="40" t="s">
        <v>416</v>
      </c>
      <c r="C213" s="25" t="s">
        <v>87</v>
      </c>
      <c r="D213" s="93"/>
      <c r="E213" s="41" t="s">
        <v>416</v>
      </c>
      <c r="F213" s="41" t="str">
        <f>IF(ISNUMBER(E213),E213*$D213,"")</f>
        <v/>
      </c>
      <c r="G213" s="28"/>
      <c r="H213" s="29"/>
      <c r="I213" s="153">
        <v>0</v>
      </c>
    </row>
    <row r="214" spans="1:9" ht="15.75" hidden="1" thickBot="1" x14ac:dyDescent="0.3">
      <c r="A214" s="182"/>
      <c r="B214" s="31" t="s">
        <v>416</v>
      </c>
      <c r="C214" s="31"/>
      <c r="D214" s="91"/>
      <c r="E214" s="42" t="s">
        <v>416</v>
      </c>
      <c r="F214" s="30" t="str">
        <f>IF(ISNUMBER(E214),E214*$D214,"")</f>
        <v/>
      </c>
      <c r="G214" s="34"/>
      <c r="H214" s="30"/>
      <c r="I214" s="153">
        <v>0</v>
      </c>
    </row>
    <row r="215" spans="1:9" ht="26.25" hidden="1" thickBot="1" x14ac:dyDescent="0.3">
      <c r="A215" s="182"/>
      <c r="B215" s="35" t="s">
        <v>7985</v>
      </c>
      <c r="C215" s="35" t="s">
        <v>87</v>
      </c>
      <c r="D215" s="36">
        <v>0.76090000000000002</v>
      </c>
      <c r="E215" s="33">
        <v>202.33099999999999</v>
      </c>
      <c r="F215" s="33">
        <f>IF(ISNUMBER(E215),E215*$D215,"")</f>
        <v>153.9536579</v>
      </c>
      <c r="G215" s="44">
        <f>SUM(F215:F223)</f>
        <v>616.29413234365495</v>
      </c>
      <c r="H215" s="45"/>
      <c r="I215" s="153">
        <v>0</v>
      </c>
    </row>
    <row r="216" spans="1:9" ht="15.75" hidden="1" thickBot="1" x14ac:dyDescent="0.3">
      <c r="A216" s="182"/>
      <c r="B216" s="35" t="s">
        <v>8065</v>
      </c>
      <c r="C216" s="35" t="s">
        <v>773</v>
      </c>
      <c r="D216" s="36">
        <v>325.15890000000002</v>
      </c>
      <c r="E216" s="33">
        <v>0.627</v>
      </c>
      <c r="F216" s="33">
        <f>IF(ISNUMBER(E216),E216*$D216,"")</f>
        <v>203.87463030000001</v>
      </c>
      <c r="G216" s="44"/>
      <c r="H216" s="45"/>
      <c r="I216" s="153">
        <v>0</v>
      </c>
    </row>
    <row r="217" spans="1:9" ht="26.25" hidden="1" thickBot="1" x14ac:dyDescent="0.3">
      <c r="A217" s="182"/>
      <c r="B217" s="35" t="s">
        <v>8311</v>
      </c>
      <c r="C217" s="35" t="s">
        <v>87</v>
      </c>
      <c r="D217" s="36">
        <v>0.59119999999999995</v>
      </c>
      <c r="E217" s="33">
        <v>176.453</v>
      </c>
      <c r="F217" s="33">
        <f>IF(ISNUMBER(E217),E217*$D217,"")</f>
        <v>104.31901359999999</v>
      </c>
      <c r="G217" s="44"/>
      <c r="H217" s="45"/>
      <c r="I217" s="153">
        <v>0</v>
      </c>
    </row>
    <row r="218" spans="1:9" ht="15.75" hidden="1" thickBot="1" x14ac:dyDescent="0.3">
      <c r="A218" s="182"/>
      <c r="B218" s="35" t="s">
        <v>584</v>
      </c>
      <c r="C218" s="35" t="s">
        <v>583</v>
      </c>
      <c r="D218" s="36">
        <v>2.0266999999999999</v>
      </c>
      <c r="E218" s="30">
        <v>20.225499999999997</v>
      </c>
      <c r="F218" s="33">
        <f>IF(ISNUMBER(E218),E218*$D218,"")</f>
        <v>40.991020849999991</v>
      </c>
      <c r="G218" s="44"/>
      <c r="H218" s="45"/>
      <c r="I218" s="153">
        <v>0</v>
      </c>
    </row>
    <row r="219" spans="1:9" ht="26.25" hidden="1" thickBot="1" x14ac:dyDescent="0.3">
      <c r="A219" s="182"/>
      <c r="B219" s="35" t="s">
        <v>1271</v>
      </c>
      <c r="C219" s="35" t="s">
        <v>583</v>
      </c>
      <c r="D219" s="36">
        <v>1.2767999999999999</v>
      </c>
      <c r="E219" s="30">
        <v>20.291999999999998</v>
      </c>
      <c r="F219" s="94">
        <f>IF(ISNUMBER(E219),E219*$D219,"")</f>
        <v>25.908825599999997</v>
      </c>
      <c r="G219" s="44"/>
      <c r="H219" s="45"/>
      <c r="I219" s="153">
        <v>0</v>
      </c>
    </row>
    <row r="220" spans="1:9" ht="39" hidden="1" thickBot="1" x14ac:dyDescent="0.3">
      <c r="A220" s="182"/>
      <c r="B220" s="35" t="s">
        <v>1218</v>
      </c>
      <c r="C220" s="35" t="s">
        <v>813</v>
      </c>
      <c r="D220" s="36">
        <v>0.65720000000000001</v>
      </c>
      <c r="E220" s="30">
        <v>5.1395</v>
      </c>
      <c r="F220" s="94">
        <f>IF(ISNUMBER(E220),E220*$D220,"")</f>
        <v>3.3776793999999999</v>
      </c>
      <c r="G220" s="44"/>
      <c r="H220" s="45"/>
      <c r="I220" s="153">
        <v>0</v>
      </c>
    </row>
    <row r="221" spans="1:9" ht="39" hidden="1" thickBot="1" x14ac:dyDescent="0.3">
      <c r="A221" s="182"/>
      <c r="B221" s="35" t="s">
        <v>1272</v>
      </c>
      <c r="C221" s="35" t="s">
        <v>815</v>
      </c>
      <c r="D221" s="36">
        <v>0.61970000000000003</v>
      </c>
      <c r="E221" s="30">
        <v>1.7954999999999999</v>
      </c>
      <c r="F221" s="33">
        <f>IF(ISNUMBER(E221),E221*$D221,"")</f>
        <v>1.1126713500000001</v>
      </c>
      <c r="G221" s="44"/>
      <c r="H221" s="45"/>
      <c r="I221" s="153">
        <v>0</v>
      </c>
    </row>
    <row r="222" spans="1:9" ht="51.75" hidden="1" thickBot="1" x14ac:dyDescent="0.3">
      <c r="A222" s="182"/>
      <c r="B222" s="35" t="s">
        <v>3071</v>
      </c>
      <c r="C222" s="35" t="s">
        <v>87</v>
      </c>
      <c r="D222" s="36">
        <f>ROUND(1*(D215+D217),4)</f>
        <v>1.3521000000000001</v>
      </c>
      <c r="E222" s="30">
        <v>8.0531015499999992</v>
      </c>
      <c r="F222" s="33">
        <f>IF(ISNUMBER(E222),E222*$D222,"")</f>
        <v>10.888598605755</v>
      </c>
      <c r="G222" s="44"/>
      <c r="H222" s="45"/>
      <c r="I222" s="153">
        <v>0</v>
      </c>
    </row>
    <row r="223" spans="1:9" ht="39" hidden="1" thickBot="1" x14ac:dyDescent="0.3">
      <c r="A223" s="182"/>
      <c r="B223" s="35" t="s">
        <v>3068</v>
      </c>
      <c r="C223" s="46" t="s">
        <v>89</v>
      </c>
      <c r="D223" s="36">
        <f>ROUND((D215+D217)*20,4)</f>
        <v>27.042000000000002</v>
      </c>
      <c r="E223" s="30">
        <v>2.6576449499999995</v>
      </c>
      <c r="F223" s="33">
        <f>IF(ISNUMBER(E223),E223*$D223,"")</f>
        <v>71.86803473789999</v>
      </c>
      <c r="G223" s="44"/>
      <c r="H223" s="45"/>
      <c r="I223" s="153">
        <v>0</v>
      </c>
    </row>
    <row r="224" spans="1:9" ht="15.75" hidden="1" thickBot="1" x14ac:dyDescent="0.3">
      <c r="A224" s="182"/>
      <c r="B224" s="50"/>
      <c r="C224" s="46"/>
      <c r="D224" s="36"/>
      <c r="E224" s="30" t="s">
        <v>416</v>
      </c>
      <c r="F224" s="33" t="str">
        <f>IF(ISNUMBER(E224),E224*$D224,"")</f>
        <v/>
      </c>
      <c r="G224" s="44"/>
      <c r="H224" s="45"/>
      <c r="I224" s="153">
        <v>0</v>
      </c>
    </row>
    <row r="225" spans="1:9" ht="26.25" hidden="1" thickBot="1" x14ac:dyDescent="0.3">
      <c r="A225" s="182"/>
      <c r="B225" s="47" t="s">
        <v>90</v>
      </c>
      <c r="C225" s="46"/>
      <c r="D225" s="36"/>
      <c r="E225" s="30" t="s">
        <v>416</v>
      </c>
      <c r="F225" s="33" t="str">
        <f>IF(ISNUMBER(E225),E225*$D225,"")</f>
        <v/>
      </c>
      <c r="G225" s="44"/>
      <c r="H225" s="45"/>
      <c r="I225" s="153">
        <v>0</v>
      </c>
    </row>
    <row r="226" spans="1:9" ht="15.75" hidden="1" thickBot="1" x14ac:dyDescent="0.3">
      <c r="A226" s="182"/>
      <c r="B226" s="35" t="s">
        <v>416</v>
      </c>
      <c r="C226" s="35"/>
      <c r="D226" s="92"/>
      <c r="E226" s="30" t="s">
        <v>416</v>
      </c>
      <c r="F226" s="30" t="str">
        <f>IF(ISNUMBER(E226),E226*$D226,"")</f>
        <v/>
      </c>
      <c r="G226" s="34"/>
      <c r="H226" s="30"/>
      <c r="I226" s="153">
        <v>0</v>
      </c>
    </row>
    <row r="227" spans="1:9" ht="15.75" hidden="1" thickBot="1" x14ac:dyDescent="0.3">
      <c r="A227" s="183" t="s">
        <v>5734</v>
      </c>
      <c r="B227" s="40" t="s">
        <v>416</v>
      </c>
      <c r="C227" s="25" t="s">
        <v>87</v>
      </c>
      <c r="D227" s="93"/>
      <c r="E227" s="41" t="s">
        <v>416</v>
      </c>
      <c r="F227" s="41" t="str">
        <f>IF(ISNUMBER(E227),E227*$D227,"")</f>
        <v/>
      </c>
      <c r="G227" s="28"/>
      <c r="H227" s="29"/>
      <c r="I227" s="153">
        <v>0</v>
      </c>
    </row>
    <row r="228" spans="1:9" ht="15.75" hidden="1" thickBot="1" x14ac:dyDescent="0.3">
      <c r="A228" s="182"/>
      <c r="B228" s="31" t="s">
        <v>416</v>
      </c>
      <c r="C228" s="31"/>
      <c r="D228" s="91"/>
      <c r="E228" s="97" t="s">
        <v>416</v>
      </c>
      <c r="F228" s="98" t="str">
        <f>IF(ISNUMBER(E228),E228*$D228,"")</f>
        <v/>
      </c>
      <c r="G228" s="34"/>
      <c r="H228" s="30"/>
      <c r="I228" s="153">
        <v>0</v>
      </c>
    </row>
    <row r="229" spans="1:9" ht="26.25" hidden="1" thickBot="1" x14ac:dyDescent="0.3">
      <c r="A229" s="182"/>
      <c r="B229" s="35" t="s">
        <v>7985</v>
      </c>
      <c r="C229" s="35" t="s">
        <v>87</v>
      </c>
      <c r="D229" s="36">
        <v>0.82689999999999997</v>
      </c>
      <c r="E229" s="33">
        <v>202.33099999999999</v>
      </c>
      <c r="F229" s="33">
        <f>IF(ISNUMBER(E229),E229*$D229,"")</f>
        <v>167.30750389999997</v>
      </c>
      <c r="G229" s="44">
        <f>SUM(F229:F237)</f>
        <v>567.27836607280494</v>
      </c>
      <c r="H229" s="45"/>
      <c r="I229" s="153">
        <v>0</v>
      </c>
    </row>
    <row r="230" spans="1:9" ht="15.75" hidden="1" thickBot="1" x14ac:dyDescent="0.3">
      <c r="A230" s="182"/>
      <c r="B230" s="35" t="s">
        <v>8065</v>
      </c>
      <c r="C230" s="35" t="s">
        <v>773</v>
      </c>
      <c r="D230" s="36">
        <v>212.01939999999999</v>
      </c>
      <c r="E230" s="33">
        <v>0.627</v>
      </c>
      <c r="F230" s="33">
        <f>IF(ISNUMBER(E230),E230*$D230,"")</f>
        <v>132.9361638</v>
      </c>
      <c r="G230" s="44"/>
      <c r="H230" s="45"/>
      <c r="I230" s="153">
        <v>0</v>
      </c>
    </row>
    <row r="231" spans="1:9" ht="26.25" hidden="1" thickBot="1" x14ac:dyDescent="0.3">
      <c r="A231" s="182"/>
      <c r="B231" s="35" t="s">
        <v>8311</v>
      </c>
      <c r="C231" s="35" t="s">
        <v>87</v>
      </c>
      <c r="D231" s="36">
        <v>0.57820000000000005</v>
      </c>
      <c r="E231" s="33">
        <v>176.453</v>
      </c>
      <c r="F231" s="33">
        <f>IF(ISNUMBER(E231),E231*$D231,"")</f>
        <v>102.02512460000001</v>
      </c>
      <c r="G231" s="44"/>
      <c r="H231" s="45"/>
      <c r="I231" s="153">
        <v>0</v>
      </c>
    </row>
    <row r="232" spans="1:9" ht="15.75" hidden="1" thickBot="1" x14ac:dyDescent="0.3">
      <c r="A232" s="182"/>
      <c r="B232" s="35" t="s">
        <v>584</v>
      </c>
      <c r="C232" s="35" t="s">
        <v>583</v>
      </c>
      <c r="D232" s="36">
        <v>2.3433000000000002</v>
      </c>
      <c r="E232" s="30">
        <v>20.225499999999997</v>
      </c>
      <c r="F232" s="33">
        <f>IF(ISNUMBER(E232),E232*$D232,"")</f>
        <v>47.394414149999996</v>
      </c>
      <c r="G232" s="44"/>
      <c r="H232" s="45"/>
      <c r="I232" s="153">
        <v>0</v>
      </c>
    </row>
    <row r="233" spans="1:9" ht="26.25" hidden="1" thickBot="1" x14ac:dyDescent="0.3">
      <c r="A233" s="182"/>
      <c r="B233" s="35" t="s">
        <v>1271</v>
      </c>
      <c r="C233" s="35" t="s">
        <v>583</v>
      </c>
      <c r="D233" s="36">
        <v>1.4811000000000001</v>
      </c>
      <c r="E233" s="30">
        <v>20.291999999999998</v>
      </c>
      <c r="F233" s="99">
        <f>IF(ISNUMBER(E233),E233*$D233,"")</f>
        <v>30.054481199999998</v>
      </c>
      <c r="G233" s="44"/>
      <c r="H233" s="45"/>
      <c r="I233" s="153">
        <v>0</v>
      </c>
    </row>
    <row r="234" spans="1:9" ht="39" hidden="1" thickBot="1" x14ac:dyDescent="0.3">
      <c r="A234" s="182"/>
      <c r="B234" s="35" t="s">
        <v>84</v>
      </c>
      <c r="C234" s="35" t="s">
        <v>813</v>
      </c>
      <c r="D234" s="36">
        <v>0.76229999999999998</v>
      </c>
      <c r="E234" s="30">
        <v>1.6435</v>
      </c>
      <c r="F234" s="99">
        <f>IF(ISNUMBER(E234),E234*$D234,"")</f>
        <v>1.2528400499999999</v>
      </c>
      <c r="G234" s="44"/>
      <c r="H234" s="45"/>
      <c r="I234" s="153">
        <v>0</v>
      </c>
    </row>
    <row r="235" spans="1:9" ht="39" hidden="1" thickBot="1" x14ac:dyDescent="0.3">
      <c r="A235" s="182"/>
      <c r="B235" s="35" t="s">
        <v>85</v>
      </c>
      <c r="C235" s="35" t="s">
        <v>815</v>
      </c>
      <c r="D235" s="36">
        <v>0.71879999999999999</v>
      </c>
      <c r="E235" s="30">
        <v>0.42749999999999999</v>
      </c>
      <c r="F235" s="33">
        <f>IF(ISNUMBER(E235),E235*$D235,"")</f>
        <v>0.30728699999999998</v>
      </c>
      <c r="G235" s="44"/>
      <c r="H235" s="45"/>
      <c r="I235" s="153">
        <v>0</v>
      </c>
    </row>
    <row r="236" spans="1:9" ht="51.75" hidden="1" thickBot="1" x14ac:dyDescent="0.3">
      <c r="A236" s="182"/>
      <c r="B236" s="35" t="s">
        <v>3071</v>
      </c>
      <c r="C236" s="35" t="s">
        <v>87</v>
      </c>
      <c r="D236" s="36">
        <f>ROUND(1*(D229+D231),4)</f>
        <v>1.4051</v>
      </c>
      <c r="E236" s="30">
        <v>8.0531015499999992</v>
      </c>
      <c r="F236" s="33">
        <f>IF(ISNUMBER(E236),E236*$D236,"")</f>
        <v>11.315412987904999</v>
      </c>
      <c r="G236" s="44"/>
      <c r="H236" s="45"/>
      <c r="I236" s="153">
        <v>0</v>
      </c>
    </row>
    <row r="237" spans="1:9" ht="39" hidden="1" thickBot="1" x14ac:dyDescent="0.3">
      <c r="A237" s="182"/>
      <c r="B237" s="35" t="s">
        <v>3068</v>
      </c>
      <c r="C237" s="46" t="s">
        <v>89</v>
      </c>
      <c r="D237" s="36">
        <f>ROUND((D229+D231)*20,4)</f>
        <v>28.102</v>
      </c>
      <c r="E237" s="30">
        <v>2.6576449499999995</v>
      </c>
      <c r="F237" s="33">
        <f>IF(ISNUMBER(E237),E237*$D237,"")</f>
        <v>74.685138384899986</v>
      </c>
      <c r="G237" s="44"/>
      <c r="H237" s="45"/>
      <c r="I237" s="153">
        <v>0</v>
      </c>
    </row>
    <row r="238" spans="1:9" ht="15.75" hidden="1" thickBot="1" x14ac:dyDescent="0.3">
      <c r="A238" s="182"/>
      <c r="B238" s="50"/>
      <c r="C238" s="46"/>
      <c r="D238" s="36"/>
      <c r="E238" s="30" t="s">
        <v>416</v>
      </c>
      <c r="F238" s="33" t="str">
        <f>IF(ISNUMBER(E238),E238*$D238,"")</f>
        <v/>
      </c>
      <c r="G238" s="44"/>
      <c r="H238" s="45"/>
      <c r="I238" s="153">
        <v>0</v>
      </c>
    </row>
    <row r="239" spans="1:9" ht="26.25" hidden="1" thickBot="1" x14ac:dyDescent="0.3">
      <c r="A239" s="182"/>
      <c r="B239" s="47" t="s">
        <v>90</v>
      </c>
      <c r="C239" s="46"/>
      <c r="D239" s="36"/>
      <c r="E239" s="30" t="s">
        <v>416</v>
      </c>
      <c r="F239" s="33" t="str">
        <f>IF(ISNUMBER(E239),E239*$D239,"")</f>
        <v/>
      </c>
      <c r="G239" s="44"/>
      <c r="H239" s="45"/>
      <c r="I239" s="153">
        <v>0</v>
      </c>
    </row>
    <row r="240" spans="1:9" ht="15.75" hidden="1" thickBot="1" x14ac:dyDescent="0.3">
      <c r="A240" s="182"/>
      <c r="B240" s="35" t="s">
        <v>416</v>
      </c>
      <c r="C240" s="35"/>
      <c r="D240" s="92"/>
      <c r="E240" s="30" t="s">
        <v>416</v>
      </c>
      <c r="F240" s="30" t="str">
        <f>IF(ISNUMBER(E240),E240*$D240,"")</f>
        <v/>
      </c>
      <c r="G240" s="34"/>
      <c r="H240" s="30"/>
      <c r="I240" s="153">
        <v>0</v>
      </c>
    </row>
    <row r="241" spans="1:9" ht="15.75" hidden="1" thickBot="1" x14ac:dyDescent="0.3">
      <c r="A241" s="183" t="s">
        <v>5780</v>
      </c>
      <c r="B241" s="40" t="s">
        <v>416</v>
      </c>
      <c r="C241" s="25" t="s">
        <v>87</v>
      </c>
      <c r="D241" s="93"/>
      <c r="E241" s="41" t="s">
        <v>416</v>
      </c>
      <c r="F241" s="48" t="str">
        <f>IF(ISNUMBER(E241),E241*$D241,"")</f>
        <v/>
      </c>
      <c r="G241" s="28"/>
      <c r="H241" s="29"/>
      <c r="I241" s="153">
        <v>0</v>
      </c>
    </row>
    <row r="242" spans="1:9" ht="15.75" hidden="1" thickBot="1" x14ac:dyDescent="0.3">
      <c r="A242" s="182"/>
      <c r="B242" s="31" t="s">
        <v>416</v>
      </c>
      <c r="C242" s="31"/>
      <c r="D242" s="91"/>
      <c r="E242" s="42" t="s">
        <v>416</v>
      </c>
      <c r="F242" s="30" t="str">
        <f>IF(ISNUMBER(E242),E242*$D242,"")</f>
        <v/>
      </c>
      <c r="G242" s="34"/>
      <c r="H242" s="30"/>
      <c r="I242" s="153">
        <v>0</v>
      </c>
    </row>
    <row r="243" spans="1:9" ht="26.25" hidden="1" thickBot="1" x14ac:dyDescent="0.3">
      <c r="A243" s="182"/>
      <c r="B243" s="35" t="s">
        <v>1140</v>
      </c>
      <c r="C243" s="35" t="s">
        <v>87</v>
      </c>
      <c r="D243" s="36">
        <v>0.57979999999999998</v>
      </c>
      <c r="E243" s="33">
        <v>204.97199999999998</v>
      </c>
      <c r="F243" s="33">
        <f>IF(ISNUMBER(E243),E243*$D243,"")</f>
        <v>118.84276559999998</v>
      </c>
      <c r="G243" s="44">
        <f>SUM(F243:F252)</f>
        <v>728.96784793073994</v>
      </c>
      <c r="H243" s="45"/>
      <c r="I243" s="153">
        <v>0</v>
      </c>
    </row>
    <row r="244" spans="1:9" ht="15.75" hidden="1" thickBot="1" x14ac:dyDescent="0.3">
      <c r="A244" s="182"/>
      <c r="B244" s="35" t="s">
        <v>8040</v>
      </c>
      <c r="C244" s="35" t="s">
        <v>773</v>
      </c>
      <c r="D244" s="36">
        <v>12.3698</v>
      </c>
      <c r="E244" s="33">
        <v>1.216</v>
      </c>
      <c r="F244" s="33">
        <f>IF(ISNUMBER(E244),E244*$D244,"")</f>
        <v>15.041676799999999</v>
      </c>
      <c r="G244" s="44"/>
      <c r="H244" s="45"/>
      <c r="I244" s="153">
        <v>0</v>
      </c>
    </row>
    <row r="245" spans="1:9" ht="15.75" hidden="1" thickBot="1" x14ac:dyDescent="0.3">
      <c r="A245" s="182"/>
      <c r="B245" s="35" t="s">
        <v>8065</v>
      </c>
      <c r="C245" s="35" t="s">
        <v>773</v>
      </c>
      <c r="D245" s="36">
        <v>515.40949999999998</v>
      </c>
      <c r="E245" s="33">
        <v>0.627</v>
      </c>
      <c r="F245" s="33">
        <f>IF(ISNUMBER(E245),E245*$D245,"")</f>
        <v>323.16175649999997</v>
      </c>
      <c r="G245" s="44"/>
      <c r="H245" s="45"/>
      <c r="I245" s="153">
        <v>0</v>
      </c>
    </row>
    <row r="246" spans="1:9" ht="26.25" hidden="1" thickBot="1" x14ac:dyDescent="0.3">
      <c r="A246" s="182"/>
      <c r="B246" s="35" t="s">
        <v>633</v>
      </c>
      <c r="C246" s="35" t="s">
        <v>87</v>
      </c>
      <c r="D246" s="36">
        <v>0.56699999999999995</v>
      </c>
      <c r="E246" s="30">
        <v>203.71799999999999</v>
      </c>
      <c r="F246" s="33">
        <f>IF(ISNUMBER(E246),E246*$D246,"")</f>
        <v>115.50810599999998</v>
      </c>
      <c r="G246" s="44"/>
      <c r="H246" s="45"/>
      <c r="I246" s="153">
        <v>0</v>
      </c>
    </row>
    <row r="247" spans="1:9" ht="15.75" hidden="1" thickBot="1" x14ac:dyDescent="0.3">
      <c r="A247" s="182"/>
      <c r="B247" s="35" t="s">
        <v>584</v>
      </c>
      <c r="C247" s="35" t="s">
        <v>583</v>
      </c>
      <c r="D247" s="36">
        <v>2.5491999999999999</v>
      </c>
      <c r="E247" s="30">
        <v>20.225499999999997</v>
      </c>
      <c r="F247" s="33">
        <f>IF(ISNUMBER(E247),E247*$D247,"")</f>
        <v>51.558844599999986</v>
      </c>
      <c r="G247" s="44"/>
      <c r="H247" s="45"/>
      <c r="I247" s="153">
        <v>0</v>
      </c>
    </row>
    <row r="248" spans="1:9" ht="26.25" hidden="1" thickBot="1" x14ac:dyDescent="0.3">
      <c r="A248" s="182"/>
      <c r="B248" s="35" t="s">
        <v>1271</v>
      </c>
      <c r="C248" s="35" t="s">
        <v>583</v>
      </c>
      <c r="D248" s="36">
        <v>1.6075999999999999</v>
      </c>
      <c r="E248" s="30">
        <v>20.291999999999998</v>
      </c>
      <c r="F248" s="33">
        <f>IF(ISNUMBER(E248),E248*$D248,"")</f>
        <v>32.621419199999998</v>
      </c>
      <c r="G248" s="44"/>
      <c r="H248" s="45"/>
      <c r="I248" s="153">
        <v>0</v>
      </c>
    </row>
    <row r="249" spans="1:9" ht="39" hidden="1" thickBot="1" x14ac:dyDescent="0.3">
      <c r="A249" s="182"/>
      <c r="B249" s="35" t="s">
        <v>84</v>
      </c>
      <c r="C249" s="35" t="s">
        <v>813</v>
      </c>
      <c r="D249" s="36">
        <v>1.1143000000000001</v>
      </c>
      <c r="E249" s="30">
        <v>1.6435</v>
      </c>
      <c r="F249" s="96">
        <f>IF(ISNUMBER(E249),E249*$D249,"")</f>
        <v>1.83135205</v>
      </c>
      <c r="G249" s="44"/>
      <c r="H249" s="45"/>
      <c r="I249" s="153">
        <v>0</v>
      </c>
    </row>
    <row r="250" spans="1:9" ht="39" hidden="1" thickBot="1" x14ac:dyDescent="0.3">
      <c r="A250" s="182"/>
      <c r="B250" s="35" t="s">
        <v>85</v>
      </c>
      <c r="C250" s="35" t="s">
        <v>815</v>
      </c>
      <c r="D250" s="36">
        <v>0.49330000000000002</v>
      </c>
      <c r="E250" s="30">
        <v>0.42749999999999999</v>
      </c>
      <c r="F250" s="96">
        <f>IF(ISNUMBER(E250),E250*$D250,"")</f>
        <v>0.21088575000000001</v>
      </c>
      <c r="G250" s="44"/>
      <c r="H250" s="45"/>
      <c r="I250" s="153">
        <v>0</v>
      </c>
    </row>
    <row r="251" spans="1:9" ht="51.75" hidden="1" thickBot="1" x14ac:dyDescent="0.3">
      <c r="A251" s="182"/>
      <c r="B251" s="35" t="s">
        <v>3071</v>
      </c>
      <c r="C251" s="35" t="s">
        <v>87</v>
      </c>
      <c r="D251" s="36">
        <f>ROUND(1*(D243+D246),4)</f>
        <v>1.1468</v>
      </c>
      <c r="E251" s="30">
        <v>8.0531015499999992</v>
      </c>
      <c r="F251" s="33">
        <f>IF(ISNUMBER(E251),E251*$D251,"")</f>
        <v>9.2352968575399998</v>
      </c>
      <c r="G251" s="44"/>
      <c r="H251" s="45"/>
      <c r="I251" s="153">
        <v>0</v>
      </c>
    </row>
    <row r="252" spans="1:9" ht="39" hidden="1" thickBot="1" x14ac:dyDescent="0.3">
      <c r="A252" s="182"/>
      <c r="B252" s="35" t="s">
        <v>3068</v>
      </c>
      <c r="C252" s="46" t="s">
        <v>89</v>
      </c>
      <c r="D252" s="36">
        <f>ROUND((D243+D246)*20,4)</f>
        <v>22.936</v>
      </c>
      <c r="E252" s="30">
        <v>2.6576449499999995</v>
      </c>
      <c r="F252" s="33">
        <f>IF(ISNUMBER(E252),E252*$D252,"")</f>
        <v>60.955744573199986</v>
      </c>
      <c r="G252" s="44"/>
      <c r="H252" s="45"/>
      <c r="I252" s="153">
        <v>0</v>
      </c>
    </row>
    <row r="253" spans="1:9" ht="15.75" hidden="1" thickBot="1" x14ac:dyDescent="0.3">
      <c r="A253" s="182"/>
      <c r="B253" s="50"/>
      <c r="C253" s="46"/>
      <c r="D253" s="36"/>
      <c r="E253" s="30" t="s">
        <v>416</v>
      </c>
      <c r="F253" s="33" t="str">
        <f>IF(ISNUMBER(E253),E253*$D253,"")</f>
        <v/>
      </c>
      <c r="G253" s="44"/>
      <c r="H253" s="45"/>
      <c r="I253" s="153">
        <v>0</v>
      </c>
    </row>
    <row r="254" spans="1:9" ht="26.25" hidden="1" thickBot="1" x14ac:dyDescent="0.3">
      <c r="A254" s="182"/>
      <c r="B254" s="47" t="s">
        <v>90</v>
      </c>
      <c r="C254" s="46"/>
      <c r="D254" s="36"/>
      <c r="E254" s="30" t="s">
        <v>416</v>
      </c>
      <c r="F254" s="33" t="str">
        <f>IF(ISNUMBER(E254),E254*$D254,"")</f>
        <v/>
      </c>
      <c r="G254" s="44"/>
      <c r="H254" s="45"/>
      <c r="I254" s="153">
        <v>0</v>
      </c>
    </row>
    <row r="255" spans="1:9" ht="15.75" hidden="1" thickBot="1" x14ac:dyDescent="0.3">
      <c r="A255" s="182"/>
      <c r="B255" s="35"/>
      <c r="C255" s="35"/>
      <c r="D255" s="92"/>
      <c r="E255" s="30" t="s">
        <v>416</v>
      </c>
      <c r="F255" s="30" t="str">
        <f>IF(ISNUMBER(E255),E255*$D255,"")</f>
        <v/>
      </c>
      <c r="G255" s="34"/>
      <c r="H255" s="30"/>
      <c r="I255" s="153">
        <v>0</v>
      </c>
    </row>
    <row r="256" spans="1:9" ht="15.75" hidden="1" thickBot="1" x14ac:dyDescent="0.3">
      <c r="A256" s="182" t="s">
        <v>884</v>
      </c>
      <c r="B256" s="40" t="s">
        <v>416</v>
      </c>
      <c r="C256" s="25" t="s">
        <v>87</v>
      </c>
      <c r="D256" s="93"/>
      <c r="E256" s="27" t="s">
        <v>416</v>
      </c>
      <c r="F256" s="25" t="str">
        <f>IF(ISNUMBER(E256),E256*$D256,"")</f>
        <v/>
      </c>
      <c r="G256" s="28"/>
      <c r="H256" s="29"/>
      <c r="I256" s="153">
        <v>0</v>
      </c>
    </row>
    <row r="257" spans="1:9" ht="15.75" hidden="1" thickBot="1" x14ac:dyDescent="0.3">
      <c r="A257" s="182"/>
      <c r="B257" s="31" t="s">
        <v>416</v>
      </c>
      <c r="C257" s="31"/>
      <c r="D257" s="91"/>
      <c r="E257" s="30" t="s">
        <v>416</v>
      </c>
      <c r="F257" s="30" t="str">
        <f>IF(ISNUMBER(E257),E257*$D257,"")</f>
        <v/>
      </c>
      <c r="G257" s="34"/>
      <c r="H257" s="30"/>
      <c r="I257" s="153">
        <v>0</v>
      </c>
    </row>
    <row r="258" spans="1:9" ht="26.25" hidden="1" thickBot="1" x14ac:dyDescent="0.3">
      <c r="A258" s="182"/>
      <c r="B258" s="35" t="s">
        <v>7985</v>
      </c>
      <c r="C258" s="35" t="s">
        <v>87</v>
      </c>
      <c r="D258" s="36">
        <v>1.25</v>
      </c>
      <c r="E258" s="30">
        <v>202.33099999999999</v>
      </c>
      <c r="F258" s="33">
        <f>IF(ISNUMBER(E258),E258*$D258,"")</f>
        <v>252.91374999999999</v>
      </c>
      <c r="G258" s="44">
        <f>SUM(F258:F262)</f>
        <v>918.41925568749991</v>
      </c>
      <c r="H258" s="45"/>
      <c r="I258" s="153">
        <v>0</v>
      </c>
    </row>
    <row r="259" spans="1:9" ht="15.75" hidden="1" thickBot="1" x14ac:dyDescent="0.3">
      <c r="A259" s="182"/>
      <c r="B259" s="35" t="s">
        <v>8065</v>
      </c>
      <c r="C259" s="35" t="s">
        <v>773</v>
      </c>
      <c r="D259" s="36">
        <v>563.59</v>
      </c>
      <c r="E259" s="33">
        <v>0.627</v>
      </c>
      <c r="F259" s="33">
        <f>IF(ISNUMBER(E259),E259*$D259,"")</f>
        <v>353.37093000000004</v>
      </c>
      <c r="G259" s="44"/>
      <c r="H259" s="45"/>
      <c r="I259" s="153">
        <v>0</v>
      </c>
    </row>
    <row r="260" spans="1:9" ht="15.75" hidden="1" thickBot="1" x14ac:dyDescent="0.3">
      <c r="A260" s="182"/>
      <c r="B260" s="35" t="s">
        <v>584</v>
      </c>
      <c r="C260" s="35" t="s">
        <v>583</v>
      </c>
      <c r="D260" s="36">
        <v>11.65</v>
      </c>
      <c r="E260" s="30">
        <v>20.225499999999997</v>
      </c>
      <c r="F260" s="33">
        <f>IF(ISNUMBER(E260),E260*$D260,"")</f>
        <v>235.62707499999996</v>
      </c>
      <c r="G260" s="44"/>
      <c r="H260" s="45"/>
      <c r="I260" s="153">
        <v>0</v>
      </c>
    </row>
    <row r="261" spans="1:9" ht="51.75" hidden="1" thickBot="1" x14ac:dyDescent="0.3">
      <c r="A261" s="182"/>
      <c r="B261" s="35" t="s">
        <v>3071</v>
      </c>
      <c r="C261" s="35" t="s">
        <v>87</v>
      </c>
      <c r="D261" s="36">
        <f>ROUND(1*(D258),4)</f>
        <v>1.25</v>
      </c>
      <c r="E261" s="30">
        <v>8.0531015499999992</v>
      </c>
      <c r="F261" s="33">
        <f>IF(ISNUMBER(E261),E261*$D261,"")</f>
        <v>10.066376937499999</v>
      </c>
      <c r="G261" s="44"/>
      <c r="H261" s="45"/>
      <c r="I261" s="153">
        <v>0</v>
      </c>
    </row>
    <row r="262" spans="1:9" ht="39" hidden="1" thickBot="1" x14ac:dyDescent="0.3">
      <c r="A262" s="182"/>
      <c r="B262" s="35" t="s">
        <v>3068</v>
      </c>
      <c r="C262" s="46" t="s">
        <v>89</v>
      </c>
      <c r="D262" s="36">
        <f>ROUND(D258*20,4)</f>
        <v>25</v>
      </c>
      <c r="E262" s="30">
        <v>2.6576449499999995</v>
      </c>
      <c r="F262" s="33">
        <f>IF(ISNUMBER(E262),E262*$D262,"")</f>
        <v>66.441123749999988</v>
      </c>
      <c r="G262" s="44"/>
      <c r="H262" s="45"/>
      <c r="I262" s="153">
        <v>0</v>
      </c>
    </row>
    <row r="263" spans="1:9" ht="15.75" hidden="1" thickBot="1" x14ac:dyDescent="0.3">
      <c r="A263" s="182"/>
      <c r="B263" s="50"/>
      <c r="C263" s="46"/>
      <c r="D263" s="36"/>
      <c r="E263" s="30" t="s">
        <v>416</v>
      </c>
      <c r="F263" s="33" t="str">
        <f>IF(ISNUMBER(E263),E263*$D263,"")</f>
        <v/>
      </c>
      <c r="G263" s="44"/>
      <c r="H263" s="45"/>
      <c r="I263" s="153">
        <v>0</v>
      </c>
    </row>
    <row r="264" spans="1:9" ht="15.75" hidden="1" thickBot="1" x14ac:dyDescent="0.3">
      <c r="A264" s="182"/>
      <c r="B264" s="47" t="s">
        <v>631</v>
      </c>
      <c r="C264" s="46"/>
      <c r="D264" s="36"/>
      <c r="E264" s="30" t="s">
        <v>416</v>
      </c>
      <c r="F264" s="33" t="str">
        <f>IF(ISNUMBER(E264),E264*$D264,"")</f>
        <v/>
      </c>
      <c r="G264" s="44"/>
      <c r="H264" s="45"/>
      <c r="I264" s="153">
        <v>0</v>
      </c>
    </row>
    <row r="265" spans="1:9" ht="15.75" hidden="1" thickBot="1" x14ac:dyDescent="0.3">
      <c r="A265" s="184"/>
      <c r="B265" s="35" t="s">
        <v>416</v>
      </c>
      <c r="C265" s="35"/>
      <c r="D265" s="92"/>
      <c r="E265" s="30" t="s">
        <v>416</v>
      </c>
      <c r="F265" s="33" t="str">
        <f>IF(ISNUMBER(E265),E265*$D265,"")</f>
        <v/>
      </c>
      <c r="G265" s="34"/>
      <c r="H265" s="30"/>
      <c r="I265" s="153">
        <v>0</v>
      </c>
    </row>
    <row r="266" spans="1:9" ht="15.75" hidden="1" thickBot="1" x14ac:dyDescent="0.3">
      <c r="A266" s="182" t="s">
        <v>576</v>
      </c>
      <c r="B266" s="40" t="s">
        <v>416</v>
      </c>
      <c r="C266" s="25" t="s">
        <v>16</v>
      </c>
      <c r="D266" s="93"/>
      <c r="E266" s="27" t="s">
        <v>416</v>
      </c>
      <c r="F266" s="25" t="str">
        <f>IF(ISNUMBER(E266),E266*$D266,"")</f>
        <v/>
      </c>
      <c r="G266" s="28"/>
      <c r="H266" s="29"/>
      <c r="I266" s="153">
        <v>0</v>
      </c>
    </row>
    <row r="267" spans="1:9" ht="15.75" hidden="1" thickBot="1" x14ac:dyDescent="0.3">
      <c r="A267" s="182"/>
      <c r="B267" s="31" t="s">
        <v>416</v>
      </c>
      <c r="C267" s="31"/>
      <c r="D267" s="91"/>
      <c r="E267" s="30" t="s">
        <v>416</v>
      </c>
      <c r="F267" s="30" t="str">
        <f>IF(ISNUMBER(E267),E267*$D267,"")</f>
        <v/>
      </c>
      <c r="G267" s="34"/>
      <c r="H267" s="30"/>
      <c r="I267" s="153">
        <v>0</v>
      </c>
    </row>
    <row r="268" spans="1:9" ht="64.5" hidden="1" thickBot="1" x14ac:dyDescent="0.3">
      <c r="A268" s="182"/>
      <c r="B268" s="35" t="s">
        <v>8573</v>
      </c>
      <c r="C268" s="35" t="s">
        <v>1273</v>
      </c>
      <c r="D268" s="36">
        <v>1</v>
      </c>
      <c r="E268" s="30">
        <v>247</v>
      </c>
      <c r="F268" s="33">
        <f>IF(ISNUMBER(E268),E268*$D268,"")</f>
        <v>247</v>
      </c>
      <c r="G268" s="44">
        <f>SUM(F268:F272)</f>
        <v>345.79252350000002</v>
      </c>
      <c r="H268" s="45"/>
      <c r="I268" s="153">
        <v>0</v>
      </c>
    </row>
    <row r="269" spans="1:9" ht="15.75" hidden="1" thickBot="1" x14ac:dyDescent="0.3">
      <c r="A269" s="182"/>
      <c r="B269" s="35" t="s">
        <v>1274</v>
      </c>
      <c r="C269" s="35" t="s">
        <v>773</v>
      </c>
      <c r="D269" s="36">
        <v>1.0999999999999999E-2</v>
      </c>
      <c r="E269" s="33">
        <v>28.462</v>
      </c>
      <c r="F269" s="33">
        <f>IF(ISNUMBER(E269),E269*$D269,"")</f>
        <v>0.31308199999999997</v>
      </c>
      <c r="G269" s="44"/>
      <c r="H269" s="45"/>
      <c r="I269" s="153">
        <v>0</v>
      </c>
    </row>
    <row r="270" spans="1:9" ht="15.75" hidden="1" thickBot="1" x14ac:dyDescent="0.3">
      <c r="A270" s="182"/>
      <c r="B270" s="35" t="s">
        <v>73</v>
      </c>
      <c r="C270" s="35" t="s">
        <v>773</v>
      </c>
      <c r="D270" s="36">
        <v>2.4E-2</v>
      </c>
      <c r="E270" s="30">
        <v>21.602999999999998</v>
      </c>
      <c r="F270" s="33">
        <f>IF(ISNUMBER(E270),E270*$D270,"")</f>
        <v>0.51847199999999993</v>
      </c>
      <c r="G270" s="44"/>
      <c r="H270" s="45"/>
      <c r="I270" s="153">
        <v>0</v>
      </c>
    </row>
    <row r="271" spans="1:9" ht="15.75" hidden="1" thickBot="1" x14ac:dyDescent="0.3">
      <c r="A271" s="182"/>
      <c r="B271" s="35" t="s">
        <v>582</v>
      </c>
      <c r="C271" s="35" t="s">
        <v>583</v>
      </c>
      <c r="D271" s="36">
        <v>2.7410000000000001</v>
      </c>
      <c r="E271" s="30">
        <v>25.725999999999996</v>
      </c>
      <c r="F271" s="33">
        <f>IF(ISNUMBER(E271),E271*$D271,"")</f>
        <v>70.514965999999987</v>
      </c>
      <c r="G271" s="44"/>
      <c r="H271" s="45"/>
      <c r="I271" s="153">
        <v>0</v>
      </c>
    </row>
    <row r="272" spans="1:9" ht="15.75" hidden="1" thickBot="1" x14ac:dyDescent="0.3">
      <c r="A272" s="182"/>
      <c r="B272" s="35" t="s">
        <v>584</v>
      </c>
      <c r="C272" s="35" t="s">
        <v>583</v>
      </c>
      <c r="D272" s="36">
        <v>1.357</v>
      </c>
      <c r="E272" s="30">
        <v>20.225499999999997</v>
      </c>
      <c r="F272" s="33">
        <f>IF(ISNUMBER(E272),E272*$D272,"")</f>
        <v>27.446003499999996</v>
      </c>
      <c r="G272" s="44"/>
      <c r="H272" s="45"/>
      <c r="I272" s="153">
        <v>0</v>
      </c>
    </row>
    <row r="273" spans="1:9" ht="15.75" hidden="1" thickBot="1" x14ac:dyDescent="0.3">
      <c r="A273" s="182"/>
      <c r="B273" s="50"/>
      <c r="C273" s="46"/>
      <c r="D273" s="36"/>
      <c r="E273" s="30" t="s">
        <v>416</v>
      </c>
      <c r="F273" s="33" t="str">
        <f>IF(ISNUMBER(E273),E273*$D273,"")</f>
        <v/>
      </c>
      <c r="G273" s="44"/>
      <c r="H273" s="45"/>
      <c r="I273" s="153">
        <v>0</v>
      </c>
    </row>
    <row r="274" spans="1:9" ht="15.75" hidden="1" thickBot="1" x14ac:dyDescent="0.3">
      <c r="A274" s="183" t="s">
        <v>1276</v>
      </c>
      <c r="B274" s="40" t="s">
        <v>416</v>
      </c>
      <c r="C274" s="25" t="s">
        <v>87</v>
      </c>
      <c r="D274" s="93"/>
      <c r="E274" s="27" t="s">
        <v>416</v>
      </c>
      <c r="F274" s="27" t="str">
        <f>IF(ISNUMBER(E274),E274*$D274,"")</f>
        <v/>
      </c>
      <c r="G274" s="28"/>
      <c r="H274" s="29"/>
      <c r="I274" s="153">
        <v>0</v>
      </c>
    </row>
    <row r="275" spans="1:9" ht="15.75" hidden="1" thickBot="1" x14ac:dyDescent="0.3">
      <c r="A275" s="182"/>
      <c r="B275" s="31" t="s">
        <v>416</v>
      </c>
      <c r="C275" s="31"/>
      <c r="D275" s="91"/>
      <c r="E275" s="30" t="s">
        <v>416</v>
      </c>
      <c r="F275" s="98" t="str">
        <f>IF(ISNUMBER(E275),E275*$D275,"")</f>
        <v/>
      </c>
      <c r="G275" s="100"/>
      <c r="H275" s="98"/>
      <c r="I275" s="153">
        <v>0</v>
      </c>
    </row>
    <row r="276" spans="1:9" ht="26.25" hidden="1" thickBot="1" x14ac:dyDescent="0.3">
      <c r="A276" s="182"/>
      <c r="B276" s="35" t="s">
        <v>7985</v>
      </c>
      <c r="C276" s="35" t="s">
        <v>87</v>
      </c>
      <c r="D276" s="36">
        <v>1.07</v>
      </c>
      <c r="E276" s="30">
        <v>202.33099999999999</v>
      </c>
      <c r="F276" s="33">
        <f>IF(ISNUMBER(E276),E276*$D276,"")</f>
        <v>216.49417</v>
      </c>
      <c r="G276" s="44">
        <f>SUM(F276:F281)</f>
        <v>764.27774058850002</v>
      </c>
      <c r="H276" s="45"/>
      <c r="I276" s="153">
        <v>0</v>
      </c>
    </row>
    <row r="277" spans="1:9" ht="15.75" hidden="1" thickBot="1" x14ac:dyDescent="0.3">
      <c r="A277" s="182"/>
      <c r="B277" s="35" t="s">
        <v>8040</v>
      </c>
      <c r="C277" s="35" t="s">
        <v>773</v>
      </c>
      <c r="D277" s="36">
        <v>75.47</v>
      </c>
      <c r="E277" s="30">
        <v>1.216</v>
      </c>
      <c r="F277" s="33">
        <f>IF(ISNUMBER(E277),E277*$D277,"")</f>
        <v>91.771519999999995</v>
      </c>
      <c r="G277" s="44"/>
      <c r="H277" s="45"/>
      <c r="I277" s="153">
        <v>0</v>
      </c>
    </row>
    <row r="278" spans="1:9" ht="15.75" hidden="1" thickBot="1" x14ac:dyDescent="0.3">
      <c r="A278" s="182"/>
      <c r="B278" s="35" t="s">
        <v>8065</v>
      </c>
      <c r="C278" s="35" t="s">
        <v>773</v>
      </c>
      <c r="D278" s="36">
        <v>339.62</v>
      </c>
      <c r="E278" s="33">
        <v>0.627</v>
      </c>
      <c r="F278" s="33">
        <f>IF(ISNUMBER(E278),E278*$D278,"")</f>
        <v>212.94174000000001</v>
      </c>
      <c r="G278" s="44"/>
      <c r="H278" s="45"/>
      <c r="I278" s="153">
        <v>0</v>
      </c>
    </row>
    <row r="279" spans="1:9" ht="15.75" hidden="1" thickBot="1" x14ac:dyDescent="0.3">
      <c r="A279" s="182"/>
      <c r="B279" s="35" t="s">
        <v>584</v>
      </c>
      <c r="C279" s="35" t="s">
        <v>583</v>
      </c>
      <c r="D279" s="36">
        <v>8.7799999999999994</v>
      </c>
      <c r="E279" s="30">
        <v>20.225499999999997</v>
      </c>
      <c r="F279" s="33">
        <f>IF(ISNUMBER(E279),E279*$D279,"")</f>
        <v>177.57988999999995</v>
      </c>
      <c r="G279" s="44"/>
      <c r="H279" s="45"/>
      <c r="I279" s="153">
        <v>0</v>
      </c>
    </row>
    <row r="280" spans="1:9" ht="51.75" hidden="1" thickBot="1" x14ac:dyDescent="0.3">
      <c r="A280" s="182"/>
      <c r="B280" s="35" t="s">
        <v>3071</v>
      </c>
      <c r="C280" s="35" t="s">
        <v>87</v>
      </c>
      <c r="D280" s="36">
        <f>ROUND(1*D276,4)</f>
        <v>1.07</v>
      </c>
      <c r="E280" s="30">
        <v>8.0531015499999992</v>
      </c>
      <c r="F280" s="33">
        <f>IF(ISNUMBER(E280),E280*$D280,"")</f>
        <v>8.6168186584999997</v>
      </c>
      <c r="G280" s="44"/>
      <c r="H280" s="45"/>
      <c r="I280" s="153">
        <v>0</v>
      </c>
    </row>
    <row r="281" spans="1:9" ht="39" hidden="1" thickBot="1" x14ac:dyDescent="0.3">
      <c r="A281" s="182"/>
      <c r="B281" s="35" t="s">
        <v>3068</v>
      </c>
      <c r="C281" s="46" t="s">
        <v>89</v>
      </c>
      <c r="D281" s="36">
        <f>ROUND(D276*20,4)</f>
        <v>21.4</v>
      </c>
      <c r="E281" s="30">
        <v>2.6576449499999995</v>
      </c>
      <c r="F281" s="33">
        <f>IF(ISNUMBER(E281),E281*$D281,"")</f>
        <v>56.873601929999985</v>
      </c>
      <c r="G281" s="44"/>
      <c r="H281" s="45"/>
      <c r="I281" s="153">
        <v>0</v>
      </c>
    </row>
    <row r="282" spans="1:9" ht="15.75" hidden="1" thickBot="1" x14ac:dyDescent="0.3">
      <c r="A282" s="182"/>
      <c r="B282" s="50"/>
      <c r="C282" s="46"/>
      <c r="D282" s="36"/>
      <c r="E282" s="30" t="s">
        <v>416</v>
      </c>
      <c r="F282" s="33" t="str">
        <f>IF(ISNUMBER(E282),E282*$D282,"")</f>
        <v/>
      </c>
      <c r="G282" s="44"/>
      <c r="H282" s="45"/>
      <c r="I282" s="153">
        <v>0</v>
      </c>
    </row>
    <row r="283" spans="1:9" ht="15.75" hidden="1" thickBot="1" x14ac:dyDescent="0.3">
      <c r="A283" s="182"/>
      <c r="B283" s="47" t="s">
        <v>631</v>
      </c>
      <c r="C283" s="46"/>
      <c r="D283" s="36"/>
      <c r="E283" s="30" t="s">
        <v>416</v>
      </c>
      <c r="F283" s="33" t="str">
        <f>IF(ISNUMBER(E283),E283*$D283,"")</f>
        <v/>
      </c>
      <c r="G283" s="44"/>
      <c r="H283" s="45"/>
      <c r="I283" s="153">
        <v>0</v>
      </c>
    </row>
    <row r="284" spans="1:9" ht="15.75" hidden="1" thickBot="1" x14ac:dyDescent="0.3">
      <c r="A284" s="184"/>
      <c r="B284" s="54" t="s">
        <v>416</v>
      </c>
      <c r="C284" s="54"/>
      <c r="D284" s="95"/>
      <c r="E284" s="66" t="s">
        <v>416</v>
      </c>
      <c r="F284" s="66" t="str">
        <f>IF(ISNUMBER(E284),E284*$D284,"")</f>
        <v/>
      </c>
      <c r="G284" s="68"/>
      <c r="H284" s="30"/>
      <c r="I284" s="153">
        <v>0</v>
      </c>
    </row>
    <row r="285" spans="1:9" ht="15.75" hidden="1" thickBot="1" x14ac:dyDescent="0.3">
      <c r="A285" s="182" t="s">
        <v>6813</v>
      </c>
      <c r="B285" s="156" t="s">
        <v>416</v>
      </c>
      <c r="C285" s="89" t="s">
        <v>773</v>
      </c>
      <c r="D285" s="90"/>
      <c r="E285" s="70" t="s">
        <v>416</v>
      </c>
      <c r="F285" s="70" t="str">
        <f>IF(ISNUMBER(E285),E285*$D285,"")</f>
        <v/>
      </c>
      <c r="G285" s="71"/>
      <c r="H285" s="29"/>
      <c r="I285" s="153">
        <v>0</v>
      </c>
    </row>
    <row r="286" spans="1:9" ht="15.75" hidden="1" thickBot="1" x14ac:dyDescent="0.3">
      <c r="A286" s="182"/>
      <c r="B286" s="31" t="s">
        <v>416</v>
      </c>
      <c r="C286" s="31"/>
      <c r="D286" s="91"/>
      <c r="E286" s="30" t="s">
        <v>416</v>
      </c>
      <c r="F286" s="30" t="str">
        <f>IF(ISNUMBER(E286),E286*$D286,"")</f>
        <v/>
      </c>
      <c r="G286" s="34"/>
      <c r="H286" s="30"/>
      <c r="I286" s="153">
        <v>0</v>
      </c>
    </row>
    <row r="287" spans="1:9" ht="39" hidden="1" thickBot="1" x14ac:dyDescent="0.3">
      <c r="A287" s="182"/>
      <c r="B287" s="35" t="s">
        <v>774</v>
      </c>
      <c r="C287" s="35" t="s">
        <v>213</v>
      </c>
      <c r="D287" s="36">
        <v>2.8159999999999998</v>
      </c>
      <c r="E287" s="30">
        <v>0.20899999999999999</v>
      </c>
      <c r="F287" s="33">
        <f>IF(ISNUMBER(E287),E287*$D287,"")</f>
        <v>0.58854399999999996</v>
      </c>
      <c r="G287" s="44">
        <f>SUM(F287:F291)</f>
        <v>16.633246</v>
      </c>
      <c r="H287" s="45"/>
      <c r="I287" s="153">
        <v>0</v>
      </c>
    </row>
    <row r="288" spans="1:9" ht="26.25" hidden="1" thickBot="1" x14ac:dyDescent="0.3">
      <c r="A288" s="182"/>
      <c r="B288" s="35" t="s">
        <v>3060</v>
      </c>
      <c r="C288" s="35" t="s">
        <v>773</v>
      </c>
      <c r="D288" s="36">
        <v>2.5000000000000001E-2</v>
      </c>
      <c r="E288" s="30">
        <v>21.042499999999997</v>
      </c>
      <c r="F288" s="33">
        <f>IF(ISNUMBER(E288),E288*$D288,"")</f>
        <v>0.52606249999999999</v>
      </c>
      <c r="G288" s="44"/>
      <c r="H288" s="45"/>
      <c r="I288" s="153">
        <v>0</v>
      </c>
    </row>
    <row r="289" spans="1:9" ht="15.75" hidden="1" thickBot="1" x14ac:dyDescent="0.3">
      <c r="A289" s="182"/>
      <c r="B289" s="35" t="s">
        <v>775</v>
      </c>
      <c r="C289" s="35" t="s">
        <v>583</v>
      </c>
      <c r="D289" s="36">
        <v>1.72E-2</v>
      </c>
      <c r="E289" s="33">
        <v>20.196999999999999</v>
      </c>
      <c r="F289" s="33">
        <f>IF(ISNUMBER(E289),E289*$D289,"")</f>
        <v>0.34738839999999999</v>
      </c>
      <c r="G289" s="44"/>
      <c r="H289" s="45"/>
      <c r="I289" s="153">
        <v>0</v>
      </c>
    </row>
    <row r="290" spans="1:9" ht="15.75" hidden="1" thickBot="1" x14ac:dyDescent="0.3">
      <c r="A290" s="182"/>
      <c r="B290" s="35" t="s">
        <v>776</v>
      </c>
      <c r="C290" s="35" t="s">
        <v>583</v>
      </c>
      <c r="D290" s="36">
        <v>0.1055</v>
      </c>
      <c r="E290" s="30">
        <v>26.970499999999998</v>
      </c>
      <c r="F290" s="33">
        <f>IF(ISNUMBER(E290),E290*$D290,"")</f>
        <v>2.8453877499999995</v>
      </c>
      <c r="G290" s="44"/>
      <c r="H290" s="45"/>
      <c r="I290" s="153">
        <v>0</v>
      </c>
    </row>
    <row r="291" spans="1:9" ht="26.25" hidden="1" thickBot="1" x14ac:dyDescent="0.3">
      <c r="A291" s="182"/>
      <c r="B291" s="35" t="s">
        <v>1275</v>
      </c>
      <c r="C291" s="46" t="s">
        <v>773</v>
      </c>
      <c r="D291" s="36">
        <v>1</v>
      </c>
      <c r="E291" s="30">
        <v>12.325863350000002</v>
      </c>
      <c r="F291" s="33">
        <f>IF(ISNUMBER(E291),E291*$D291,"")</f>
        <v>12.325863350000002</v>
      </c>
      <c r="G291" s="44"/>
      <c r="H291" s="45"/>
      <c r="I291" s="153">
        <v>0</v>
      </c>
    </row>
    <row r="292" spans="1:9" ht="15.75" hidden="1" thickBot="1" x14ac:dyDescent="0.3">
      <c r="A292" s="182"/>
      <c r="B292" s="50"/>
      <c r="C292" s="46"/>
      <c r="D292" s="36"/>
      <c r="E292" s="30" t="s">
        <v>416</v>
      </c>
      <c r="F292" s="33" t="str">
        <f>IF(ISNUMBER(E292),E292*$D292,"")</f>
        <v/>
      </c>
      <c r="G292" s="44"/>
      <c r="H292" s="45"/>
      <c r="I292" s="153">
        <v>0</v>
      </c>
    </row>
    <row r="293" spans="1:9" ht="15.75" hidden="1" thickBot="1" x14ac:dyDescent="0.3">
      <c r="A293" s="183" t="s">
        <v>6815</v>
      </c>
      <c r="B293" s="40" t="s">
        <v>416</v>
      </c>
      <c r="C293" s="25" t="s">
        <v>773</v>
      </c>
      <c r="D293" s="93"/>
      <c r="E293" s="27" t="s">
        <v>416</v>
      </c>
      <c r="F293" s="25" t="str">
        <f>IF(ISNUMBER(E293),E293*$D293,"")</f>
        <v/>
      </c>
      <c r="G293" s="28"/>
      <c r="H293" s="29"/>
      <c r="I293" s="153">
        <v>0</v>
      </c>
    </row>
    <row r="294" spans="1:9" ht="15.75" hidden="1" thickBot="1" x14ac:dyDescent="0.3">
      <c r="A294" s="182"/>
      <c r="B294" s="31" t="s">
        <v>416</v>
      </c>
      <c r="C294" s="31"/>
      <c r="D294" s="91"/>
      <c r="E294" s="30" t="s">
        <v>416</v>
      </c>
      <c r="F294" s="98" t="str">
        <f>IF(ISNUMBER(E294),E294*$D294,"")</f>
        <v/>
      </c>
      <c r="G294" s="100"/>
      <c r="H294" s="98"/>
      <c r="I294" s="153">
        <v>0</v>
      </c>
    </row>
    <row r="295" spans="1:9" ht="15.75" hidden="1" thickBot="1" x14ac:dyDescent="0.3">
      <c r="A295" s="182"/>
      <c r="B295" s="35" t="s">
        <v>1277</v>
      </c>
      <c r="C295" s="35" t="s">
        <v>773</v>
      </c>
      <c r="D295" s="36">
        <v>1.07</v>
      </c>
      <c r="E295" s="33">
        <v>8.9205000000000005</v>
      </c>
      <c r="F295" s="33">
        <f>IF(ISNUMBER(E295),E295*$D295,"")</f>
        <v>9.5449350000000006</v>
      </c>
      <c r="G295" s="44">
        <f>SUM(F295:F297)</f>
        <v>12.325863350000001</v>
      </c>
      <c r="H295" s="45"/>
      <c r="I295" s="153">
        <v>0</v>
      </c>
    </row>
    <row r="296" spans="1:9" ht="15.75" hidden="1" thickBot="1" x14ac:dyDescent="0.3">
      <c r="A296" s="182"/>
      <c r="B296" s="35" t="s">
        <v>775</v>
      </c>
      <c r="C296" s="35" t="s">
        <v>583</v>
      </c>
      <c r="D296" s="36">
        <v>1.3100000000000001E-2</v>
      </c>
      <c r="E296" s="33">
        <v>20.196999999999999</v>
      </c>
      <c r="F296" s="33">
        <f>IF(ISNUMBER(E296),E296*$D296,"")</f>
        <v>0.2645807</v>
      </c>
      <c r="G296" s="44"/>
      <c r="H296" s="45"/>
      <c r="I296" s="153">
        <v>0</v>
      </c>
    </row>
    <row r="297" spans="1:9" ht="15.75" hidden="1" thickBot="1" x14ac:dyDescent="0.3">
      <c r="A297" s="182"/>
      <c r="B297" s="35" t="s">
        <v>776</v>
      </c>
      <c r="C297" s="35" t="s">
        <v>583</v>
      </c>
      <c r="D297" s="36">
        <v>9.3299999999999994E-2</v>
      </c>
      <c r="E297" s="30">
        <v>26.970499999999998</v>
      </c>
      <c r="F297" s="33">
        <f>IF(ISNUMBER(E297),E297*$D297,"")</f>
        <v>2.5163476499999997</v>
      </c>
      <c r="G297" s="44"/>
      <c r="H297" s="45"/>
      <c r="I297" s="153">
        <v>0</v>
      </c>
    </row>
    <row r="298" spans="1:9" ht="15.75" hidden="1" thickBot="1" x14ac:dyDescent="0.3">
      <c r="A298" s="184"/>
      <c r="B298" s="54" t="s">
        <v>416</v>
      </c>
      <c r="C298" s="54"/>
      <c r="D298" s="95"/>
      <c r="E298" s="66" t="s">
        <v>416</v>
      </c>
      <c r="F298" s="67" t="str">
        <f>IF(ISNUMBER(E298),E298*$D298,"")</f>
        <v/>
      </c>
      <c r="G298" s="68"/>
      <c r="H298" s="30"/>
      <c r="I298" s="153">
        <v>0</v>
      </c>
    </row>
    <row r="299" spans="1:9" ht="15.75" hidden="1" thickBot="1" x14ac:dyDescent="0.3">
      <c r="A299" s="183" t="s">
        <v>5736</v>
      </c>
      <c r="B299" s="40" t="s">
        <v>416</v>
      </c>
      <c r="C299" s="25" t="s">
        <v>87</v>
      </c>
      <c r="D299" s="93"/>
      <c r="E299" s="41" t="s">
        <v>416</v>
      </c>
      <c r="F299" s="41" t="str">
        <f>IF(ISNUMBER(E299),E299*$D299,"")</f>
        <v/>
      </c>
      <c r="G299" s="28"/>
      <c r="H299" s="29"/>
      <c r="I299" s="153">
        <v>0</v>
      </c>
    </row>
    <row r="300" spans="1:9" ht="15.75" hidden="1" thickBot="1" x14ac:dyDescent="0.3">
      <c r="A300" s="182"/>
      <c r="B300" s="31" t="s">
        <v>416</v>
      </c>
      <c r="C300" s="31"/>
      <c r="D300" s="91"/>
      <c r="E300" s="42" t="s">
        <v>416</v>
      </c>
      <c r="F300" s="30" t="str">
        <f>IF(ISNUMBER(E300),E300*$D300,"")</f>
        <v/>
      </c>
      <c r="G300" s="34"/>
      <c r="H300" s="30"/>
      <c r="I300" s="153">
        <v>0</v>
      </c>
    </row>
    <row r="301" spans="1:9" ht="26.25" hidden="1" thickBot="1" x14ac:dyDescent="0.3">
      <c r="A301" s="182"/>
      <c r="B301" s="35" t="s">
        <v>7985</v>
      </c>
      <c r="C301" s="35" t="s">
        <v>87</v>
      </c>
      <c r="D301" s="36">
        <v>0.80759999999999998</v>
      </c>
      <c r="E301" s="33">
        <v>202.33099999999999</v>
      </c>
      <c r="F301" s="33">
        <f>IF(ISNUMBER(E301),E301*$D301,"")</f>
        <v>163.40251559999999</v>
      </c>
      <c r="G301" s="44">
        <f>SUM(F301:F309)</f>
        <v>594.33979211389487</v>
      </c>
      <c r="H301" s="45"/>
      <c r="I301" s="153">
        <v>0</v>
      </c>
    </row>
    <row r="302" spans="1:9" ht="15.75" hidden="1" thickBot="1" x14ac:dyDescent="0.3">
      <c r="A302" s="182"/>
      <c r="B302" s="35" t="s">
        <v>8065</v>
      </c>
      <c r="C302" s="35" t="s">
        <v>773</v>
      </c>
      <c r="D302" s="36">
        <v>274.06349999999998</v>
      </c>
      <c r="E302" s="33">
        <v>0.627</v>
      </c>
      <c r="F302" s="33">
        <f>IF(ISNUMBER(E302),E302*$D302,"")</f>
        <v>171.83781449999998</v>
      </c>
      <c r="G302" s="44"/>
      <c r="H302" s="45"/>
      <c r="I302" s="153">
        <v>0</v>
      </c>
    </row>
    <row r="303" spans="1:9" ht="26.25" hidden="1" thickBot="1" x14ac:dyDescent="0.3">
      <c r="A303" s="182"/>
      <c r="B303" s="35" t="s">
        <v>8311</v>
      </c>
      <c r="C303" s="35" t="s">
        <v>87</v>
      </c>
      <c r="D303" s="36">
        <v>0.58130000000000004</v>
      </c>
      <c r="E303" s="33">
        <v>176.453</v>
      </c>
      <c r="F303" s="33">
        <f>IF(ISNUMBER(E303),E303*$D303,"")</f>
        <v>102.57212890000001</v>
      </c>
      <c r="G303" s="44"/>
      <c r="H303" s="45"/>
      <c r="I303" s="153">
        <v>0</v>
      </c>
    </row>
    <row r="304" spans="1:9" ht="15.75" hidden="1" thickBot="1" x14ac:dyDescent="0.3">
      <c r="A304" s="182"/>
      <c r="B304" s="35" t="s">
        <v>584</v>
      </c>
      <c r="C304" s="35" t="s">
        <v>583</v>
      </c>
      <c r="D304" s="36">
        <v>2.0266999999999999</v>
      </c>
      <c r="E304" s="30">
        <v>20.225499999999997</v>
      </c>
      <c r="F304" s="33">
        <f>IF(ISNUMBER(E304),E304*$D304,"")</f>
        <v>40.991020849999991</v>
      </c>
      <c r="G304" s="44"/>
      <c r="H304" s="45"/>
      <c r="I304" s="153">
        <v>0</v>
      </c>
    </row>
    <row r="305" spans="1:9" ht="26.25" hidden="1" thickBot="1" x14ac:dyDescent="0.3">
      <c r="A305" s="182"/>
      <c r="B305" s="35" t="s">
        <v>1271</v>
      </c>
      <c r="C305" s="35" t="s">
        <v>583</v>
      </c>
      <c r="D305" s="36">
        <v>1.2822</v>
      </c>
      <c r="E305" s="30">
        <v>20.291999999999998</v>
      </c>
      <c r="F305" s="94">
        <f>IF(ISNUMBER(E305),E305*$D305,"")</f>
        <v>26.018402399999999</v>
      </c>
      <c r="G305" s="44"/>
      <c r="H305" s="45"/>
      <c r="I305" s="153">
        <v>0</v>
      </c>
    </row>
    <row r="306" spans="1:9" ht="39" hidden="1" thickBot="1" x14ac:dyDescent="0.3">
      <c r="A306" s="182"/>
      <c r="B306" s="35" t="s">
        <v>1218</v>
      </c>
      <c r="C306" s="35" t="s">
        <v>813</v>
      </c>
      <c r="D306" s="36">
        <v>0.65990000000000004</v>
      </c>
      <c r="E306" s="30">
        <v>5.1395</v>
      </c>
      <c r="F306" s="94">
        <f>IF(ISNUMBER(E306),E306*$D306,"")</f>
        <v>3.3915560500000002</v>
      </c>
      <c r="G306" s="44"/>
      <c r="H306" s="45"/>
      <c r="I306" s="153">
        <v>0</v>
      </c>
    </row>
    <row r="307" spans="1:9" ht="39" hidden="1" thickBot="1" x14ac:dyDescent="0.3">
      <c r="A307" s="182"/>
      <c r="B307" s="35" t="s">
        <v>1272</v>
      </c>
      <c r="C307" s="35" t="s">
        <v>815</v>
      </c>
      <c r="D307" s="36">
        <v>0.62229999999999996</v>
      </c>
      <c r="E307" s="30">
        <v>1.7954999999999999</v>
      </c>
      <c r="F307" s="33">
        <f>IF(ISNUMBER(E307),E307*$D307,"")</f>
        <v>1.1173396499999999</v>
      </c>
      <c r="G307" s="44"/>
      <c r="H307" s="45"/>
      <c r="I307" s="153">
        <v>0</v>
      </c>
    </row>
    <row r="308" spans="1:9" ht="51.75" hidden="1" thickBot="1" x14ac:dyDescent="0.3">
      <c r="A308" s="182"/>
      <c r="B308" s="35" t="s">
        <v>3071</v>
      </c>
      <c r="C308" s="35" t="s">
        <v>87</v>
      </c>
      <c r="D308" s="36">
        <f>ROUND(1*(D301+D303),4)</f>
        <v>1.3889</v>
      </c>
      <c r="E308" s="30">
        <v>8.0531015499999992</v>
      </c>
      <c r="F308" s="33">
        <f>IF(ISNUMBER(E308),E308*$D308,"")</f>
        <v>11.184952742795</v>
      </c>
      <c r="G308" s="44"/>
      <c r="H308" s="45"/>
      <c r="I308" s="153">
        <v>0</v>
      </c>
    </row>
    <row r="309" spans="1:9" ht="39" hidden="1" thickBot="1" x14ac:dyDescent="0.3">
      <c r="A309" s="182"/>
      <c r="B309" s="35" t="s">
        <v>3068</v>
      </c>
      <c r="C309" s="46" t="s">
        <v>89</v>
      </c>
      <c r="D309" s="36">
        <f>ROUND((D301+D303)*20,4)</f>
        <v>27.777999999999999</v>
      </c>
      <c r="E309" s="30">
        <v>2.6576449499999995</v>
      </c>
      <c r="F309" s="33">
        <f>IF(ISNUMBER(E309),E309*$D309,"")</f>
        <v>73.824061421099984</v>
      </c>
      <c r="G309" s="44"/>
      <c r="H309" s="45"/>
      <c r="I309" s="153">
        <v>0</v>
      </c>
    </row>
    <row r="310" spans="1:9" ht="15.75" hidden="1" thickBot="1" x14ac:dyDescent="0.3">
      <c r="A310" s="182"/>
      <c r="B310" s="50"/>
      <c r="C310" s="46"/>
      <c r="D310" s="36"/>
      <c r="E310" s="30" t="s">
        <v>416</v>
      </c>
      <c r="F310" s="33" t="str">
        <f>IF(ISNUMBER(E310),E310*$D310,"")</f>
        <v/>
      </c>
      <c r="G310" s="44"/>
      <c r="H310" s="45"/>
      <c r="I310" s="153">
        <v>0</v>
      </c>
    </row>
    <row r="311" spans="1:9" ht="26.25" hidden="1" thickBot="1" x14ac:dyDescent="0.3">
      <c r="A311" s="182"/>
      <c r="B311" s="47" t="s">
        <v>90</v>
      </c>
      <c r="C311" s="46"/>
      <c r="D311" s="36"/>
      <c r="E311" s="30" t="s">
        <v>416</v>
      </c>
      <c r="F311" s="33" t="str">
        <f>IF(ISNUMBER(E311),E311*$D311,"")</f>
        <v/>
      </c>
      <c r="G311" s="44"/>
      <c r="H311" s="45"/>
      <c r="I311" s="153">
        <v>0</v>
      </c>
    </row>
    <row r="312" spans="1:9" ht="15.75" hidden="1" thickBot="1" x14ac:dyDescent="0.3">
      <c r="A312" s="182"/>
      <c r="B312" s="35" t="s">
        <v>416</v>
      </c>
      <c r="C312" s="35"/>
      <c r="D312" s="92"/>
      <c r="E312" s="30" t="s">
        <v>416</v>
      </c>
      <c r="F312" s="30" t="str">
        <f>IF(ISNUMBER(E312),E312*$D312,"")</f>
        <v/>
      </c>
      <c r="G312" s="34"/>
      <c r="H312" s="30"/>
      <c r="I312" s="153">
        <v>0</v>
      </c>
    </row>
    <row r="313" spans="1:9" ht="15.75" hidden="1" thickBot="1" x14ac:dyDescent="0.3">
      <c r="A313" s="183" t="s">
        <v>5735</v>
      </c>
      <c r="B313" s="40" t="s">
        <v>416</v>
      </c>
      <c r="C313" s="25" t="s">
        <v>87</v>
      </c>
      <c r="D313" s="93"/>
      <c r="E313" s="41" t="s">
        <v>416</v>
      </c>
      <c r="F313" s="41" t="str">
        <f>IF(ISNUMBER(E313),E313*$D313,"")</f>
        <v/>
      </c>
      <c r="G313" s="28"/>
      <c r="H313" s="29"/>
      <c r="I313" s="153">
        <v>0</v>
      </c>
    </row>
    <row r="314" spans="1:9" ht="15.75" hidden="1" thickBot="1" x14ac:dyDescent="0.3">
      <c r="A314" s="182"/>
      <c r="B314" s="31" t="s">
        <v>416</v>
      </c>
      <c r="C314" s="31"/>
      <c r="D314" s="91"/>
      <c r="E314" s="42" t="s">
        <v>416</v>
      </c>
      <c r="F314" s="30" t="str">
        <f>IF(ISNUMBER(E314),E314*$D314,"")</f>
        <v/>
      </c>
      <c r="G314" s="34"/>
      <c r="H314" s="30"/>
      <c r="I314" s="153">
        <v>0</v>
      </c>
    </row>
    <row r="315" spans="1:9" ht="26.25" hidden="1" thickBot="1" x14ac:dyDescent="0.3">
      <c r="A315" s="182"/>
      <c r="B315" s="35" t="s">
        <v>7985</v>
      </c>
      <c r="C315" s="35" t="s">
        <v>87</v>
      </c>
      <c r="D315" s="36">
        <v>0.83250000000000002</v>
      </c>
      <c r="E315" s="33">
        <v>202.33099999999999</v>
      </c>
      <c r="F315" s="33">
        <f>IF(ISNUMBER(E315),E315*$D315,"")</f>
        <v>168.44055749999998</v>
      </c>
      <c r="G315" s="44">
        <f>SUM(F315:F323)</f>
        <v>565.86295822802992</v>
      </c>
      <c r="H315" s="45"/>
      <c r="I315" s="153">
        <v>0</v>
      </c>
    </row>
    <row r="316" spans="1:9" ht="15.75" hidden="1" thickBot="1" x14ac:dyDescent="0.3">
      <c r="A316" s="182"/>
      <c r="B316" s="35" t="s">
        <v>8065</v>
      </c>
      <c r="C316" s="35" t="s">
        <v>773</v>
      </c>
      <c r="D316" s="36">
        <v>213.45310000000001</v>
      </c>
      <c r="E316" s="33">
        <v>0.627</v>
      </c>
      <c r="F316" s="33">
        <f>IF(ISNUMBER(E316),E316*$D316,"")</f>
        <v>133.83509370000002</v>
      </c>
      <c r="G316" s="44"/>
      <c r="H316" s="45"/>
      <c r="I316" s="153">
        <v>0</v>
      </c>
    </row>
    <row r="317" spans="1:9" ht="26.25" hidden="1" thickBot="1" x14ac:dyDescent="0.3">
      <c r="A317" s="182"/>
      <c r="B317" s="35" t="s">
        <v>8311</v>
      </c>
      <c r="C317" s="35" t="s">
        <v>87</v>
      </c>
      <c r="D317" s="36">
        <v>0.58209999999999995</v>
      </c>
      <c r="E317" s="33">
        <v>176.453</v>
      </c>
      <c r="F317" s="33">
        <f>IF(ISNUMBER(E317),E317*$D317,"")</f>
        <v>102.71329129999999</v>
      </c>
      <c r="G317" s="44"/>
      <c r="H317" s="45"/>
      <c r="I317" s="153">
        <v>0</v>
      </c>
    </row>
    <row r="318" spans="1:9" ht="15.75" hidden="1" thickBot="1" x14ac:dyDescent="0.3">
      <c r="A318" s="182"/>
      <c r="B318" s="35" t="s">
        <v>584</v>
      </c>
      <c r="C318" s="35" t="s">
        <v>583</v>
      </c>
      <c r="D318" s="36">
        <v>2.1057999999999999</v>
      </c>
      <c r="E318" s="30">
        <v>20.225499999999997</v>
      </c>
      <c r="F318" s="33">
        <f>IF(ISNUMBER(E318),E318*$D318,"")</f>
        <v>42.590857899999989</v>
      </c>
      <c r="G318" s="44"/>
      <c r="H318" s="45"/>
      <c r="I318" s="153">
        <v>0</v>
      </c>
    </row>
    <row r="319" spans="1:9" ht="26.25" hidden="1" thickBot="1" x14ac:dyDescent="0.3">
      <c r="A319" s="182"/>
      <c r="B319" s="35" t="s">
        <v>1271</v>
      </c>
      <c r="C319" s="35" t="s">
        <v>583</v>
      </c>
      <c r="D319" s="36">
        <v>1.3314999999999999</v>
      </c>
      <c r="E319" s="30">
        <v>20.291999999999998</v>
      </c>
      <c r="F319" s="94">
        <f>IF(ISNUMBER(E319),E319*$D319,"")</f>
        <v>27.018797999999997</v>
      </c>
      <c r="G319" s="44"/>
      <c r="H319" s="45"/>
      <c r="I319" s="153">
        <v>0</v>
      </c>
    </row>
    <row r="320" spans="1:9" ht="39" hidden="1" thickBot="1" x14ac:dyDescent="0.3">
      <c r="A320" s="182"/>
      <c r="B320" s="35" t="s">
        <v>1218</v>
      </c>
      <c r="C320" s="35" t="s">
        <v>813</v>
      </c>
      <c r="D320" s="36">
        <v>0.68530000000000002</v>
      </c>
      <c r="E320" s="30">
        <v>5.1395</v>
      </c>
      <c r="F320" s="94">
        <f>IF(ISNUMBER(E320),E320*$D320,"")</f>
        <v>3.52209935</v>
      </c>
      <c r="G320" s="44"/>
      <c r="H320" s="45"/>
      <c r="I320" s="153">
        <v>0</v>
      </c>
    </row>
    <row r="321" spans="1:9" ht="39" hidden="1" thickBot="1" x14ac:dyDescent="0.3">
      <c r="A321" s="182"/>
      <c r="B321" s="35" t="s">
        <v>1272</v>
      </c>
      <c r="C321" s="35" t="s">
        <v>815</v>
      </c>
      <c r="D321" s="36">
        <v>0.6462</v>
      </c>
      <c r="E321" s="30">
        <v>1.7954999999999999</v>
      </c>
      <c r="F321" s="33">
        <f>IF(ISNUMBER(E321),E321*$D321,"")</f>
        <v>1.1602520999999999</v>
      </c>
      <c r="G321" s="44"/>
      <c r="H321" s="45"/>
      <c r="I321" s="153">
        <v>0</v>
      </c>
    </row>
    <row r="322" spans="1:9" ht="51.75" hidden="1" thickBot="1" x14ac:dyDescent="0.3">
      <c r="A322" s="182"/>
      <c r="B322" s="35" t="s">
        <v>3071</v>
      </c>
      <c r="C322" s="35" t="s">
        <v>87</v>
      </c>
      <c r="D322" s="36">
        <f>ROUND(1*(D315+D317),4)</f>
        <v>1.4146000000000001</v>
      </c>
      <c r="E322" s="30">
        <v>8.0531015499999992</v>
      </c>
      <c r="F322" s="33">
        <f>IF(ISNUMBER(E322),E322*$D322,"")</f>
        <v>11.391917452629999</v>
      </c>
      <c r="G322" s="44"/>
      <c r="H322" s="45"/>
      <c r="I322" s="153">
        <v>0</v>
      </c>
    </row>
    <row r="323" spans="1:9" ht="39" hidden="1" thickBot="1" x14ac:dyDescent="0.3">
      <c r="A323" s="182"/>
      <c r="B323" s="35" t="s">
        <v>3068</v>
      </c>
      <c r="C323" s="46" t="s">
        <v>89</v>
      </c>
      <c r="D323" s="36">
        <f>ROUND((D315+D317)*20,4)</f>
        <v>28.292000000000002</v>
      </c>
      <c r="E323" s="30">
        <v>2.6576449499999995</v>
      </c>
      <c r="F323" s="33">
        <f>IF(ISNUMBER(E323),E323*$D323,"")</f>
        <v>75.190090925399986</v>
      </c>
      <c r="G323" s="44"/>
      <c r="H323" s="45"/>
      <c r="I323" s="153">
        <v>0</v>
      </c>
    </row>
    <row r="324" spans="1:9" ht="15.75" hidden="1" thickBot="1" x14ac:dyDescent="0.3">
      <c r="A324" s="182"/>
      <c r="B324" s="50"/>
      <c r="C324" s="46"/>
      <c r="D324" s="36"/>
      <c r="E324" s="30" t="s">
        <v>416</v>
      </c>
      <c r="F324" s="33" t="str">
        <f>IF(ISNUMBER(E324),E324*$D324,"")</f>
        <v/>
      </c>
      <c r="G324" s="44"/>
      <c r="H324" s="45"/>
      <c r="I324" s="153">
        <v>0</v>
      </c>
    </row>
    <row r="325" spans="1:9" ht="26.25" hidden="1" thickBot="1" x14ac:dyDescent="0.3">
      <c r="A325" s="182"/>
      <c r="B325" s="47" t="s">
        <v>90</v>
      </c>
      <c r="C325" s="46"/>
      <c r="D325" s="36"/>
      <c r="E325" s="30" t="s">
        <v>416</v>
      </c>
      <c r="F325" s="33" t="str">
        <f>IF(ISNUMBER(E325),E325*$D325,"")</f>
        <v/>
      </c>
      <c r="G325" s="44"/>
      <c r="H325" s="45"/>
      <c r="I325" s="153">
        <v>0</v>
      </c>
    </row>
    <row r="326" spans="1:9" ht="15.75" hidden="1" thickBot="1" x14ac:dyDescent="0.3">
      <c r="A326" s="182"/>
      <c r="B326" s="35" t="s">
        <v>416</v>
      </c>
      <c r="C326" s="35"/>
      <c r="D326" s="92"/>
      <c r="E326" s="30" t="s">
        <v>416</v>
      </c>
      <c r="F326" s="30" t="str">
        <f>IF(ISNUMBER(E326),E326*$D326,"")</f>
        <v/>
      </c>
      <c r="G326" s="34"/>
      <c r="H326" s="30"/>
      <c r="I326" s="153">
        <v>0</v>
      </c>
    </row>
    <row r="327" spans="1:9" ht="15.75" thickBot="1" x14ac:dyDescent="0.3">
      <c r="A327" s="183" t="s">
        <v>871</v>
      </c>
      <c r="B327" s="40" t="s">
        <v>416</v>
      </c>
      <c r="C327" s="25" t="s">
        <v>87</v>
      </c>
      <c r="D327" s="93"/>
      <c r="E327" s="27" t="s">
        <v>416</v>
      </c>
      <c r="F327" s="27" t="str">
        <f>IF(ISNUMBER(E327),E327*$D327,"")</f>
        <v/>
      </c>
      <c r="G327" s="28"/>
      <c r="H327" s="29"/>
      <c r="I327" s="153">
        <v>3.8E-3</v>
      </c>
    </row>
    <row r="328" spans="1:9" x14ac:dyDescent="0.25">
      <c r="A328" s="182"/>
      <c r="B328" s="31" t="s">
        <v>416</v>
      </c>
      <c r="C328" s="31"/>
      <c r="D328" s="91"/>
      <c r="E328" s="30" t="s">
        <v>416</v>
      </c>
      <c r="F328" s="30" t="str">
        <f>IF(ISNUMBER(E328),E328*$D328,"")</f>
        <v/>
      </c>
      <c r="G328" s="34"/>
      <c r="H328" s="30"/>
      <c r="I328" s="153">
        <v>3.8E-3</v>
      </c>
    </row>
    <row r="329" spans="1:9" ht="25.5" x14ac:dyDescent="0.25">
      <c r="A329" s="182"/>
      <c r="B329" s="35" t="s">
        <v>1140</v>
      </c>
      <c r="C329" s="35" t="s">
        <v>87</v>
      </c>
      <c r="D329" s="36">
        <v>1.02</v>
      </c>
      <c r="E329" s="30">
        <v>204.97199999999998</v>
      </c>
      <c r="F329" s="33">
        <f>IF(ISNUMBER(E329),E329*$D329,"")</f>
        <v>209.07144</v>
      </c>
      <c r="G329" s="44">
        <f>SUM(F329:F335)</f>
        <v>584.34036056100001</v>
      </c>
      <c r="H329" s="45"/>
      <c r="I329" s="153">
        <v>3.8E-3</v>
      </c>
    </row>
    <row r="330" spans="1:9" x14ac:dyDescent="0.25">
      <c r="A330" s="182"/>
      <c r="B330" s="35" t="s">
        <v>8065</v>
      </c>
      <c r="C330" s="35" t="s">
        <v>773</v>
      </c>
      <c r="D330" s="36">
        <v>343.52</v>
      </c>
      <c r="E330" s="33">
        <v>0.627</v>
      </c>
      <c r="F330" s="33">
        <f>IF(ISNUMBER(E330),E330*$D330,"")</f>
        <v>215.38703999999998</v>
      </c>
      <c r="G330" s="44"/>
      <c r="H330" s="45"/>
      <c r="I330" s="153">
        <v>3.8E-3</v>
      </c>
    </row>
    <row r="331" spans="1:9" ht="25.5" x14ac:dyDescent="0.25">
      <c r="A331" s="182"/>
      <c r="B331" s="35" t="s">
        <v>1271</v>
      </c>
      <c r="C331" s="35" t="s">
        <v>583</v>
      </c>
      <c r="D331" s="36">
        <v>4.6399999999999997</v>
      </c>
      <c r="E331" s="30">
        <v>20.291999999999998</v>
      </c>
      <c r="F331" s="33">
        <f>IF(ISNUMBER(E331),E331*$D331,"")</f>
        <v>94.154879999999991</v>
      </c>
      <c r="G331" s="44"/>
      <c r="H331" s="45"/>
      <c r="I331" s="153">
        <v>3.8E-3</v>
      </c>
    </row>
    <row r="332" spans="1:9" ht="38.25" x14ac:dyDescent="0.25">
      <c r="A332" s="182"/>
      <c r="B332" s="35" t="s">
        <v>84</v>
      </c>
      <c r="C332" s="35" t="s">
        <v>813</v>
      </c>
      <c r="D332" s="36">
        <v>1.08</v>
      </c>
      <c r="E332" s="30">
        <v>1.6435</v>
      </c>
      <c r="F332" s="33">
        <f>IF(ISNUMBER(E332),E332*$D332,"")</f>
        <v>1.77498</v>
      </c>
      <c r="G332" s="44"/>
      <c r="H332" s="45"/>
      <c r="I332" s="153">
        <v>3.8E-3</v>
      </c>
    </row>
    <row r="333" spans="1:9" ht="38.25" x14ac:dyDescent="0.25">
      <c r="A333" s="182"/>
      <c r="B333" s="35" t="s">
        <v>85</v>
      </c>
      <c r="C333" s="35" t="s">
        <v>815</v>
      </c>
      <c r="D333" s="36">
        <v>3.56</v>
      </c>
      <c r="E333" s="30">
        <v>0.42749999999999999</v>
      </c>
      <c r="F333" s="33">
        <f>IF(ISNUMBER(E333),E333*$D333,"")</f>
        <v>1.5219</v>
      </c>
      <c r="G333" s="44"/>
      <c r="H333" s="45"/>
      <c r="I333" s="153">
        <v>3.8E-3</v>
      </c>
    </row>
    <row r="334" spans="1:9" ht="51" x14ac:dyDescent="0.25">
      <c r="A334" s="182"/>
      <c r="B334" s="35" t="s">
        <v>3071</v>
      </c>
      <c r="C334" s="35" t="s">
        <v>87</v>
      </c>
      <c r="D334" s="36">
        <f>ROUND(1*(D329),4)</f>
        <v>1.02</v>
      </c>
      <c r="E334" s="30">
        <v>8.0531015499999992</v>
      </c>
      <c r="F334" s="33">
        <f>IF(ISNUMBER(E334),E334*$D334,"")</f>
        <v>8.2141635809999993</v>
      </c>
      <c r="G334" s="44"/>
      <c r="H334" s="45"/>
      <c r="I334" s="153">
        <v>3.8E-3</v>
      </c>
    </row>
    <row r="335" spans="1:9" ht="38.25" x14ac:dyDescent="0.25">
      <c r="A335" s="182"/>
      <c r="B335" s="35" t="s">
        <v>3068</v>
      </c>
      <c r="C335" s="46" t="s">
        <v>89</v>
      </c>
      <c r="D335" s="36">
        <f>ROUND(D329*20,4)</f>
        <v>20.399999999999999</v>
      </c>
      <c r="E335" s="30">
        <v>2.6576449499999995</v>
      </c>
      <c r="F335" s="33">
        <f>IF(ISNUMBER(E335),E335*$D335,"")</f>
        <v>54.215956979999987</v>
      </c>
      <c r="G335" s="44"/>
      <c r="H335" s="45"/>
      <c r="I335" s="153">
        <v>3.8E-3</v>
      </c>
    </row>
    <row r="336" spans="1:9" x14ac:dyDescent="0.25">
      <c r="A336" s="182"/>
      <c r="B336" s="35"/>
      <c r="C336" s="35"/>
      <c r="D336" s="36"/>
      <c r="E336" s="30" t="s">
        <v>416</v>
      </c>
      <c r="F336" s="33" t="str">
        <f>IF(ISNUMBER(E336),E336*$D336,"")</f>
        <v/>
      </c>
      <c r="G336" s="44"/>
      <c r="H336" s="45"/>
      <c r="I336" s="153">
        <v>3.8E-3</v>
      </c>
    </row>
    <row r="337" spans="1:9" x14ac:dyDescent="0.25">
      <c r="A337" s="182"/>
      <c r="B337" s="47" t="s">
        <v>631</v>
      </c>
      <c r="C337" s="46"/>
      <c r="D337" s="36"/>
      <c r="E337" s="30" t="s">
        <v>416</v>
      </c>
      <c r="F337" s="33" t="str">
        <f>IF(ISNUMBER(E337),E337*$D337,"")</f>
        <v/>
      </c>
      <c r="G337" s="44"/>
      <c r="H337" s="45"/>
      <c r="I337" s="153">
        <v>3.8E-3</v>
      </c>
    </row>
    <row r="338" spans="1:9" ht="15.75" thickBot="1" x14ac:dyDescent="0.3">
      <c r="A338" s="184"/>
      <c r="B338" s="54" t="s">
        <v>416</v>
      </c>
      <c r="C338" s="54"/>
      <c r="D338" s="95"/>
      <c r="E338" s="66" t="s">
        <v>416</v>
      </c>
      <c r="F338" s="67" t="str">
        <f>IF(ISNUMBER(E338),E338*$D338,"")</f>
        <v/>
      </c>
      <c r="G338" s="68"/>
      <c r="H338" s="30"/>
      <c r="I338" s="153">
        <v>3.8E-3</v>
      </c>
    </row>
    <row r="339" spans="1:9" ht="15.75" thickBot="1" x14ac:dyDescent="0.3">
      <c r="A339" s="183" t="s">
        <v>3071</v>
      </c>
      <c r="B339" s="40" t="s">
        <v>416</v>
      </c>
      <c r="C339" s="25" t="s">
        <v>87</v>
      </c>
      <c r="D339" s="93"/>
      <c r="E339" s="27" t="s">
        <v>416</v>
      </c>
      <c r="F339" s="25" t="str">
        <f>IF(ISNUMBER(E339),E339*$D339,"")</f>
        <v/>
      </c>
      <c r="G339" s="28"/>
      <c r="H339" s="29"/>
      <c r="I339" s="153">
        <v>15</v>
      </c>
    </row>
    <row r="340" spans="1:9" x14ac:dyDescent="0.25">
      <c r="A340" s="182"/>
      <c r="B340" s="31" t="s">
        <v>416</v>
      </c>
      <c r="C340" s="31"/>
      <c r="D340" s="91"/>
      <c r="E340" s="30" t="s">
        <v>416</v>
      </c>
      <c r="F340" s="30" t="str">
        <f>IF(ISNUMBER(E340),E340*$D340,"")</f>
        <v/>
      </c>
      <c r="G340" s="34"/>
      <c r="H340" s="30"/>
      <c r="I340" s="153">
        <v>15</v>
      </c>
    </row>
    <row r="341" spans="1:9" ht="38.25" x14ac:dyDescent="0.25">
      <c r="A341" s="182"/>
      <c r="B341" s="35" t="s">
        <v>2865</v>
      </c>
      <c r="C341" s="35" t="s">
        <v>813</v>
      </c>
      <c r="D341" s="36">
        <v>8.3000000000000001E-3</v>
      </c>
      <c r="E341" s="30">
        <v>170.34449999999998</v>
      </c>
      <c r="F341" s="33">
        <f>IF(ISNUMBER(E341),E341*$D341,"")</f>
        <v>1.4138593499999998</v>
      </c>
      <c r="G341" s="44">
        <f>SUM(F341:F344)</f>
        <v>7.9257587999999988</v>
      </c>
      <c r="H341" s="45"/>
      <c r="I341" s="153">
        <v>15</v>
      </c>
    </row>
    <row r="342" spans="1:9" ht="38.25" x14ac:dyDescent="0.25">
      <c r="A342" s="182"/>
      <c r="B342" s="35" t="s">
        <v>2872</v>
      </c>
      <c r="C342" s="35" t="s">
        <v>815</v>
      </c>
      <c r="D342" s="36">
        <v>1.5100000000000001E-2</v>
      </c>
      <c r="E342" s="30">
        <v>63.412499999999994</v>
      </c>
      <c r="F342" s="33">
        <f>IF(ISNUMBER(E342),E342*$D342,"")</f>
        <v>0.95752874999999993</v>
      </c>
      <c r="G342" s="44"/>
      <c r="H342" s="45"/>
      <c r="I342" s="153">
        <v>15</v>
      </c>
    </row>
    <row r="343" spans="1:9" ht="51" x14ac:dyDescent="0.25">
      <c r="A343" s="182"/>
      <c r="B343" s="35" t="s">
        <v>939</v>
      </c>
      <c r="C343" s="35" t="s">
        <v>813</v>
      </c>
      <c r="D343" s="36">
        <v>2.6700000000000002E-2</v>
      </c>
      <c r="E343" s="30">
        <v>169.09049999999999</v>
      </c>
      <c r="F343" s="33">
        <f>IF(ISNUMBER(E343),E343*$D343,"")</f>
        <v>4.5147163499999996</v>
      </c>
      <c r="G343" s="44"/>
      <c r="H343" s="45"/>
      <c r="I343" s="153">
        <v>15</v>
      </c>
    </row>
    <row r="344" spans="1:9" ht="51" x14ac:dyDescent="0.25">
      <c r="A344" s="182"/>
      <c r="B344" s="35" t="s">
        <v>940</v>
      </c>
      <c r="C344" s="35" t="s">
        <v>815</v>
      </c>
      <c r="D344" s="36">
        <v>2.0299999999999999E-2</v>
      </c>
      <c r="E344" s="30">
        <v>51.214499999999994</v>
      </c>
      <c r="F344" s="33">
        <f>IF(ISNUMBER(E344),E344*$D344,"")</f>
        <v>1.0396543499999997</v>
      </c>
      <c r="G344" s="44"/>
      <c r="H344" s="45"/>
      <c r="I344" s="153">
        <v>15</v>
      </c>
    </row>
    <row r="345" spans="1:9" ht="15.75" thickBot="1" x14ac:dyDescent="0.3">
      <c r="A345" s="184"/>
      <c r="B345" s="54" t="s">
        <v>416</v>
      </c>
      <c r="C345" s="54"/>
      <c r="D345" s="95"/>
      <c r="E345" s="66" t="s">
        <v>416</v>
      </c>
      <c r="F345" s="67" t="str">
        <f>IF(ISNUMBER(E345),E345*$D345,"")</f>
        <v/>
      </c>
      <c r="G345" s="68"/>
      <c r="H345" s="30"/>
      <c r="I345" s="153">
        <v>15</v>
      </c>
    </row>
    <row r="346" spans="1:9" ht="15.75" hidden="1" thickBot="1" x14ac:dyDescent="0.3">
      <c r="A346" s="183" t="s">
        <v>3072</v>
      </c>
      <c r="B346" s="40" t="s">
        <v>416</v>
      </c>
      <c r="C346" s="25" t="s">
        <v>1141</v>
      </c>
      <c r="D346" s="93"/>
      <c r="E346" s="27" t="s">
        <v>416</v>
      </c>
      <c r="F346" s="25" t="str">
        <f>IF(ISNUMBER(E346),E346*$D346,"")</f>
        <v/>
      </c>
      <c r="G346" s="28"/>
      <c r="H346" s="29"/>
      <c r="I346" s="153">
        <v>0</v>
      </c>
    </row>
    <row r="347" spans="1:9" ht="15.75" hidden="1" thickBot="1" x14ac:dyDescent="0.3">
      <c r="A347" s="182"/>
      <c r="B347" s="31" t="s">
        <v>416</v>
      </c>
      <c r="C347" s="31"/>
      <c r="D347" s="91"/>
      <c r="E347" s="30" t="s">
        <v>416</v>
      </c>
      <c r="F347" s="30" t="str">
        <f>IF(ISNUMBER(E347),E347*$D347,"")</f>
        <v/>
      </c>
      <c r="G347" s="34"/>
      <c r="H347" s="30"/>
      <c r="I347" s="153">
        <v>0</v>
      </c>
    </row>
    <row r="348" spans="1:9" ht="39" hidden="1" thickBot="1" x14ac:dyDescent="0.3">
      <c r="A348" s="182"/>
      <c r="B348" s="35" t="s">
        <v>2865</v>
      </c>
      <c r="C348" s="35" t="s">
        <v>813</v>
      </c>
      <c r="D348" s="36">
        <v>5.5599999999999998E-3</v>
      </c>
      <c r="E348" s="30">
        <v>170.34449999999998</v>
      </c>
      <c r="F348" s="33">
        <f>IF(ISNUMBER(E348),E348*$D348,"")</f>
        <v>0.94711541999999982</v>
      </c>
      <c r="G348" s="44">
        <f>SUM(F348:F351)</f>
        <v>5.2887883199999992</v>
      </c>
      <c r="H348" s="45"/>
      <c r="I348" s="153">
        <v>0</v>
      </c>
    </row>
    <row r="349" spans="1:9" ht="39" hidden="1" thickBot="1" x14ac:dyDescent="0.3">
      <c r="A349" s="182"/>
      <c r="B349" s="35" t="s">
        <v>2872</v>
      </c>
      <c r="C349" s="35" t="s">
        <v>815</v>
      </c>
      <c r="D349" s="36">
        <v>1.01E-2</v>
      </c>
      <c r="E349" s="30">
        <v>63.412499999999994</v>
      </c>
      <c r="F349" s="33">
        <f>IF(ISNUMBER(E349),E349*$D349,"")</f>
        <v>0.6404662499999999</v>
      </c>
      <c r="G349" s="44"/>
      <c r="H349" s="45"/>
      <c r="I349" s="153">
        <v>0</v>
      </c>
    </row>
    <row r="350" spans="1:9" ht="51.75" hidden="1" thickBot="1" x14ac:dyDescent="0.3">
      <c r="A350" s="182"/>
      <c r="B350" s="35" t="s">
        <v>939</v>
      </c>
      <c r="C350" s="35" t="s">
        <v>813</v>
      </c>
      <c r="D350" s="36">
        <v>1.78E-2</v>
      </c>
      <c r="E350" s="30">
        <v>169.09049999999999</v>
      </c>
      <c r="F350" s="33">
        <f>IF(ISNUMBER(E350),E350*$D350,"")</f>
        <v>3.0098108999999997</v>
      </c>
      <c r="G350" s="44"/>
      <c r="H350" s="45"/>
      <c r="I350" s="153">
        <v>0</v>
      </c>
    </row>
    <row r="351" spans="1:9" ht="51.75" hidden="1" thickBot="1" x14ac:dyDescent="0.3">
      <c r="A351" s="182"/>
      <c r="B351" s="35" t="s">
        <v>940</v>
      </c>
      <c r="C351" s="35" t="s">
        <v>815</v>
      </c>
      <c r="D351" s="36">
        <v>1.35E-2</v>
      </c>
      <c r="E351" s="30">
        <v>51.214499999999994</v>
      </c>
      <c r="F351" s="33">
        <f>IF(ISNUMBER(E351),E351*$D351,"")</f>
        <v>0.69139574999999986</v>
      </c>
      <c r="G351" s="44"/>
      <c r="H351" s="45"/>
      <c r="I351" s="153">
        <v>0</v>
      </c>
    </row>
    <row r="352" spans="1:9" ht="15.75" hidden="1" thickBot="1" x14ac:dyDescent="0.3">
      <c r="A352" s="184"/>
      <c r="B352" s="54" t="s">
        <v>416</v>
      </c>
      <c r="C352" s="54"/>
      <c r="D352" s="95"/>
      <c r="E352" s="66" t="s">
        <v>416</v>
      </c>
      <c r="F352" s="67" t="str">
        <f>IF(ISNUMBER(E352),E352*$D352,"")</f>
        <v/>
      </c>
      <c r="G352" s="68"/>
      <c r="H352" s="30"/>
      <c r="I352" s="153">
        <v>0</v>
      </c>
    </row>
    <row r="353" spans="1:9" ht="15.75" hidden="1" thickBot="1" x14ac:dyDescent="0.3">
      <c r="A353" s="183" t="s">
        <v>3221</v>
      </c>
      <c r="B353" s="40" t="s">
        <v>416</v>
      </c>
      <c r="C353" s="25" t="s">
        <v>861</v>
      </c>
      <c r="D353" s="93"/>
      <c r="E353" s="27" t="s">
        <v>416</v>
      </c>
      <c r="F353" s="27" t="str">
        <f>IF(ISNUMBER(E353),E353*$D353,"")</f>
        <v/>
      </c>
      <c r="G353" s="28"/>
      <c r="H353" s="29"/>
      <c r="I353" s="153">
        <v>0</v>
      </c>
    </row>
    <row r="354" spans="1:9" ht="15.75" hidden="1" thickBot="1" x14ac:dyDescent="0.3">
      <c r="A354" s="182"/>
      <c r="B354" s="31" t="s">
        <v>416</v>
      </c>
      <c r="C354" s="31"/>
      <c r="D354" s="91"/>
      <c r="E354" s="30" t="s">
        <v>416</v>
      </c>
      <c r="F354" s="30" t="str">
        <f>IF(ISNUMBER(E354),E354*$D354,"")</f>
        <v/>
      </c>
      <c r="G354" s="34"/>
      <c r="H354" s="30"/>
      <c r="I354" s="153">
        <v>0</v>
      </c>
    </row>
    <row r="355" spans="1:9" ht="26.25" hidden="1" thickBot="1" x14ac:dyDescent="0.3">
      <c r="A355" s="182"/>
      <c r="B355" s="35" t="s">
        <v>1009</v>
      </c>
      <c r="C355" s="35" t="s">
        <v>75</v>
      </c>
      <c r="D355" s="36">
        <v>1.7000000000000001E-2</v>
      </c>
      <c r="E355" s="30">
        <v>7.9229999999999992</v>
      </c>
      <c r="F355" s="33">
        <f>IF(ISNUMBER(E355),E355*$D355,"")</f>
        <v>0.13469100000000001</v>
      </c>
      <c r="G355" s="44">
        <f>SUM(F355:F359)</f>
        <v>222.09994482000002</v>
      </c>
      <c r="H355" s="45"/>
      <c r="I355" s="153">
        <v>0</v>
      </c>
    </row>
    <row r="356" spans="1:9" ht="15.75" hidden="1" thickBot="1" x14ac:dyDescent="0.3">
      <c r="A356" s="182"/>
      <c r="B356" s="35" t="s">
        <v>2936</v>
      </c>
      <c r="C356" s="35" t="s">
        <v>773</v>
      </c>
      <c r="D356" s="36">
        <v>2.7E-2</v>
      </c>
      <c r="E356" s="33">
        <v>26.656999999999996</v>
      </c>
      <c r="F356" s="33">
        <f>IF(ISNUMBER(E356),E356*$D356,"")</f>
        <v>0.71973899999999991</v>
      </c>
      <c r="G356" s="44"/>
      <c r="H356" s="45"/>
      <c r="I356" s="153">
        <v>0</v>
      </c>
    </row>
    <row r="357" spans="1:9" ht="15.75" hidden="1" thickBot="1" x14ac:dyDescent="0.3">
      <c r="A357" s="182"/>
      <c r="B357" s="35" t="s">
        <v>660</v>
      </c>
      <c r="C357" s="35" t="s">
        <v>583</v>
      </c>
      <c r="D357" s="36">
        <v>0.48899999999999999</v>
      </c>
      <c r="E357" s="30">
        <v>21.337</v>
      </c>
      <c r="F357" s="33">
        <f>IF(ISNUMBER(E357),E357*$D357,"")</f>
        <v>10.433793</v>
      </c>
      <c r="G357" s="44"/>
      <c r="H357" s="45"/>
      <c r="I357" s="153">
        <v>0</v>
      </c>
    </row>
    <row r="358" spans="1:9" ht="15.75" hidden="1" thickBot="1" x14ac:dyDescent="0.3">
      <c r="A358" s="182"/>
      <c r="B358" s="35" t="s">
        <v>862</v>
      </c>
      <c r="C358" s="35" t="s">
        <v>583</v>
      </c>
      <c r="D358" s="36">
        <v>2.6680000000000001</v>
      </c>
      <c r="E358" s="30">
        <v>26.799499999999998</v>
      </c>
      <c r="F358" s="33">
        <f>IF(ISNUMBER(E358),E358*$D358,"")</f>
        <v>71.501065999999994</v>
      </c>
      <c r="G358" s="44"/>
      <c r="H358" s="45"/>
      <c r="I358" s="153">
        <v>0</v>
      </c>
    </row>
    <row r="359" spans="1:9" ht="26.25" hidden="1" thickBot="1" x14ac:dyDescent="0.3">
      <c r="A359" s="182"/>
      <c r="B359" s="35" t="s">
        <v>2877</v>
      </c>
      <c r="C359" s="35" t="s">
        <v>861</v>
      </c>
      <c r="D359" s="36">
        <v>0.53</v>
      </c>
      <c r="E359" s="30">
        <v>262.85029400000002</v>
      </c>
      <c r="F359" s="33">
        <f>IF(ISNUMBER(E359),E359*$D359,"")</f>
        <v>139.31065582000002</v>
      </c>
      <c r="G359" s="44"/>
      <c r="H359" s="45"/>
      <c r="I359" s="153">
        <v>0</v>
      </c>
    </row>
    <row r="360" spans="1:9" ht="15.75" hidden="1" thickBot="1" x14ac:dyDescent="0.3">
      <c r="A360" s="184"/>
      <c r="B360" s="54" t="s">
        <v>416</v>
      </c>
      <c r="C360" s="54"/>
      <c r="D360" s="95"/>
      <c r="E360" s="66" t="s">
        <v>416</v>
      </c>
      <c r="F360" s="67" t="str">
        <f>IF(ISNUMBER(E360),E360*$D360,"")</f>
        <v/>
      </c>
      <c r="G360" s="68"/>
      <c r="H360" s="30"/>
      <c r="I360" s="153">
        <v>0</v>
      </c>
    </row>
    <row r="361" spans="1:9" ht="15.75" hidden="1" thickBot="1" x14ac:dyDescent="0.3">
      <c r="A361" s="183" t="s">
        <v>6973</v>
      </c>
      <c r="B361" s="40" t="s">
        <v>416</v>
      </c>
      <c r="C361" s="25" t="s">
        <v>861</v>
      </c>
      <c r="D361" s="93"/>
      <c r="E361" s="27" t="s">
        <v>416</v>
      </c>
      <c r="F361" s="27" t="str">
        <f>IF(ISNUMBER(E361),E361*$D361,"")</f>
        <v/>
      </c>
      <c r="G361" s="28"/>
      <c r="H361" s="29"/>
      <c r="I361" s="153">
        <v>0</v>
      </c>
    </row>
    <row r="362" spans="1:9" ht="15.75" hidden="1" thickBot="1" x14ac:dyDescent="0.3">
      <c r="A362" s="182"/>
      <c r="B362" s="31" t="s">
        <v>416</v>
      </c>
      <c r="C362" s="31"/>
      <c r="D362" s="91"/>
      <c r="E362" s="30" t="s">
        <v>416</v>
      </c>
      <c r="F362" s="30" t="str">
        <f>IF(ISNUMBER(E362),E362*$D362,"")</f>
        <v/>
      </c>
      <c r="G362" s="34"/>
      <c r="H362" s="30"/>
      <c r="I362" s="153">
        <v>0</v>
      </c>
    </row>
    <row r="363" spans="1:9" ht="39" hidden="1" thickBot="1" x14ac:dyDescent="0.3">
      <c r="A363" s="182"/>
      <c r="B363" s="35" t="s">
        <v>2896</v>
      </c>
      <c r="C363" s="35" t="s">
        <v>87</v>
      </c>
      <c r="D363" s="36">
        <v>4.1999999999999997E-3</v>
      </c>
      <c r="E363" s="30">
        <v>611.01473052249992</v>
      </c>
      <c r="F363" s="33">
        <f>IF(ISNUMBER(E363),E363*$D363,"")</f>
        <v>2.5662618681944993</v>
      </c>
      <c r="G363" s="44">
        <f>SUM(F363:F365)</f>
        <v>4.6090753681944987</v>
      </c>
      <c r="H363" s="45"/>
      <c r="I363" s="153">
        <v>0</v>
      </c>
    </row>
    <row r="364" spans="1:9" ht="15.75" hidden="1" thickBot="1" x14ac:dyDescent="0.3">
      <c r="A364" s="182"/>
      <c r="B364" s="35" t="s">
        <v>591</v>
      </c>
      <c r="C364" s="35" t="s">
        <v>583</v>
      </c>
      <c r="D364" s="36">
        <v>7.0000000000000007E-2</v>
      </c>
      <c r="E364" s="33">
        <v>27.160499999999999</v>
      </c>
      <c r="F364" s="33">
        <f>IF(ISNUMBER(E364),E364*$D364,"")</f>
        <v>1.901235</v>
      </c>
      <c r="G364" s="44"/>
      <c r="H364" s="45"/>
      <c r="I364" s="153">
        <v>0</v>
      </c>
    </row>
    <row r="365" spans="1:9" ht="15.75" hidden="1" thickBot="1" x14ac:dyDescent="0.3">
      <c r="A365" s="182"/>
      <c r="B365" s="35" t="s">
        <v>584</v>
      </c>
      <c r="C365" s="35" t="s">
        <v>583</v>
      </c>
      <c r="D365" s="36">
        <v>7.0000000000000001E-3</v>
      </c>
      <c r="E365" s="30">
        <v>20.225499999999997</v>
      </c>
      <c r="F365" s="33">
        <f>IF(ISNUMBER(E365),E365*$D365,"")</f>
        <v>0.14157849999999997</v>
      </c>
      <c r="G365" s="44"/>
      <c r="H365" s="45"/>
      <c r="I365" s="153">
        <v>0</v>
      </c>
    </row>
    <row r="366" spans="1:9" ht="15.75" hidden="1" thickBot="1" x14ac:dyDescent="0.3">
      <c r="A366" s="182"/>
      <c r="B366" s="35"/>
      <c r="C366" s="35"/>
      <c r="D366" s="36"/>
      <c r="E366" s="30" t="s">
        <v>416</v>
      </c>
      <c r="F366" s="33"/>
      <c r="G366" s="44"/>
      <c r="H366" s="45"/>
      <c r="I366" s="153">
        <v>0</v>
      </c>
    </row>
    <row r="367" spans="1:9" ht="15.75" hidden="1" thickBot="1" x14ac:dyDescent="0.3">
      <c r="A367" s="183" t="s">
        <v>2893</v>
      </c>
      <c r="B367" s="40" t="s">
        <v>416</v>
      </c>
      <c r="C367" s="25" t="s">
        <v>861</v>
      </c>
      <c r="D367" s="93"/>
      <c r="E367" s="27" t="s">
        <v>416</v>
      </c>
      <c r="F367" s="27" t="str">
        <f>IF(ISNUMBER(E367),E367*$D367,"")</f>
        <v/>
      </c>
      <c r="G367" s="28"/>
      <c r="H367" s="29"/>
      <c r="I367" s="153">
        <v>0</v>
      </c>
    </row>
    <row r="368" spans="1:9" ht="15.75" hidden="1" thickBot="1" x14ac:dyDescent="0.3">
      <c r="A368" s="182"/>
      <c r="B368" s="31" t="s">
        <v>416</v>
      </c>
      <c r="C368" s="31"/>
      <c r="D368" s="91"/>
      <c r="E368" s="30" t="s">
        <v>416</v>
      </c>
      <c r="F368" s="30" t="str">
        <f>IF(ISNUMBER(E368),E368*$D368,"")</f>
        <v/>
      </c>
      <c r="G368" s="34"/>
      <c r="H368" s="30"/>
      <c r="I368" s="153">
        <v>0</v>
      </c>
    </row>
    <row r="369" spans="1:9" ht="51.75" hidden="1" thickBot="1" x14ac:dyDescent="0.3">
      <c r="A369" s="182"/>
      <c r="B369" s="35" t="s">
        <v>110</v>
      </c>
      <c r="C369" s="35" t="s">
        <v>87</v>
      </c>
      <c r="D369" s="36">
        <v>2.1299999999999999E-2</v>
      </c>
      <c r="E369" s="30">
        <v>734.72729063799989</v>
      </c>
      <c r="F369" s="33">
        <f>IF(ISNUMBER(E369),E369*$D369,"")</f>
        <v>15.649691290589397</v>
      </c>
      <c r="G369" s="44">
        <f>SUM(F369:F371)</f>
        <v>31.521179790589397</v>
      </c>
      <c r="H369" s="45"/>
      <c r="I369" s="153">
        <v>0</v>
      </c>
    </row>
    <row r="370" spans="1:9" ht="15.75" hidden="1" thickBot="1" x14ac:dyDescent="0.3">
      <c r="A370" s="182"/>
      <c r="B370" s="35" t="s">
        <v>591</v>
      </c>
      <c r="C370" s="35" t="s">
        <v>583</v>
      </c>
      <c r="D370" s="36">
        <v>0.46</v>
      </c>
      <c r="E370" s="33">
        <v>27.160499999999999</v>
      </c>
      <c r="F370" s="33">
        <f>IF(ISNUMBER(E370),E370*$D370,"")</f>
        <v>12.493830000000001</v>
      </c>
      <c r="G370" s="44"/>
      <c r="H370" s="45"/>
      <c r="I370" s="153">
        <v>0</v>
      </c>
    </row>
    <row r="371" spans="1:9" ht="15.75" hidden="1" thickBot="1" x14ac:dyDescent="0.3">
      <c r="A371" s="182"/>
      <c r="B371" s="35" t="s">
        <v>584</v>
      </c>
      <c r="C371" s="35" t="s">
        <v>583</v>
      </c>
      <c r="D371" s="36">
        <v>0.16700000000000001</v>
      </c>
      <c r="E371" s="30">
        <v>20.225499999999997</v>
      </c>
      <c r="F371" s="33">
        <f>IF(ISNUMBER(E371),E371*$D371,"")</f>
        <v>3.3776584999999995</v>
      </c>
      <c r="G371" s="44"/>
      <c r="H371" s="45"/>
      <c r="I371" s="153">
        <v>0</v>
      </c>
    </row>
    <row r="372" spans="1:9" ht="15.75" hidden="1" thickBot="1" x14ac:dyDescent="0.3">
      <c r="A372" s="182"/>
      <c r="B372" s="35"/>
      <c r="C372" s="35"/>
      <c r="D372" s="36"/>
      <c r="E372" s="30" t="s">
        <v>416</v>
      </c>
      <c r="F372" s="33"/>
      <c r="G372" s="44"/>
      <c r="H372" s="45"/>
      <c r="I372" s="153">
        <v>0</v>
      </c>
    </row>
    <row r="373" spans="1:9" ht="15.75" hidden="1" thickBot="1" x14ac:dyDescent="0.3">
      <c r="A373" s="183" t="s">
        <v>5862</v>
      </c>
      <c r="B373" s="40" t="s">
        <v>416</v>
      </c>
      <c r="C373" s="25" t="s">
        <v>861</v>
      </c>
      <c r="D373" s="93"/>
      <c r="E373" s="27" t="s">
        <v>416</v>
      </c>
      <c r="F373" s="27" t="str">
        <f>IF(ISNUMBER(E373),E373*$D373,"")</f>
        <v/>
      </c>
      <c r="G373" s="28"/>
      <c r="H373" s="29"/>
      <c r="I373" s="153">
        <v>0</v>
      </c>
    </row>
    <row r="374" spans="1:9" ht="15.75" hidden="1" thickBot="1" x14ac:dyDescent="0.3">
      <c r="A374" s="182"/>
      <c r="B374" s="31" t="s">
        <v>416</v>
      </c>
      <c r="C374" s="31"/>
      <c r="D374" s="91"/>
      <c r="E374" s="30" t="s">
        <v>416</v>
      </c>
      <c r="F374" s="30" t="str">
        <f>IF(ISNUMBER(E374),E374*$D374,"")</f>
        <v/>
      </c>
      <c r="G374" s="34"/>
      <c r="H374" s="30"/>
      <c r="I374" s="153">
        <v>0</v>
      </c>
    </row>
    <row r="375" spans="1:9" ht="26.25" hidden="1" thickBot="1" x14ac:dyDescent="0.3">
      <c r="A375" s="182"/>
      <c r="B375" s="35" t="s">
        <v>8423</v>
      </c>
      <c r="C375" s="35" t="s">
        <v>385</v>
      </c>
      <c r="D375" s="36">
        <v>0.42</v>
      </c>
      <c r="E375" s="30">
        <v>2.3939999999999997</v>
      </c>
      <c r="F375" s="33">
        <f>IF(ISNUMBER(E375),E375*$D375,"")</f>
        <v>1.0054799999999999</v>
      </c>
      <c r="G375" s="44">
        <f>SUM(F375:F380)</f>
        <v>54.214628822635191</v>
      </c>
      <c r="H375" s="45"/>
      <c r="I375" s="153">
        <v>0</v>
      </c>
    </row>
    <row r="376" spans="1:9" ht="15.75" hidden="1" thickBot="1" x14ac:dyDescent="0.3">
      <c r="A376" s="182"/>
      <c r="B376" s="35" t="s">
        <v>8320</v>
      </c>
      <c r="C376" s="35" t="s">
        <v>1102</v>
      </c>
      <c r="D376" s="36">
        <v>5.0000000000000001E-3</v>
      </c>
      <c r="E376" s="33">
        <v>38.313499999999998</v>
      </c>
      <c r="F376" s="33">
        <f>IF(ISNUMBER(E376),E376*$D376,"")</f>
        <v>0.1915675</v>
      </c>
      <c r="G376" s="44"/>
      <c r="H376" s="45"/>
      <c r="I376" s="153">
        <v>0</v>
      </c>
    </row>
    <row r="377" spans="1:9" ht="26.25" hidden="1" thickBot="1" x14ac:dyDescent="0.3">
      <c r="A377" s="182"/>
      <c r="B377" s="35" t="s">
        <v>7999</v>
      </c>
      <c r="C377" s="35" t="s">
        <v>213</v>
      </c>
      <c r="D377" s="36">
        <v>13.6</v>
      </c>
      <c r="E377" s="30">
        <v>1.7195</v>
      </c>
      <c r="F377" s="33">
        <f>IF(ISNUMBER(E377),E377*$D377,"")</f>
        <v>23.385200000000001</v>
      </c>
      <c r="G377" s="44"/>
      <c r="H377" s="45"/>
      <c r="I377" s="153">
        <v>0</v>
      </c>
    </row>
    <row r="378" spans="1:9" ht="51.75" hidden="1" thickBot="1" x14ac:dyDescent="0.3">
      <c r="A378" s="182"/>
      <c r="B378" s="35" t="s">
        <v>110</v>
      </c>
      <c r="C378" s="35" t="s">
        <v>87</v>
      </c>
      <c r="D378" s="36">
        <v>1.04E-2</v>
      </c>
      <c r="E378" s="30">
        <v>734.72729063799989</v>
      </c>
      <c r="F378" s="33">
        <f>IF(ISNUMBER(E378),E378*$D378,"")</f>
        <v>7.6411638226351988</v>
      </c>
      <c r="G378" s="44"/>
      <c r="H378" s="45"/>
      <c r="I378" s="153">
        <v>0</v>
      </c>
    </row>
    <row r="379" spans="1:9" ht="15.75" hidden="1" thickBot="1" x14ac:dyDescent="0.3">
      <c r="A379" s="182"/>
      <c r="B379" s="35" t="s">
        <v>591</v>
      </c>
      <c r="C379" s="35" t="s">
        <v>583</v>
      </c>
      <c r="D379" s="36">
        <v>0.59</v>
      </c>
      <c r="E379" s="30">
        <v>27.160499999999999</v>
      </c>
      <c r="F379" s="33">
        <f>IF(ISNUMBER(E379),E379*$D379,"")</f>
        <v>16.024694999999998</v>
      </c>
      <c r="G379" s="44"/>
      <c r="H379" s="45"/>
      <c r="I379" s="153">
        <v>0</v>
      </c>
    </row>
    <row r="380" spans="1:9" ht="15.75" hidden="1" thickBot="1" x14ac:dyDescent="0.3">
      <c r="A380" s="182"/>
      <c r="B380" s="35" t="s">
        <v>584</v>
      </c>
      <c r="C380" s="35" t="s">
        <v>583</v>
      </c>
      <c r="D380" s="36">
        <v>0.29499999999999998</v>
      </c>
      <c r="E380" s="30">
        <v>20.225499999999997</v>
      </c>
      <c r="F380" s="33">
        <f>IF(ISNUMBER(E380),E380*$D380,"")</f>
        <v>5.9665224999999991</v>
      </c>
      <c r="G380" s="44"/>
      <c r="H380" s="45"/>
      <c r="I380" s="153">
        <v>0</v>
      </c>
    </row>
    <row r="381" spans="1:9" ht="15.75" hidden="1" thickBot="1" x14ac:dyDescent="0.3">
      <c r="A381" s="184"/>
      <c r="B381" s="54" t="s">
        <v>416</v>
      </c>
      <c r="C381" s="54"/>
      <c r="D381" s="95"/>
      <c r="E381" s="66" t="s">
        <v>416</v>
      </c>
      <c r="F381" s="67" t="str">
        <f>IF(ISNUMBER(E381),E381*$D381,"")</f>
        <v/>
      </c>
      <c r="G381" s="68"/>
      <c r="H381" s="30"/>
      <c r="I381" s="153">
        <v>0</v>
      </c>
    </row>
    <row r="382" spans="1:9" ht="15.75" hidden="1" thickBot="1" x14ac:dyDescent="0.3">
      <c r="A382" s="183" t="s">
        <v>3219</v>
      </c>
      <c r="B382" s="40" t="s">
        <v>416</v>
      </c>
      <c r="C382" s="77" t="s">
        <v>861</v>
      </c>
      <c r="D382" s="93"/>
      <c r="E382" s="41" t="s">
        <v>416</v>
      </c>
      <c r="F382" s="41" t="str">
        <f>IF(ISNUMBER(E382),ROUND(E382*$D382,2),"")</f>
        <v/>
      </c>
      <c r="G382" s="28"/>
      <c r="H382" s="29"/>
      <c r="I382" s="153">
        <v>0</v>
      </c>
    </row>
    <row r="383" spans="1:9" ht="15.75" hidden="1" thickBot="1" x14ac:dyDescent="0.3">
      <c r="A383" s="182"/>
      <c r="B383" s="31" t="s">
        <v>416</v>
      </c>
      <c r="C383" s="78"/>
      <c r="D383" s="91"/>
      <c r="E383" s="97" t="s">
        <v>416</v>
      </c>
      <c r="F383" s="98" t="str">
        <f>IF(ISNUMBER(E383),ROUND(E383*$D383,2),"")</f>
        <v/>
      </c>
      <c r="G383" s="34"/>
      <c r="H383" s="30"/>
      <c r="I383" s="153">
        <v>0</v>
      </c>
    </row>
    <row r="384" spans="1:9" ht="26.25" hidden="1" thickBot="1" x14ac:dyDescent="0.3">
      <c r="A384" s="182"/>
      <c r="B384" s="35" t="s">
        <v>3235</v>
      </c>
      <c r="C384" s="35" t="s">
        <v>385</v>
      </c>
      <c r="D384" s="36">
        <v>4.4320000000000004</v>
      </c>
      <c r="E384" s="33">
        <v>2.8594999999999997</v>
      </c>
      <c r="F384" s="33">
        <f>IF(ISNUMBER(E384),ROUND(E384*$D384,2),"")</f>
        <v>12.67</v>
      </c>
      <c r="G384" s="44">
        <f>SUM(F384:F390)</f>
        <v>262.85000000000008</v>
      </c>
      <c r="H384" s="45"/>
      <c r="I384" s="153">
        <v>0</v>
      </c>
    </row>
    <row r="385" spans="1:9" ht="15.75" hidden="1" thickBot="1" x14ac:dyDescent="0.3">
      <c r="A385" s="182"/>
      <c r="B385" s="35" t="s">
        <v>1219</v>
      </c>
      <c r="C385" s="35" t="s">
        <v>773</v>
      </c>
      <c r="D385" s="36">
        <v>8.5999999999999993E-2</v>
      </c>
      <c r="E385" s="33">
        <v>21.602999999999998</v>
      </c>
      <c r="F385" s="33">
        <f>IF(ISNUMBER(E385),ROUND(E385*$D385,2),"")</f>
        <v>1.86</v>
      </c>
      <c r="G385" s="44"/>
      <c r="H385" s="45"/>
      <c r="I385" s="153">
        <v>0</v>
      </c>
    </row>
    <row r="386" spans="1:9" ht="26.25" hidden="1" thickBot="1" x14ac:dyDescent="0.3">
      <c r="A386" s="182"/>
      <c r="B386" s="35" t="s">
        <v>8381</v>
      </c>
      <c r="C386" s="35" t="s">
        <v>385</v>
      </c>
      <c r="D386" s="36">
        <v>6.53</v>
      </c>
      <c r="E386" s="30">
        <v>34.152500000000003</v>
      </c>
      <c r="F386" s="33">
        <f>IF(ISNUMBER(E386),ROUND(E386*$D386,2),"")</f>
        <v>223.02</v>
      </c>
      <c r="G386" s="44"/>
      <c r="H386" s="45"/>
      <c r="I386" s="153">
        <v>0</v>
      </c>
    </row>
    <row r="387" spans="1:9" ht="15.75" hidden="1" thickBot="1" x14ac:dyDescent="0.3">
      <c r="A387" s="182"/>
      <c r="B387" s="35" t="s">
        <v>660</v>
      </c>
      <c r="C387" s="35" t="s">
        <v>583</v>
      </c>
      <c r="D387" s="36">
        <v>0.14299999999999999</v>
      </c>
      <c r="E387" s="30">
        <v>21.337</v>
      </c>
      <c r="F387" s="33">
        <f>IF(ISNUMBER(E387),ROUND(E387*$D387,2),"")</f>
        <v>3.05</v>
      </c>
      <c r="G387" s="44"/>
      <c r="H387" s="45"/>
      <c r="I387" s="153">
        <v>0</v>
      </c>
    </row>
    <row r="388" spans="1:9" ht="15.75" hidden="1" thickBot="1" x14ac:dyDescent="0.3">
      <c r="A388" s="182"/>
      <c r="B388" s="35" t="s">
        <v>862</v>
      </c>
      <c r="C388" s="35" t="s">
        <v>583</v>
      </c>
      <c r="D388" s="36">
        <v>0.71499999999999997</v>
      </c>
      <c r="E388" s="30">
        <v>26.799499999999998</v>
      </c>
      <c r="F388" s="33">
        <f>IF(ISNUMBER(E388),ROUND(E388*$D388,2),"")</f>
        <v>19.16</v>
      </c>
      <c r="G388" s="44"/>
      <c r="H388" s="45"/>
      <c r="I388" s="153">
        <v>0</v>
      </c>
    </row>
    <row r="389" spans="1:9" ht="26.25" hidden="1" thickBot="1" x14ac:dyDescent="0.3">
      <c r="A389" s="182"/>
      <c r="B389" s="35" t="s">
        <v>1013</v>
      </c>
      <c r="C389" s="35" t="s">
        <v>813</v>
      </c>
      <c r="D389" s="36">
        <v>0.05</v>
      </c>
      <c r="E389" s="30">
        <v>22.210999999999999</v>
      </c>
      <c r="F389" s="33">
        <f>IF(ISNUMBER(E389),ROUND(E389*$D389,2),"")</f>
        <v>1.1100000000000001</v>
      </c>
      <c r="G389" s="44"/>
      <c r="H389" s="45"/>
      <c r="I389" s="153">
        <v>0</v>
      </c>
    </row>
    <row r="390" spans="1:9" ht="26.25" hidden="1" thickBot="1" x14ac:dyDescent="0.3">
      <c r="A390" s="182"/>
      <c r="B390" s="35" t="s">
        <v>1014</v>
      </c>
      <c r="C390" s="35" t="s">
        <v>815</v>
      </c>
      <c r="D390" s="36">
        <v>9.2999999999999999E-2</v>
      </c>
      <c r="E390" s="33">
        <v>21.2895</v>
      </c>
      <c r="F390" s="33">
        <f>IF(ISNUMBER(E390),ROUND(E390*$D390,2),"")</f>
        <v>1.98</v>
      </c>
      <c r="G390" s="44"/>
      <c r="H390" s="45"/>
      <c r="I390" s="153">
        <v>0</v>
      </c>
    </row>
    <row r="391" spans="1:9" ht="15.75" hidden="1" thickBot="1" x14ac:dyDescent="0.3">
      <c r="A391" s="184"/>
      <c r="B391" s="103"/>
      <c r="C391" s="79"/>
      <c r="D391" s="95"/>
      <c r="E391" s="66" t="s">
        <v>416</v>
      </c>
      <c r="F391" s="66" t="str">
        <f>IF(ISNUMBER(E391),ROUND(E391*$D391,2),"")</f>
        <v/>
      </c>
      <c r="G391" s="68"/>
      <c r="H391" s="30"/>
      <c r="I391" s="153">
        <v>0</v>
      </c>
    </row>
    <row r="392" spans="1:9" ht="15.75" hidden="1" thickBot="1" x14ac:dyDescent="0.3">
      <c r="A392" s="183" t="s">
        <v>2896</v>
      </c>
      <c r="B392" s="40" t="s">
        <v>416</v>
      </c>
      <c r="C392" s="77" t="s">
        <v>87</v>
      </c>
      <c r="D392" s="93"/>
      <c r="E392" s="41" t="s">
        <v>416</v>
      </c>
      <c r="F392" s="41" t="str">
        <f>IF(ISNUMBER(E392),ROUND(E392*$D392,2),"")</f>
        <v/>
      </c>
      <c r="G392" s="28"/>
      <c r="H392" s="29"/>
      <c r="I392" s="153">
        <v>0</v>
      </c>
    </row>
    <row r="393" spans="1:9" ht="15.75" hidden="1" thickBot="1" x14ac:dyDescent="0.3">
      <c r="A393" s="182"/>
      <c r="B393" s="31" t="s">
        <v>416</v>
      </c>
      <c r="C393" s="78"/>
      <c r="D393" s="91"/>
      <c r="E393" s="97" t="s">
        <v>416</v>
      </c>
      <c r="F393" s="98" t="str">
        <f>IF(ISNUMBER(E393),ROUND(E393*$D393,2),"")</f>
        <v/>
      </c>
      <c r="G393" s="34"/>
      <c r="H393" s="30"/>
      <c r="I393" s="153">
        <v>0</v>
      </c>
    </row>
    <row r="394" spans="1:9" ht="26.25" hidden="1" thickBot="1" x14ac:dyDescent="0.3">
      <c r="A394" s="182"/>
      <c r="B394" s="35" t="s">
        <v>1140</v>
      </c>
      <c r="C394" s="35" t="s">
        <v>87</v>
      </c>
      <c r="D394" s="36">
        <v>0.95</v>
      </c>
      <c r="E394" s="33">
        <v>204.97199999999998</v>
      </c>
      <c r="F394" s="33">
        <f>IF(ISNUMBER(E394),ROUND(E394*$D394,2),"")</f>
        <v>194.72</v>
      </c>
      <c r="G394" s="44">
        <f>SUM(F394:F402)</f>
        <v>611.01570052249986</v>
      </c>
      <c r="H394" s="45"/>
      <c r="I394" s="153">
        <v>0</v>
      </c>
    </row>
    <row r="395" spans="1:9" ht="15.75" hidden="1" thickBot="1" x14ac:dyDescent="0.3">
      <c r="A395" s="182"/>
      <c r="B395" s="35" t="s">
        <v>8065</v>
      </c>
      <c r="C395" s="35" t="s">
        <v>773</v>
      </c>
      <c r="D395" s="36">
        <v>426.49</v>
      </c>
      <c r="E395" s="33">
        <v>0.627</v>
      </c>
      <c r="F395" s="33">
        <f>IF(ISNUMBER(E395),ROUND(E395*$D395,2),"")</f>
        <v>267.41000000000003</v>
      </c>
      <c r="G395" s="44"/>
      <c r="H395" s="45"/>
      <c r="I395" s="153">
        <v>0</v>
      </c>
    </row>
    <row r="396" spans="1:9" ht="26.25" hidden="1" thickBot="1" x14ac:dyDescent="0.3">
      <c r="A396" s="182"/>
      <c r="B396" s="35" t="s">
        <v>1271</v>
      </c>
      <c r="C396" s="35" t="s">
        <v>583</v>
      </c>
      <c r="D396" s="36">
        <v>4.32</v>
      </c>
      <c r="E396" s="30">
        <v>20.291999999999998</v>
      </c>
      <c r="F396" s="33">
        <f>IF(ISNUMBER(E396),ROUND(E396*$D396,2),"")</f>
        <v>87.66</v>
      </c>
      <c r="G396" s="44"/>
      <c r="H396" s="45"/>
      <c r="I396" s="153">
        <v>0</v>
      </c>
    </row>
    <row r="397" spans="1:9" ht="39" hidden="1" thickBot="1" x14ac:dyDescent="0.3">
      <c r="A397" s="182"/>
      <c r="B397" s="35" t="s">
        <v>84</v>
      </c>
      <c r="C397" s="35" t="s">
        <v>813</v>
      </c>
      <c r="D397" s="36">
        <v>1.01</v>
      </c>
      <c r="E397" s="30">
        <v>1.6435</v>
      </c>
      <c r="F397" s="33">
        <f>IF(ISNUMBER(E397),ROUND(E397*$D397,2),"")</f>
        <v>1.66</v>
      </c>
      <c r="G397" s="44"/>
      <c r="H397" s="45"/>
      <c r="I397" s="153">
        <v>0</v>
      </c>
    </row>
    <row r="398" spans="1:9" ht="39" hidden="1" thickBot="1" x14ac:dyDescent="0.3">
      <c r="A398" s="182"/>
      <c r="B398" s="35" t="s">
        <v>85</v>
      </c>
      <c r="C398" s="35" t="s">
        <v>815</v>
      </c>
      <c r="D398" s="36">
        <v>3.31</v>
      </c>
      <c r="E398" s="30">
        <v>0.42749999999999999</v>
      </c>
      <c r="F398" s="33">
        <f>IF(ISNUMBER(E398),ROUND(E398*$D398,2),"")</f>
        <v>1.42</v>
      </c>
      <c r="G398" s="44"/>
      <c r="H398" s="45"/>
      <c r="I398" s="153">
        <v>0</v>
      </c>
    </row>
    <row r="399" spans="1:9" ht="51.75" hidden="1" thickBot="1" x14ac:dyDescent="0.3">
      <c r="A399" s="182"/>
      <c r="B399" s="35" t="s">
        <v>3071</v>
      </c>
      <c r="C399" s="35" t="s">
        <v>87</v>
      </c>
      <c r="D399" s="36">
        <f>ROUND(1*(D394),4)</f>
        <v>0.95</v>
      </c>
      <c r="E399" s="30">
        <v>8.0531015499999992</v>
      </c>
      <c r="F399" s="33">
        <f>IF(ISNUMBER(E399),E399*$D399,"")</f>
        <v>7.6504464724999988</v>
      </c>
      <c r="G399" s="44"/>
      <c r="H399" s="45"/>
      <c r="I399" s="153">
        <v>0</v>
      </c>
    </row>
    <row r="400" spans="1:9" ht="39" hidden="1" thickBot="1" x14ac:dyDescent="0.3">
      <c r="A400" s="182"/>
      <c r="B400" s="35" t="s">
        <v>3068</v>
      </c>
      <c r="C400" s="46" t="s">
        <v>89</v>
      </c>
      <c r="D400" s="36">
        <f>ROUND(D394*20,4)</f>
        <v>19</v>
      </c>
      <c r="E400" s="30">
        <v>2.6576449499999995</v>
      </c>
      <c r="F400" s="33">
        <f>IF(ISNUMBER(E400),E400*$D400,"")</f>
        <v>50.495254049999993</v>
      </c>
      <c r="G400" s="44"/>
      <c r="H400" s="45"/>
      <c r="I400" s="153">
        <v>0</v>
      </c>
    </row>
    <row r="401" spans="1:9" ht="15.75" hidden="1" thickBot="1" x14ac:dyDescent="0.3">
      <c r="A401" s="182"/>
      <c r="B401" s="50"/>
      <c r="C401" s="133"/>
      <c r="D401" s="36"/>
      <c r="E401" s="30" t="s">
        <v>416</v>
      </c>
      <c r="F401" s="33" t="str">
        <f>IF(ISNUMBER(E401),ROUND(E401*$D401,2),"")</f>
        <v/>
      </c>
      <c r="G401" s="44"/>
      <c r="H401" s="45"/>
      <c r="I401" s="153">
        <v>0</v>
      </c>
    </row>
    <row r="402" spans="1:9" ht="15.75" hidden="1" thickBot="1" x14ac:dyDescent="0.3">
      <c r="A402" s="182"/>
      <c r="B402" s="47" t="s">
        <v>631</v>
      </c>
      <c r="C402" s="133"/>
      <c r="D402" s="36"/>
      <c r="E402" s="30" t="s">
        <v>416</v>
      </c>
      <c r="F402" s="33" t="str">
        <f>IF(ISNUMBER(E402),ROUND(E402*$D402,2),"")</f>
        <v/>
      </c>
      <c r="G402" s="44"/>
      <c r="H402" s="45"/>
      <c r="I402" s="153">
        <v>0</v>
      </c>
    </row>
    <row r="403" spans="1:9" ht="15.75" hidden="1" thickBot="1" x14ac:dyDescent="0.3">
      <c r="A403" s="184"/>
      <c r="B403" s="103"/>
      <c r="C403" s="79"/>
      <c r="D403" s="95"/>
      <c r="E403" s="66" t="s">
        <v>416</v>
      </c>
      <c r="F403" s="66" t="str">
        <f>IF(ISNUMBER(E403),ROUND(E403*$D403,2),"")</f>
        <v/>
      </c>
      <c r="G403" s="68"/>
      <c r="H403" s="30"/>
      <c r="I403" s="153">
        <v>0</v>
      </c>
    </row>
    <row r="404" spans="1:9" ht="26.25" hidden="1" customHeight="1" thickBot="1" x14ac:dyDescent="0.3">
      <c r="A404" s="183" t="s">
        <v>2895</v>
      </c>
      <c r="B404" s="40" t="s">
        <v>416</v>
      </c>
      <c r="C404" s="77" t="s">
        <v>87</v>
      </c>
      <c r="D404" s="93"/>
      <c r="E404" s="41" t="s">
        <v>416</v>
      </c>
      <c r="F404" s="41" t="str">
        <f>IF(ISNUMBER(E404),ROUND(E404*$D404,2),"")</f>
        <v/>
      </c>
      <c r="G404" s="28"/>
      <c r="H404" s="29"/>
      <c r="I404" s="153">
        <v>0</v>
      </c>
    </row>
    <row r="405" spans="1:9" ht="15.75" hidden="1" thickBot="1" x14ac:dyDescent="0.3">
      <c r="A405" s="182"/>
      <c r="B405" s="31" t="s">
        <v>416</v>
      </c>
      <c r="C405" s="78"/>
      <c r="D405" s="91"/>
      <c r="E405" s="97" t="s">
        <v>416</v>
      </c>
      <c r="F405" s="98" t="str">
        <f>IF(ISNUMBER(E405),ROUND(E405*$D405,2),"")</f>
        <v/>
      </c>
      <c r="G405" s="34"/>
      <c r="H405" s="30"/>
      <c r="I405" s="153">
        <v>0</v>
      </c>
    </row>
    <row r="406" spans="1:9" ht="26.25" hidden="1" thickBot="1" x14ac:dyDescent="0.3">
      <c r="A406" s="182"/>
      <c r="B406" s="35" t="s">
        <v>1140</v>
      </c>
      <c r="C406" s="35" t="s">
        <v>87</v>
      </c>
      <c r="D406" s="36">
        <v>1.27</v>
      </c>
      <c r="E406" s="33">
        <v>204.97199999999998</v>
      </c>
      <c r="F406" s="33">
        <f>IF(ISNUMBER(E406),ROUND(E406*$D406,2),"")</f>
        <v>260.31</v>
      </c>
      <c r="G406" s="44">
        <f>SUM(F406:F414)</f>
        <v>790.52162069850021</v>
      </c>
      <c r="H406" s="45"/>
      <c r="I406" s="153">
        <v>0</v>
      </c>
    </row>
    <row r="407" spans="1:9" ht="15.75" hidden="1" thickBot="1" x14ac:dyDescent="0.3">
      <c r="A407" s="182"/>
      <c r="B407" s="35" t="s">
        <v>8065</v>
      </c>
      <c r="C407" s="35" t="s">
        <v>773</v>
      </c>
      <c r="D407" s="36">
        <v>573.61</v>
      </c>
      <c r="E407" s="33">
        <v>0.627</v>
      </c>
      <c r="F407" s="33">
        <f>IF(ISNUMBER(E407),ROUND(E407*$D407,2),"")</f>
        <v>359.65</v>
      </c>
      <c r="G407" s="44"/>
      <c r="H407" s="45"/>
      <c r="I407" s="153">
        <v>0</v>
      </c>
    </row>
    <row r="408" spans="1:9" ht="26.25" hidden="1" thickBot="1" x14ac:dyDescent="0.3">
      <c r="A408" s="182"/>
      <c r="B408" s="35" t="s">
        <v>1271</v>
      </c>
      <c r="C408" s="35" t="s">
        <v>583</v>
      </c>
      <c r="D408" s="36">
        <v>4.42</v>
      </c>
      <c r="E408" s="30">
        <v>20.291999999999998</v>
      </c>
      <c r="F408" s="33">
        <f>IF(ISNUMBER(E408),ROUND(E408*$D408,2),"")</f>
        <v>89.69</v>
      </c>
      <c r="G408" s="44"/>
      <c r="H408" s="45"/>
      <c r="I408" s="153">
        <v>0</v>
      </c>
    </row>
    <row r="409" spans="1:9" ht="39" hidden="1" thickBot="1" x14ac:dyDescent="0.3">
      <c r="A409" s="182"/>
      <c r="B409" s="35" t="s">
        <v>84</v>
      </c>
      <c r="C409" s="35" t="s">
        <v>813</v>
      </c>
      <c r="D409" s="36">
        <v>1.03</v>
      </c>
      <c r="E409" s="30">
        <v>1.6435</v>
      </c>
      <c r="F409" s="33">
        <f>IF(ISNUMBER(E409),ROUND(E409*$D409,2),"")</f>
        <v>1.69</v>
      </c>
      <c r="G409" s="44"/>
      <c r="H409" s="45"/>
      <c r="I409" s="153">
        <v>0</v>
      </c>
    </row>
    <row r="410" spans="1:9" ht="39" hidden="1" thickBot="1" x14ac:dyDescent="0.3">
      <c r="A410" s="182"/>
      <c r="B410" s="35" t="s">
        <v>85</v>
      </c>
      <c r="C410" s="35" t="s">
        <v>815</v>
      </c>
      <c r="D410" s="36">
        <v>3.39</v>
      </c>
      <c r="E410" s="30">
        <v>0.42749999999999999</v>
      </c>
      <c r="F410" s="33">
        <f>IF(ISNUMBER(E410),ROUND(E410*$D410,2),"")</f>
        <v>1.45</v>
      </c>
      <c r="G410" s="44"/>
      <c r="H410" s="45"/>
      <c r="I410" s="153">
        <v>0</v>
      </c>
    </row>
    <row r="411" spans="1:9" ht="51.75" hidden="1" thickBot="1" x14ac:dyDescent="0.3">
      <c r="A411" s="182"/>
      <c r="B411" s="35" t="s">
        <v>3071</v>
      </c>
      <c r="C411" s="35" t="s">
        <v>87</v>
      </c>
      <c r="D411" s="36">
        <f>ROUND(1*(D406),4)</f>
        <v>1.27</v>
      </c>
      <c r="E411" s="30">
        <v>8.0531015499999992</v>
      </c>
      <c r="F411" s="33">
        <f>IF(ISNUMBER(E411),E411*$D411,"")</f>
        <v>10.2274389685</v>
      </c>
      <c r="G411" s="44"/>
      <c r="H411" s="45"/>
      <c r="I411" s="153">
        <v>0</v>
      </c>
    </row>
    <row r="412" spans="1:9" ht="39" hidden="1" thickBot="1" x14ac:dyDescent="0.3">
      <c r="A412" s="182"/>
      <c r="B412" s="35" t="s">
        <v>3068</v>
      </c>
      <c r="C412" s="46" t="s">
        <v>89</v>
      </c>
      <c r="D412" s="36">
        <f>ROUND(D406*20,4)</f>
        <v>25.4</v>
      </c>
      <c r="E412" s="30">
        <v>2.6576449499999995</v>
      </c>
      <c r="F412" s="33">
        <f>IF(ISNUMBER(E412),E412*$D412,"")</f>
        <v>67.504181729999985</v>
      </c>
      <c r="G412" s="44"/>
      <c r="H412" s="45"/>
      <c r="I412" s="153">
        <v>0</v>
      </c>
    </row>
    <row r="413" spans="1:9" ht="15.75" hidden="1" thickBot="1" x14ac:dyDescent="0.3">
      <c r="A413" s="182"/>
      <c r="B413" s="50"/>
      <c r="C413" s="133"/>
      <c r="D413" s="36"/>
      <c r="E413" s="30" t="s">
        <v>416</v>
      </c>
      <c r="F413" s="33" t="str">
        <f>IF(ISNUMBER(E413),ROUND(E413*$D413,2),"")</f>
        <v/>
      </c>
      <c r="G413" s="44"/>
      <c r="H413" s="45"/>
      <c r="I413" s="153">
        <v>0</v>
      </c>
    </row>
    <row r="414" spans="1:9" ht="24.95" hidden="1" customHeight="1" x14ac:dyDescent="0.3">
      <c r="A414" s="182"/>
      <c r="B414" s="47" t="s">
        <v>631</v>
      </c>
      <c r="C414" s="133"/>
      <c r="D414" s="36"/>
      <c r="E414" s="30" t="s">
        <v>416</v>
      </c>
      <c r="F414" s="33" t="str">
        <f>IF(ISNUMBER(E414),ROUND(E414*$D414,2),"")</f>
        <v/>
      </c>
      <c r="G414" s="44"/>
      <c r="H414" s="45"/>
      <c r="I414" s="153">
        <v>0</v>
      </c>
    </row>
    <row r="415" spans="1:9" ht="15.75" hidden="1" thickBot="1" x14ac:dyDescent="0.3">
      <c r="A415" s="184"/>
      <c r="B415" s="103"/>
      <c r="C415" s="79"/>
      <c r="D415" s="95"/>
      <c r="E415" s="66" t="s">
        <v>416</v>
      </c>
      <c r="F415" s="66" t="str">
        <f>IF(ISNUMBER(E415),ROUND(E415*$D415,2),"")</f>
        <v/>
      </c>
      <c r="G415" s="68"/>
      <c r="H415" s="30"/>
      <c r="I415" s="153">
        <v>0</v>
      </c>
    </row>
    <row r="416" spans="1:9" ht="26.25" customHeight="1" thickBot="1" x14ac:dyDescent="0.3">
      <c r="A416" s="183" t="s">
        <v>2897</v>
      </c>
      <c r="B416" s="40" t="s">
        <v>416</v>
      </c>
      <c r="C416" s="77" t="s">
        <v>87</v>
      </c>
      <c r="D416" s="93"/>
      <c r="E416" s="41" t="s">
        <v>416</v>
      </c>
      <c r="F416" s="41" t="str">
        <f>IF(ISNUMBER(E416),ROUND(E416*$D416,2),"")</f>
        <v/>
      </c>
      <c r="G416" s="28"/>
      <c r="H416" s="29"/>
      <c r="I416" s="153">
        <v>3.8399999999999997E-2</v>
      </c>
    </row>
    <row r="417" spans="1:9" x14ac:dyDescent="0.25">
      <c r="A417" s="182"/>
      <c r="B417" s="31" t="s">
        <v>416</v>
      </c>
      <c r="C417" s="78"/>
      <c r="D417" s="91"/>
      <c r="E417" s="97" t="s">
        <v>416</v>
      </c>
      <c r="F417" s="98" t="str">
        <f>IF(ISNUMBER(E417),ROUND(E417*$D417,2),"")</f>
        <v/>
      </c>
      <c r="G417" s="34"/>
      <c r="H417" s="30"/>
      <c r="I417" s="153">
        <v>3.8399999999999997E-2</v>
      </c>
    </row>
    <row r="418" spans="1:9" ht="25.5" x14ac:dyDescent="0.25">
      <c r="A418" s="182"/>
      <c r="B418" s="35" t="s">
        <v>7985</v>
      </c>
      <c r="C418" s="35" t="s">
        <v>87</v>
      </c>
      <c r="D418" s="36">
        <v>1.1599999999999999</v>
      </c>
      <c r="E418" s="33">
        <v>202.33099999999999</v>
      </c>
      <c r="F418" s="33">
        <f>IF(ISNUMBER(E418),ROUND(E418*$D418,2),"")</f>
        <v>234.7</v>
      </c>
      <c r="G418" s="44">
        <f>SUM(F418:F425)</f>
        <v>838.57896063800001</v>
      </c>
      <c r="H418" s="45"/>
      <c r="I418" s="153">
        <v>3.8399999999999997E-2</v>
      </c>
    </row>
    <row r="419" spans="1:9" x14ac:dyDescent="0.25">
      <c r="A419" s="182"/>
      <c r="B419" s="35" t="s">
        <v>8040</v>
      </c>
      <c r="C419" s="35" t="s">
        <v>773</v>
      </c>
      <c r="D419" s="36">
        <v>116.4</v>
      </c>
      <c r="E419" s="33">
        <v>1.216</v>
      </c>
      <c r="F419" s="33">
        <f>IF(ISNUMBER(E419),ROUND(E419*$D419,2),"")</f>
        <v>141.54</v>
      </c>
      <c r="G419" s="44"/>
      <c r="H419" s="45"/>
      <c r="I419" s="153">
        <v>3.8399999999999997E-2</v>
      </c>
    </row>
    <row r="420" spans="1:9" x14ac:dyDescent="0.25">
      <c r="A420" s="182"/>
      <c r="B420" s="35" t="s">
        <v>8065</v>
      </c>
      <c r="C420" s="35" t="s">
        <v>773</v>
      </c>
      <c r="D420" s="36">
        <v>261.89</v>
      </c>
      <c r="E420" s="30">
        <v>0.627</v>
      </c>
      <c r="F420" s="33">
        <f>IF(ISNUMBER(E420),ROUND(E420*$D420,2),"")</f>
        <v>164.21</v>
      </c>
      <c r="G420" s="44"/>
      <c r="H420" s="45"/>
      <c r="I420" s="153">
        <v>3.8399999999999997E-2</v>
      </c>
    </row>
    <row r="421" spans="1:9" x14ac:dyDescent="0.25">
      <c r="A421" s="182"/>
      <c r="B421" s="35" t="s">
        <v>584</v>
      </c>
      <c r="C421" s="35" t="s">
        <v>583</v>
      </c>
      <c r="D421" s="36">
        <v>11.23</v>
      </c>
      <c r="E421" s="30">
        <v>20.225499999999997</v>
      </c>
      <c r="F421" s="33">
        <f>IF(ISNUMBER(E421),ROUND(E421*$D421,2),"")</f>
        <v>227.13</v>
      </c>
      <c r="G421" s="44"/>
      <c r="H421" s="45"/>
      <c r="I421" s="153">
        <v>3.8399999999999997E-2</v>
      </c>
    </row>
    <row r="422" spans="1:9" ht="51" x14ac:dyDescent="0.25">
      <c r="A422" s="182"/>
      <c r="B422" s="35" t="s">
        <v>3071</v>
      </c>
      <c r="C422" s="35" t="s">
        <v>87</v>
      </c>
      <c r="D422" s="36">
        <f>ROUND(1*(D418),4)</f>
        <v>1.1599999999999999</v>
      </c>
      <c r="E422" s="30">
        <v>8.0531015499999992</v>
      </c>
      <c r="F422" s="33">
        <f>IF(ISNUMBER(E422),E422*$D422,"")</f>
        <v>9.3415977979999987</v>
      </c>
      <c r="G422" s="44"/>
      <c r="H422" s="45"/>
      <c r="I422" s="153">
        <v>3.8399999999999997E-2</v>
      </c>
    </row>
    <row r="423" spans="1:9" ht="38.25" x14ac:dyDescent="0.25">
      <c r="A423" s="182"/>
      <c r="B423" s="35" t="s">
        <v>3068</v>
      </c>
      <c r="C423" s="46" t="s">
        <v>89</v>
      </c>
      <c r="D423" s="36">
        <f>ROUND(D418*20,4)</f>
        <v>23.2</v>
      </c>
      <c r="E423" s="30">
        <v>2.6576449499999995</v>
      </c>
      <c r="F423" s="33">
        <f>IF(ISNUMBER(E423),E423*$D423,"")</f>
        <v>61.657362839999983</v>
      </c>
      <c r="G423" s="44"/>
      <c r="H423" s="45"/>
      <c r="I423" s="153">
        <v>3.8399999999999997E-2</v>
      </c>
    </row>
    <row r="424" spans="1:9" x14ac:dyDescent="0.25">
      <c r="A424" s="182"/>
      <c r="B424" s="50"/>
      <c r="C424" s="133"/>
      <c r="D424" s="36"/>
      <c r="E424" s="30" t="s">
        <v>416</v>
      </c>
      <c r="F424" s="33" t="str">
        <f>IF(ISNUMBER(E424),ROUND(E424*$D424,2),"")</f>
        <v/>
      </c>
      <c r="G424" s="44"/>
      <c r="H424" s="45"/>
      <c r="I424" s="153">
        <v>3.8399999999999997E-2</v>
      </c>
    </row>
    <row r="425" spans="1:9" ht="24.95" customHeight="1" x14ac:dyDescent="0.25">
      <c r="A425" s="182"/>
      <c r="B425" s="47" t="s">
        <v>631</v>
      </c>
      <c r="C425" s="133"/>
      <c r="D425" s="36"/>
      <c r="E425" s="30" t="s">
        <v>416</v>
      </c>
      <c r="F425" s="33" t="str">
        <f>IF(ISNUMBER(E425),ROUND(E425*$D425,2),"")</f>
        <v/>
      </c>
      <c r="G425" s="44"/>
      <c r="H425" s="45"/>
      <c r="I425" s="153">
        <v>3.8399999999999997E-2</v>
      </c>
    </row>
    <row r="426" spans="1:9" ht="15.75" thickBot="1" x14ac:dyDescent="0.3">
      <c r="A426" s="184"/>
      <c r="B426" s="103"/>
      <c r="C426" s="79"/>
      <c r="D426" s="95"/>
      <c r="E426" s="66" t="s">
        <v>416</v>
      </c>
      <c r="F426" s="66" t="str">
        <f>IF(ISNUMBER(E426),ROUND(E426*$D426,2),"")</f>
        <v/>
      </c>
      <c r="G426" s="68"/>
      <c r="H426" s="30"/>
      <c r="I426" s="153">
        <v>3.8399999999999997E-2</v>
      </c>
    </row>
    <row r="427" spans="1:9" ht="26.25" customHeight="1" thickBot="1" x14ac:dyDescent="0.3">
      <c r="A427" s="183" t="s">
        <v>2898</v>
      </c>
      <c r="B427" s="40" t="s">
        <v>416</v>
      </c>
      <c r="C427" s="77" t="s">
        <v>87</v>
      </c>
      <c r="D427" s="93"/>
      <c r="E427" s="41" t="s">
        <v>416</v>
      </c>
      <c r="F427" s="41" t="str">
        <f>IF(ISNUMBER(E427),ROUND(E427*$D427,2),"")</f>
        <v/>
      </c>
      <c r="G427" s="28"/>
      <c r="H427" s="29"/>
      <c r="I427" s="153">
        <v>0.26979999999999998</v>
      </c>
    </row>
    <row r="428" spans="1:9" x14ac:dyDescent="0.25">
      <c r="A428" s="182"/>
      <c r="B428" s="31" t="s">
        <v>416</v>
      </c>
      <c r="C428" s="78"/>
      <c r="D428" s="91"/>
      <c r="E428" s="97" t="s">
        <v>416</v>
      </c>
      <c r="F428" s="98" t="str">
        <f>IF(ISNUMBER(E428),ROUND(E428*$D428,2),"")</f>
        <v/>
      </c>
      <c r="G428" s="34"/>
      <c r="H428" s="30"/>
      <c r="I428" s="153">
        <v>0.26979999999999998</v>
      </c>
    </row>
    <row r="429" spans="1:9" ht="25.5" x14ac:dyDescent="0.25">
      <c r="A429" s="182"/>
      <c r="B429" s="35" t="s">
        <v>7985</v>
      </c>
      <c r="C429" s="35" t="s">
        <v>87</v>
      </c>
      <c r="D429" s="36">
        <v>1.07</v>
      </c>
      <c r="E429" s="33">
        <v>202.33099999999999</v>
      </c>
      <c r="F429" s="33">
        <f>IF(ISNUMBER(E429),ROUND(E429*$D429,2),"")</f>
        <v>216.49</v>
      </c>
      <c r="G429" s="44">
        <f>SUM(F429:F437)</f>
        <v>657.09042058849991</v>
      </c>
      <c r="H429" s="45"/>
      <c r="I429" s="153">
        <v>0.26979999999999998</v>
      </c>
    </row>
    <row r="430" spans="1:9" x14ac:dyDescent="0.25">
      <c r="A430" s="182"/>
      <c r="B430" s="35" t="s">
        <v>8065</v>
      </c>
      <c r="C430" s="35" t="s">
        <v>773</v>
      </c>
      <c r="D430" s="36">
        <v>483.7</v>
      </c>
      <c r="E430" s="33">
        <v>0.627</v>
      </c>
      <c r="F430" s="33">
        <f>IF(ISNUMBER(E430),ROUND(E430*$D430,2),"")</f>
        <v>303.27999999999997</v>
      </c>
      <c r="G430" s="44"/>
      <c r="H430" s="45"/>
      <c r="I430" s="153">
        <v>0.26979999999999998</v>
      </c>
    </row>
    <row r="431" spans="1:9" ht="25.5" x14ac:dyDescent="0.25">
      <c r="A431" s="182"/>
      <c r="B431" s="35" t="s">
        <v>1271</v>
      </c>
      <c r="C431" s="35" t="s">
        <v>583</v>
      </c>
      <c r="D431" s="36">
        <v>3.42</v>
      </c>
      <c r="E431" s="30">
        <v>20.291999999999998</v>
      </c>
      <c r="F431" s="33">
        <f>IF(ISNUMBER(E431),ROUND(E431*$D431,2),"")</f>
        <v>69.400000000000006</v>
      </c>
      <c r="G431" s="44"/>
      <c r="H431" s="45"/>
      <c r="I431" s="153">
        <v>0.26979999999999998</v>
      </c>
    </row>
    <row r="432" spans="1:9" ht="38.25" x14ac:dyDescent="0.25">
      <c r="A432" s="182"/>
      <c r="B432" s="35" t="s">
        <v>84</v>
      </c>
      <c r="C432" s="35" t="s">
        <v>813</v>
      </c>
      <c r="D432" s="36">
        <v>0.8</v>
      </c>
      <c r="E432" s="30">
        <v>1.6435</v>
      </c>
      <c r="F432" s="33">
        <f>IF(ISNUMBER(E432),ROUND(E432*$D432,2),"")</f>
        <v>1.31</v>
      </c>
      <c r="G432" s="44"/>
      <c r="H432" s="45"/>
      <c r="I432" s="153">
        <v>0.26979999999999998</v>
      </c>
    </row>
    <row r="433" spans="1:9" ht="38.25" x14ac:dyDescent="0.25">
      <c r="A433" s="182"/>
      <c r="B433" s="35" t="s">
        <v>85</v>
      </c>
      <c r="C433" s="35" t="s">
        <v>815</v>
      </c>
      <c r="D433" s="36">
        <v>2.62</v>
      </c>
      <c r="E433" s="30">
        <v>0.42749999999999999</v>
      </c>
      <c r="F433" s="33">
        <f>IF(ISNUMBER(E433),ROUND(E433*$D433,2),"")</f>
        <v>1.1200000000000001</v>
      </c>
      <c r="G433" s="44"/>
      <c r="H433" s="45"/>
      <c r="I433" s="153">
        <v>0.26979999999999998</v>
      </c>
    </row>
    <row r="434" spans="1:9" ht="51" x14ac:dyDescent="0.25">
      <c r="A434" s="182"/>
      <c r="B434" s="35" t="s">
        <v>3071</v>
      </c>
      <c r="C434" s="35" t="s">
        <v>87</v>
      </c>
      <c r="D434" s="36">
        <f>ROUND(1*(D429),4)</f>
        <v>1.07</v>
      </c>
      <c r="E434" s="30">
        <v>8.0531015499999992</v>
      </c>
      <c r="F434" s="33">
        <f>IF(ISNUMBER(E434),E434*$D434,"")</f>
        <v>8.6168186584999997</v>
      </c>
      <c r="G434" s="44"/>
      <c r="H434" s="45"/>
      <c r="I434" s="153">
        <v>0.26979999999999998</v>
      </c>
    </row>
    <row r="435" spans="1:9" ht="38.25" x14ac:dyDescent="0.25">
      <c r="A435" s="182"/>
      <c r="B435" s="35" t="s">
        <v>3068</v>
      </c>
      <c r="C435" s="46" t="s">
        <v>89</v>
      </c>
      <c r="D435" s="36">
        <f>ROUND(D429*20,4)</f>
        <v>21.4</v>
      </c>
      <c r="E435" s="30">
        <v>2.6576449499999995</v>
      </c>
      <c r="F435" s="33">
        <f>IF(ISNUMBER(E435),E435*$D435,"")</f>
        <v>56.873601929999985</v>
      </c>
      <c r="G435" s="44"/>
      <c r="H435" s="45"/>
      <c r="I435" s="153">
        <v>0.26979999999999998</v>
      </c>
    </row>
    <row r="436" spans="1:9" x14ac:dyDescent="0.25">
      <c r="A436" s="182"/>
      <c r="B436" s="50"/>
      <c r="C436" s="133"/>
      <c r="D436" s="36"/>
      <c r="E436" s="30" t="s">
        <v>416</v>
      </c>
      <c r="F436" s="33" t="str">
        <f>IF(ISNUMBER(E436),ROUND(E436*$D436,2),"")</f>
        <v/>
      </c>
      <c r="G436" s="44"/>
      <c r="H436" s="45"/>
      <c r="I436" s="153">
        <v>0.26979999999999998</v>
      </c>
    </row>
    <row r="437" spans="1:9" ht="24.95" customHeight="1" x14ac:dyDescent="0.25">
      <c r="A437" s="182"/>
      <c r="B437" s="47" t="s">
        <v>631</v>
      </c>
      <c r="C437" s="133"/>
      <c r="D437" s="36"/>
      <c r="E437" s="30" t="s">
        <v>416</v>
      </c>
      <c r="F437" s="33" t="str">
        <f>IF(ISNUMBER(E437),ROUND(E437*$D437,2),"")</f>
        <v/>
      </c>
      <c r="G437" s="44"/>
      <c r="H437" s="45"/>
      <c r="I437" s="153">
        <v>0.26979999999999998</v>
      </c>
    </row>
    <row r="438" spans="1:9" ht="15.75" thickBot="1" x14ac:dyDescent="0.3">
      <c r="A438" s="184"/>
      <c r="B438" s="103"/>
      <c r="C438" s="79"/>
      <c r="D438" s="95"/>
      <c r="E438" s="66" t="s">
        <v>416</v>
      </c>
      <c r="F438" s="66" t="str">
        <f>IF(ISNUMBER(E438),ROUND(E438*$D438,2),"")</f>
        <v/>
      </c>
      <c r="G438" s="68"/>
      <c r="H438" s="30"/>
      <c r="I438" s="153">
        <v>0.26979999999999998</v>
      </c>
    </row>
    <row r="439" spans="1:9" ht="26.25" customHeight="1" thickBot="1" x14ac:dyDescent="0.3">
      <c r="A439" s="183" t="s">
        <v>2888</v>
      </c>
      <c r="B439" s="40" t="s">
        <v>416</v>
      </c>
      <c r="C439" s="77" t="s">
        <v>87</v>
      </c>
      <c r="D439" s="93"/>
      <c r="E439" s="41" t="s">
        <v>416</v>
      </c>
      <c r="F439" s="41" t="str">
        <f>IF(ISNUMBER(E439),ROUND(E439*$D439,2),"")</f>
        <v/>
      </c>
      <c r="G439" s="28"/>
      <c r="H439" s="29"/>
      <c r="I439" s="153">
        <v>8.9599999999999999E-2</v>
      </c>
    </row>
    <row r="440" spans="1:9" x14ac:dyDescent="0.25">
      <c r="A440" s="182"/>
      <c r="B440" s="31" t="s">
        <v>416</v>
      </c>
      <c r="C440" s="78"/>
      <c r="D440" s="91"/>
      <c r="E440" s="97" t="s">
        <v>416</v>
      </c>
      <c r="F440" s="98" t="str">
        <f>IF(ISNUMBER(E440),ROUND(E440*$D440,2),"")</f>
        <v/>
      </c>
      <c r="G440" s="34"/>
      <c r="H440" s="30"/>
      <c r="I440" s="153">
        <v>8.9599999999999999E-2</v>
      </c>
    </row>
    <row r="441" spans="1:9" ht="38.25" x14ac:dyDescent="0.25">
      <c r="A441" s="182"/>
      <c r="B441" s="35" t="s">
        <v>8062</v>
      </c>
      <c r="C441" s="35" t="s">
        <v>861</v>
      </c>
      <c r="D441" s="36">
        <v>1.3111999999999999</v>
      </c>
      <c r="E441" s="33">
        <v>55.745999999999995</v>
      </c>
      <c r="F441" s="33">
        <f>IF(ISNUMBER(E441),ROUND(E441*$D441,2),"")</f>
        <v>73.09</v>
      </c>
      <c r="G441" s="44">
        <f>SUM(F441:F456)</f>
        <v>2567.9142188684355</v>
      </c>
      <c r="H441" s="45"/>
      <c r="I441" s="153">
        <v>8.9599999999999999E-2</v>
      </c>
    </row>
    <row r="442" spans="1:9" ht="25.5" x14ac:dyDescent="0.25">
      <c r="A442" s="182"/>
      <c r="B442" s="35" t="s">
        <v>1009</v>
      </c>
      <c r="C442" s="35" t="s">
        <v>75</v>
      </c>
      <c r="D442" s="36">
        <v>5.67E-2</v>
      </c>
      <c r="E442" s="33">
        <v>7.9229999999999992</v>
      </c>
      <c r="F442" s="33">
        <f>IF(ISNUMBER(E442),ROUND(E442*$D442,2),"")</f>
        <v>0.45</v>
      </c>
      <c r="G442" s="44"/>
      <c r="H442" s="45"/>
      <c r="I442" s="153">
        <v>8.9599999999999999E-2</v>
      </c>
    </row>
    <row r="443" spans="1:9" ht="25.5" x14ac:dyDescent="0.25">
      <c r="A443" s="182"/>
      <c r="B443" s="35" t="s">
        <v>3235</v>
      </c>
      <c r="C443" s="35" t="s">
        <v>385</v>
      </c>
      <c r="D443" s="36">
        <v>4.4770000000000003</v>
      </c>
      <c r="E443" s="30">
        <v>2.8594999999999997</v>
      </c>
      <c r="F443" s="33">
        <f>IF(ISNUMBER(E443),ROUND(E443*$D443,2),"")</f>
        <v>12.8</v>
      </c>
      <c r="G443" s="44"/>
      <c r="H443" s="45"/>
      <c r="I443" s="153">
        <v>8.9599999999999999E-2</v>
      </c>
    </row>
    <row r="444" spans="1:9" x14ac:dyDescent="0.25">
      <c r="A444" s="182"/>
      <c r="B444" s="35" t="s">
        <v>1010</v>
      </c>
      <c r="C444" s="35" t="s">
        <v>773</v>
      </c>
      <c r="D444" s="36">
        <v>0.26190000000000002</v>
      </c>
      <c r="E444" s="30">
        <v>23.9115</v>
      </c>
      <c r="F444" s="33">
        <f>IF(ISNUMBER(E444),ROUND(E444*$D444,2),"")</f>
        <v>6.26</v>
      </c>
      <c r="G444" s="44"/>
      <c r="H444" s="45"/>
      <c r="I444" s="153">
        <v>8.9599999999999999E-2</v>
      </c>
    </row>
    <row r="445" spans="1:9" x14ac:dyDescent="0.25">
      <c r="A445" s="182"/>
      <c r="B445" s="35" t="s">
        <v>660</v>
      </c>
      <c r="C445" s="35" t="s">
        <v>583</v>
      </c>
      <c r="D445" s="36">
        <v>0.73560000000000003</v>
      </c>
      <c r="E445" s="30">
        <v>21.337</v>
      </c>
      <c r="F445" s="33">
        <f>IF(ISNUMBER(E445),ROUND(E445*$D445,2),"")</f>
        <v>15.7</v>
      </c>
      <c r="G445" s="44"/>
      <c r="H445" s="45"/>
      <c r="I445" s="153">
        <v>8.9599999999999999E-2</v>
      </c>
    </row>
    <row r="446" spans="1:9" x14ac:dyDescent="0.25">
      <c r="A446" s="182"/>
      <c r="B446" s="35" t="s">
        <v>582</v>
      </c>
      <c r="C446" s="35" t="s">
        <v>583</v>
      </c>
      <c r="D446" s="36">
        <v>3.6779999999999999</v>
      </c>
      <c r="E446" s="30">
        <v>25.725999999999996</v>
      </c>
      <c r="F446" s="33">
        <f>IF(ISNUMBER(E446),E446*$D446,"")</f>
        <v>94.620227999999983</v>
      </c>
      <c r="G446" s="44"/>
      <c r="H446" s="45"/>
      <c r="I446" s="153">
        <v>8.9599999999999999E-2</v>
      </c>
    </row>
    <row r="447" spans="1:9" x14ac:dyDescent="0.25">
      <c r="A447" s="182"/>
      <c r="B447" s="35" t="s">
        <v>591</v>
      </c>
      <c r="C447" s="35" t="s">
        <v>583</v>
      </c>
      <c r="D447" s="36">
        <v>22.888400000000001</v>
      </c>
      <c r="E447" s="30">
        <v>27.160499999999999</v>
      </c>
      <c r="F447" s="33">
        <f>IF(ISNUMBER(E447),E447*$D447,"")</f>
        <v>621.66038819999994</v>
      </c>
      <c r="G447" s="44"/>
      <c r="H447" s="45"/>
      <c r="I447" s="153">
        <v>8.9599999999999999E-2</v>
      </c>
    </row>
    <row r="448" spans="1:9" x14ac:dyDescent="0.25">
      <c r="A448" s="182"/>
      <c r="B448" s="35" t="s">
        <v>584</v>
      </c>
      <c r="C448" s="35" t="s">
        <v>583</v>
      </c>
      <c r="D448" s="36">
        <v>22.888400000000001</v>
      </c>
      <c r="E448" s="30">
        <v>20.225499999999997</v>
      </c>
      <c r="F448" s="33">
        <f>IF(ISNUMBER(E448),E448*$D448,"")</f>
        <v>462.92933419999991</v>
      </c>
      <c r="G448" s="44"/>
      <c r="H448" s="45"/>
      <c r="I448" s="153">
        <v>8.9599999999999999E-2</v>
      </c>
    </row>
    <row r="449" spans="1:9" ht="25.5" x14ac:dyDescent="0.25">
      <c r="A449" s="182"/>
      <c r="B449" s="35" t="s">
        <v>1011</v>
      </c>
      <c r="C449" s="35" t="s">
        <v>813</v>
      </c>
      <c r="D449" s="36">
        <v>4.7533000000000003</v>
      </c>
      <c r="E449" s="30">
        <v>1.1304999999999998</v>
      </c>
      <c r="F449" s="33">
        <f>IF(ISNUMBER(E449),E449*$D449,"")</f>
        <v>5.37360565</v>
      </c>
      <c r="G449" s="44"/>
      <c r="H449" s="45"/>
      <c r="I449" s="153">
        <v>8.9599999999999999E-2</v>
      </c>
    </row>
    <row r="450" spans="1:9" ht="25.5" x14ac:dyDescent="0.25">
      <c r="A450" s="182"/>
      <c r="B450" s="35" t="s">
        <v>1012</v>
      </c>
      <c r="C450" s="35" t="s">
        <v>815</v>
      </c>
      <c r="D450" s="36">
        <v>13.0715</v>
      </c>
      <c r="E450" s="30">
        <v>0.47499999999999998</v>
      </c>
      <c r="F450" s="33">
        <f>IF(ISNUMBER(E450),E450*$D450,"")</f>
        <v>6.2089625000000002</v>
      </c>
      <c r="G450" s="44"/>
      <c r="H450" s="45"/>
      <c r="I450" s="153">
        <v>8.9599999999999999E-2</v>
      </c>
    </row>
    <row r="451" spans="1:9" ht="25.5" x14ac:dyDescent="0.25">
      <c r="A451" s="182"/>
      <c r="B451" s="35" t="s">
        <v>1013</v>
      </c>
      <c r="C451" s="35" t="s">
        <v>813</v>
      </c>
      <c r="D451" s="36">
        <v>0.313</v>
      </c>
      <c r="E451" s="30">
        <v>22.210999999999999</v>
      </c>
      <c r="F451" s="33">
        <f>IF(ISNUMBER(E451),E451*$D451,"")</f>
        <v>6.9520429999999998</v>
      </c>
      <c r="G451" s="44"/>
      <c r="H451" s="45"/>
      <c r="I451" s="153">
        <v>8.9599999999999999E-2</v>
      </c>
    </row>
    <row r="452" spans="1:9" ht="25.5" x14ac:dyDescent="0.25">
      <c r="A452" s="182"/>
      <c r="B452" s="35" t="s">
        <v>1014</v>
      </c>
      <c r="C452" s="35" t="s">
        <v>815</v>
      </c>
      <c r="D452" s="36">
        <v>0.42259999999999998</v>
      </c>
      <c r="E452" s="30">
        <v>21.2895</v>
      </c>
      <c r="F452" s="33">
        <f>IF(ISNUMBER(E452),E452*$D452,"")</f>
        <v>8.9969427</v>
      </c>
      <c r="G452" s="44"/>
      <c r="H452" s="45"/>
      <c r="I452" s="153">
        <v>8.9599999999999999E-2</v>
      </c>
    </row>
    <row r="453" spans="1:9" ht="38.25" x14ac:dyDescent="0.25">
      <c r="A453" s="182"/>
      <c r="B453" s="35" t="s">
        <v>1015</v>
      </c>
      <c r="C453" s="35" t="s">
        <v>773</v>
      </c>
      <c r="D453" s="36">
        <v>28.936900000000001</v>
      </c>
      <c r="E453" s="30">
        <v>16.633246</v>
      </c>
      <c r="F453" s="33">
        <f>IF(ISNUMBER(E453),E453*$D453,"")</f>
        <v>481.3145761774</v>
      </c>
      <c r="G453" s="44"/>
      <c r="H453" s="45"/>
      <c r="I453" s="153">
        <v>8.9599999999999999E-2</v>
      </c>
    </row>
    <row r="454" spans="1:9" ht="25.5" x14ac:dyDescent="0.25">
      <c r="A454" s="182"/>
      <c r="B454" s="35" t="s">
        <v>2886</v>
      </c>
      <c r="C454" s="46" t="s">
        <v>87</v>
      </c>
      <c r="D454" s="36">
        <v>1.2</v>
      </c>
      <c r="E454" s="30">
        <v>642.96511536752996</v>
      </c>
      <c r="F454" s="33">
        <f>IF(ISNUMBER(E454),E454*$D454,"")</f>
        <v>771.55813844103591</v>
      </c>
      <c r="G454" s="44"/>
      <c r="H454" s="45"/>
      <c r="I454" s="153">
        <v>8.9599999999999999E-2</v>
      </c>
    </row>
    <row r="455" spans="1:9" x14ac:dyDescent="0.25">
      <c r="A455" s="182"/>
      <c r="B455" s="50"/>
      <c r="C455" s="133"/>
      <c r="D455" s="36"/>
      <c r="E455" s="30" t="s">
        <v>416</v>
      </c>
      <c r="F455" s="33" t="str">
        <f>IF(ISNUMBER(E455),ROUND(E455*$D455,2),"")</f>
        <v/>
      </c>
      <c r="G455" s="44"/>
      <c r="H455" s="45"/>
      <c r="I455" s="153">
        <v>8.9599999999999999E-2</v>
      </c>
    </row>
    <row r="456" spans="1:9" ht="24.95" customHeight="1" x14ac:dyDescent="0.25">
      <c r="A456" s="182"/>
      <c r="B456" s="47" t="s">
        <v>631</v>
      </c>
      <c r="C456" s="133"/>
      <c r="D456" s="36"/>
      <c r="E456" s="30" t="s">
        <v>416</v>
      </c>
      <c r="F456" s="33" t="str">
        <f>IF(ISNUMBER(E456),ROUND(E456*$D456,2),"")</f>
        <v/>
      </c>
      <c r="G456" s="44"/>
      <c r="H456" s="45"/>
      <c r="I456" s="153">
        <v>8.9599999999999999E-2</v>
      </c>
    </row>
    <row r="457" spans="1:9" ht="15.75" thickBot="1" x14ac:dyDescent="0.3">
      <c r="A457" s="184"/>
      <c r="B457" s="103"/>
      <c r="C457" s="79"/>
      <c r="D457" s="95"/>
      <c r="E457" s="66" t="s">
        <v>416</v>
      </c>
      <c r="F457" s="66" t="str">
        <f>IF(ISNUMBER(E457),ROUND(E457*$D457,2),"")</f>
        <v/>
      </c>
      <c r="G457" s="68"/>
      <c r="H457" s="30"/>
      <c r="I457" s="153">
        <v>8.9599999999999999E-2</v>
      </c>
    </row>
    <row r="458" spans="1:9" ht="26.25" customHeight="1" thickBot="1" x14ac:dyDescent="0.3">
      <c r="A458" s="183" t="s">
        <v>3224</v>
      </c>
      <c r="B458" s="40" t="s">
        <v>416</v>
      </c>
      <c r="C458" s="77" t="s">
        <v>87</v>
      </c>
      <c r="D458" s="93"/>
      <c r="E458" s="41" t="s">
        <v>416</v>
      </c>
      <c r="F458" s="41" t="str">
        <f>IF(ISNUMBER(E458),ROUND(E458*$D458,2),"")</f>
        <v/>
      </c>
      <c r="G458" s="28"/>
      <c r="H458" s="29"/>
      <c r="I458" s="153">
        <v>0.16200000000000001</v>
      </c>
    </row>
    <row r="459" spans="1:9" x14ac:dyDescent="0.25">
      <c r="A459" s="182"/>
      <c r="B459" s="31" t="s">
        <v>416</v>
      </c>
      <c r="C459" s="78"/>
      <c r="D459" s="91"/>
      <c r="E459" s="97" t="s">
        <v>416</v>
      </c>
      <c r="F459" s="98" t="str">
        <f>IF(ISNUMBER(E459),ROUND(E459*$D459,2),"")</f>
        <v/>
      </c>
      <c r="G459" s="34"/>
      <c r="H459" s="30"/>
      <c r="I459" s="153">
        <v>0.16200000000000001</v>
      </c>
    </row>
    <row r="460" spans="1:9" ht="25.5" x14ac:dyDescent="0.25">
      <c r="A460" s="182"/>
      <c r="B460" s="35" t="s">
        <v>633</v>
      </c>
      <c r="C460" s="35" t="s">
        <v>87</v>
      </c>
      <c r="D460" s="36">
        <v>1.1000000000000001</v>
      </c>
      <c r="E460" s="33">
        <v>203.71799999999999</v>
      </c>
      <c r="F460" s="33">
        <f>IF(ISNUMBER(E460),ROUND(E460*$D460,2),"")</f>
        <v>224.09</v>
      </c>
      <c r="G460" s="44">
        <f>SUM(F460:F470)</f>
        <v>399.81729540499987</v>
      </c>
      <c r="H460" s="45"/>
      <c r="I460" s="153">
        <v>0.16200000000000001</v>
      </c>
    </row>
    <row r="461" spans="1:9" ht="63.75" x14ac:dyDescent="0.25">
      <c r="A461" s="182"/>
      <c r="B461" s="35" t="s">
        <v>2863</v>
      </c>
      <c r="C461" s="35" t="s">
        <v>813</v>
      </c>
      <c r="D461" s="36">
        <v>0.128</v>
      </c>
      <c r="E461" s="33">
        <v>134.55799999999999</v>
      </c>
      <c r="F461" s="33">
        <f>IF(ISNUMBER(E461),ROUND(E461*$D461,2),"")</f>
        <v>17.22</v>
      </c>
      <c r="G461" s="44"/>
      <c r="H461" s="45"/>
      <c r="I461" s="153">
        <v>0.16200000000000001</v>
      </c>
    </row>
    <row r="462" spans="1:9" ht="63.75" x14ac:dyDescent="0.25">
      <c r="A462" s="182"/>
      <c r="B462" s="35" t="s">
        <v>2870</v>
      </c>
      <c r="C462" s="35" t="s">
        <v>815</v>
      </c>
      <c r="D462" s="36">
        <v>0.63980000000000004</v>
      </c>
      <c r="E462" s="30">
        <v>54.34</v>
      </c>
      <c r="F462" s="33">
        <f>IF(ISNUMBER(E462),ROUND(E462*$D462,2),"")</f>
        <v>34.770000000000003</v>
      </c>
      <c r="G462" s="44"/>
      <c r="H462" s="45"/>
      <c r="I462" s="153">
        <v>0.16200000000000001</v>
      </c>
    </row>
    <row r="463" spans="1:9" x14ac:dyDescent="0.25">
      <c r="A463" s="182"/>
      <c r="B463" s="35" t="s">
        <v>591</v>
      </c>
      <c r="C463" s="35" t="s">
        <v>583</v>
      </c>
      <c r="D463" s="36">
        <v>0.92130000000000001</v>
      </c>
      <c r="E463" s="30">
        <v>27.160499999999999</v>
      </c>
      <c r="F463" s="33">
        <f>IF(ISNUMBER(E463),ROUND(E463*$D463,2),"")</f>
        <v>25.02</v>
      </c>
      <c r="G463" s="44"/>
      <c r="H463" s="45"/>
      <c r="I463" s="153">
        <v>0.16200000000000001</v>
      </c>
    </row>
    <row r="464" spans="1:9" x14ac:dyDescent="0.25">
      <c r="A464" s="182"/>
      <c r="B464" s="35" t="s">
        <v>584</v>
      </c>
      <c r="C464" s="35" t="s">
        <v>583</v>
      </c>
      <c r="D464" s="36">
        <v>1.3818999999999999</v>
      </c>
      <c r="E464" s="30">
        <v>20.225499999999997</v>
      </c>
      <c r="F464" s="33">
        <f>IF(ISNUMBER(E464),ROUND(E464*$D464,2),"")</f>
        <v>27.95</v>
      </c>
      <c r="G464" s="44"/>
      <c r="H464" s="45"/>
      <c r="I464" s="153">
        <v>0.16200000000000001</v>
      </c>
    </row>
    <row r="465" spans="1:9" ht="38.25" x14ac:dyDescent="0.25">
      <c r="A465" s="182"/>
      <c r="B465" s="35" t="s">
        <v>812</v>
      </c>
      <c r="C465" s="35" t="s">
        <v>813</v>
      </c>
      <c r="D465" s="36">
        <v>7.1800000000000003E-2</v>
      </c>
      <c r="E465" s="30">
        <v>27.512</v>
      </c>
      <c r="F465" s="33">
        <f>IF(ISNUMBER(E465),E465*$D465,"")</f>
        <v>1.9753616000000001</v>
      </c>
      <c r="G465" s="44"/>
      <c r="H465" s="45"/>
      <c r="I465" s="153">
        <v>0.16200000000000001</v>
      </c>
    </row>
    <row r="466" spans="1:9" ht="38.25" x14ac:dyDescent="0.25">
      <c r="A466" s="182"/>
      <c r="B466" s="35" t="s">
        <v>814</v>
      </c>
      <c r="C466" s="35" t="s">
        <v>815</v>
      </c>
      <c r="D466" s="36">
        <v>6.6600000000000006E-2</v>
      </c>
      <c r="E466" s="30">
        <v>22.001999999999999</v>
      </c>
      <c r="F466" s="33">
        <f>IF(ISNUMBER(E466),E466*$D466,"")</f>
        <v>1.4653332000000001</v>
      </c>
      <c r="G466" s="44"/>
      <c r="H466" s="45"/>
      <c r="I466" s="153">
        <v>0.16200000000000001</v>
      </c>
    </row>
    <row r="467" spans="1:9" ht="51" x14ac:dyDescent="0.25">
      <c r="A467" s="182"/>
      <c r="B467" s="35" t="s">
        <v>3071</v>
      </c>
      <c r="C467" s="35" t="s">
        <v>87</v>
      </c>
      <c r="D467" s="36">
        <f>ROUND(1*(D460),4)</f>
        <v>1.1000000000000001</v>
      </c>
      <c r="E467" s="30">
        <v>8.0531015499999992</v>
      </c>
      <c r="F467" s="33">
        <f>IF(ISNUMBER(E467),E467*$D467,"")</f>
        <v>8.858411705</v>
      </c>
      <c r="G467" s="44"/>
      <c r="H467" s="45"/>
      <c r="I467" s="153">
        <v>0.16200000000000001</v>
      </c>
    </row>
    <row r="468" spans="1:9" ht="38.25" x14ac:dyDescent="0.25">
      <c r="A468" s="182"/>
      <c r="B468" s="35" t="s">
        <v>3068</v>
      </c>
      <c r="C468" s="46" t="s">
        <v>89</v>
      </c>
      <c r="D468" s="36">
        <f>ROUND(D460*20,4)</f>
        <v>22</v>
      </c>
      <c r="E468" s="30">
        <v>2.6576449499999995</v>
      </c>
      <c r="F468" s="33">
        <f>IF(ISNUMBER(E468),E468*$D468,"")</f>
        <v>58.468188899999987</v>
      </c>
      <c r="G468" s="44"/>
      <c r="H468" s="45"/>
      <c r="I468" s="153">
        <v>0.16200000000000001</v>
      </c>
    </row>
    <row r="469" spans="1:9" x14ac:dyDescent="0.25">
      <c r="A469" s="182"/>
      <c r="B469" s="50"/>
      <c r="C469" s="133"/>
      <c r="D469" s="36"/>
      <c r="E469" s="30" t="s">
        <v>416</v>
      </c>
      <c r="F469" s="33" t="str">
        <f>IF(ISNUMBER(E469),ROUND(E469*$D469,2),"")</f>
        <v/>
      </c>
      <c r="G469" s="44"/>
      <c r="H469" s="45"/>
      <c r="I469" s="153">
        <v>0.16200000000000001</v>
      </c>
    </row>
    <row r="470" spans="1:9" ht="24.95" customHeight="1" x14ac:dyDescent="0.25">
      <c r="A470" s="182"/>
      <c r="B470" s="47" t="s">
        <v>631</v>
      </c>
      <c r="C470" s="133"/>
      <c r="D470" s="36"/>
      <c r="E470" s="30" t="s">
        <v>416</v>
      </c>
      <c r="F470" s="33" t="str">
        <f>IF(ISNUMBER(E470),ROUND(E470*$D470,2),"")</f>
        <v/>
      </c>
      <c r="G470" s="44"/>
      <c r="H470" s="45"/>
      <c r="I470" s="153">
        <v>0.16200000000000001</v>
      </c>
    </row>
    <row r="471" spans="1:9" ht="15.75" thickBot="1" x14ac:dyDescent="0.3">
      <c r="A471" s="184"/>
      <c r="B471" s="103"/>
      <c r="C471" s="79"/>
      <c r="D471" s="95"/>
      <c r="E471" s="66" t="s">
        <v>416</v>
      </c>
      <c r="F471" s="66" t="str">
        <f>IF(ISNUMBER(E471),ROUND(E471*$D471,2),"")</f>
        <v/>
      </c>
      <c r="G471" s="68"/>
      <c r="H471" s="30"/>
      <c r="I471" s="153">
        <v>0.16200000000000001</v>
      </c>
    </row>
    <row r="472" spans="1:9" ht="26.25" hidden="1" customHeight="1" thickBot="1" x14ac:dyDescent="0.3">
      <c r="A472" s="183" t="s">
        <v>2887</v>
      </c>
      <c r="B472" s="40" t="s">
        <v>416</v>
      </c>
      <c r="C472" s="77" t="s">
        <v>87</v>
      </c>
      <c r="D472" s="93"/>
      <c r="E472" s="41" t="s">
        <v>416</v>
      </c>
      <c r="F472" s="41" t="str">
        <f>IF(ISNUMBER(E472),ROUND(E472*$D472,2),"")</f>
        <v/>
      </c>
      <c r="G472" s="28"/>
      <c r="H472" s="29"/>
      <c r="I472" s="153">
        <v>0</v>
      </c>
    </row>
    <row r="473" spans="1:9" ht="15.75" hidden="1" thickBot="1" x14ac:dyDescent="0.3">
      <c r="A473" s="182"/>
      <c r="B473" s="31" t="s">
        <v>416</v>
      </c>
      <c r="C473" s="78"/>
      <c r="D473" s="91"/>
      <c r="E473" s="97" t="s">
        <v>416</v>
      </c>
      <c r="F473" s="98" t="str">
        <f>IF(ISNUMBER(E473),ROUND(E473*$D473,2),"")</f>
        <v/>
      </c>
      <c r="G473" s="34"/>
      <c r="H473" s="30"/>
      <c r="I473" s="153">
        <v>0</v>
      </c>
    </row>
    <row r="474" spans="1:9" ht="39" hidden="1" thickBot="1" x14ac:dyDescent="0.3">
      <c r="A474" s="182"/>
      <c r="B474" s="35" t="s">
        <v>8062</v>
      </c>
      <c r="C474" s="35" t="s">
        <v>861</v>
      </c>
      <c r="D474" s="36">
        <v>1.9403999999999999</v>
      </c>
      <c r="E474" s="33">
        <v>55.745999999999995</v>
      </c>
      <c r="F474" s="33">
        <f>IF(ISNUMBER(E474),ROUND(E474*$D474,2),"")</f>
        <v>108.17</v>
      </c>
      <c r="G474" s="44">
        <f>SUM(F474:F489)</f>
        <v>3073.7120870491012</v>
      </c>
      <c r="H474" s="45"/>
      <c r="I474" s="153">
        <v>0</v>
      </c>
    </row>
    <row r="475" spans="1:9" ht="26.25" hidden="1" thickBot="1" x14ac:dyDescent="0.3">
      <c r="A475" s="182"/>
      <c r="B475" s="35" t="s">
        <v>1009</v>
      </c>
      <c r="C475" s="35" t="s">
        <v>75</v>
      </c>
      <c r="D475" s="36">
        <v>8.3299999999999999E-2</v>
      </c>
      <c r="E475" s="33">
        <v>7.9229999999999992</v>
      </c>
      <c r="F475" s="33">
        <f>IF(ISNUMBER(E475),ROUND(E475*$D475,2),"")</f>
        <v>0.66</v>
      </c>
      <c r="G475" s="44"/>
      <c r="H475" s="45"/>
      <c r="I475" s="153">
        <v>0</v>
      </c>
    </row>
    <row r="476" spans="1:9" ht="26.25" hidden="1" thickBot="1" x14ac:dyDescent="0.3">
      <c r="A476" s="182"/>
      <c r="B476" s="35" t="s">
        <v>3235</v>
      </c>
      <c r="C476" s="35" t="s">
        <v>385</v>
      </c>
      <c r="D476" s="36">
        <v>5.6283000000000003</v>
      </c>
      <c r="E476" s="30">
        <v>2.8594999999999997</v>
      </c>
      <c r="F476" s="33">
        <f>IF(ISNUMBER(E476),ROUND(E476*$D476,2),"")</f>
        <v>16.09</v>
      </c>
      <c r="G476" s="44"/>
      <c r="H476" s="45"/>
      <c r="I476" s="153">
        <v>0</v>
      </c>
    </row>
    <row r="477" spans="1:9" ht="15.75" hidden="1" thickBot="1" x14ac:dyDescent="0.3">
      <c r="A477" s="182"/>
      <c r="B477" s="35" t="s">
        <v>1010</v>
      </c>
      <c r="C477" s="35" t="s">
        <v>773</v>
      </c>
      <c r="D477" s="36">
        <v>0.4365</v>
      </c>
      <c r="E477" s="30">
        <v>23.9115</v>
      </c>
      <c r="F477" s="33">
        <f>IF(ISNUMBER(E477),ROUND(E477*$D477,2),"")</f>
        <v>10.44</v>
      </c>
      <c r="G477" s="44"/>
      <c r="H477" s="45"/>
      <c r="I477" s="153">
        <v>0</v>
      </c>
    </row>
    <row r="478" spans="1:9" ht="15.75" hidden="1" thickBot="1" x14ac:dyDescent="0.3">
      <c r="A478" s="182"/>
      <c r="B478" s="35" t="s">
        <v>660</v>
      </c>
      <c r="C478" s="35" t="s">
        <v>583</v>
      </c>
      <c r="D478" s="36">
        <v>1.1919999999999999</v>
      </c>
      <c r="E478" s="30">
        <v>21.337</v>
      </c>
      <c r="F478" s="33">
        <f>IF(ISNUMBER(E478),ROUND(E478*$D478,2),"")</f>
        <v>25.43</v>
      </c>
      <c r="G478" s="44"/>
      <c r="H478" s="45"/>
      <c r="I478" s="153">
        <v>0</v>
      </c>
    </row>
    <row r="479" spans="1:9" ht="15.75" hidden="1" thickBot="1" x14ac:dyDescent="0.3">
      <c r="A479" s="182"/>
      <c r="B479" s="35" t="s">
        <v>582</v>
      </c>
      <c r="C479" s="35" t="s">
        <v>583</v>
      </c>
      <c r="D479" s="36">
        <v>5.96</v>
      </c>
      <c r="E479" s="30">
        <v>25.725999999999996</v>
      </c>
      <c r="F479" s="33">
        <f>IF(ISNUMBER(E479),E479*$D479,"")</f>
        <v>153.32695999999999</v>
      </c>
      <c r="G479" s="44"/>
      <c r="H479" s="45"/>
      <c r="I479" s="153">
        <v>0</v>
      </c>
    </row>
    <row r="480" spans="1:9" ht="15.75" hidden="1" thickBot="1" x14ac:dyDescent="0.3">
      <c r="A480" s="182"/>
      <c r="B480" s="35" t="s">
        <v>591</v>
      </c>
      <c r="C480" s="35" t="s">
        <v>583</v>
      </c>
      <c r="D480" s="36">
        <v>31.5459</v>
      </c>
      <c r="E480" s="30">
        <v>27.160499999999999</v>
      </c>
      <c r="F480" s="33">
        <f>IF(ISNUMBER(E480),E480*$D480,"")</f>
        <v>856.80241694999995</v>
      </c>
      <c r="G480" s="44"/>
      <c r="H480" s="45"/>
      <c r="I480" s="153">
        <v>0</v>
      </c>
    </row>
    <row r="481" spans="1:9" ht="15.75" hidden="1" thickBot="1" x14ac:dyDescent="0.3">
      <c r="A481" s="182"/>
      <c r="B481" s="35" t="s">
        <v>584</v>
      </c>
      <c r="C481" s="35" t="s">
        <v>583</v>
      </c>
      <c r="D481" s="36">
        <v>31.5459</v>
      </c>
      <c r="E481" s="30">
        <v>20.225499999999997</v>
      </c>
      <c r="F481" s="33">
        <f>IF(ISNUMBER(E481),E481*$D481,"")</f>
        <v>638.03160044999993</v>
      </c>
      <c r="G481" s="44"/>
      <c r="H481" s="45"/>
      <c r="I481" s="153">
        <v>0</v>
      </c>
    </row>
    <row r="482" spans="1:9" ht="26.25" hidden="1" thickBot="1" x14ac:dyDescent="0.3">
      <c r="A482" s="182"/>
      <c r="B482" s="35" t="s">
        <v>1011</v>
      </c>
      <c r="C482" s="35" t="s">
        <v>813</v>
      </c>
      <c r="D482" s="36">
        <v>6.6349999999999998</v>
      </c>
      <c r="E482" s="30">
        <v>1.1304999999999998</v>
      </c>
      <c r="F482" s="33">
        <f>IF(ISNUMBER(E482),E482*$D482,"")</f>
        <v>7.5008674999999982</v>
      </c>
      <c r="G482" s="44"/>
      <c r="H482" s="45"/>
      <c r="I482" s="153">
        <v>0</v>
      </c>
    </row>
    <row r="483" spans="1:9" ht="26.25" hidden="1" thickBot="1" x14ac:dyDescent="0.3">
      <c r="A483" s="182"/>
      <c r="B483" s="35" t="s">
        <v>1012</v>
      </c>
      <c r="C483" s="35" t="s">
        <v>815</v>
      </c>
      <c r="D483" s="36">
        <v>18.246200000000002</v>
      </c>
      <c r="E483" s="30">
        <v>0.47499999999999998</v>
      </c>
      <c r="F483" s="33">
        <f>IF(ISNUMBER(E483),E483*$D483,"")</f>
        <v>8.6669450000000001</v>
      </c>
      <c r="G483" s="44"/>
      <c r="H483" s="45"/>
      <c r="I483" s="153">
        <v>0</v>
      </c>
    </row>
    <row r="484" spans="1:9" ht="26.25" hidden="1" thickBot="1" x14ac:dyDescent="0.3">
      <c r="A484" s="182"/>
      <c r="B484" s="35" t="s">
        <v>1013</v>
      </c>
      <c r="C484" s="35" t="s">
        <v>813</v>
      </c>
      <c r="D484" s="36">
        <v>0.48770000000000002</v>
      </c>
      <c r="E484" s="30">
        <v>22.210999999999999</v>
      </c>
      <c r="F484" s="33">
        <f>IF(ISNUMBER(E484),E484*$D484,"")</f>
        <v>10.8323047</v>
      </c>
      <c r="G484" s="44"/>
      <c r="H484" s="45"/>
      <c r="I484" s="153">
        <v>0</v>
      </c>
    </row>
    <row r="485" spans="1:9" ht="26.25" hidden="1" thickBot="1" x14ac:dyDescent="0.3">
      <c r="A485" s="182"/>
      <c r="B485" s="35" t="s">
        <v>1014</v>
      </c>
      <c r="C485" s="35" t="s">
        <v>815</v>
      </c>
      <c r="D485" s="36">
        <v>0.70430000000000004</v>
      </c>
      <c r="E485" s="30">
        <v>21.2895</v>
      </c>
      <c r="F485" s="33">
        <f>IF(ISNUMBER(E485),E485*$D485,"")</f>
        <v>14.994194850000001</v>
      </c>
      <c r="G485" s="44"/>
      <c r="H485" s="45"/>
      <c r="I485" s="153">
        <v>0</v>
      </c>
    </row>
    <row r="486" spans="1:9" ht="39" hidden="1" thickBot="1" x14ac:dyDescent="0.3">
      <c r="A486" s="182"/>
      <c r="B486" s="35" t="s">
        <v>1015</v>
      </c>
      <c r="C486" s="35" t="s">
        <v>773</v>
      </c>
      <c r="D486" s="36">
        <v>27.898800000000001</v>
      </c>
      <c r="E486" s="30">
        <v>16.633246</v>
      </c>
      <c r="F486" s="33">
        <f>IF(ISNUMBER(E486),E486*$D486,"")</f>
        <v>464.04760350480001</v>
      </c>
      <c r="G486" s="44"/>
      <c r="H486" s="45"/>
      <c r="I486" s="153">
        <v>0</v>
      </c>
    </row>
    <row r="487" spans="1:9" ht="26.25" hidden="1" thickBot="1" x14ac:dyDescent="0.3">
      <c r="A487" s="182"/>
      <c r="B487" s="35" t="s">
        <v>2885</v>
      </c>
      <c r="C487" s="46" t="s">
        <v>87</v>
      </c>
      <c r="D487" s="36">
        <v>1.2</v>
      </c>
      <c r="E487" s="30">
        <v>632.26599507858487</v>
      </c>
      <c r="F487" s="33">
        <f>IF(ISNUMBER(E487),E487*$D487,"")</f>
        <v>758.71919409430177</v>
      </c>
      <c r="G487" s="44"/>
      <c r="H487" s="45"/>
      <c r="I487" s="153">
        <v>0</v>
      </c>
    </row>
    <row r="488" spans="1:9" ht="15.75" hidden="1" thickBot="1" x14ac:dyDescent="0.3">
      <c r="A488" s="182"/>
      <c r="B488" s="50"/>
      <c r="C488" s="133"/>
      <c r="D488" s="36"/>
      <c r="E488" s="30" t="s">
        <v>416</v>
      </c>
      <c r="F488" s="33" t="str">
        <f>IF(ISNUMBER(E488),ROUND(E488*$D488,2),"")</f>
        <v/>
      </c>
      <c r="G488" s="44"/>
      <c r="H488" s="45"/>
      <c r="I488" s="153">
        <v>0</v>
      </c>
    </row>
    <row r="489" spans="1:9" ht="24.95" hidden="1" customHeight="1" x14ac:dyDescent="0.3">
      <c r="A489" s="182"/>
      <c r="B489" s="47" t="s">
        <v>631</v>
      </c>
      <c r="C489" s="133"/>
      <c r="D489" s="36"/>
      <c r="E489" s="30" t="s">
        <v>416</v>
      </c>
      <c r="F489" s="33" t="str">
        <f>IF(ISNUMBER(E489),ROUND(E489*$D489,2),"")</f>
        <v/>
      </c>
      <c r="G489" s="44"/>
      <c r="H489" s="45"/>
      <c r="I489" s="153">
        <v>0</v>
      </c>
    </row>
    <row r="490" spans="1:9" ht="15.75" hidden="1" thickBot="1" x14ac:dyDescent="0.3">
      <c r="A490" s="184"/>
      <c r="B490" s="103"/>
      <c r="C490" s="79"/>
      <c r="D490" s="95"/>
      <c r="E490" s="66" t="s">
        <v>416</v>
      </c>
      <c r="F490" s="66" t="str">
        <f>IF(ISNUMBER(E490),ROUND(E490*$D490,2),"")</f>
        <v/>
      </c>
      <c r="G490" s="68"/>
      <c r="H490" s="30"/>
      <c r="I490" s="153">
        <v>0</v>
      </c>
    </row>
    <row r="491" spans="1:9" ht="26.25" hidden="1" customHeight="1" thickBot="1" x14ac:dyDescent="0.3">
      <c r="A491" s="183" t="s">
        <v>3223</v>
      </c>
      <c r="B491" s="40" t="s">
        <v>416</v>
      </c>
      <c r="C491" s="77" t="s">
        <v>87</v>
      </c>
      <c r="D491" s="93"/>
      <c r="E491" s="41" t="s">
        <v>416</v>
      </c>
      <c r="F491" s="41" t="str">
        <f>IF(ISNUMBER(E491),ROUND(E491*$D491,2),"")</f>
        <v/>
      </c>
      <c r="G491" s="28"/>
      <c r="H491" s="29"/>
      <c r="I491" s="153">
        <v>0</v>
      </c>
    </row>
    <row r="492" spans="1:9" ht="15.75" hidden="1" thickBot="1" x14ac:dyDescent="0.3">
      <c r="A492" s="182"/>
      <c r="B492" s="31" t="s">
        <v>416</v>
      </c>
      <c r="C492" s="78"/>
      <c r="D492" s="91"/>
      <c r="E492" s="97" t="s">
        <v>416</v>
      </c>
      <c r="F492" s="98" t="str">
        <f>IF(ISNUMBER(E492),ROUND(E492*$D492,2),"")</f>
        <v/>
      </c>
      <c r="G492" s="34"/>
      <c r="H492" s="30"/>
      <c r="I492" s="153">
        <v>0</v>
      </c>
    </row>
    <row r="493" spans="1:9" ht="26.25" hidden="1" thickBot="1" x14ac:dyDescent="0.3">
      <c r="A493" s="182"/>
      <c r="B493" s="35" t="s">
        <v>633</v>
      </c>
      <c r="C493" s="35" t="s">
        <v>87</v>
      </c>
      <c r="D493" s="36">
        <v>1.1000000000000001</v>
      </c>
      <c r="E493" s="33">
        <v>203.71799999999999</v>
      </c>
      <c r="F493" s="33">
        <f>IF(ISNUMBER(E493),ROUND(E493*$D493,2),"")</f>
        <v>224.09</v>
      </c>
      <c r="G493" s="44">
        <f>SUM(F493:F501)</f>
        <v>438.24729540499993</v>
      </c>
      <c r="H493" s="45"/>
      <c r="I493" s="153">
        <v>0</v>
      </c>
    </row>
    <row r="494" spans="1:9" ht="15.75" hidden="1" thickBot="1" x14ac:dyDescent="0.3">
      <c r="A494" s="182"/>
      <c r="B494" s="35" t="s">
        <v>591</v>
      </c>
      <c r="C494" s="35" t="s">
        <v>583</v>
      </c>
      <c r="D494" s="36">
        <v>2.4937999999999998</v>
      </c>
      <c r="E494" s="30">
        <v>27.160499999999999</v>
      </c>
      <c r="F494" s="33">
        <f>IF(ISNUMBER(E494),ROUND(E494*$D494,2),"")</f>
        <v>67.73</v>
      </c>
      <c r="G494" s="44"/>
      <c r="H494" s="45"/>
      <c r="I494" s="153">
        <v>0</v>
      </c>
    </row>
    <row r="495" spans="1:9" ht="15.75" hidden="1" thickBot="1" x14ac:dyDescent="0.3">
      <c r="A495" s="182"/>
      <c r="B495" s="35" t="s">
        <v>584</v>
      </c>
      <c r="C495" s="35" t="s">
        <v>583</v>
      </c>
      <c r="D495" s="36">
        <v>3.7406999999999999</v>
      </c>
      <c r="E495" s="30">
        <v>20.225499999999997</v>
      </c>
      <c r="F495" s="33">
        <f>IF(ISNUMBER(E495),ROUND(E495*$D495,2),"")</f>
        <v>75.66</v>
      </c>
      <c r="G495" s="44"/>
      <c r="H495" s="45"/>
      <c r="I495" s="153">
        <v>0</v>
      </c>
    </row>
    <row r="496" spans="1:9" ht="39" hidden="1" thickBot="1" x14ac:dyDescent="0.3">
      <c r="A496" s="182"/>
      <c r="B496" s="35" t="s">
        <v>812</v>
      </c>
      <c r="C496" s="35" t="s">
        <v>813</v>
      </c>
      <c r="D496" s="36">
        <v>7.1800000000000003E-2</v>
      </c>
      <c r="E496" s="30">
        <v>27.512</v>
      </c>
      <c r="F496" s="33">
        <f>IF(ISNUMBER(E496),E496*$D496,"")</f>
        <v>1.9753616000000001</v>
      </c>
      <c r="G496" s="44"/>
      <c r="H496" s="45"/>
      <c r="I496" s="153">
        <v>0</v>
      </c>
    </row>
    <row r="497" spans="1:9" ht="39" hidden="1" thickBot="1" x14ac:dyDescent="0.3">
      <c r="A497" s="182"/>
      <c r="B497" s="35" t="s">
        <v>814</v>
      </c>
      <c r="C497" s="35" t="s">
        <v>815</v>
      </c>
      <c r="D497" s="36">
        <v>6.6600000000000006E-2</v>
      </c>
      <c r="E497" s="30">
        <v>22.001999999999999</v>
      </c>
      <c r="F497" s="33">
        <f>IF(ISNUMBER(E497),E497*$D497,"")</f>
        <v>1.4653332000000001</v>
      </c>
      <c r="G497" s="44"/>
      <c r="H497" s="45"/>
      <c r="I497" s="153">
        <v>0</v>
      </c>
    </row>
    <row r="498" spans="1:9" ht="51.75" hidden="1" thickBot="1" x14ac:dyDescent="0.3">
      <c r="A498" s="182"/>
      <c r="B498" s="35" t="s">
        <v>3071</v>
      </c>
      <c r="C498" s="35" t="s">
        <v>87</v>
      </c>
      <c r="D498" s="36">
        <f>ROUND(1*(D493),4)</f>
        <v>1.1000000000000001</v>
      </c>
      <c r="E498" s="30">
        <v>8.0531015499999992</v>
      </c>
      <c r="F498" s="33">
        <f>IF(ISNUMBER(E498),E498*$D498,"")</f>
        <v>8.858411705</v>
      </c>
      <c r="G498" s="44"/>
      <c r="H498" s="45"/>
      <c r="I498" s="153">
        <v>0</v>
      </c>
    </row>
    <row r="499" spans="1:9" ht="39" hidden="1" thickBot="1" x14ac:dyDescent="0.3">
      <c r="A499" s="182"/>
      <c r="B499" s="35" t="s">
        <v>3068</v>
      </c>
      <c r="C499" s="46" t="s">
        <v>89</v>
      </c>
      <c r="D499" s="36">
        <f>ROUND(D493*20,4)</f>
        <v>22</v>
      </c>
      <c r="E499" s="30">
        <v>2.6576449499999995</v>
      </c>
      <c r="F499" s="33">
        <f>IF(ISNUMBER(E499),E499*$D499,"")</f>
        <v>58.468188899999987</v>
      </c>
      <c r="G499" s="44"/>
      <c r="H499" s="45"/>
      <c r="I499" s="153">
        <v>0</v>
      </c>
    </row>
    <row r="500" spans="1:9" ht="15.75" hidden="1" thickBot="1" x14ac:dyDescent="0.3">
      <c r="A500" s="182"/>
      <c r="B500" s="50"/>
      <c r="C500" s="133"/>
      <c r="D500" s="36"/>
      <c r="E500" s="30" t="s">
        <v>416</v>
      </c>
      <c r="F500" s="33" t="str">
        <f>IF(ISNUMBER(E500),ROUND(E500*$D500,2),"")</f>
        <v/>
      </c>
      <c r="G500" s="44"/>
      <c r="H500" s="45"/>
      <c r="I500" s="153">
        <v>0</v>
      </c>
    </row>
    <row r="501" spans="1:9" ht="24.95" hidden="1" customHeight="1" x14ac:dyDescent="0.3">
      <c r="A501" s="182"/>
      <c r="B501" s="47" t="s">
        <v>631</v>
      </c>
      <c r="C501" s="133"/>
      <c r="D501" s="36"/>
      <c r="E501" s="30" t="s">
        <v>416</v>
      </c>
      <c r="F501" s="33" t="str">
        <f>IF(ISNUMBER(E501),ROUND(E501*$D501,2),"")</f>
        <v/>
      </c>
      <c r="G501" s="44"/>
      <c r="H501" s="45"/>
      <c r="I501" s="153">
        <v>0</v>
      </c>
    </row>
    <row r="502" spans="1:9" ht="15.75" hidden="1" thickBot="1" x14ac:dyDescent="0.3">
      <c r="A502" s="184"/>
      <c r="B502" s="103"/>
      <c r="C502" s="79"/>
      <c r="D502" s="95"/>
      <c r="E502" s="66" t="s">
        <v>416</v>
      </c>
      <c r="F502" s="66" t="str">
        <f>IF(ISNUMBER(E502),ROUND(E502*$D502,2),"")</f>
        <v/>
      </c>
      <c r="G502" s="68"/>
      <c r="H502" s="30"/>
      <c r="I502" s="153">
        <v>0</v>
      </c>
    </row>
    <row r="503" spans="1:9" ht="26.25" hidden="1" customHeight="1" thickBot="1" x14ac:dyDescent="0.3">
      <c r="A503" s="183" t="s">
        <v>5740</v>
      </c>
      <c r="B503" s="40" t="s">
        <v>416</v>
      </c>
      <c r="C503" s="77" t="s">
        <v>87</v>
      </c>
      <c r="D503" s="93"/>
      <c r="E503" s="41" t="s">
        <v>416</v>
      </c>
      <c r="F503" s="41" t="str">
        <f>IF(ISNUMBER(E503),ROUND(E503*$D503,2),"")</f>
        <v/>
      </c>
      <c r="G503" s="28"/>
      <c r="H503" s="29"/>
      <c r="I503" s="153">
        <v>0</v>
      </c>
    </row>
    <row r="504" spans="1:9" ht="15.75" hidden="1" thickBot="1" x14ac:dyDescent="0.3">
      <c r="A504" s="182"/>
      <c r="B504" s="31" t="s">
        <v>416</v>
      </c>
      <c r="C504" s="78"/>
      <c r="D504" s="91"/>
      <c r="E504" s="97" t="s">
        <v>416</v>
      </c>
      <c r="F504" s="98" t="str">
        <f>IF(ISNUMBER(E504),ROUND(E504*$D504,2),"")</f>
        <v/>
      </c>
      <c r="G504" s="34"/>
      <c r="H504" s="30"/>
      <c r="I504" s="153">
        <v>0</v>
      </c>
    </row>
    <row r="505" spans="1:9" ht="26.25" hidden="1" thickBot="1" x14ac:dyDescent="0.3">
      <c r="A505" s="182"/>
      <c r="B505" s="35" t="s">
        <v>7985</v>
      </c>
      <c r="C505" s="35" t="s">
        <v>87</v>
      </c>
      <c r="D505" s="36">
        <v>0.85299999999999998</v>
      </c>
      <c r="E505" s="33">
        <v>202.33099999999999</v>
      </c>
      <c r="F505" s="33">
        <f>IF(ISNUMBER(E505),ROUND(E505*$D505,2),"")</f>
        <v>172.59</v>
      </c>
      <c r="G505" s="44">
        <f>SUM(F505:F512)</f>
        <v>631.10482139755504</v>
      </c>
      <c r="H505" s="45"/>
      <c r="I505" s="153">
        <v>0</v>
      </c>
    </row>
    <row r="506" spans="1:9" ht="15.75" hidden="1" thickBot="1" x14ac:dyDescent="0.3">
      <c r="A506" s="182"/>
      <c r="B506" s="35" t="s">
        <v>8065</v>
      </c>
      <c r="C506" s="35" t="s">
        <v>773</v>
      </c>
      <c r="D506" s="36">
        <v>218.93</v>
      </c>
      <c r="E506" s="33">
        <v>0.627</v>
      </c>
      <c r="F506" s="33">
        <f>IF(ISNUMBER(E506),ROUND(E506*$D506,2),"")</f>
        <v>137.27000000000001</v>
      </c>
      <c r="G506" s="44"/>
      <c r="H506" s="45"/>
      <c r="I506" s="153">
        <v>0</v>
      </c>
    </row>
    <row r="507" spans="1:9" ht="26.25" hidden="1" thickBot="1" x14ac:dyDescent="0.3">
      <c r="A507" s="182"/>
      <c r="B507" s="35" t="s">
        <v>8311</v>
      </c>
      <c r="C507" s="35" t="s">
        <v>87</v>
      </c>
      <c r="D507" s="36">
        <v>0.59709999999999996</v>
      </c>
      <c r="E507" s="30">
        <v>176.453</v>
      </c>
      <c r="F507" s="33">
        <f>IF(ISNUMBER(E507),ROUND(E507*$D507,2),"")</f>
        <v>105.36</v>
      </c>
      <c r="G507" s="44"/>
      <c r="H507" s="45"/>
      <c r="I507" s="153">
        <v>0</v>
      </c>
    </row>
    <row r="508" spans="1:9" ht="15.75" hidden="1" thickBot="1" x14ac:dyDescent="0.3">
      <c r="A508" s="182"/>
      <c r="B508" s="35" t="s">
        <v>584</v>
      </c>
      <c r="C508" s="35" t="s">
        <v>583</v>
      </c>
      <c r="D508" s="36">
        <v>6.2858000000000001</v>
      </c>
      <c r="E508" s="30">
        <v>20.225499999999997</v>
      </c>
      <c r="F508" s="33">
        <f>IF(ISNUMBER(E508),ROUND(E508*$D508,2),"")</f>
        <v>127.13</v>
      </c>
      <c r="G508" s="44"/>
      <c r="H508" s="45"/>
      <c r="I508" s="153">
        <v>0</v>
      </c>
    </row>
    <row r="509" spans="1:9" ht="51.75" hidden="1" thickBot="1" x14ac:dyDescent="0.3">
      <c r="A509" s="182"/>
      <c r="B509" s="35" t="s">
        <v>3071</v>
      </c>
      <c r="C509" s="35" t="s">
        <v>87</v>
      </c>
      <c r="D509" s="36">
        <f>ROUND(1*(D505+D507),4)</f>
        <v>1.4500999999999999</v>
      </c>
      <c r="E509" s="30">
        <v>8.0531015499999992</v>
      </c>
      <c r="F509" s="33">
        <f>IF(ISNUMBER(E509),E509*$D509,"")</f>
        <v>11.677802557654998</v>
      </c>
      <c r="G509" s="44"/>
      <c r="H509" s="45"/>
      <c r="I509" s="153">
        <v>0</v>
      </c>
    </row>
    <row r="510" spans="1:9" ht="39" hidden="1" thickBot="1" x14ac:dyDescent="0.3">
      <c r="A510" s="182"/>
      <c r="B510" s="35" t="s">
        <v>3068</v>
      </c>
      <c r="C510" s="46" t="s">
        <v>89</v>
      </c>
      <c r="D510" s="36">
        <f>ROUND((D505+D507)*20,4)</f>
        <v>29.001999999999999</v>
      </c>
      <c r="E510" s="30">
        <v>2.6576449499999995</v>
      </c>
      <c r="F510" s="33">
        <f>IF(ISNUMBER(E510),E510*$D510,"")</f>
        <v>77.077018839899978</v>
      </c>
      <c r="G510" s="44"/>
      <c r="H510" s="45"/>
      <c r="I510" s="153">
        <v>0</v>
      </c>
    </row>
    <row r="511" spans="1:9" ht="15.75" hidden="1" thickBot="1" x14ac:dyDescent="0.3">
      <c r="A511" s="182"/>
      <c r="B511" s="50"/>
      <c r="C511" s="133"/>
      <c r="D511" s="36"/>
      <c r="E511" s="30" t="s">
        <v>416</v>
      </c>
      <c r="F511" s="33" t="str">
        <f>IF(ISNUMBER(E511),ROUND(E511*$D511,2),"")</f>
        <v/>
      </c>
      <c r="G511" s="44"/>
      <c r="H511" s="45"/>
      <c r="I511" s="153">
        <v>0</v>
      </c>
    </row>
    <row r="512" spans="1:9" ht="24.95" hidden="1" customHeight="1" x14ac:dyDescent="0.3">
      <c r="A512" s="182"/>
      <c r="B512" s="47" t="s">
        <v>90</v>
      </c>
      <c r="C512" s="133"/>
      <c r="D512" s="36"/>
      <c r="E512" s="30" t="s">
        <v>416</v>
      </c>
      <c r="F512" s="33" t="str">
        <f>IF(ISNUMBER(E512),ROUND(E512*$D512,2),"")</f>
        <v/>
      </c>
      <c r="G512" s="44"/>
      <c r="H512" s="45"/>
      <c r="I512" s="153">
        <v>0</v>
      </c>
    </row>
    <row r="513" spans="1:9" ht="15.75" hidden="1" thickBot="1" x14ac:dyDescent="0.3">
      <c r="A513" s="184"/>
      <c r="B513" s="103"/>
      <c r="C513" s="79"/>
      <c r="D513" s="95"/>
      <c r="E513" s="66" t="s">
        <v>416</v>
      </c>
      <c r="F513" s="66" t="str">
        <f>IF(ISNUMBER(E513),ROUND(E513*$D513,2),"")</f>
        <v/>
      </c>
      <c r="G513" s="68"/>
      <c r="H513" s="30"/>
      <c r="I513" s="153">
        <v>0</v>
      </c>
    </row>
    <row r="514" spans="1:9" ht="26.25" hidden="1" customHeight="1" thickBot="1" x14ac:dyDescent="0.3">
      <c r="A514" s="183" t="s">
        <v>2900</v>
      </c>
      <c r="B514" s="40" t="s">
        <v>416</v>
      </c>
      <c r="C514" s="77" t="s">
        <v>213</v>
      </c>
      <c r="D514" s="93"/>
      <c r="E514" s="41" t="s">
        <v>416</v>
      </c>
      <c r="F514" s="41" t="str">
        <f>IF(ISNUMBER(E514),ROUND(E514*$D514,2),"")</f>
        <v/>
      </c>
      <c r="G514" s="28"/>
      <c r="H514" s="29"/>
      <c r="I514" s="153">
        <v>0</v>
      </c>
    </row>
    <row r="515" spans="1:9" ht="15.75" hidden="1" thickBot="1" x14ac:dyDescent="0.3">
      <c r="A515" s="182"/>
      <c r="B515" s="31" t="s">
        <v>416</v>
      </c>
      <c r="C515" s="78"/>
      <c r="D515" s="91"/>
      <c r="E515" s="97" t="s">
        <v>416</v>
      </c>
      <c r="F515" s="98" t="str">
        <f>IF(ISNUMBER(E515),ROUND(E515*$D515,2),"")</f>
        <v/>
      </c>
      <c r="G515" s="34"/>
      <c r="H515" s="30"/>
      <c r="I515" s="153">
        <v>0</v>
      </c>
    </row>
    <row r="516" spans="1:9" ht="15.75" hidden="1" thickBot="1" x14ac:dyDescent="0.3">
      <c r="A516" s="182"/>
      <c r="B516" s="35" t="s">
        <v>1219</v>
      </c>
      <c r="C516" s="35" t="s">
        <v>773</v>
      </c>
      <c r="D516" s="36">
        <v>3.3999999999999998E-3</v>
      </c>
      <c r="E516" s="33">
        <v>21.602999999999998</v>
      </c>
      <c r="F516" s="33">
        <f>IF(ISNUMBER(E516),ROUND(E516*$D516,2),"")</f>
        <v>7.0000000000000007E-2</v>
      </c>
      <c r="G516" s="44">
        <f>SUM(F516:F518)</f>
        <v>2.4900000000000002</v>
      </c>
      <c r="H516" s="45"/>
      <c r="I516" s="153">
        <v>0</v>
      </c>
    </row>
    <row r="517" spans="1:9" ht="15.75" hidden="1" thickBot="1" x14ac:dyDescent="0.3">
      <c r="A517" s="182"/>
      <c r="B517" s="35" t="s">
        <v>660</v>
      </c>
      <c r="C517" s="35" t="s">
        <v>583</v>
      </c>
      <c r="D517" s="36">
        <v>3.2300000000000002E-2</v>
      </c>
      <c r="E517" s="33">
        <v>21.337</v>
      </c>
      <c r="F517" s="33">
        <f>IF(ISNUMBER(E517),ROUND(E517*$D517,2),"")</f>
        <v>0.69</v>
      </c>
      <c r="G517" s="44"/>
      <c r="H517" s="45"/>
      <c r="I517" s="153">
        <v>0</v>
      </c>
    </row>
    <row r="518" spans="1:9" ht="15.75" hidden="1" thickBot="1" x14ac:dyDescent="0.3">
      <c r="A518" s="182"/>
      <c r="B518" s="35" t="s">
        <v>862</v>
      </c>
      <c r="C518" s="35" t="s">
        <v>583</v>
      </c>
      <c r="D518" s="36">
        <v>6.4500000000000002E-2</v>
      </c>
      <c r="E518" s="30">
        <v>26.799499999999998</v>
      </c>
      <c r="F518" s="33">
        <f>IF(ISNUMBER(E518),ROUND(E518*$D518,2),"")</f>
        <v>1.73</v>
      </c>
      <c r="G518" s="44"/>
      <c r="H518" s="45"/>
      <c r="I518" s="153">
        <v>0</v>
      </c>
    </row>
    <row r="519" spans="1:9" ht="15.75" hidden="1" thickBot="1" x14ac:dyDescent="0.3">
      <c r="A519" s="184"/>
      <c r="B519" s="103"/>
      <c r="C519" s="79"/>
      <c r="D519" s="95"/>
      <c r="E519" s="66" t="s">
        <v>416</v>
      </c>
      <c r="F519" s="66" t="str">
        <f>IF(ISNUMBER(E519),ROUND(E519*$D519,2),"")</f>
        <v/>
      </c>
      <c r="G519" s="68"/>
      <c r="H519" s="30"/>
      <c r="I519" s="153">
        <v>0</v>
      </c>
    </row>
    <row r="520" spans="1:9" ht="26.25" hidden="1" customHeight="1" thickBot="1" x14ac:dyDescent="0.3">
      <c r="A520" s="183" t="s">
        <v>5777</v>
      </c>
      <c r="B520" s="40" t="s">
        <v>416</v>
      </c>
      <c r="C520" s="77" t="s">
        <v>87</v>
      </c>
      <c r="D520" s="93"/>
      <c r="E520" s="41" t="s">
        <v>416</v>
      </c>
      <c r="F520" s="41" t="str">
        <f>IF(ISNUMBER(E520),ROUND(E520*$D520,2),"")</f>
        <v/>
      </c>
      <c r="G520" s="28"/>
      <c r="H520" s="29"/>
      <c r="I520" s="153">
        <v>0</v>
      </c>
    </row>
    <row r="521" spans="1:9" ht="15.75" hidden="1" thickBot="1" x14ac:dyDescent="0.3">
      <c r="A521" s="182"/>
      <c r="B521" s="31" t="s">
        <v>416</v>
      </c>
      <c r="C521" s="78"/>
      <c r="D521" s="91"/>
      <c r="E521" s="97" t="s">
        <v>416</v>
      </c>
      <c r="F521" s="98" t="str">
        <f>IF(ISNUMBER(E521),ROUND(E521*$D521,2),"")</f>
        <v/>
      </c>
      <c r="G521" s="34"/>
      <c r="H521" s="30"/>
      <c r="I521" s="153">
        <v>0</v>
      </c>
    </row>
    <row r="522" spans="1:9" ht="15.75" hidden="1" thickBot="1" x14ac:dyDescent="0.3">
      <c r="A522" s="182"/>
      <c r="B522" s="35" t="s">
        <v>591</v>
      </c>
      <c r="C522" s="35" t="s">
        <v>583</v>
      </c>
      <c r="D522" s="36">
        <v>8.2972999999999999</v>
      </c>
      <c r="E522" s="33">
        <v>27.160499999999999</v>
      </c>
      <c r="F522" s="33">
        <f>IF(ISNUMBER(E522),ROUND(E522*$D522,2),"")</f>
        <v>225.36</v>
      </c>
      <c r="G522" s="44">
        <f>SUM(F522:F524)</f>
        <v>1169.25</v>
      </c>
      <c r="H522" s="45"/>
      <c r="I522" s="153">
        <v>0</v>
      </c>
    </row>
    <row r="523" spans="1:9" ht="15.75" hidden="1" thickBot="1" x14ac:dyDescent="0.3">
      <c r="A523" s="182"/>
      <c r="B523" s="35" t="s">
        <v>584</v>
      </c>
      <c r="C523" s="35" t="s">
        <v>583</v>
      </c>
      <c r="D523" s="36">
        <v>5.5315000000000003</v>
      </c>
      <c r="E523" s="33">
        <v>20.225499999999997</v>
      </c>
      <c r="F523" s="33">
        <f>IF(ISNUMBER(E523),ROUND(E523*$D523,2),"")</f>
        <v>111.88</v>
      </c>
      <c r="G523" s="44"/>
      <c r="H523" s="45"/>
      <c r="I523" s="153">
        <v>0</v>
      </c>
    </row>
    <row r="524" spans="1:9" ht="39" hidden="1" thickBot="1" x14ac:dyDescent="0.3">
      <c r="A524" s="182"/>
      <c r="B524" s="35" t="s">
        <v>5779</v>
      </c>
      <c r="C524" s="49" t="s">
        <v>87</v>
      </c>
      <c r="D524" s="36">
        <v>1.2030000000000001</v>
      </c>
      <c r="E524" s="30">
        <v>691.60941392012001</v>
      </c>
      <c r="F524" s="33">
        <f>IF(ISNUMBER(E524),ROUND(E524*$D524,2),"")</f>
        <v>832.01</v>
      </c>
      <c r="G524" s="44"/>
      <c r="H524" s="45"/>
      <c r="I524" s="153">
        <v>0</v>
      </c>
    </row>
    <row r="525" spans="1:9" ht="15.75" hidden="1" thickBot="1" x14ac:dyDescent="0.3">
      <c r="A525" s="184"/>
      <c r="B525" s="103"/>
      <c r="C525" s="79"/>
      <c r="D525" s="95"/>
      <c r="E525" s="66" t="s">
        <v>416</v>
      </c>
      <c r="F525" s="66" t="str">
        <f>IF(ISNUMBER(E525),ROUND(E525*$D525,2),"")</f>
        <v/>
      </c>
      <c r="G525" s="68"/>
      <c r="H525" s="30"/>
      <c r="I525" s="153">
        <v>0</v>
      </c>
    </row>
    <row r="526" spans="1:9" ht="26.25" hidden="1" customHeight="1" thickBot="1" x14ac:dyDescent="0.3">
      <c r="A526" s="183" t="s">
        <v>5778</v>
      </c>
      <c r="B526" s="40" t="s">
        <v>416</v>
      </c>
      <c r="C526" s="77" t="s">
        <v>87</v>
      </c>
      <c r="D526" s="93"/>
      <c r="E526" s="41" t="s">
        <v>416</v>
      </c>
      <c r="F526" s="41" t="str">
        <f>IF(ISNUMBER(E526),ROUND(E526*$D526,2),"")</f>
        <v/>
      </c>
      <c r="G526" s="28"/>
      <c r="H526" s="29"/>
      <c r="I526" s="153">
        <v>0</v>
      </c>
    </row>
    <row r="527" spans="1:9" ht="15.75" hidden="1" thickBot="1" x14ac:dyDescent="0.3">
      <c r="A527" s="182"/>
      <c r="B527" s="31" t="s">
        <v>416</v>
      </c>
      <c r="C527" s="78"/>
      <c r="D527" s="91"/>
      <c r="E527" s="97" t="s">
        <v>416</v>
      </c>
      <c r="F527" s="98" t="str">
        <f>IF(ISNUMBER(E527),ROUND(E527*$D527,2),"")</f>
        <v/>
      </c>
      <c r="G527" s="34"/>
      <c r="H527" s="30"/>
      <c r="I527" s="153">
        <v>0</v>
      </c>
    </row>
    <row r="528" spans="1:9" ht="15.75" hidden="1" thickBot="1" x14ac:dyDescent="0.3">
      <c r="A528" s="182"/>
      <c r="B528" s="35" t="s">
        <v>591</v>
      </c>
      <c r="C528" s="35" t="s">
        <v>583</v>
      </c>
      <c r="D528" s="36">
        <v>7.4147999999999996</v>
      </c>
      <c r="E528" s="33">
        <v>27.160499999999999</v>
      </c>
      <c r="F528" s="33">
        <f>IF(ISNUMBER(E528),ROUND(E528*$D528,2),"")</f>
        <v>201.39</v>
      </c>
      <c r="G528" s="44">
        <f>SUM(F528:F530)</f>
        <v>1133.3800000000001</v>
      </c>
      <c r="H528" s="45"/>
      <c r="I528" s="153">
        <v>0</v>
      </c>
    </row>
    <row r="529" spans="1:9" ht="15.75" hidden="1" thickBot="1" x14ac:dyDescent="0.3">
      <c r="A529" s="182"/>
      <c r="B529" s="35" t="s">
        <v>584</v>
      </c>
      <c r="C529" s="35" t="s">
        <v>583</v>
      </c>
      <c r="D529" s="36">
        <v>4.9432</v>
      </c>
      <c r="E529" s="33">
        <v>20.225499999999997</v>
      </c>
      <c r="F529" s="33">
        <f>IF(ISNUMBER(E529),ROUND(E529*$D529,2),"")</f>
        <v>99.98</v>
      </c>
      <c r="G529" s="44"/>
      <c r="H529" s="45"/>
      <c r="I529" s="153">
        <v>0</v>
      </c>
    </row>
    <row r="530" spans="1:9" ht="39" hidden="1" thickBot="1" x14ac:dyDescent="0.3">
      <c r="A530" s="182"/>
      <c r="B530" s="35" t="s">
        <v>5779</v>
      </c>
      <c r="C530" s="49" t="s">
        <v>87</v>
      </c>
      <c r="D530" s="36">
        <v>1.2030000000000001</v>
      </c>
      <c r="E530" s="30">
        <v>691.60941392012001</v>
      </c>
      <c r="F530" s="33">
        <f>IF(ISNUMBER(E530),ROUND(E530*$D530,2),"")</f>
        <v>832.01</v>
      </c>
      <c r="G530" s="44"/>
      <c r="H530" s="45"/>
      <c r="I530" s="153">
        <v>0</v>
      </c>
    </row>
    <row r="531" spans="1:9" ht="15.75" hidden="1" thickBot="1" x14ac:dyDescent="0.3">
      <c r="A531" s="184"/>
      <c r="B531" s="103"/>
      <c r="C531" s="79"/>
      <c r="D531" s="95"/>
      <c r="E531" s="66" t="s">
        <v>416</v>
      </c>
      <c r="F531" s="66" t="str">
        <f>IF(ISNUMBER(E531),ROUND(E531*$D531,2),"")</f>
        <v/>
      </c>
      <c r="G531" s="68"/>
      <c r="H531" s="30"/>
      <c r="I531" s="153">
        <v>0</v>
      </c>
    </row>
    <row r="532" spans="1:9" ht="26.25" hidden="1" customHeight="1" thickBot="1" x14ac:dyDescent="0.3">
      <c r="A532" s="183" t="s">
        <v>5774</v>
      </c>
      <c r="B532" s="40" t="s">
        <v>416</v>
      </c>
      <c r="C532" s="77" t="s">
        <v>773</v>
      </c>
      <c r="D532" s="93"/>
      <c r="E532" s="41" t="s">
        <v>416</v>
      </c>
      <c r="F532" s="41" t="str">
        <f>IF(ISNUMBER(E532),ROUND(E532*$D532,2),"")</f>
        <v/>
      </c>
      <c r="G532" s="28"/>
      <c r="H532" s="29"/>
      <c r="I532" s="153">
        <v>0</v>
      </c>
    </row>
    <row r="533" spans="1:9" ht="15.75" hidden="1" thickBot="1" x14ac:dyDescent="0.3">
      <c r="A533" s="182"/>
      <c r="B533" s="31" t="s">
        <v>416</v>
      </c>
      <c r="C533" s="78"/>
      <c r="D533" s="91"/>
      <c r="E533" s="97" t="s">
        <v>416</v>
      </c>
      <c r="F533" s="98" t="str">
        <f>IF(ISNUMBER(E533),ROUND(E533*$D533,2),"")</f>
        <v/>
      </c>
      <c r="G533" s="34"/>
      <c r="H533" s="30"/>
      <c r="I533" s="153">
        <v>0</v>
      </c>
    </row>
    <row r="534" spans="1:9" ht="15.75" hidden="1" thickBot="1" x14ac:dyDescent="0.3">
      <c r="A534" s="182"/>
      <c r="B534" s="35" t="s">
        <v>7958</v>
      </c>
      <c r="C534" s="35" t="s">
        <v>773</v>
      </c>
      <c r="D534" s="36">
        <v>1</v>
      </c>
      <c r="E534" s="33">
        <v>9.4334999999999987</v>
      </c>
      <c r="F534" s="33">
        <f>IF(ISNUMBER(E534),ROUND(E534*$D534,2),"")</f>
        <v>9.43</v>
      </c>
      <c r="G534" s="44">
        <f>SUM(F534:F536)</f>
        <v>12.03</v>
      </c>
      <c r="H534" s="45"/>
      <c r="I534" s="153">
        <v>0</v>
      </c>
    </row>
    <row r="535" spans="1:9" ht="15.75" hidden="1" thickBot="1" x14ac:dyDescent="0.3">
      <c r="A535" s="182"/>
      <c r="B535" s="35" t="s">
        <v>591</v>
      </c>
      <c r="C535" s="35" t="s">
        <v>583</v>
      </c>
      <c r="D535" s="36">
        <v>6.2700000000000006E-2</v>
      </c>
      <c r="E535" s="33">
        <v>27.160499999999999</v>
      </c>
      <c r="F535" s="33">
        <f>IF(ISNUMBER(E535),ROUND(E535*$D535,2),"")</f>
        <v>1.7</v>
      </c>
      <c r="G535" s="44"/>
      <c r="H535" s="45"/>
      <c r="I535" s="153">
        <v>0</v>
      </c>
    </row>
    <row r="536" spans="1:9" ht="15.75" hidden="1" thickBot="1" x14ac:dyDescent="0.3">
      <c r="A536" s="182"/>
      <c r="B536" s="35" t="s">
        <v>584</v>
      </c>
      <c r="C536" s="35" t="s">
        <v>583</v>
      </c>
      <c r="D536" s="36">
        <v>4.4299999999999999E-2</v>
      </c>
      <c r="E536" s="30">
        <v>20.225499999999997</v>
      </c>
      <c r="F536" s="33">
        <f>IF(ISNUMBER(E536),ROUND(E536*$D536,2),"")</f>
        <v>0.9</v>
      </c>
      <c r="G536" s="44"/>
      <c r="H536" s="45"/>
      <c r="I536" s="153">
        <v>0</v>
      </c>
    </row>
    <row r="537" spans="1:9" ht="15.75" hidden="1" thickBot="1" x14ac:dyDescent="0.3">
      <c r="A537" s="184"/>
      <c r="B537" s="103"/>
      <c r="C537" s="79"/>
      <c r="D537" s="95"/>
      <c r="E537" s="66" t="s">
        <v>416</v>
      </c>
      <c r="F537" s="66" t="str">
        <f>IF(ISNUMBER(E537),ROUND(E537*$D537,2),"")</f>
        <v/>
      </c>
      <c r="G537" s="68"/>
      <c r="H537" s="30"/>
      <c r="I537" s="153">
        <v>0</v>
      </c>
    </row>
    <row r="538" spans="1:9" ht="26.25" hidden="1" customHeight="1" thickBot="1" x14ac:dyDescent="0.3">
      <c r="A538" s="183" t="s">
        <v>5775</v>
      </c>
      <c r="B538" s="40" t="s">
        <v>416</v>
      </c>
      <c r="C538" s="77" t="s">
        <v>773</v>
      </c>
      <c r="D538" s="93"/>
      <c r="E538" s="41" t="s">
        <v>416</v>
      </c>
      <c r="F538" s="41" t="str">
        <f>IF(ISNUMBER(E538),ROUND(E538*$D538,2),"")</f>
        <v/>
      </c>
      <c r="G538" s="28"/>
      <c r="H538" s="29"/>
      <c r="I538" s="153">
        <v>0</v>
      </c>
    </row>
    <row r="539" spans="1:9" ht="15.75" hidden="1" thickBot="1" x14ac:dyDescent="0.3">
      <c r="A539" s="182"/>
      <c r="B539" s="31" t="s">
        <v>416</v>
      </c>
      <c r="C539" s="78"/>
      <c r="D539" s="91"/>
      <c r="E539" s="97" t="s">
        <v>416</v>
      </c>
      <c r="F539" s="98" t="str">
        <f>IF(ISNUMBER(E539),ROUND(E539*$D539,2),"")</f>
        <v/>
      </c>
      <c r="G539" s="34"/>
      <c r="H539" s="30"/>
      <c r="I539" s="153">
        <v>0</v>
      </c>
    </row>
    <row r="540" spans="1:9" ht="15.75" hidden="1" thickBot="1" x14ac:dyDescent="0.3">
      <c r="A540" s="182"/>
      <c r="B540" s="35" t="s">
        <v>7958</v>
      </c>
      <c r="C540" s="35" t="s">
        <v>773</v>
      </c>
      <c r="D540" s="36">
        <v>1</v>
      </c>
      <c r="E540" s="33">
        <v>9.4334999999999987</v>
      </c>
      <c r="F540" s="33">
        <f>IF(ISNUMBER(E540),ROUND(E540*$D540,2),"")</f>
        <v>9.43</v>
      </c>
      <c r="G540" s="44">
        <f>SUM(F540:F542)</f>
        <v>11.469999999999999</v>
      </c>
      <c r="H540" s="45"/>
      <c r="I540" s="153">
        <v>0</v>
      </c>
    </row>
    <row r="541" spans="1:9" ht="15.75" hidden="1" thickBot="1" x14ac:dyDescent="0.3">
      <c r="A541" s="182"/>
      <c r="B541" s="35" t="s">
        <v>591</v>
      </c>
      <c r="C541" s="35" t="s">
        <v>583</v>
      </c>
      <c r="D541" s="36">
        <v>4.9200000000000001E-2</v>
      </c>
      <c r="E541" s="33">
        <v>27.160499999999999</v>
      </c>
      <c r="F541" s="33">
        <f>IF(ISNUMBER(E541),ROUND(E541*$D541,2),"")</f>
        <v>1.34</v>
      </c>
      <c r="G541" s="44"/>
      <c r="H541" s="45"/>
      <c r="I541" s="153">
        <v>0</v>
      </c>
    </row>
    <row r="542" spans="1:9" ht="15.75" hidden="1" thickBot="1" x14ac:dyDescent="0.3">
      <c r="A542" s="182"/>
      <c r="B542" s="35" t="s">
        <v>584</v>
      </c>
      <c r="C542" s="35" t="s">
        <v>583</v>
      </c>
      <c r="D542" s="36">
        <v>3.4799999999999998E-2</v>
      </c>
      <c r="E542" s="30">
        <v>20.225499999999997</v>
      </c>
      <c r="F542" s="33">
        <f>IF(ISNUMBER(E542),ROUND(E542*$D542,2),"")</f>
        <v>0.7</v>
      </c>
      <c r="G542" s="44"/>
      <c r="H542" s="45"/>
      <c r="I542" s="153">
        <v>0</v>
      </c>
    </row>
    <row r="543" spans="1:9" ht="15.75" hidden="1" thickBot="1" x14ac:dyDescent="0.3">
      <c r="A543" s="184"/>
      <c r="B543" s="103"/>
      <c r="C543" s="79"/>
      <c r="D543" s="95"/>
      <c r="E543" s="66" t="s">
        <v>416</v>
      </c>
      <c r="F543" s="66" t="str">
        <f>IF(ISNUMBER(E543),ROUND(E543*$D543,2),"")</f>
        <v/>
      </c>
      <c r="G543" s="68"/>
      <c r="H543" s="30"/>
      <c r="I543" s="153">
        <v>0</v>
      </c>
    </row>
    <row r="544" spans="1:9" ht="15.75" hidden="1" thickBot="1" x14ac:dyDescent="0.3">
      <c r="A544" s="183" t="s">
        <v>3222</v>
      </c>
      <c r="B544" s="40" t="s">
        <v>416</v>
      </c>
      <c r="C544" s="25" t="s">
        <v>861</v>
      </c>
      <c r="D544" s="93"/>
      <c r="E544" s="27" t="s">
        <v>416</v>
      </c>
      <c r="F544" s="27" t="str">
        <f>IF(ISNUMBER(E544),E544*$D544,"")</f>
        <v/>
      </c>
      <c r="G544" s="28"/>
      <c r="H544" s="29"/>
      <c r="I544" s="153">
        <v>0</v>
      </c>
    </row>
    <row r="545" spans="1:9" ht="15.75" hidden="1" thickBot="1" x14ac:dyDescent="0.3">
      <c r="A545" s="182"/>
      <c r="B545" s="31" t="s">
        <v>416</v>
      </c>
      <c r="C545" s="31"/>
      <c r="D545" s="91"/>
      <c r="E545" s="30" t="s">
        <v>416</v>
      </c>
      <c r="F545" s="30" t="str">
        <f>IF(ISNUMBER(E545),E545*$D545,"")</f>
        <v/>
      </c>
      <c r="G545" s="34"/>
      <c r="H545" s="30"/>
      <c r="I545" s="153">
        <v>0</v>
      </c>
    </row>
    <row r="546" spans="1:9" ht="15.75" hidden="1" thickBot="1" x14ac:dyDescent="0.3">
      <c r="A546" s="182"/>
      <c r="B546" s="35" t="s">
        <v>591</v>
      </c>
      <c r="C546" s="35" t="s">
        <v>583</v>
      </c>
      <c r="D546" s="36">
        <v>5.0700000000000002E-2</v>
      </c>
      <c r="E546" s="30">
        <v>27.160499999999999</v>
      </c>
      <c r="F546" s="33">
        <f>IF(ISNUMBER(E546),E546*$D546,"")</f>
        <v>1.3770373499999999</v>
      </c>
      <c r="G546" s="44">
        <f>SUM(F546:F549)</f>
        <v>2.9933977500000002</v>
      </c>
      <c r="H546" s="45"/>
      <c r="I546" s="153">
        <v>0</v>
      </c>
    </row>
    <row r="547" spans="1:9" ht="15.75" hidden="1" thickBot="1" x14ac:dyDescent="0.3">
      <c r="A547" s="182"/>
      <c r="B547" s="35" t="s">
        <v>584</v>
      </c>
      <c r="C547" s="35" t="s">
        <v>583</v>
      </c>
      <c r="D547" s="36">
        <v>7.5999999999999998E-2</v>
      </c>
      <c r="E547" s="33">
        <v>20.225499999999997</v>
      </c>
      <c r="F547" s="33">
        <f>IF(ISNUMBER(E547),E547*$D547,"")</f>
        <v>1.5371379999999997</v>
      </c>
      <c r="G547" s="44"/>
      <c r="H547" s="45"/>
      <c r="I547" s="153">
        <v>0</v>
      </c>
    </row>
    <row r="548" spans="1:9" ht="39" hidden="1" thickBot="1" x14ac:dyDescent="0.3">
      <c r="A548" s="182"/>
      <c r="B548" s="35" t="s">
        <v>812</v>
      </c>
      <c r="C548" s="35" t="s">
        <v>813</v>
      </c>
      <c r="D548" s="36">
        <v>1.6000000000000001E-3</v>
      </c>
      <c r="E548" s="30">
        <v>27.512</v>
      </c>
      <c r="F548" s="33">
        <f>IF(ISNUMBER(E548),E548*$D548,"")</f>
        <v>4.4019200000000001E-2</v>
      </c>
      <c r="G548" s="44"/>
      <c r="H548" s="45"/>
      <c r="I548" s="153">
        <v>0</v>
      </c>
    </row>
    <row r="549" spans="1:9" ht="39" hidden="1" thickBot="1" x14ac:dyDescent="0.3">
      <c r="A549" s="182"/>
      <c r="B549" s="35" t="s">
        <v>814</v>
      </c>
      <c r="C549" s="35" t="s">
        <v>815</v>
      </c>
      <c r="D549" s="36">
        <v>1.6000000000000001E-3</v>
      </c>
      <c r="E549" s="30">
        <v>22.001999999999999</v>
      </c>
      <c r="F549" s="33">
        <f>IF(ISNUMBER(E549),E549*$D549,"")</f>
        <v>3.5203199999999997E-2</v>
      </c>
      <c r="G549" s="44"/>
      <c r="H549" s="45"/>
      <c r="I549" s="153">
        <v>0</v>
      </c>
    </row>
    <row r="550" spans="1:9" ht="15.75" hidden="1" thickBot="1" x14ac:dyDescent="0.3">
      <c r="A550" s="184"/>
      <c r="B550" s="54" t="s">
        <v>416</v>
      </c>
      <c r="C550" s="54"/>
      <c r="D550" s="95"/>
      <c r="E550" s="66" t="s">
        <v>416</v>
      </c>
      <c r="F550" s="67" t="str">
        <f>IF(ISNUMBER(E550),E550*$D550,"")</f>
        <v/>
      </c>
      <c r="G550" s="68"/>
      <c r="H550" s="30"/>
      <c r="I550" s="153">
        <v>0</v>
      </c>
    </row>
    <row r="551" spans="1:9" ht="26.25" hidden="1" customHeight="1" thickBot="1" x14ac:dyDescent="0.3">
      <c r="A551" s="183" t="s">
        <v>2894</v>
      </c>
      <c r="B551" s="40" t="s">
        <v>416</v>
      </c>
      <c r="C551" s="77" t="s">
        <v>87</v>
      </c>
      <c r="D551" s="93"/>
      <c r="E551" s="41" t="s">
        <v>416</v>
      </c>
      <c r="F551" s="41" t="str">
        <f>IF(ISNUMBER(E551),ROUND(E551*$D551,2),"")</f>
        <v/>
      </c>
      <c r="G551" s="28"/>
      <c r="H551" s="29"/>
      <c r="I551" s="153">
        <v>0</v>
      </c>
    </row>
    <row r="552" spans="1:9" ht="15.75" hidden="1" thickBot="1" x14ac:dyDescent="0.3">
      <c r="A552" s="182"/>
      <c r="B552" s="31" t="s">
        <v>416</v>
      </c>
      <c r="C552" s="78"/>
      <c r="D552" s="91"/>
      <c r="E552" s="97" t="s">
        <v>416</v>
      </c>
      <c r="F552" s="98" t="str">
        <f>IF(ISNUMBER(E552),ROUND(E552*$D552,2),"")</f>
        <v/>
      </c>
      <c r="G552" s="34"/>
      <c r="H552" s="30"/>
      <c r="I552" s="153">
        <v>0</v>
      </c>
    </row>
    <row r="553" spans="1:9" ht="26.25" hidden="1" thickBot="1" x14ac:dyDescent="0.3">
      <c r="A553" s="182"/>
      <c r="B553" s="35" t="s">
        <v>7985</v>
      </c>
      <c r="C553" s="35" t="s">
        <v>87</v>
      </c>
      <c r="D553" s="36">
        <v>1.17</v>
      </c>
      <c r="E553" s="33">
        <v>202.33099999999999</v>
      </c>
      <c r="F553" s="33">
        <f>IF(ISNUMBER(E553),ROUND(E553*$D553,2),"")</f>
        <v>236.73</v>
      </c>
      <c r="G553" s="44">
        <f>SUM(F553:F562)</f>
        <v>724.61284064350002</v>
      </c>
      <c r="H553" s="45"/>
      <c r="I553" s="153">
        <v>0</v>
      </c>
    </row>
    <row r="554" spans="1:9" ht="15.75" hidden="1" thickBot="1" x14ac:dyDescent="0.3">
      <c r="A554" s="182"/>
      <c r="B554" s="35" t="s">
        <v>8040</v>
      </c>
      <c r="C554" s="35" t="s">
        <v>773</v>
      </c>
      <c r="D554" s="36">
        <v>117.22</v>
      </c>
      <c r="E554" s="30">
        <v>1.216</v>
      </c>
      <c r="F554" s="33">
        <f>IF(ISNUMBER(E554),ROUND(E554*$D554,2),"")</f>
        <v>142.54</v>
      </c>
      <c r="G554" s="44"/>
      <c r="H554" s="45"/>
      <c r="I554" s="153">
        <v>0</v>
      </c>
    </row>
    <row r="555" spans="1:9" ht="15.75" hidden="1" thickBot="1" x14ac:dyDescent="0.3">
      <c r="A555" s="182"/>
      <c r="B555" s="35" t="s">
        <v>8065</v>
      </c>
      <c r="C555" s="35" t="s">
        <v>773</v>
      </c>
      <c r="D555" s="36">
        <v>263.74</v>
      </c>
      <c r="E555" s="30">
        <v>0.627</v>
      </c>
      <c r="F555" s="33">
        <f>IF(ISNUMBER(E555),ROUND(E555*$D555,2),"")</f>
        <v>165.36</v>
      </c>
      <c r="G555" s="44"/>
      <c r="H555" s="45"/>
      <c r="I555" s="153">
        <v>0</v>
      </c>
    </row>
    <row r="556" spans="1:9" ht="26.25" hidden="1" thickBot="1" x14ac:dyDescent="0.3">
      <c r="A556" s="182"/>
      <c r="B556" s="35" t="s">
        <v>1271</v>
      </c>
      <c r="C556" s="35" t="s">
        <v>583</v>
      </c>
      <c r="D556" s="36">
        <v>5.16</v>
      </c>
      <c r="E556" s="30">
        <v>20.291999999999998</v>
      </c>
      <c r="F556" s="33">
        <f>IF(ISNUMBER(E556),E556*$D556,"")</f>
        <v>104.70671999999999</v>
      </c>
      <c r="G556" s="44"/>
      <c r="H556" s="45"/>
      <c r="I556" s="153">
        <v>0</v>
      </c>
    </row>
    <row r="557" spans="1:9" ht="39" hidden="1" thickBot="1" x14ac:dyDescent="0.3">
      <c r="A557" s="182"/>
      <c r="B557" s="35" t="s">
        <v>84</v>
      </c>
      <c r="C557" s="35" t="s">
        <v>813</v>
      </c>
      <c r="D557" s="36">
        <v>1.2</v>
      </c>
      <c r="E557" s="30">
        <v>1.6435</v>
      </c>
      <c r="F557" s="33">
        <f>IF(ISNUMBER(E557),E557*$D557,"")</f>
        <v>1.9722</v>
      </c>
      <c r="G557" s="44"/>
      <c r="H557" s="45"/>
      <c r="I557" s="153">
        <v>0</v>
      </c>
    </row>
    <row r="558" spans="1:9" ht="39" hidden="1" thickBot="1" x14ac:dyDescent="0.3">
      <c r="A558" s="182"/>
      <c r="B558" s="35" t="s">
        <v>85</v>
      </c>
      <c r="C558" s="35" t="s">
        <v>815</v>
      </c>
      <c r="D558" s="36">
        <v>3.96</v>
      </c>
      <c r="E558" s="30">
        <v>0.42749999999999999</v>
      </c>
      <c r="F558" s="33">
        <f>IF(ISNUMBER(E558),E558*$D558,"")</f>
        <v>1.6928999999999998</v>
      </c>
      <c r="G558" s="44"/>
      <c r="H558" s="45"/>
      <c r="I558" s="153">
        <v>0</v>
      </c>
    </row>
    <row r="559" spans="1:9" ht="51.75" hidden="1" thickBot="1" x14ac:dyDescent="0.3">
      <c r="A559" s="182"/>
      <c r="B559" s="35" t="s">
        <v>3071</v>
      </c>
      <c r="C559" s="35" t="s">
        <v>87</v>
      </c>
      <c r="D559" s="36">
        <f>ROUND(1*(D553),4)</f>
        <v>1.17</v>
      </c>
      <c r="E559" s="30">
        <v>8.0531015499999992</v>
      </c>
      <c r="F559" s="33">
        <f>IF(ISNUMBER(E559),E559*$D559,"")</f>
        <v>9.4221288134999988</v>
      </c>
      <c r="G559" s="44"/>
      <c r="H559" s="45"/>
      <c r="I559" s="153">
        <v>0</v>
      </c>
    </row>
    <row r="560" spans="1:9" ht="39" hidden="1" thickBot="1" x14ac:dyDescent="0.3">
      <c r="A560" s="182"/>
      <c r="B560" s="35" t="s">
        <v>3068</v>
      </c>
      <c r="C560" s="46" t="s">
        <v>89</v>
      </c>
      <c r="D560" s="36">
        <f>ROUND(D553*20,4)</f>
        <v>23.4</v>
      </c>
      <c r="E560" s="30">
        <v>2.6576449499999995</v>
      </c>
      <c r="F560" s="33">
        <f>IF(ISNUMBER(E560),E560*$D560,"")</f>
        <v>62.188891829999982</v>
      </c>
      <c r="G560" s="44"/>
      <c r="H560" s="45"/>
      <c r="I560" s="153">
        <v>0</v>
      </c>
    </row>
    <row r="561" spans="1:9" ht="15.75" hidden="1" thickBot="1" x14ac:dyDescent="0.3">
      <c r="A561" s="182"/>
      <c r="B561" s="50"/>
      <c r="C561" s="133"/>
      <c r="D561" s="36"/>
      <c r="E561" s="30" t="s">
        <v>416</v>
      </c>
      <c r="F561" s="33" t="str">
        <f>IF(ISNUMBER(E561),ROUND(E561*$D561,2),"")</f>
        <v/>
      </c>
      <c r="G561" s="44"/>
      <c r="H561" s="45"/>
      <c r="I561" s="153">
        <v>0</v>
      </c>
    </row>
    <row r="562" spans="1:9" ht="24.95" hidden="1" customHeight="1" x14ac:dyDescent="0.3">
      <c r="A562" s="182"/>
      <c r="B562" s="47" t="s">
        <v>631</v>
      </c>
      <c r="C562" s="133"/>
      <c r="D562" s="36"/>
      <c r="E562" s="30" t="s">
        <v>416</v>
      </c>
      <c r="F562" s="33" t="str">
        <f>IF(ISNUMBER(E562),ROUND(E562*$D562,2),"")</f>
        <v/>
      </c>
      <c r="G562" s="44"/>
      <c r="H562" s="45"/>
      <c r="I562" s="153">
        <v>0</v>
      </c>
    </row>
    <row r="563" spans="1:9" ht="15.75" hidden="1" thickBot="1" x14ac:dyDescent="0.3">
      <c r="A563" s="184"/>
      <c r="B563" s="103"/>
      <c r="C563" s="79"/>
      <c r="D563" s="95"/>
      <c r="E563" s="66" t="s">
        <v>416</v>
      </c>
      <c r="F563" s="66" t="str">
        <f>IF(ISNUMBER(E563),ROUND(E563*$D563,2),"")</f>
        <v/>
      </c>
      <c r="G563" s="68"/>
      <c r="H563" s="30"/>
      <c r="I563" s="153">
        <v>0</v>
      </c>
    </row>
    <row r="564" spans="1:9" ht="26.25" hidden="1" customHeight="1" thickBot="1" x14ac:dyDescent="0.3">
      <c r="A564" s="183" t="s">
        <v>6816</v>
      </c>
      <c r="B564" s="40" t="s">
        <v>416</v>
      </c>
      <c r="C564" s="77" t="s">
        <v>773</v>
      </c>
      <c r="D564" s="93"/>
      <c r="E564" s="41" t="s">
        <v>416</v>
      </c>
      <c r="F564" s="41" t="str">
        <f>IF(ISNUMBER(E564),ROUND(E564*$D564,2),"")</f>
        <v/>
      </c>
      <c r="G564" s="28"/>
      <c r="H564" s="29"/>
      <c r="I564" s="153">
        <v>0</v>
      </c>
    </row>
    <row r="565" spans="1:9" ht="15.75" hidden="1" thickBot="1" x14ac:dyDescent="0.3">
      <c r="A565" s="182"/>
      <c r="B565" s="31" t="s">
        <v>416</v>
      </c>
      <c r="C565" s="78"/>
      <c r="D565" s="91"/>
      <c r="E565" s="97" t="s">
        <v>416</v>
      </c>
      <c r="F565" s="98" t="str">
        <f>IF(ISNUMBER(E565),ROUND(E565*$D565,2),"")</f>
        <v/>
      </c>
      <c r="G565" s="34"/>
      <c r="H565" s="30"/>
      <c r="I565" s="153">
        <v>0</v>
      </c>
    </row>
    <row r="566" spans="1:9" ht="15.75" hidden="1" thickBot="1" x14ac:dyDescent="0.3">
      <c r="A566" s="182"/>
      <c r="B566" s="35" t="s">
        <v>1277</v>
      </c>
      <c r="C566" s="35" t="s">
        <v>773</v>
      </c>
      <c r="D566" s="36">
        <v>1.07</v>
      </c>
      <c r="E566" s="33">
        <v>8.9205000000000005</v>
      </c>
      <c r="F566" s="33">
        <f>IF(ISNUMBER(E566),ROUND(E566*$D566,2),"")</f>
        <v>9.5399999999999991</v>
      </c>
      <c r="G566" s="44">
        <f>SUM(F566:F568)</f>
        <v>11.299999999999999</v>
      </c>
      <c r="H566" s="45"/>
      <c r="I566" s="153">
        <v>0</v>
      </c>
    </row>
    <row r="567" spans="1:9" ht="15.75" hidden="1" thickBot="1" x14ac:dyDescent="0.3">
      <c r="A567" s="182"/>
      <c r="B567" s="35" t="s">
        <v>775</v>
      </c>
      <c r="C567" s="35" t="s">
        <v>583</v>
      </c>
      <c r="D567" s="36">
        <v>9.4999999999999998E-3</v>
      </c>
      <c r="E567" s="33">
        <v>20.196999999999999</v>
      </c>
      <c r="F567" s="33">
        <f>IF(ISNUMBER(E567),ROUND(E567*$D567,2),"")</f>
        <v>0.19</v>
      </c>
      <c r="G567" s="44"/>
      <c r="H567" s="45"/>
      <c r="I567" s="153">
        <v>0</v>
      </c>
    </row>
    <row r="568" spans="1:9" ht="15.75" hidden="1" thickBot="1" x14ac:dyDescent="0.3">
      <c r="A568" s="182"/>
      <c r="B568" s="35" t="s">
        <v>776</v>
      </c>
      <c r="C568" s="35" t="s">
        <v>583</v>
      </c>
      <c r="D568" s="36">
        <v>5.8099999999999999E-2</v>
      </c>
      <c r="E568" s="30">
        <v>26.970499999999998</v>
      </c>
      <c r="F568" s="33">
        <f>IF(ISNUMBER(E568),ROUND(E568*$D568,2),"")</f>
        <v>1.57</v>
      </c>
      <c r="G568" s="44"/>
      <c r="H568" s="45"/>
      <c r="I568" s="153">
        <v>0</v>
      </c>
    </row>
    <row r="569" spans="1:9" ht="15.75" hidden="1" thickBot="1" x14ac:dyDescent="0.3">
      <c r="A569" s="184"/>
      <c r="B569" s="103"/>
      <c r="C569" s="79"/>
      <c r="D569" s="95"/>
      <c r="E569" s="66" t="s">
        <v>416</v>
      </c>
      <c r="F569" s="66" t="str">
        <f>IF(ISNUMBER(E569),ROUND(E569*$D569,2),"")</f>
        <v/>
      </c>
      <c r="G569" s="68"/>
      <c r="H569" s="30"/>
      <c r="I569" s="153">
        <v>0</v>
      </c>
    </row>
    <row r="570" spans="1:9" ht="26.25" hidden="1" customHeight="1" thickBot="1" x14ac:dyDescent="0.3">
      <c r="A570" s="183" t="s">
        <v>6972</v>
      </c>
      <c r="B570" s="40" t="s">
        <v>416</v>
      </c>
      <c r="C570" s="77" t="s">
        <v>773</v>
      </c>
      <c r="D570" s="93"/>
      <c r="E570" s="41" t="s">
        <v>416</v>
      </c>
      <c r="F570" s="41" t="str">
        <f>IF(ISNUMBER(E570),ROUND(E570*$D570,2),"")</f>
        <v/>
      </c>
      <c r="G570" s="28"/>
      <c r="H570" s="29"/>
      <c r="I570" s="153">
        <v>0</v>
      </c>
    </row>
    <row r="571" spans="1:9" ht="15.75" hidden="1" thickBot="1" x14ac:dyDescent="0.3">
      <c r="A571" s="182"/>
      <c r="B571" s="31" t="s">
        <v>416</v>
      </c>
      <c r="C571" s="78"/>
      <c r="D571" s="91"/>
      <c r="E571" s="97" t="s">
        <v>416</v>
      </c>
      <c r="F571" s="98" t="str">
        <f>IF(ISNUMBER(E571),ROUND(E571*$D571,2),"")</f>
        <v/>
      </c>
      <c r="G571" s="34"/>
      <c r="H571" s="30"/>
      <c r="I571" s="153">
        <v>0</v>
      </c>
    </row>
    <row r="572" spans="1:9" ht="26.25" hidden="1" thickBot="1" x14ac:dyDescent="0.3">
      <c r="A572" s="182"/>
      <c r="B572" s="35" t="s">
        <v>3060</v>
      </c>
      <c r="C572" s="35" t="s">
        <v>773</v>
      </c>
      <c r="D572" s="36">
        <v>0.02</v>
      </c>
      <c r="E572" s="33">
        <v>21.042499999999997</v>
      </c>
      <c r="F572" s="33">
        <f>IF(ISNUMBER(E572),ROUND(E572*$D572,2),"")</f>
        <v>0.42</v>
      </c>
      <c r="G572" s="44">
        <f>SUM(F572:F575)</f>
        <v>9.89</v>
      </c>
      <c r="H572" s="45"/>
      <c r="I572" s="153">
        <v>0</v>
      </c>
    </row>
    <row r="573" spans="1:9" ht="15.75" hidden="1" thickBot="1" x14ac:dyDescent="0.3">
      <c r="A573" s="182"/>
      <c r="B573" s="35" t="s">
        <v>775</v>
      </c>
      <c r="C573" s="35" t="s">
        <v>583</v>
      </c>
      <c r="D573" s="36">
        <v>2.0999999999999999E-3</v>
      </c>
      <c r="E573" s="33">
        <v>20.196999999999999</v>
      </c>
      <c r="F573" s="33">
        <f>IF(ISNUMBER(E573),ROUND(E573*$D573,2),"")</f>
        <v>0.04</v>
      </c>
      <c r="G573" s="44"/>
      <c r="H573" s="45"/>
      <c r="I573" s="153">
        <v>0</v>
      </c>
    </row>
    <row r="574" spans="1:9" ht="15.75" hidden="1" thickBot="1" x14ac:dyDescent="0.3">
      <c r="A574" s="182"/>
      <c r="B574" s="35" t="s">
        <v>776</v>
      </c>
      <c r="C574" s="35" t="s">
        <v>583</v>
      </c>
      <c r="D574" s="36">
        <v>1.06E-2</v>
      </c>
      <c r="E574" s="33">
        <v>26.970499999999998</v>
      </c>
      <c r="F574" s="33">
        <f>IF(ISNUMBER(E574),ROUND(E574*$D574,2),"")</f>
        <v>0.28999999999999998</v>
      </c>
      <c r="G574" s="44"/>
      <c r="H574" s="45"/>
      <c r="I574" s="153">
        <v>0</v>
      </c>
    </row>
    <row r="575" spans="1:9" ht="26.25" hidden="1" thickBot="1" x14ac:dyDescent="0.3">
      <c r="A575" s="182"/>
      <c r="B575" s="35" t="s">
        <v>2881</v>
      </c>
      <c r="C575" s="49" t="s">
        <v>773</v>
      </c>
      <c r="D575" s="36">
        <v>1</v>
      </c>
      <c r="E575" s="30">
        <v>9.136126250000002</v>
      </c>
      <c r="F575" s="33">
        <f>IF(ISNUMBER(E575),ROUND(E575*$D575,2),"")</f>
        <v>9.14</v>
      </c>
      <c r="G575" s="44"/>
      <c r="H575" s="45"/>
      <c r="I575" s="153">
        <v>0</v>
      </c>
    </row>
    <row r="576" spans="1:9" ht="15.75" hidden="1" thickBot="1" x14ac:dyDescent="0.3">
      <c r="A576" s="184"/>
      <c r="B576" s="103"/>
      <c r="C576" s="79"/>
      <c r="D576" s="95"/>
      <c r="E576" s="66" t="s">
        <v>416</v>
      </c>
      <c r="F576" s="66" t="str">
        <f>IF(ISNUMBER(E576),ROUND(E576*$D576,2),"")</f>
        <v/>
      </c>
      <c r="G576" s="68"/>
      <c r="H576" s="30"/>
      <c r="I576" s="153">
        <v>0</v>
      </c>
    </row>
    <row r="577" spans="1:9" ht="26.25" hidden="1" customHeight="1" thickBot="1" x14ac:dyDescent="0.3">
      <c r="A577" s="183" t="s">
        <v>3067</v>
      </c>
      <c r="B577" s="40" t="s">
        <v>416</v>
      </c>
      <c r="C577" s="77" t="s">
        <v>1269</v>
      </c>
      <c r="D577" s="93"/>
      <c r="E577" s="41" t="s">
        <v>416</v>
      </c>
      <c r="F577" s="41" t="str">
        <f>IF(ISNUMBER(E577),ROUND(E577*$D577,2),"")</f>
        <v/>
      </c>
      <c r="G577" s="28"/>
      <c r="H577" s="29"/>
      <c r="I577" s="153">
        <v>0</v>
      </c>
    </row>
    <row r="578" spans="1:9" ht="15.75" hidden="1" thickBot="1" x14ac:dyDescent="0.3">
      <c r="A578" s="182"/>
      <c r="B578" s="31" t="s">
        <v>416</v>
      </c>
      <c r="C578" s="78"/>
      <c r="D578" s="91"/>
      <c r="E578" s="97" t="s">
        <v>416</v>
      </c>
      <c r="F578" s="98" t="str">
        <f>IF(ISNUMBER(E578),ROUND(E578*$D578,2),"")</f>
        <v/>
      </c>
      <c r="G578" s="34"/>
      <c r="H578" s="30"/>
      <c r="I578" s="153">
        <v>0</v>
      </c>
    </row>
    <row r="579" spans="1:9" ht="51.75" hidden="1" thickBot="1" x14ac:dyDescent="0.3">
      <c r="A579" s="182"/>
      <c r="B579" s="35" t="s">
        <v>939</v>
      </c>
      <c r="C579" s="35" t="s">
        <v>813</v>
      </c>
      <c r="D579" s="36">
        <v>1.52E-2</v>
      </c>
      <c r="E579" s="33">
        <v>169.09049999999999</v>
      </c>
      <c r="F579" s="33">
        <f>IF(ISNUMBER(E579),ROUND(E579*$D579,2),"")</f>
        <v>2.57</v>
      </c>
      <c r="G579" s="44">
        <f>SUM(F579:F580)</f>
        <v>2.9</v>
      </c>
      <c r="H579" s="45"/>
      <c r="I579" s="153">
        <v>0</v>
      </c>
    </row>
    <row r="580" spans="1:9" ht="51.75" hidden="1" thickBot="1" x14ac:dyDescent="0.3">
      <c r="A580" s="182"/>
      <c r="B580" s="35" t="s">
        <v>940</v>
      </c>
      <c r="C580" s="35" t="s">
        <v>815</v>
      </c>
      <c r="D580" s="36">
        <v>6.4999999999999997E-3</v>
      </c>
      <c r="E580" s="33">
        <v>51.214499999999994</v>
      </c>
      <c r="F580" s="33">
        <f>IF(ISNUMBER(E580),ROUND(E580*$D580,2),"")</f>
        <v>0.33</v>
      </c>
      <c r="G580" s="44"/>
      <c r="H580" s="45"/>
      <c r="I580" s="153">
        <v>0</v>
      </c>
    </row>
    <row r="581" spans="1:9" ht="15.75" hidden="1" thickBot="1" x14ac:dyDescent="0.3">
      <c r="A581" s="184"/>
      <c r="B581" s="103"/>
      <c r="C581" s="79"/>
      <c r="D581" s="95"/>
      <c r="E581" s="66" t="s">
        <v>416</v>
      </c>
      <c r="F581" s="66" t="str">
        <f>IF(ISNUMBER(E581),ROUND(E581*$D581,2),"")</f>
        <v/>
      </c>
      <c r="G581" s="68"/>
      <c r="H581" s="30"/>
      <c r="I581" s="153">
        <v>0</v>
      </c>
    </row>
    <row r="582" spans="1:9" ht="26.25" hidden="1" customHeight="1" thickBot="1" x14ac:dyDescent="0.3">
      <c r="A582" s="183" t="s">
        <v>2899</v>
      </c>
      <c r="B582" s="40" t="s">
        <v>416</v>
      </c>
      <c r="C582" s="77" t="s">
        <v>87</v>
      </c>
      <c r="D582" s="93"/>
      <c r="E582" s="41" t="s">
        <v>416</v>
      </c>
      <c r="F582" s="41" t="str">
        <f>IF(ISNUMBER(E582),ROUND(E582*$D582,2),"")</f>
        <v/>
      </c>
      <c r="G582" s="28"/>
      <c r="H582" s="29"/>
      <c r="I582" s="153">
        <v>0</v>
      </c>
    </row>
    <row r="583" spans="1:9" ht="15.75" hidden="1" thickBot="1" x14ac:dyDescent="0.3">
      <c r="A583" s="182"/>
      <c r="B583" s="31" t="s">
        <v>416</v>
      </c>
      <c r="C583" s="78"/>
      <c r="D583" s="91"/>
      <c r="E583" s="97" t="s">
        <v>416</v>
      </c>
      <c r="F583" s="98" t="str">
        <f>IF(ISNUMBER(E583),ROUND(E583*$D583,2),"")</f>
        <v/>
      </c>
      <c r="G583" s="34"/>
      <c r="H583" s="30"/>
      <c r="I583" s="153">
        <v>0</v>
      </c>
    </row>
    <row r="584" spans="1:9" ht="26.25" hidden="1" thickBot="1" x14ac:dyDescent="0.3">
      <c r="A584" s="182"/>
      <c r="B584" s="35" t="s">
        <v>7985</v>
      </c>
      <c r="C584" s="35" t="s">
        <v>87</v>
      </c>
      <c r="D584" s="36">
        <v>1.19</v>
      </c>
      <c r="E584" s="33">
        <v>202.33099999999999</v>
      </c>
      <c r="F584" s="33">
        <f>IF(ISNUMBER(E584),ROUND(E584*$D584,2),"")</f>
        <v>240.77</v>
      </c>
      <c r="G584" s="44">
        <f>SUM(F584:F593)</f>
        <v>708.47405065450005</v>
      </c>
      <c r="H584" s="45"/>
      <c r="I584" s="153">
        <v>0</v>
      </c>
    </row>
    <row r="585" spans="1:9" ht="15.75" hidden="1" thickBot="1" x14ac:dyDescent="0.3">
      <c r="A585" s="182"/>
      <c r="B585" s="35" t="s">
        <v>8040</v>
      </c>
      <c r="C585" s="35" t="s">
        <v>773</v>
      </c>
      <c r="D585" s="36">
        <v>158.94999999999999</v>
      </c>
      <c r="E585" s="30">
        <v>1.216</v>
      </c>
      <c r="F585" s="33">
        <f>IF(ISNUMBER(E585),ROUND(E585*$D585,2),"")</f>
        <v>193.28</v>
      </c>
      <c r="G585" s="44"/>
      <c r="H585" s="45"/>
      <c r="I585" s="153">
        <v>0</v>
      </c>
    </row>
    <row r="586" spans="1:9" ht="15.75" hidden="1" thickBot="1" x14ac:dyDescent="0.3">
      <c r="A586" s="182"/>
      <c r="B586" s="35" t="s">
        <v>8065</v>
      </c>
      <c r="C586" s="35" t="s">
        <v>773</v>
      </c>
      <c r="D586" s="36">
        <v>178.82</v>
      </c>
      <c r="E586" s="30">
        <v>0.627</v>
      </c>
      <c r="F586" s="33">
        <f>IF(ISNUMBER(E586),ROUND(E586*$D586,2),"")</f>
        <v>112.12</v>
      </c>
      <c r="G586" s="44"/>
      <c r="H586" s="45"/>
      <c r="I586" s="153">
        <v>0</v>
      </c>
    </row>
    <row r="587" spans="1:9" ht="26.25" hidden="1" thickBot="1" x14ac:dyDescent="0.3">
      <c r="A587" s="182"/>
      <c r="B587" s="35" t="s">
        <v>1271</v>
      </c>
      <c r="C587" s="35" t="s">
        <v>583</v>
      </c>
      <c r="D587" s="36">
        <v>4.26</v>
      </c>
      <c r="E587" s="30">
        <v>20.291999999999998</v>
      </c>
      <c r="F587" s="33">
        <f>IF(ISNUMBER(E587),E587*$D587,"")</f>
        <v>86.443919999999991</v>
      </c>
      <c r="G587" s="44"/>
      <c r="H587" s="45"/>
      <c r="I587" s="153">
        <v>0</v>
      </c>
    </row>
    <row r="588" spans="1:9" ht="39" hidden="1" thickBot="1" x14ac:dyDescent="0.3">
      <c r="A588" s="182"/>
      <c r="B588" s="35" t="s">
        <v>84</v>
      </c>
      <c r="C588" s="35" t="s">
        <v>813</v>
      </c>
      <c r="D588" s="36">
        <v>0.99</v>
      </c>
      <c r="E588" s="30">
        <v>1.6435</v>
      </c>
      <c r="F588" s="33">
        <f>IF(ISNUMBER(E588),E588*$D588,"")</f>
        <v>1.627065</v>
      </c>
      <c r="G588" s="44"/>
      <c r="H588" s="45"/>
      <c r="I588" s="153">
        <v>0</v>
      </c>
    </row>
    <row r="589" spans="1:9" ht="39" hidden="1" thickBot="1" x14ac:dyDescent="0.3">
      <c r="A589" s="182"/>
      <c r="B589" s="35" t="s">
        <v>85</v>
      </c>
      <c r="C589" s="35" t="s">
        <v>815</v>
      </c>
      <c r="D589" s="36">
        <v>3.27</v>
      </c>
      <c r="E589" s="30">
        <v>0.42749999999999999</v>
      </c>
      <c r="F589" s="33">
        <f>IF(ISNUMBER(E589),E589*$D589,"")</f>
        <v>1.3979250000000001</v>
      </c>
      <c r="G589" s="44"/>
      <c r="H589" s="45"/>
      <c r="I589" s="153">
        <v>0</v>
      </c>
    </row>
    <row r="590" spans="1:9" ht="51.75" hidden="1" thickBot="1" x14ac:dyDescent="0.3">
      <c r="A590" s="182"/>
      <c r="B590" s="35" t="s">
        <v>3071</v>
      </c>
      <c r="C590" s="35" t="s">
        <v>87</v>
      </c>
      <c r="D590" s="36">
        <f>ROUND(1*(D584),4)</f>
        <v>1.19</v>
      </c>
      <c r="E590" s="30">
        <v>8.0531015499999992</v>
      </c>
      <c r="F590" s="33">
        <f>IF(ISNUMBER(E590),E590*$D590,"")</f>
        <v>9.5831908444999989</v>
      </c>
      <c r="G590" s="44"/>
      <c r="H590" s="45"/>
      <c r="I590" s="153">
        <v>0</v>
      </c>
    </row>
    <row r="591" spans="1:9" ht="39" hidden="1" thickBot="1" x14ac:dyDescent="0.3">
      <c r="A591" s="182"/>
      <c r="B591" s="35" t="s">
        <v>3068</v>
      </c>
      <c r="C591" s="46" t="s">
        <v>89</v>
      </c>
      <c r="D591" s="36">
        <f>ROUND(D584*20,4)</f>
        <v>23.8</v>
      </c>
      <c r="E591" s="30">
        <v>2.6576449499999995</v>
      </c>
      <c r="F591" s="33">
        <f>IF(ISNUMBER(E591),E591*$D591,"")</f>
        <v>63.251949809999992</v>
      </c>
      <c r="G591" s="44"/>
      <c r="H591" s="45"/>
      <c r="I591" s="153">
        <v>0</v>
      </c>
    </row>
    <row r="592" spans="1:9" ht="15.75" hidden="1" thickBot="1" x14ac:dyDescent="0.3">
      <c r="A592" s="182"/>
      <c r="B592" s="50"/>
      <c r="C592" s="133"/>
      <c r="D592" s="36"/>
      <c r="E592" s="30" t="s">
        <v>416</v>
      </c>
      <c r="F592" s="33" t="str">
        <f>IF(ISNUMBER(E592),ROUND(E592*$D592,2),"")</f>
        <v/>
      </c>
      <c r="G592" s="44"/>
      <c r="H592" s="45"/>
      <c r="I592" s="153">
        <v>0</v>
      </c>
    </row>
    <row r="593" spans="1:9" ht="24.95" hidden="1" customHeight="1" x14ac:dyDescent="0.3">
      <c r="A593" s="182"/>
      <c r="B593" s="47" t="s">
        <v>631</v>
      </c>
      <c r="C593" s="133"/>
      <c r="D593" s="36"/>
      <c r="E593" s="30" t="s">
        <v>416</v>
      </c>
      <c r="F593" s="33" t="str">
        <f>IF(ISNUMBER(E593),ROUND(E593*$D593,2),"")</f>
        <v/>
      </c>
      <c r="G593" s="44"/>
      <c r="H593" s="45"/>
      <c r="I593" s="153">
        <v>0</v>
      </c>
    </row>
    <row r="594" spans="1:9" ht="15.75" hidden="1" thickBot="1" x14ac:dyDescent="0.3">
      <c r="A594" s="184"/>
      <c r="B594" s="103"/>
      <c r="C594" s="79"/>
      <c r="D594" s="95"/>
      <c r="E594" s="66" t="s">
        <v>416</v>
      </c>
      <c r="F594" s="66" t="str">
        <f>IF(ISNUMBER(E594),ROUND(E594*$D594,2),"")</f>
        <v/>
      </c>
      <c r="G594" s="68"/>
      <c r="H594" s="30"/>
      <c r="I594" s="153">
        <v>0</v>
      </c>
    </row>
    <row r="595" spans="1:9" ht="15.75" hidden="1" thickBot="1" x14ac:dyDescent="0.3">
      <c r="A595" s="183" t="s">
        <v>6820</v>
      </c>
      <c r="B595" s="40" t="s">
        <v>416</v>
      </c>
      <c r="C595" s="25" t="s">
        <v>773</v>
      </c>
      <c r="D595" s="93"/>
      <c r="E595" s="41" t="s">
        <v>416</v>
      </c>
      <c r="F595" s="41" t="str">
        <f>IF(ISNUMBER(E595),E595*$D595,"")</f>
        <v/>
      </c>
      <c r="G595" s="28"/>
      <c r="H595" s="29"/>
      <c r="I595" s="153">
        <v>0</v>
      </c>
    </row>
    <row r="596" spans="1:9" ht="15.75" hidden="1" thickBot="1" x14ac:dyDescent="0.3">
      <c r="A596" s="182"/>
      <c r="B596" s="31" t="s">
        <v>416</v>
      </c>
      <c r="C596" s="31"/>
      <c r="D596" s="91"/>
      <c r="E596" s="42" t="s">
        <v>416</v>
      </c>
      <c r="F596" s="30" t="str">
        <f>IF(ISNUMBER(E596),E596*$D596,"")</f>
        <v/>
      </c>
      <c r="G596" s="34"/>
      <c r="H596" s="30"/>
      <c r="I596" s="153">
        <v>0</v>
      </c>
    </row>
    <row r="597" spans="1:9" ht="26.25" hidden="1" thickBot="1" x14ac:dyDescent="0.3">
      <c r="A597" s="182"/>
      <c r="B597" s="35" t="s">
        <v>7957</v>
      </c>
      <c r="C597" s="35" t="s">
        <v>773</v>
      </c>
      <c r="D597" s="36">
        <v>1.1100000000000001</v>
      </c>
      <c r="E597" s="33">
        <v>10.1365</v>
      </c>
      <c r="F597" s="33">
        <f>IF(ISNUMBER(E597),E597*$D597,"")</f>
        <v>11.251515000000001</v>
      </c>
      <c r="G597" s="44">
        <f>SUM(F597:F598)</f>
        <v>11.351305850000001</v>
      </c>
      <c r="H597" s="45"/>
      <c r="I597" s="153">
        <v>0</v>
      </c>
    </row>
    <row r="598" spans="1:9" ht="15.75" hidden="1" thickBot="1" x14ac:dyDescent="0.3">
      <c r="A598" s="182"/>
      <c r="B598" s="35" t="s">
        <v>776</v>
      </c>
      <c r="C598" s="35" t="s">
        <v>583</v>
      </c>
      <c r="D598" s="36">
        <v>3.7000000000000002E-3</v>
      </c>
      <c r="E598" s="33">
        <v>26.970499999999998</v>
      </c>
      <c r="F598" s="33">
        <f>IF(ISNUMBER(E598),E598*$D598,"")</f>
        <v>9.979085E-2</v>
      </c>
      <c r="G598" s="44"/>
      <c r="H598" s="45"/>
      <c r="I598" s="153">
        <v>0</v>
      </c>
    </row>
    <row r="599" spans="1:9" ht="15.75" hidden="1" thickBot="1" x14ac:dyDescent="0.3">
      <c r="A599" s="182"/>
      <c r="B599" s="35" t="s">
        <v>416</v>
      </c>
      <c r="C599" s="35"/>
      <c r="D599" s="92"/>
      <c r="E599" s="30" t="s">
        <v>416</v>
      </c>
      <c r="F599" s="30" t="str">
        <f>IF(ISNUMBER(E599),E599*$D599,"")</f>
        <v/>
      </c>
      <c r="G599" s="34"/>
      <c r="H599" s="30"/>
      <c r="I599" s="153">
        <v>0</v>
      </c>
    </row>
    <row r="600" spans="1:9" ht="15.75" thickBot="1" x14ac:dyDescent="0.3">
      <c r="A600" s="183" t="s">
        <v>6814</v>
      </c>
      <c r="B600" s="40" t="s">
        <v>416</v>
      </c>
      <c r="C600" s="25" t="s">
        <v>773</v>
      </c>
      <c r="D600" s="93"/>
      <c r="E600" s="27" t="s">
        <v>416</v>
      </c>
      <c r="F600" s="27" t="str">
        <f>IF(ISNUMBER(E600),E600*$D600,"")</f>
        <v/>
      </c>
      <c r="G600" s="28"/>
      <c r="H600" s="29"/>
      <c r="I600" s="153">
        <v>47.597700000000003</v>
      </c>
    </row>
    <row r="601" spans="1:9" x14ac:dyDescent="0.25">
      <c r="A601" s="182"/>
      <c r="B601" s="31" t="s">
        <v>416</v>
      </c>
      <c r="C601" s="31"/>
      <c r="D601" s="91"/>
      <c r="E601" s="30" t="s">
        <v>416</v>
      </c>
      <c r="F601" s="30" t="str">
        <f>IF(ISNUMBER(E601),E601*$D601,"")</f>
        <v/>
      </c>
      <c r="G601" s="34"/>
      <c r="H601" s="30"/>
      <c r="I601" s="153">
        <v>47.597700000000003</v>
      </c>
    </row>
    <row r="602" spans="1:9" ht="38.25" x14ac:dyDescent="0.25">
      <c r="A602" s="182"/>
      <c r="B602" s="35" t="s">
        <v>774</v>
      </c>
      <c r="C602" s="35" t="s">
        <v>213</v>
      </c>
      <c r="D602" s="36">
        <v>2.1179999999999999</v>
      </c>
      <c r="E602" s="30">
        <v>0.20899999999999999</v>
      </c>
      <c r="F602" s="33">
        <f>IF(ISNUMBER(E602),E602*$D602,"")</f>
        <v>0.44266199999999994</v>
      </c>
      <c r="G602" s="44">
        <f>SUM(F602:F606)</f>
        <v>14.775673950000002</v>
      </c>
      <c r="H602" s="45"/>
      <c r="I602" s="153">
        <v>47.597700000000003</v>
      </c>
    </row>
    <row r="603" spans="1:9" ht="25.5" x14ac:dyDescent="0.25">
      <c r="A603" s="182"/>
      <c r="B603" s="35" t="s">
        <v>3060</v>
      </c>
      <c r="C603" s="35" t="s">
        <v>773</v>
      </c>
      <c r="D603" s="36">
        <v>2.5000000000000001E-2</v>
      </c>
      <c r="E603" s="30">
        <v>21.042499999999997</v>
      </c>
      <c r="F603" s="33">
        <f>IF(ISNUMBER(E603),E603*$D603,"")</f>
        <v>0.52606249999999999</v>
      </c>
      <c r="G603" s="44"/>
      <c r="H603" s="45"/>
      <c r="I603" s="153">
        <v>47.597700000000003</v>
      </c>
    </row>
    <row r="604" spans="1:9" x14ac:dyDescent="0.25">
      <c r="A604" s="182"/>
      <c r="B604" s="35" t="s">
        <v>775</v>
      </c>
      <c r="C604" s="35" t="s">
        <v>583</v>
      </c>
      <c r="D604" s="36">
        <v>1.3599999999999999E-2</v>
      </c>
      <c r="E604" s="33">
        <v>20.196999999999999</v>
      </c>
      <c r="F604" s="33">
        <f>IF(ISNUMBER(E604),E604*$D604,"")</f>
        <v>0.27467919999999996</v>
      </c>
      <c r="G604" s="44"/>
      <c r="H604" s="45"/>
      <c r="I604" s="153">
        <v>47.597700000000003</v>
      </c>
    </row>
    <row r="605" spans="1:9" ht="15.75" customHeight="1" x14ac:dyDescent="0.25">
      <c r="A605" s="182"/>
      <c r="B605" s="35" t="s">
        <v>776</v>
      </c>
      <c r="C605" s="35" t="s">
        <v>583</v>
      </c>
      <c r="D605" s="36">
        <v>8.3599999999999994E-2</v>
      </c>
      <c r="E605" s="30">
        <v>26.970499999999998</v>
      </c>
      <c r="F605" s="33">
        <f>IF(ISNUMBER(E605),E605*$D605,"")</f>
        <v>2.2547337999999995</v>
      </c>
      <c r="G605" s="44"/>
      <c r="H605" s="45"/>
      <c r="I605" s="153">
        <v>47.597700000000003</v>
      </c>
    </row>
    <row r="606" spans="1:9" ht="25.5" x14ac:dyDescent="0.25">
      <c r="A606" s="182"/>
      <c r="B606" s="35" t="s">
        <v>2882</v>
      </c>
      <c r="C606" s="46" t="s">
        <v>773</v>
      </c>
      <c r="D606" s="36">
        <v>1</v>
      </c>
      <c r="E606" s="30">
        <v>11.277536450000001</v>
      </c>
      <c r="F606" s="33">
        <f>IF(ISNUMBER(E606),E606*$D606,"")</f>
        <v>11.277536450000001</v>
      </c>
      <c r="G606" s="44"/>
      <c r="H606" s="45"/>
      <c r="I606" s="153">
        <v>47.597700000000003</v>
      </c>
    </row>
    <row r="607" spans="1:9" ht="15.75" thickBot="1" x14ac:dyDescent="0.3">
      <c r="A607" s="184"/>
      <c r="B607" s="160"/>
      <c r="C607" s="155"/>
      <c r="D607" s="65"/>
      <c r="E607" s="66" t="s">
        <v>416</v>
      </c>
      <c r="F607" s="67" t="str">
        <f>IF(ISNUMBER(E607),E607*$D607,"")</f>
        <v/>
      </c>
      <c r="G607" s="161"/>
      <c r="H607" s="45"/>
      <c r="I607" s="153">
        <v>47.597700000000003</v>
      </c>
    </row>
    <row r="608" spans="1:9" ht="26.25" hidden="1" customHeight="1" thickBot="1" x14ac:dyDescent="0.3">
      <c r="A608" s="183" t="s">
        <v>3073</v>
      </c>
      <c r="B608" s="40" t="s">
        <v>416</v>
      </c>
      <c r="C608" s="77" t="s">
        <v>1141</v>
      </c>
      <c r="D608" s="93"/>
      <c r="E608" s="41" t="s">
        <v>416</v>
      </c>
      <c r="F608" s="41" t="str">
        <f>IF(ISNUMBER(E608),ROUND(E608*$D608,2),"")</f>
        <v/>
      </c>
      <c r="G608" s="28"/>
      <c r="H608" s="29"/>
      <c r="I608" s="153">
        <v>0</v>
      </c>
    </row>
    <row r="609" spans="1:9" ht="15.75" hidden="1" thickBot="1" x14ac:dyDescent="0.3">
      <c r="A609" s="182"/>
      <c r="B609" s="31" t="s">
        <v>416</v>
      </c>
      <c r="C609" s="78"/>
      <c r="D609" s="91"/>
      <c r="E609" s="97" t="s">
        <v>416</v>
      </c>
      <c r="F609" s="98" t="str">
        <f>IF(ISNUMBER(E609),ROUND(E609*$D609,2),"")</f>
        <v/>
      </c>
      <c r="G609" s="34"/>
      <c r="H609" s="30"/>
      <c r="I609" s="153">
        <v>0</v>
      </c>
    </row>
    <row r="610" spans="1:9" ht="51.75" hidden="1" thickBot="1" x14ac:dyDescent="0.3">
      <c r="A610" s="182"/>
      <c r="B610" s="35" t="s">
        <v>2864</v>
      </c>
      <c r="C610" s="35" t="s">
        <v>813</v>
      </c>
      <c r="D610" s="36">
        <v>0.1071</v>
      </c>
      <c r="E610" s="33">
        <v>252.10149999999999</v>
      </c>
      <c r="F610" s="33">
        <f>IF(ISNUMBER(E610),ROUND(E610*$D610,2),"")</f>
        <v>27</v>
      </c>
      <c r="G610" s="44">
        <f>SUM(F610:F612)</f>
        <v>35.769999999999996</v>
      </c>
      <c r="H610" s="45"/>
      <c r="I610" s="153">
        <v>0</v>
      </c>
    </row>
    <row r="611" spans="1:9" ht="51.75" hidden="1" thickBot="1" x14ac:dyDescent="0.3">
      <c r="A611" s="182"/>
      <c r="B611" s="35" t="s">
        <v>2871</v>
      </c>
      <c r="C611" s="35" t="s">
        <v>815</v>
      </c>
      <c r="D611" s="36">
        <v>4.5900000000000003E-2</v>
      </c>
      <c r="E611" s="33">
        <v>56.201999999999991</v>
      </c>
      <c r="F611" s="33">
        <f>IF(ISNUMBER(E611),ROUND(E611*$D611,2),"")</f>
        <v>2.58</v>
      </c>
      <c r="G611" s="44"/>
      <c r="H611" s="45"/>
      <c r="I611" s="153">
        <v>0</v>
      </c>
    </row>
    <row r="612" spans="1:9" ht="15.75" hidden="1" thickBot="1" x14ac:dyDescent="0.3">
      <c r="A612" s="182"/>
      <c r="B612" s="35" t="s">
        <v>584</v>
      </c>
      <c r="C612" s="35" t="s">
        <v>583</v>
      </c>
      <c r="D612" s="36">
        <v>0.30590000000000001</v>
      </c>
      <c r="E612" s="30">
        <v>20.225499999999997</v>
      </c>
      <c r="F612" s="33">
        <f>IF(ISNUMBER(E612),ROUND(E612*$D612,2),"")</f>
        <v>6.19</v>
      </c>
      <c r="G612" s="44"/>
      <c r="H612" s="45"/>
      <c r="I612" s="153">
        <v>0</v>
      </c>
    </row>
    <row r="613" spans="1:9" ht="15.75" hidden="1" thickBot="1" x14ac:dyDescent="0.3">
      <c r="A613" s="184"/>
      <c r="B613" s="103"/>
      <c r="C613" s="79"/>
      <c r="D613" s="95"/>
      <c r="E613" s="66" t="s">
        <v>416</v>
      </c>
      <c r="F613" s="66" t="str">
        <f>IF(ISNUMBER(E613),ROUND(E613*$D613,2),"")</f>
        <v/>
      </c>
      <c r="G613" s="68"/>
      <c r="H613" s="30"/>
      <c r="I613" s="153">
        <v>0</v>
      </c>
    </row>
    <row r="614" spans="1:9" ht="26.25" hidden="1" customHeight="1" thickBot="1" x14ac:dyDescent="0.3">
      <c r="A614" s="183" t="s">
        <v>3069</v>
      </c>
      <c r="B614" s="40" t="s">
        <v>416</v>
      </c>
      <c r="C614" s="77" t="s">
        <v>1270</v>
      </c>
      <c r="D614" s="93"/>
      <c r="E614" s="41" t="s">
        <v>416</v>
      </c>
      <c r="F614" s="41" t="str">
        <f>IF(ISNUMBER(E614),ROUND(E614*$D614,2),"")</f>
        <v/>
      </c>
      <c r="G614" s="28"/>
      <c r="H614" s="29"/>
      <c r="I614" s="153">
        <v>0</v>
      </c>
    </row>
    <row r="615" spans="1:9" ht="15.75" hidden="1" thickBot="1" x14ac:dyDescent="0.3">
      <c r="A615" s="182"/>
      <c r="B615" s="31" t="s">
        <v>416</v>
      </c>
      <c r="C615" s="78"/>
      <c r="D615" s="91"/>
      <c r="E615" s="97" t="s">
        <v>416</v>
      </c>
      <c r="F615" s="98" t="str">
        <f>IF(ISNUMBER(E615),ROUND(E615*$D615,2),"")</f>
        <v/>
      </c>
      <c r="G615" s="34"/>
      <c r="H615" s="30"/>
      <c r="I615" s="153">
        <v>0</v>
      </c>
    </row>
    <row r="616" spans="1:9" ht="51.75" hidden="1" thickBot="1" x14ac:dyDescent="0.3">
      <c r="A616" s="182"/>
      <c r="B616" s="35" t="s">
        <v>2864</v>
      </c>
      <c r="C616" s="35" t="s">
        <v>813</v>
      </c>
      <c r="D616" s="36">
        <v>9.2999999999999992E-3</v>
      </c>
      <c r="E616" s="33">
        <v>252.10149999999999</v>
      </c>
      <c r="F616" s="33">
        <f>IF(ISNUMBER(E616),ROUND(E616*$D616,2),"")</f>
        <v>2.34</v>
      </c>
      <c r="G616" s="44">
        <f>SUM(F616:F617)</f>
        <v>2.56</v>
      </c>
      <c r="H616" s="45"/>
      <c r="I616" s="153">
        <v>0</v>
      </c>
    </row>
    <row r="617" spans="1:9" ht="51.75" hidden="1" thickBot="1" x14ac:dyDescent="0.3">
      <c r="A617" s="182"/>
      <c r="B617" s="35" t="s">
        <v>2871</v>
      </c>
      <c r="C617" s="35" t="s">
        <v>815</v>
      </c>
      <c r="D617" s="36">
        <v>4.0000000000000001E-3</v>
      </c>
      <c r="E617" s="33">
        <v>56.201999999999991</v>
      </c>
      <c r="F617" s="33">
        <f>IF(ISNUMBER(E617),ROUND(E617*$D617,2),"")</f>
        <v>0.22</v>
      </c>
      <c r="G617" s="44"/>
      <c r="H617" s="45"/>
      <c r="I617" s="153">
        <v>0</v>
      </c>
    </row>
    <row r="618" spans="1:9" ht="15.75" hidden="1" thickBot="1" x14ac:dyDescent="0.3">
      <c r="A618" s="184"/>
      <c r="B618" s="103"/>
      <c r="C618" s="79"/>
      <c r="D618" s="95"/>
      <c r="E618" s="66" t="s">
        <v>416</v>
      </c>
      <c r="F618" s="66" t="str">
        <f>IF(ISNUMBER(E618),ROUND(E618*$D618,2),"")</f>
        <v/>
      </c>
      <c r="G618" s="68"/>
      <c r="H618" s="30"/>
      <c r="I618" s="153">
        <v>0</v>
      </c>
    </row>
    <row r="619" spans="1:9" ht="26.25" hidden="1" customHeight="1" thickBot="1" x14ac:dyDescent="0.3">
      <c r="A619" s="183" t="s">
        <v>3070</v>
      </c>
      <c r="B619" s="40" t="s">
        <v>416</v>
      </c>
      <c r="C619" s="77" t="s">
        <v>1270</v>
      </c>
      <c r="D619" s="93"/>
      <c r="E619" s="41" t="s">
        <v>416</v>
      </c>
      <c r="F619" s="41" t="str">
        <f>IF(ISNUMBER(E619),ROUND(E619*$D619,2),"")</f>
        <v/>
      </c>
      <c r="G619" s="28"/>
      <c r="H619" s="29"/>
      <c r="I619" s="153">
        <v>0</v>
      </c>
    </row>
    <row r="620" spans="1:9" ht="15.75" hidden="1" thickBot="1" x14ac:dyDescent="0.3">
      <c r="A620" s="182"/>
      <c r="B620" s="31" t="s">
        <v>416</v>
      </c>
      <c r="C620" s="78"/>
      <c r="D620" s="91"/>
      <c r="E620" s="97" t="s">
        <v>416</v>
      </c>
      <c r="F620" s="98" t="str">
        <f>IF(ISNUMBER(E620),ROUND(E620*$D620,2),"")</f>
        <v/>
      </c>
      <c r="G620" s="34"/>
      <c r="H620" s="30"/>
      <c r="I620" s="153">
        <v>0</v>
      </c>
    </row>
    <row r="621" spans="1:9" ht="51.75" hidden="1" thickBot="1" x14ac:dyDescent="0.3">
      <c r="A621" s="182"/>
      <c r="B621" s="35" t="s">
        <v>2864</v>
      </c>
      <c r="C621" s="35" t="s">
        <v>813</v>
      </c>
      <c r="D621" s="36">
        <v>3.7000000000000002E-3</v>
      </c>
      <c r="E621" s="33">
        <v>252.10149999999999</v>
      </c>
      <c r="F621" s="33">
        <f>IF(ISNUMBER(E621),ROUND(E621*$D621,2),"")</f>
        <v>0.93</v>
      </c>
      <c r="G621" s="44">
        <f>SUM(F621:F622)</f>
        <v>1.02</v>
      </c>
      <c r="H621" s="45"/>
      <c r="I621" s="153">
        <v>0</v>
      </c>
    </row>
    <row r="622" spans="1:9" ht="51.75" hidden="1" thickBot="1" x14ac:dyDescent="0.3">
      <c r="A622" s="182"/>
      <c r="B622" s="35" t="s">
        <v>2871</v>
      </c>
      <c r="C622" s="35" t="s">
        <v>815</v>
      </c>
      <c r="D622" s="36">
        <v>1.6000000000000001E-3</v>
      </c>
      <c r="E622" s="33">
        <v>56.201999999999991</v>
      </c>
      <c r="F622" s="33">
        <f>IF(ISNUMBER(E622),ROUND(E622*$D622,2),"")</f>
        <v>0.09</v>
      </c>
      <c r="G622" s="44"/>
      <c r="H622" s="45"/>
      <c r="I622" s="153">
        <v>0</v>
      </c>
    </row>
    <row r="623" spans="1:9" ht="15.75" hidden="1" thickBot="1" x14ac:dyDescent="0.3">
      <c r="A623" s="184"/>
      <c r="B623" s="103"/>
      <c r="C623" s="79"/>
      <c r="D623" s="95"/>
      <c r="E623" s="66" t="s">
        <v>416</v>
      </c>
      <c r="F623" s="66" t="str">
        <f>IF(ISNUMBER(E623),ROUND(E623*$D623,2),"")</f>
        <v/>
      </c>
      <c r="G623" s="68"/>
      <c r="H623" s="30"/>
      <c r="I623" s="153">
        <v>0</v>
      </c>
    </row>
    <row r="624" spans="1:9" ht="26.25" hidden="1" customHeight="1" thickBot="1" x14ac:dyDescent="0.3">
      <c r="A624" s="183" t="s">
        <v>3074</v>
      </c>
      <c r="B624" s="40" t="s">
        <v>416</v>
      </c>
      <c r="C624" s="77" t="s">
        <v>1141</v>
      </c>
      <c r="D624" s="93"/>
      <c r="E624" s="41" t="s">
        <v>416</v>
      </c>
      <c r="F624" s="41" t="str">
        <f>IF(ISNUMBER(E624),ROUND(E624*$D624,2),"")</f>
        <v/>
      </c>
      <c r="G624" s="28"/>
      <c r="H624" s="29"/>
      <c r="I624" s="153">
        <v>0</v>
      </c>
    </row>
    <row r="625" spans="1:9" ht="15.75" hidden="1" thickBot="1" x14ac:dyDescent="0.3">
      <c r="A625" s="182"/>
      <c r="B625" s="31" t="s">
        <v>416</v>
      </c>
      <c r="C625" s="78"/>
      <c r="D625" s="91"/>
      <c r="E625" s="97" t="s">
        <v>416</v>
      </c>
      <c r="F625" s="98" t="str">
        <f>IF(ISNUMBER(E625),ROUND(E625*$D625,2),"")</f>
        <v/>
      </c>
      <c r="G625" s="34"/>
      <c r="H625" s="30"/>
      <c r="I625" s="153">
        <v>0</v>
      </c>
    </row>
    <row r="626" spans="1:9" ht="51.75" hidden="1" thickBot="1" x14ac:dyDescent="0.3">
      <c r="A626" s="182"/>
      <c r="B626" s="35" t="s">
        <v>2864</v>
      </c>
      <c r="C626" s="35" t="s">
        <v>813</v>
      </c>
      <c r="D626" s="36">
        <v>8.1199999999999994E-2</v>
      </c>
      <c r="E626" s="33">
        <v>252.10149999999999</v>
      </c>
      <c r="F626" s="33">
        <f>IF(ISNUMBER(E626),ROUND(E626*$D626,2),"")</f>
        <v>20.47</v>
      </c>
      <c r="G626" s="44">
        <f>SUM(F626:F628)</f>
        <v>27.12</v>
      </c>
      <c r="H626" s="45"/>
      <c r="I626" s="153">
        <v>0</v>
      </c>
    </row>
    <row r="627" spans="1:9" ht="51.75" hidden="1" thickBot="1" x14ac:dyDescent="0.3">
      <c r="A627" s="182"/>
      <c r="B627" s="35" t="s">
        <v>2871</v>
      </c>
      <c r="C627" s="35" t="s">
        <v>815</v>
      </c>
      <c r="D627" s="36">
        <v>3.4799999999999998E-2</v>
      </c>
      <c r="E627" s="33">
        <v>56.201999999999991</v>
      </c>
      <c r="F627" s="33">
        <f>IF(ISNUMBER(E627),ROUND(E627*$D627,2),"")</f>
        <v>1.96</v>
      </c>
      <c r="G627" s="44"/>
      <c r="H627" s="45"/>
      <c r="I627" s="153">
        <v>0</v>
      </c>
    </row>
    <row r="628" spans="1:9" ht="15.75" hidden="1" thickBot="1" x14ac:dyDescent="0.3">
      <c r="A628" s="182"/>
      <c r="B628" s="35" t="s">
        <v>584</v>
      </c>
      <c r="C628" s="35" t="s">
        <v>583</v>
      </c>
      <c r="D628" s="36">
        <v>0.2321</v>
      </c>
      <c r="E628" s="30">
        <v>20.225499999999997</v>
      </c>
      <c r="F628" s="33">
        <f>IF(ISNUMBER(E628),ROUND(E628*$D628,2),"")</f>
        <v>4.6900000000000004</v>
      </c>
      <c r="G628" s="44"/>
      <c r="H628" s="45"/>
      <c r="I628" s="153">
        <v>0</v>
      </c>
    </row>
    <row r="629" spans="1:9" ht="15.75" hidden="1" thickBot="1" x14ac:dyDescent="0.3">
      <c r="A629" s="184"/>
      <c r="B629" s="103"/>
      <c r="C629" s="79"/>
      <c r="D629" s="95"/>
      <c r="E629" s="66" t="s">
        <v>416</v>
      </c>
      <c r="F629" s="66" t="str">
        <f>IF(ISNUMBER(E629),ROUND(E629*$D629,2),"")</f>
        <v/>
      </c>
      <c r="G629" s="68"/>
      <c r="H629" s="30"/>
      <c r="I629" s="153">
        <v>0</v>
      </c>
    </row>
    <row r="630" spans="1:9" ht="15.75" thickBot="1" x14ac:dyDescent="0.3">
      <c r="A630" s="183" t="s">
        <v>5739</v>
      </c>
      <c r="B630" s="40" t="s">
        <v>416</v>
      </c>
      <c r="C630" s="25" t="s">
        <v>87</v>
      </c>
      <c r="D630" s="93"/>
      <c r="E630" s="41" t="s">
        <v>416</v>
      </c>
      <c r="F630" s="41" t="str">
        <f>IF(ISNUMBER(E630),E630*$D630,"")</f>
        <v/>
      </c>
      <c r="G630" s="28"/>
      <c r="H630" s="29"/>
      <c r="I630" s="153">
        <v>1.6545000000000001</v>
      </c>
    </row>
    <row r="631" spans="1:9" x14ac:dyDescent="0.25">
      <c r="A631" s="182"/>
      <c r="B631" s="31" t="s">
        <v>416</v>
      </c>
      <c r="C631" s="31"/>
      <c r="D631" s="91"/>
      <c r="E631" s="42" t="s">
        <v>416</v>
      </c>
      <c r="F631" s="30" t="str">
        <f>IF(ISNUMBER(E631),E631*$D631,"")</f>
        <v/>
      </c>
      <c r="G631" s="34"/>
      <c r="H631" s="30"/>
      <c r="I631" s="153">
        <v>1.6545000000000001</v>
      </c>
    </row>
    <row r="632" spans="1:9" ht="25.5" x14ac:dyDescent="0.25">
      <c r="A632" s="182"/>
      <c r="B632" s="35" t="s">
        <v>7985</v>
      </c>
      <c r="C632" s="35" t="s">
        <v>87</v>
      </c>
      <c r="D632" s="36">
        <v>0.71189999999999998</v>
      </c>
      <c r="E632" s="33">
        <v>202.33099999999999</v>
      </c>
      <c r="F632" s="33">
        <f>IF(ISNUMBER(E632),E632*$D632,"")</f>
        <v>144.03943889999999</v>
      </c>
      <c r="G632" s="44">
        <f>SUM(F632:F640)</f>
        <v>642.96511536752996</v>
      </c>
      <c r="H632" s="45"/>
      <c r="I632" s="153">
        <v>1.6545000000000001</v>
      </c>
    </row>
    <row r="633" spans="1:9" x14ac:dyDescent="0.25">
      <c r="A633" s="182"/>
      <c r="B633" s="35" t="s">
        <v>8065</v>
      </c>
      <c r="C633" s="35" t="s">
        <v>773</v>
      </c>
      <c r="D633" s="36">
        <v>391.16629999999998</v>
      </c>
      <c r="E633" s="33">
        <v>0.627</v>
      </c>
      <c r="F633" s="33">
        <f>IF(ISNUMBER(E633),E633*$D633,"")</f>
        <v>245.26127009999999</v>
      </c>
      <c r="G633" s="44"/>
      <c r="H633" s="45"/>
      <c r="I633" s="153">
        <v>1.6545000000000001</v>
      </c>
    </row>
    <row r="634" spans="1:9" ht="25.5" x14ac:dyDescent="0.25">
      <c r="A634" s="182"/>
      <c r="B634" s="35" t="s">
        <v>8311</v>
      </c>
      <c r="C634" s="35" t="s">
        <v>87</v>
      </c>
      <c r="D634" s="36">
        <v>0.5927</v>
      </c>
      <c r="E634" s="33">
        <v>176.453</v>
      </c>
      <c r="F634" s="33">
        <f>IF(ISNUMBER(E634),E634*$D634,"")</f>
        <v>104.5836931</v>
      </c>
      <c r="G634" s="44"/>
      <c r="H634" s="45"/>
      <c r="I634" s="153">
        <v>1.6545000000000001</v>
      </c>
    </row>
    <row r="635" spans="1:9" x14ac:dyDescent="0.25">
      <c r="A635" s="182"/>
      <c r="B635" s="35" t="s">
        <v>584</v>
      </c>
      <c r="C635" s="35" t="s">
        <v>583</v>
      </c>
      <c r="D635" s="36">
        <v>1.9633</v>
      </c>
      <c r="E635" s="30">
        <v>20.225499999999997</v>
      </c>
      <c r="F635" s="33">
        <f>IF(ISNUMBER(E635),E635*$D635,"")</f>
        <v>39.708724149999995</v>
      </c>
      <c r="G635" s="44"/>
      <c r="H635" s="45"/>
      <c r="I635" s="153">
        <v>1.6545000000000001</v>
      </c>
    </row>
    <row r="636" spans="1:9" ht="25.5" x14ac:dyDescent="0.25">
      <c r="A636" s="182"/>
      <c r="B636" s="35" t="s">
        <v>1271</v>
      </c>
      <c r="C636" s="35" t="s">
        <v>583</v>
      </c>
      <c r="D636" s="36">
        <v>1.24</v>
      </c>
      <c r="E636" s="30">
        <v>20.291999999999998</v>
      </c>
      <c r="F636" s="94">
        <f>IF(ISNUMBER(E636),E636*$D636,"")</f>
        <v>25.162079999999996</v>
      </c>
      <c r="G636" s="44"/>
      <c r="H636" s="45"/>
      <c r="I636" s="153">
        <v>1.6545000000000001</v>
      </c>
    </row>
    <row r="637" spans="1:9" ht="38.25" x14ac:dyDescent="0.25">
      <c r="A637" s="182"/>
      <c r="B637" s="35" t="s">
        <v>1218</v>
      </c>
      <c r="C637" s="35" t="s">
        <v>813</v>
      </c>
      <c r="D637" s="36">
        <v>0.63819999999999999</v>
      </c>
      <c r="E637" s="30">
        <v>5.1395</v>
      </c>
      <c r="F637" s="94">
        <f>IF(ISNUMBER(E637),E637*$D637,"")</f>
        <v>3.2800289</v>
      </c>
      <c r="G637" s="44"/>
      <c r="H637" s="45"/>
      <c r="I637" s="153">
        <v>1.6545000000000001</v>
      </c>
    </row>
    <row r="638" spans="1:9" ht="38.25" x14ac:dyDescent="0.25">
      <c r="A638" s="182"/>
      <c r="B638" s="35" t="s">
        <v>1272</v>
      </c>
      <c r="C638" s="35" t="s">
        <v>815</v>
      </c>
      <c r="D638" s="36">
        <v>0.6018</v>
      </c>
      <c r="E638" s="30">
        <v>1.7954999999999999</v>
      </c>
      <c r="F638" s="33">
        <f>IF(ISNUMBER(E638),E638*$D638,"")</f>
        <v>1.0805319</v>
      </c>
      <c r="G638" s="44"/>
      <c r="H638" s="45"/>
      <c r="I638" s="153">
        <v>1.6545000000000001</v>
      </c>
    </row>
    <row r="639" spans="1:9" ht="51" x14ac:dyDescent="0.25">
      <c r="A639" s="182"/>
      <c r="B639" s="35" t="s">
        <v>3071</v>
      </c>
      <c r="C639" s="35" t="s">
        <v>87</v>
      </c>
      <c r="D639" s="36">
        <f>ROUND(1*(D632+D634),4)</f>
        <v>1.3046</v>
      </c>
      <c r="E639" s="30">
        <v>8.0531015499999992</v>
      </c>
      <c r="F639" s="33">
        <f>IF(ISNUMBER(E639),E639*$D639,"")</f>
        <v>10.50607628213</v>
      </c>
      <c r="G639" s="44"/>
      <c r="H639" s="45"/>
      <c r="I639" s="153">
        <v>1.6545000000000001</v>
      </c>
    </row>
    <row r="640" spans="1:9" ht="38.25" x14ac:dyDescent="0.25">
      <c r="A640" s="182"/>
      <c r="B640" s="35" t="s">
        <v>3068</v>
      </c>
      <c r="C640" s="46" t="s">
        <v>89</v>
      </c>
      <c r="D640" s="36">
        <f>ROUND((D632+D634)*20,4)</f>
        <v>26.091999999999999</v>
      </c>
      <c r="E640" s="30">
        <v>2.6576449499999995</v>
      </c>
      <c r="F640" s="33">
        <f>IF(ISNUMBER(E640),E640*$D640,"")</f>
        <v>69.343272035399977</v>
      </c>
      <c r="G640" s="44"/>
      <c r="H640" s="45"/>
      <c r="I640" s="153">
        <v>1.6545000000000001</v>
      </c>
    </row>
    <row r="641" spans="1:9" x14ac:dyDescent="0.25">
      <c r="A641" s="182"/>
      <c r="B641" s="50"/>
      <c r="C641" s="46"/>
      <c r="D641" s="36"/>
      <c r="E641" s="30" t="s">
        <v>416</v>
      </c>
      <c r="F641" s="33" t="str">
        <f>IF(ISNUMBER(E641),E641*$D641,"")</f>
        <v/>
      </c>
      <c r="G641" s="44"/>
      <c r="H641" s="45"/>
      <c r="I641" s="153">
        <v>1.6545000000000001</v>
      </c>
    </row>
    <row r="642" spans="1:9" ht="25.5" x14ac:dyDescent="0.25">
      <c r="A642" s="182"/>
      <c r="B642" s="47" t="s">
        <v>90</v>
      </c>
      <c r="C642" s="46"/>
      <c r="D642" s="36"/>
      <c r="E642" s="30" t="s">
        <v>416</v>
      </c>
      <c r="F642" s="33" t="str">
        <f>IF(ISNUMBER(E642),E642*$D642,"")</f>
        <v/>
      </c>
      <c r="G642" s="44"/>
      <c r="H642" s="45"/>
      <c r="I642" s="153">
        <v>1.6545000000000001</v>
      </c>
    </row>
    <row r="643" spans="1:9" ht="15.75" thickBot="1" x14ac:dyDescent="0.3">
      <c r="A643" s="184"/>
      <c r="B643" s="54" t="s">
        <v>416</v>
      </c>
      <c r="C643" s="54"/>
      <c r="D643" s="95"/>
      <c r="E643" s="66" t="s">
        <v>416</v>
      </c>
      <c r="F643" s="66" t="str">
        <f>IF(ISNUMBER(E643),E643*$D643,"")</f>
        <v/>
      </c>
      <c r="G643" s="68"/>
      <c r="H643" s="30"/>
      <c r="I643" s="153">
        <v>1.6545000000000001</v>
      </c>
    </row>
  </sheetData>
  <autoFilter ref="A5:I643">
    <filterColumn colId="8">
      <filters>
        <filter val="0,0038"/>
        <filter val="0,0384"/>
        <filter val="0,0896"/>
        <filter val="0,1620"/>
        <filter val="0,2698"/>
        <filter val="1,6545"/>
        <filter val="12,0000"/>
        <filter val="15,0000"/>
        <filter val="30,0000"/>
        <filter val="300,0000"/>
        <filter val="47,5977"/>
      </filters>
    </filterColumn>
  </autoFilter>
  <mergeCells count="72">
    <mergeCell ref="A630:A643"/>
    <mergeCell ref="A600:A607"/>
    <mergeCell ref="A608:A613"/>
    <mergeCell ref="A614:A618"/>
    <mergeCell ref="A619:A623"/>
    <mergeCell ref="A624:A629"/>
    <mergeCell ref="A520:A525"/>
    <mergeCell ref="A526:A531"/>
    <mergeCell ref="A532:A537"/>
    <mergeCell ref="A577:A581"/>
    <mergeCell ref="A582:A594"/>
    <mergeCell ref="A538:A543"/>
    <mergeCell ref="A544:A550"/>
    <mergeCell ref="A551:A563"/>
    <mergeCell ref="A564:A569"/>
    <mergeCell ref="A570:A576"/>
    <mergeCell ref="A427:A438"/>
    <mergeCell ref="A439:A457"/>
    <mergeCell ref="A458:A471"/>
    <mergeCell ref="A503:A513"/>
    <mergeCell ref="A514:A519"/>
    <mergeCell ref="A48:A60"/>
    <mergeCell ref="A6:A15"/>
    <mergeCell ref="A16:A20"/>
    <mergeCell ref="A21:A26"/>
    <mergeCell ref="A27:A37"/>
    <mergeCell ref="A38:A47"/>
    <mergeCell ref="A274:A284"/>
    <mergeCell ref="A285:A292"/>
    <mergeCell ref="A293:A298"/>
    <mergeCell ref="A213:A226"/>
    <mergeCell ref="A266:A273"/>
    <mergeCell ref="A61:A68"/>
    <mergeCell ref="A69:A78"/>
    <mergeCell ref="A79:A85"/>
    <mergeCell ref="A86:A95"/>
    <mergeCell ref="A96:A105"/>
    <mergeCell ref="A106:A111"/>
    <mergeCell ref="A112:A117"/>
    <mergeCell ref="A118:A123"/>
    <mergeCell ref="A124:A129"/>
    <mergeCell ref="A180:A185"/>
    <mergeCell ref="A168:A173"/>
    <mergeCell ref="A174:A179"/>
    <mergeCell ref="A130:A135"/>
    <mergeCell ref="A136:A141"/>
    <mergeCell ref="A186:A190"/>
    <mergeCell ref="A191:A194"/>
    <mergeCell ref="A195:A202"/>
    <mergeCell ref="A142:A155"/>
    <mergeCell ref="A156:A167"/>
    <mergeCell ref="A203:A207"/>
    <mergeCell ref="A208:A212"/>
    <mergeCell ref="A227:A240"/>
    <mergeCell ref="A241:A255"/>
    <mergeCell ref="A256:A265"/>
    <mergeCell ref="A595:A599"/>
    <mergeCell ref="A299:A312"/>
    <mergeCell ref="A313:A326"/>
    <mergeCell ref="A327:A338"/>
    <mergeCell ref="A339:A345"/>
    <mergeCell ref="A346:A352"/>
    <mergeCell ref="A416:A426"/>
    <mergeCell ref="A404:A415"/>
    <mergeCell ref="A392:A403"/>
    <mergeCell ref="A353:A360"/>
    <mergeCell ref="A361:A366"/>
    <mergeCell ref="A367:A372"/>
    <mergeCell ref="A373:A381"/>
    <mergeCell ref="A382:A391"/>
    <mergeCell ref="A472:A490"/>
    <mergeCell ref="A491:A502"/>
  </mergeCells>
  <conditionalFormatting sqref="F4">
    <cfRule type="containsText" dxfId="54" priority="384" operator="containsText" text="Pesquisa">
      <formula>NOT(ISERROR(SEARCH("Pesquisa",F4)))</formula>
    </cfRule>
  </conditionalFormatting>
  <conditionalFormatting sqref="C15:D15">
    <cfRule type="containsText" dxfId="53" priority="418" operator="containsText" text="Pesquisa de Preços">
      <formula>NOT(ISERROR(SEARCH("Pesquisa de Preços",C15)))</formula>
    </cfRule>
  </conditionalFormatting>
  <conditionalFormatting sqref="C7:D7">
    <cfRule type="containsText" dxfId="52" priority="417" operator="containsText" text="Pesquisa de Preços">
      <formula>NOT(ISERROR(SEARCH("Pesquisa de Preços",C7)))</formula>
    </cfRule>
  </conditionalFormatting>
  <conditionalFormatting sqref="C6:D6">
    <cfRule type="containsText" dxfId="51" priority="416" operator="containsText" text="Pesquisa de Preços">
      <formula>NOT(ISERROR(SEARCH("Pesquisa de Preços",C6)))</formula>
    </cfRule>
  </conditionalFormatting>
  <conditionalFormatting sqref="C8:D8 C10:D10 D9">
    <cfRule type="containsText" dxfId="50" priority="415" operator="containsText" text="Pesquisa de Preços">
      <formula>NOT(ISERROR(SEARCH("Pesquisa de Preços",C8)))</formula>
    </cfRule>
  </conditionalFormatting>
  <conditionalFormatting sqref="D29:D36">
    <cfRule type="containsText" dxfId="49" priority="414" operator="containsText" text="Pesquisa de Preços">
      <formula>NOT(ISERROR(SEARCH("Pesquisa de Preços",D29)))</formula>
    </cfRule>
  </conditionalFormatting>
  <conditionalFormatting sqref="D27">
    <cfRule type="containsText" dxfId="48" priority="411" operator="containsText" text="Pesquisa de Preços">
      <formula>NOT(ISERROR(SEARCH("Pesquisa de Preços",D27)))</formula>
    </cfRule>
  </conditionalFormatting>
  <conditionalFormatting sqref="C37:D37">
    <cfRule type="containsText" dxfId="47" priority="413" operator="containsText" text="Pesquisa de Preços">
      <formula>NOT(ISERROR(SEARCH("Pesquisa de Preços",C37)))</formula>
    </cfRule>
  </conditionalFormatting>
  <conditionalFormatting sqref="C28:D28">
    <cfRule type="containsText" dxfId="46" priority="412" operator="containsText" text="Pesquisa de Preços">
      <formula>NOT(ISERROR(SEARCH("Pesquisa de Preços",C28)))</formula>
    </cfRule>
  </conditionalFormatting>
  <conditionalFormatting sqref="C27">
    <cfRule type="containsText" dxfId="45" priority="410" operator="containsText" text="Pesquisa de Preços">
      <formula>NOT(ISERROR(SEARCH("Pesquisa de Preços",C27)))</formula>
    </cfRule>
  </conditionalFormatting>
  <conditionalFormatting sqref="C632:C634 C602:C603 C597 C584:C586 C572 C566 C553:C555 C540 C534 C516 C505:C507 C493 C474:C477 C460 C441:C444 C429:C430 C418:C420 C406:C407 C394:C395 C384:C386 C375:C377 C355:C356 C329:C330 C315:C317 C301:C303 C295 C287:C288 C276:C278 C268:C270 C258:C259 C243:C246 C229:C231 C215:C217 C188 C182 C176 C158:C159 C144:C146 C138 C132 C126 C120 C114 C108 C98:C99 C88:C89 C81 C71:C72 C63:C64 C50:C52 C40:C42 C29:C32 C23 C9">
    <cfRule type="containsText" dxfId="44" priority="2" operator="containsText" text="Pesquisa de Preços">
      <formula>NOT(ISERROR(SEARCH("Pesquisa de Preços",C9)))</formula>
    </cfRule>
  </conditionalFormatting>
  <conditionalFormatting sqref="C635:C638 C626:C628 C621:C622 C616:C617 C610:C612 C604:C605 C598 C587:C589 C579:C580 C573:C574 C567:C568 C556:C558 C546:C549 C541:C542 C535:C536 C528:C529 C522:C523 C517:C518 C508 C494:C497 C478:C485 C461:C466 C445:C452 C431:C433 C421 C408:C410 C396:C398 C387:C390 C379:C380 C370:C371 C364:C365 C357:C358 C348:C351 C341:C344 C331:C333 C318:C321 C304:C307 C296:C297 C289:C290 C279 C271:C272 C260 C247:C250 C232:C235 C218:C221 C210:C211 C205:C206 C197:C201 C193 C189 C183:C184 C177:C178 C170:C172 C160:C162 C147:C150 C139:C140 C133:C134 C127:C128 C121:C122 C115:C116 C109:C110 C100 C90 C82:C84 C73 C66:C67 C53:C55 C43:C46 C33:C36 C24:C25 C18:C19">
    <cfRule type="containsText" dxfId="43" priority="1" operator="containsText" text="Pesquisa de Preços">
      <formula>NOT(ISERROR(SEARCH("Pesquisa de Preços",C18)))</formula>
    </cfRule>
  </conditionalFormatting>
  <printOptions horizontalCentered="1"/>
  <pageMargins left="0.19685039370078741" right="0.19685039370078741" top="0.98425196850393704" bottom="0.59055118110236227" header="0.19685039370078741" footer="0.19685039370078741"/>
  <pageSetup paperSize="9" scale="45" fitToHeight="0" orientation="landscape" r:id="rId1"/>
  <headerFooter>
    <oddHeader>&amp;C&amp;10&amp;G
&amp;11SENADO FEDERAL&amp;10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rowBreaks count="3" manualBreakCount="3">
    <brk id="343" max="11" man="1"/>
    <brk id="438" max="11" man="1"/>
    <brk id="471" max="11"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6" filterMode="1">
    <pageSetUpPr fitToPage="1"/>
  </sheetPr>
  <dimension ref="A1:I139"/>
  <sheetViews>
    <sheetView zoomScale="80" zoomScaleNormal="80" zoomScaleSheetLayoutView="40" workbookViewId="0">
      <pane ySplit="5" topLeftCell="A6" activePane="bottomLeft" state="frozen"/>
      <selection pane="bottomLeft" activeCell="F4" sqref="F4"/>
    </sheetView>
  </sheetViews>
  <sheetFormatPr defaultRowHeight="15" x14ac:dyDescent="0.25"/>
  <cols>
    <col min="1" max="1" width="46.85546875" customWidth="1"/>
    <col min="2" max="2" width="65.7109375" style="4"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80" t="s">
        <v>8514</v>
      </c>
      <c r="B1" s="104"/>
      <c r="C1" s="80"/>
      <c r="D1" s="80"/>
      <c r="E1" s="80"/>
      <c r="F1" s="80"/>
      <c r="G1" s="80"/>
      <c r="H1" s="81"/>
      <c r="I1" s="83"/>
    </row>
    <row r="2" spans="1:9" ht="24.95" customHeight="1" x14ac:dyDescent="0.25">
      <c r="A2" s="9" t="s">
        <v>1278</v>
      </c>
      <c r="B2" s="10"/>
      <c r="C2" s="134"/>
      <c r="D2" s="10"/>
      <c r="E2" s="10"/>
      <c r="F2" s="10"/>
      <c r="G2" s="10"/>
      <c r="H2" s="12"/>
      <c r="I2" s="83"/>
    </row>
    <row r="3" spans="1:9" ht="20.100000000000001" customHeight="1" x14ac:dyDescent="0.25">
      <c r="A3" s="13" t="s">
        <v>8515</v>
      </c>
      <c r="B3" s="13"/>
      <c r="C3" s="135"/>
      <c r="D3" s="13"/>
      <c r="E3" s="13"/>
      <c r="F3" s="13"/>
      <c r="G3" s="13"/>
      <c r="H3" s="13"/>
      <c r="I3" s="83"/>
    </row>
    <row r="4" spans="1:9" ht="20.100000000000001" customHeight="1" thickBot="1" x14ac:dyDescent="0.3">
      <c r="A4" s="84"/>
      <c r="B4" s="85"/>
      <c r="C4" s="131"/>
      <c r="D4" s="85"/>
      <c r="E4" s="85"/>
      <c r="F4" s="85"/>
      <c r="G4" s="85"/>
      <c r="H4" s="86"/>
      <c r="I4" s="87"/>
    </row>
    <row r="5" spans="1:9" ht="65.099999999999994" customHeight="1" thickBot="1" x14ac:dyDescent="0.3">
      <c r="A5" s="101" t="s">
        <v>2</v>
      </c>
      <c r="B5" s="102" t="s">
        <v>3</v>
      </c>
      <c r="C5" s="132" t="s">
        <v>4</v>
      </c>
      <c r="D5" s="102" t="s">
        <v>5</v>
      </c>
      <c r="E5" s="102" t="s">
        <v>6</v>
      </c>
      <c r="F5" s="20" t="s">
        <v>7</v>
      </c>
      <c r="G5" s="20" t="s">
        <v>1268</v>
      </c>
      <c r="H5" s="23"/>
      <c r="I5" s="88" t="s">
        <v>9</v>
      </c>
    </row>
    <row r="6" spans="1:9" ht="15.75" thickBot="1" x14ac:dyDescent="0.3">
      <c r="A6" s="183" t="s">
        <v>3068</v>
      </c>
      <c r="B6" s="40" t="s">
        <v>416</v>
      </c>
      <c r="C6" s="77" t="s">
        <v>89</v>
      </c>
      <c r="D6" s="93"/>
      <c r="E6" s="41" t="s">
        <v>416</v>
      </c>
      <c r="F6" s="41" t="str">
        <f>IF(ISNUMBER(E6),ROUND(E6*$D6,2),"")</f>
        <v/>
      </c>
      <c r="G6" s="28"/>
      <c r="H6" s="29"/>
      <c r="I6" s="153">
        <v>53.475333999999997</v>
      </c>
    </row>
    <row r="7" spans="1:9" x14ac:dyDescent="0.25">
      <c r="A7" s="182"/>
      <c r="B7" s="31" t="s">
        <v>416</v>
      </c>
      <c r="C7" s="78"/>
      <c r="D7" s="91"/>
      <c r="E7" s="42" t="s">
        <v>416</v>
      </c>
      <c r="F7" s="30" t="str">
        <f>IF(ISNUMBER(E7),ROUND(E7*$D7,2),"")</f>
        <v/>
      </c>
      <c r="G7" s="34"/>
      <c r="H7" s="30"/>
      <c r="I7" s="153">
        <v>53.475333999999997</v>
      </c>
    </row>
    <row r="8" spans="1:9" ht="51" x14ac:dyDescent="0.25">
      <c r="A8" s="182"/>
      <c r="B8" s="35" t="s">
        <v>939</v>
      </c>
      <c r="C8" s="49" t="s">
        <v>813</v>
      </c>
      <c r="D8" s="36">
        <v>1.3899999999999999E-2</v>
      </c>
      <c r="E8" s="33">
        <v>169.09049999999999</v>
      </c>
      <c r="F8" s="33">
        <f>IF(ISNUMBER(E8),ROUND(E8*$D8,2),"")</f>
        <v>2.35</v>
      </c>
      <c r="G8" s="44">
        <f>SUM(F8:F9)</f>
        <v>2.66</v>
      </c>
      <c r="H8" s="45"/>
      <c r="I8" s="153">
        <v>53.475333999999997</v>
      </c>
    </row>
    <row r="9" spans="1:9" ht="51" x14ac:dyDescent="0.25">
      <c r="A9" s="182"/>
      <c r="B9" s="35" t="s">
        <v>940</v>
      </c>
      <c r="C9" s="49" t="s">
        <v>815</v>
      </c>
      <c r="D9" s="36">
        <v>6.0000000000000001E-3</v>
      </c>
      <c r="E9" s="33">
        <v>51.214499999999994</v>
      </c>
      <c r="F9" s="33">
        <f>IF(ISNUMBER(E9),ROUND(E9*$D9,2),"")</f>
        <v>0.31</v>
      </c>
      <c r="G9" s="44"/>
      <c r="H9" s="45"/>
      <c r="I9" s="153">
        <v>53.475333999999997</v>
      </c>
    </row>
    <row r="10" spans="1:9" ht="15.75" thickBot="1" x14ac:dyDescent="0.3">
      <c r="A10" s="184"/>
      <c r="B10" s="54" t="s">
        <v>416</v>
      </c>
      <c r="C10" s="79"/>
      <c r="D10" s="95"/>
      <c r="E10" s="66" t="s">
        <v>416</v>
      </c>
      <c r="F10" s="66" t="str">
        <f>IF(ISNUMBER(E10),ROUND(E10*$D10,2),"")</f>
        <v/>
      </c>
      <c r="G10" s="68"/>
      <c r="H10" s="30"/>
      <c r="I10" s="153">
        <v>53.475333999999997</v>
      </c>
    </row>
    <row r="11" spans="1:9" ht="15.75" hidden="1" thickBot="1" x14ac:dyDescent="0.3">
      <c r="A11" s="183" t="s">
        <v>6815</v>
      </c>
      <c r="B11" s="40" t="s">
        <v>416</v>
      </c>
      <c r="C11" s="77" t="s">
        <v>773</v>
      </c>
      <c r="D11" s="93"/>
      <c r="E11" s="27" t="s">
        <v>416</v>
      </c>
      <c r="F11" s="25" t="str">
        <f>IF(ISNUMBER(E11),ROUND(E11*$D11,2),"")</f>
        <v/>
      </c>
      <c r="G11" s="28"/>
      <c r="H11" s="29"/>
      <c r="I11" s="153">
        <v>0</v>
      </c>
    </row>
    <row r="12" spans="1:9" ht="15.75" hidden="1" thickBot="1" x14ac:dyDescent="0.3">
      <c r="A12" s="182"/>
      <c r="B12" s="31" t="s">
        <v>416</v>
      </c>
      <c r="C12" s="78"/>
      <c r="D12" s="91"/>
      <c r="E12" s="30" t="s">
        <v>416</v>
      </c>
      <c r="F12" s="30" t="str">
        <f>IF(ISNUMBER(E12),ROUND(E12*$D12,2),"")</f>
        <v/>
      </c>
      <c r="G12" s="34"/>
      <c r="H12" s="30"/>
      <c r="I12" s="153">
        <v>0</v>
      </c>
    </row>
    <row r="13" spans="1:9" ht="15.75" hidden="1" thickBot="1" x14ac:dyDescent="0.3">
      <c r="A13" s="182"/>
      <c r="B13" s="35" t="s">
        <v>1277</v>
      </c>
      <c r="C13" s="49" t="s">
        <v>773</v>
      </c>
      <c r="D13" s="36">
        <v>1.07</v>
      </c>
      <c r="E13" s="30">
        <v>8.9205000000000005</v>
      </c>
      <c r="F13" s="33">
        <f>IF(ISNUMBER(E13),ROUND(E13*$D13,2),"")</f>
        <v>9.5399999999999991</v>
      </c>
      <c r="G13" s="44">
        <f>SUM(F13:F15)</f>
        <v>12.319999999999999</v>
      </c>
      <c r="H13" s="45"/>
      <c r="I13" s="153">
        <v>0</v>
      </c>
    </row>
    <row r="14" spans="1:9" ht="15.75" hidden="1" thickBot="1" x14ac:dyDescent="0.3">
      <c r="A14" s="182"/>
      <c r="B14" s="35" t="s">
        <v>775</v>
      </c>
      <c r="C14" s="49" t="s">
        <v>583</v>
      </c>
      <c r="D14" s="36">
        <v>1.3100000000000001E-2</v>
      </c>
      <c r="E14" s="33">
        <v>20.196999999999999</v>
      </c>
      <c r="F14" s="33">
        <f>IF(ISNUMBER(E14),ROUND(E14*$D14,2),"")</f>
        <v>0.26</v>
      </c>
      <c r="G14" s="44"/>
      <c r="H14" s="45"/>
      <c r="I14" s="153">
        <v>0</v>
      </c>
    </row>
    <row r="15" spans="1:9" ht="15.75" hidden="1" thickBot="1" x14ac:dyDescent="0.3">
      <c r="A15" s="182"/>
      <c r="B15" s="35" t="s">
        <v>776</v>
      </c>
      <c r="C15" s="49" t="s">
        <v>583</v>
      </c>
      <c r="D15" s="36">
        <v>9.3299999999999994E-2</v>
      </c>
      <c r="E15" s="30">
        <v>26.970499999999998</v>
      </c>
      <c r="F15" s="33">
        <f>IF(ISNUMBER(E15),ROUND(E15*$D15,2),"")</f>
        <v>2.52</v>
      </c>
      <c r="G15" s="44"/>
      <c r="H15" s="45"/>
      <c r="I15" s="153">
        <v>0</v>
      </c>
    </row>
    <row r="16" spans="1:9" ht="15.75" hidden="1" thickBot="1" x14ac:dyDescent="0.3">
      <c r="A16" s="184"/>
      <c r="B16" s="54" t="s">
        <v>416</v>
      </c>
      <c r="C16" s="79"/>
      <c r="D16" s="95"/>
      <c r="E16" s="66" t="s">
        <v>416</v>
      </c>
      <c r="F16" s="67" t="str">
        <f>IF(ISNUMBER(E16),ROUND(E16*$D16,2),"")</f>
        <v/>
      </c>
      <c r="G16" s="68"/>
      <c r="H16" s="30"/>
      <c r="I16" s="153">
        <v>0</v>
      </c>
    </row>
    <row r="17" spans="1:9" ht="15.75" customHeight="1" thickBot="1" x14ac:dyDescent="0.3">
      <c r="A17" s="183" t="s">
        <v>3071</v>
      </c>
      <c r="B17" s="40" t="s">
        <v>416</v>
      </c>
      <c r="C17" s="77" t="s">
        <v>87</v>
      </c>
      <c r="D17" s="93"/>
      <c r="E17" s="27" t="s">
        <v>416</v>
      </c>
      <c r="F17" s="25" t="str">
        <f>IF(ISNUMBER(E17),ROUND(E17*$D17,2),"")</f>
        <v/>
      </c>
      <c r="G17" s="28"/>
      <c r="H17" s="29"/>
      <c r="I17" s="153">
        <v>2.6737666999999998</v>
      </c>
    </row>
    <row r="18" spans="1:9" x14ac:dyDescent="0.25">
      <c r="A18" s="182"/>
      <c r="B18" s="31" t="s">
        <v>416</v>
      </c>
      <c r="C18" s="78"/>
      <c r="D18" s="91"/>
      <c r="E18" s="30" t="s">
        <v>416</v>
      </c>
      <c r="F18" s="30" t="str">
        <f>IF(ISNUMBER(E18),ROUND(E18*$D18,2),"")</f>
        <v/>
      </c>
      <c r="G18" s="34"/>
      <c r="H18" s="30"/>
      <c r="I18" s="153">
        <v>2.6737666999999998</v>
      </c>
    </row>
    <row r="19" spans="1:9" ht="51" x14ac:dyDescent="0.25">
      <c r="A19" s="182"/>
      <c r="B19" s="35" t="s">
        <v>961</v>
      </c>
      <c r="C19" s="49" t="s">
        <v>813</v>
      </c>
      <c r="D19" s="36">
        <v>8.3000000000000001E-3</v>
      </c>
      <c r="E19" s="30">
        <v>185.68700000000001</v>
      </c>
      <c r="F19" s="33">
        <f>IF(ISNUMBER(E19),ROUND(E19*$D19,2),"")</f>
        <v>1.54</v>
      </c>
      <c r="G19" s="44">
        <f>SUM(F19:F22)</f>
        <v>8.0518994499999987</v>
      </c>
      <c r="H19" s="45"/>
      <c r="I19" s="153">
        <v>2.6737666999999998</v>
      </c>
    </row>
    <row r="20" spans="1:9" ht="38.25" x14ac:dyDescent="0.25">
      <c r="A20" s="182"/>
      <c r="B20" s="35" t="s">
        <v>2872</v>
      </c>
      <c r="C20" s="49" t="s">
        <v>815</v>
      </c>
      <c r="D20" s="36">
        <v>1.5100000000000001E-2</v>
      </c>
      <c r="E20" s="30">
        <v>63.412499999999994</v>
      </c>
      <c r="F20" s="33">
        <f>IF(ISNUMBER(E20),E20*$D20,"")</f>
        <v>0.95752874999999993</v>
      </c>
      <c r="G20" s="44"/>
      <c r="H20" s="45"/>
      <c r="I20" s="153">
        <v>2.6737666999999998</v>
      </c>
    </row>
    <row r="21" spans="1:9" ht="51" x14ac:dyDescent="0.25">
      <c r="A21" s="182"/>
      <c r="B21" s="35" t="s">
        <v>939</v>
      </c>
      <c r="C21" s="49" t="s">
        <v>813</v>
      </c>
      <c r="D21" s="36">
        <v>2.6700000000000002E-2</v>
      </c>
      <c r="E21" s="30">
        <v>169.09049999999999</v>
      </c>
      <c r="F21" s="33">
        <f>IF(ISNUMBER(E21),E21*$D21,"")</f>
        <v>4.5147163499999996</v>
      </c>
      <c r="G21" s="44"/>
      <c r="H21" s="45"/>
      <c r="I21" s="153">
        <v>2.6737666999999998</v>
      </c>
    </row>
    <row r="22" spans="1:9" ht="51" x14ac:dyDescent="0.25">
      <c r="A22" s="182"/>
      <c r="B22" s="35" t="s">
        <v>940</v>
      </c>
      <c r="C22" s="49" t="s">
        <v>815</v>
      </c>
      <c r="D22" s="36">
        <v>2.0299999999999999E-2</v>
      </c>
      <c r="E22" s="30">
        <v>51.214499999999994</v>
      </c>
      <c r="F22" s="33">
        <f>IF(ISNUMBER(E22),E22*$D22,"")</f>
        <v>1.0396543499999997</v>
      </c>
      <c r="G22" s="44"/>
      <c r="H22" s="45"/>
      <c r="I22" s="153">
        <v>2.6737666999999998</v>
      </c>
    </row>
    <row r="23" spans="1:9" ht="15.75" thickBot="1" x14ac:dyDescent="0.3">
      <c r="A23" s="184"/>
      <c r="B23" s="54" t="s">
        <v>416</v>
      </c>
      <c r="C23" s="79"/>
      <c r="D23" s="95"/>
      <c r="E23" s="66" t="s">
        <v>416</v>
      </c>
      <c r="F23" s="67" t="str">
        <f>IF(ISNUMBER(E23),ROUND(E23*$D23,2),"")</f>
        <v/>
      </c>
      <c r="G23" s="68"/>
      <c r="H23" s="30"/>
      <c r="I23" s="153">
        <v>2.6737666999999998</v>
      </c>
    </row>
    <row r="24" spans="1:9" ht="15.75" hidden="1" thickBot="1" x14ac:dyDescent="0.3">
      <c r="A24" s="183" t="s">
        <v>1197</v>
      </c>
      <c r="B24" s="40" t="s">
        <v>416</v>
      </c>
      <c r="C24" s="77" t="s">
        <v>87</v>
      </c>
      <c r="D24" s="93"/>
      <c r="E24" s="41" t="s">
        <v>416</v>
      </c>
      <c r="F24" s="41" t="str">
        <f>IF(ISNUMBER(E24),ROUND(E24*$D24,2),"")</f>
        <v/>
      </c>
      <c r="G24" s="28"/>
      <c r="H24" s="29"/>
      <c r="I24" s="153">
        <v>0</v>
      </c>
    </row>
    <row r="25" spans="1:9" ht="15.75" hidden="1" thickBot="1" x14ac:dyDescent="0.3">
      <c r="A25" s="182"/>
      <c r="B25" s="31" t="s">
        <v>416</v>
      </c>
      <c r="C25" s="78"/>
      <c r="D25" s="91"/>
      <c r="E25" s="97" t="s">
        <v>416</v>
      </c>
      <c r="F25" s="98" t="str">
        <f>IF(ISNUMBER(E25),ROUND(E25*$D25,2),"")</f>
        <v/>
      </c>
      <c r="G25" s="34"/>
      <c r="H25" s="30"/>
      <c r="I25" s="153">
        <v>0</v>
      </c>
    </row>
    <row r="26" spans="1:9" ht="26.25" hidden="1" thickBot="1" x14ac:dyDescent="0.3">
      <c r="A26" s="182"/>
      <c r="B26" s="35" t="s">
        <v>7985</v>
      </c>
      <c r="C26" s="49" t="s">
        <v>87</v>
      </c>
      <c r="D26" s="36">
        <v>1.36</v>
      </c>
      <c r="E26" s="33">
        <v>202.33099999999999</v>
      </c>
      <c r="F26" s="33">
        <f>IF(ISNUMBER(E26),ROUND(E26*$D26,2),"")</f>
        <v>275.17</v>
      </c>
      <c r="G26" s="44">
        <f>SUM(F26:F32)</f>
        <v>748.61221810799998</v>
      </c>
      <c r="H26" s="45"/>
      <c r="I26" s="153">
        <v>0</v>
      </c>
    </row>
    <row r="27" spans="1:9" ht="15.75" hidden="1" thickBot="1" x14ac:dyDescent="0.3">
      <c r="A27" s="182"/>
      <c r="B27" s="35" t="s">
        <v>8065</v>
      </c>
      <c r="C27" s="49" t="s">
        <v>773</v>
      </c>
      <c r="D27" s="36">
        <v>459.85</v>
      </c>
      <c r="E27" s="33">
        <v>0.627</v>
      </c>
      <c r="F27" s="33">
        <f>IF(ISNUMBER(E27),ROUND(E27*$D27,2),"")</f>
        <v>288.33</v>
      </c>
      <c r="G27" s="44"/>
      <c r="H27" s="45"/>
      <c r="I27" s="153">
        <v>0</v>
      </c>
    </row>
    <row r="28" spans="1:9" ht="26.25" hidden="1" thickBot="1" x14ac:dyDescent="0.3">
      <c r="A28" s="182"/>
      <c r="B28" s="35" t="s">
        <v>1271</v>
      </c>
      <c r="C28" s="49" t="s">
        <v>583</v>
      </c>
      <c r="D28" s="36">
        <v>4.8499999999999996</v>
      </c>
      <c r="E28" s="30">
        <v>20.291999999999998</v>
      </c>
      <c r="F28" s="33">
        <f>IF(ISNUMBER(E28),ROUND(E28*$D28,2),"")</f>
        <v>98.42</v>
      </c>
      <c r="G28" s="44"/>
      <c r="H28" s="45"/>
      <c r="I28" s="153">
        <v>0</v>
      </c>
    </row>
    <row r="29" spans="1:9" ht="39" hidden="1" thickBot="1" x14ac:dyDescent="0.3">
      <c r="A29" s="182"/>
      <c r="B29" s="35" t="s">
        <v>84</v>
      </c>
      <c r="C29" s="49" t="s">
        <v>813</v>
      </c>
      <c r="D29" s="36">
        <v>1.1299999999999999</v>
      </c>
      <c r="E29" s="30">
        <v>1.6435</v>
      </c>
      <c r="F29" s="33">
        <f>IF(ISNUMBER(E29),ROUND(E29*$D29,2),"")</f>
        <v>1.86</v>
      </c>
      <c r="G29" s="44"/>
      <c r="H29" s="45"/>
      <c r="I29" s="153">
        <v>0</v>
      </c>
    </row>
    <row r="30" spans="1:9" ht="39" hidden="1" thickBot="1" x14ac:dyDescent="0.3">
      <c r="A30" s="182"/>
      <c r="B30" s="35" t="s">
        <v>85</v>
      </c>
      <c r="C30" s="49" t="s">
        <v>815</v>
      </c>
      <c r="D30" s="36">
        <v>3.72</v>
      </c>
      <c r="E30" s="30">
        <v>0.42749999999999999</v>
      </c>
      <c r="F30" s="33">
        <f>IF(ISNUMBER(E30),ROUND(E30*$D30,2),"")</f>
        <v>1.59</v>
      </c>
      <c r="G30" s="44"/>
      <c r="H30" s="45"/>
      <c r="I30" s="153">
        <v>0</v>
      </c>
    </row>
    <row r="31" spans="1:9" ht="51.75" hidden="1" thickBot="1" x14ac:dyDescent="0.3">
      <c r="A31" s="182"/>
      <c r="B31" s="35" t="s">
        <v>3071</v>
      </c>
      <c r="C31" s="35" t="s">
        <v>87</v>
      </c>
      <c r="D31" s="36">
        <f>D26</f>
        <v>1.36</v>
      </c>
      <c r="E31" s="30">
        <v>8.0531015499999992</v>
      </c>
      <c r="F31" s="33">
        <f>IF(ISNUMBER(E31),E31*$D31,"")</f>
        <v>10.952218108</v>
      </c>
      <c r="G31" s="44"/>
      <c r="H31" s="45"/>
      <c r="I31" s="153">
        <v>0</v>
      </c>
    </row>
    <row r="32" spans="1:9" ht="39" hidden="1" thickBot="1" x14ac:dyDescent="0.3">
      <c r="A32" s="182"/>
      <c r="B32" s="35" t="s">
        <v>3068</v>
      </c>
      <c r="C32" s="49" t="s">
        <v>89</v>
      </c>
      <c r="D32" s="36">
        <f>20*D26</f>
        <v>27.200000000000003</v>
      </c>
      <c r="E32" s="33">
        <v>2.6576449499999995</v>
      </c>
      <c r="F32" s="33">
        <f>IF(ISNUMBER(E32),ROUND(E32*$D32,2),"")</f>
        <v>72.290000000000006</v>
      </c>
      <c r="G32" s="44"/>
      <c r="H32" s="45"/>
      <c r="I32" s="153">
        <v>0</v>
      </c>
    </row>
    <row r="33" spans="1:9" ht="15.75" hidden="1" thickBot="1" x14ac:dyDescent="0.3">
      <c r="A33" s="182"/>
      <c r="B33" s="50"/>
      <c r="C33" s="133"/>
      <c r="D33" s="36"/>
      <c r="E33" s="30" t="s">
        <v>416</v>
      </c>
      <c r="F33" s="33" t="str">
        <f>IF(ISNUMBER(E33),ROUND(E33*$D33,2),"")</f>
        <v/>
      </c>
      <c r="G33" s="44"/>
      <c r="H33" s="45"/>
      <c r="I33" s="153">
        <v>0</v>
      </c>
    </row>
    <row r="34" spans="1:9" ht="15.75" hidden="1" thickBot="1" x14ac:dyDescent="0.3">
      <c r="A34" s="182"/>
      <c r="B34" s="47" t="s">
        <v>631</v>
      </c>
      <c r="C34" s="133"/>
      <c r="D34" s="36"/>
      <c r="E34" s="30" t="s">
        <v>416</v>
      </c>
      <c r="F34" s="33" t="str">
        <f>IF(ISNUMBER(E34),ROUND(E34*$D34,2),"")</f>
        <v/>
      </c>
      <c r="G34" s="44"/>
      <c r="H34" s="45"/>
      <c r="I34" s="153">
        <v>0</v>
      </c>
    </row>
    <row r="35" spans="1:9" ht="15.75" hidden="1" thickBot="1" x14ac:dyDescent="0.3">
      <c r="A35" s="184"/>
      <c r="B35" s="103" t="s">
        <v>5549</v>
      </c>
      <c r="C35" s="79"/>
      <c r="D35" s="95"/>
      <c r="E35" s="66" t="s">
        <v>416</v>
      </c>
      <c r="F35" s="66" t="str">
        <f>IF(ISNUMBER(E35),ROUND(E35*$D35,2),"")</f>
        <v/>
      </c>
      <c r="G35" s="68"/>
      <c r="H35" s="30"/>
      <c r="I35" s="153">
        <v>0</v>
      </c>
    </row>
    <row r="36" spans="1:9" ht="27.75" hidden="1" customHeight="1" thickBot="1" x14ac:dyDescent="0.3">
      <c r="A36" s="183" t="s">
        <v>3219</v>
      </c>
      <c r="B36" s="40" t="s">
        <v>416</v>
      </c>
      <c r="C36" s="77" t="s">
        <v>861</v>
      </c>
      <c r="D36" s="93"/>
      <c r="E36" s="41" t="s">
        <v>416</v>
      </c>
      <c r="F36" s="41" t="str">
        <f>IF(ISNUMBER(E36),ROUND(E36*$D36,2),"")</f>
        <v/>
      </c>
      <c r="G36" s="28"/>
      <c r="H36" s="29"/>
      <c r="I36" s="153">
        <v>0</v>
      </c>
    </row>
    <row r="37" spans="1:9" ht="27.75" hidden="1" customHeight="1" x14ac:dyDescent="0.3">
      <c r="A37" s="182"/>
      <c r="B37" s="31" t="s">
        <v>416</v>
      </c>
      <c r="C37" s="78"/>
      <c r="D37" s="91"/>
      <c r="E37" s="97" t="s">
        <v>416</v>
      </c>
      <c r="F37" s="98" t="str">
        <f>IF(ISNUMBER(E37),ROUND(E37*$D37,2),"")</f>
        <v/>
      </c>
      <c r="G37" s="34"/>
      <c r="H37" s="30"/>
      <c r="I37" s="153">
        <v>0</v>
      </c>
    </row>
    <row r="38" spans="1:9" ht="27.75" hidden="1" customHeight="1" x14ac:dyDescent="0.3">
      <c r="A38" s="182"/>
      <c r="B38" s="35" t="s">
        <v>3235</v>
      </c>
      <c r="C38" s="49" t="s">
        <v>385</v>
      </c>
      <c r="D38" s="36">
        <v>4.4320000000000004</v>
      </c>
      <c r="E38" s="33">
        <v>2.8594999999999997</v>
      </c>
      <c r="F38" s="33">
        <f>IF(ISNUMBER(E38),ROUND(E38*$D38,2),"")</f>
        <v>12.67</v>
      </c>
      <c r="G38" s="44">
        <f>SUM(F38:F44)</f>
        <v>262.85000000000008</v>
      </c>
      <c r="H38" s="45"/>
      <c r="I38" s="153">
        <v>0</v>
      </c>
    </row>
    <row r="39" spans="1:9" ht="27.75" hidden="1" customHeight="1" x14ac:dyDescent="0.3">
      <c r="A39" s="182"/>
      <c r="B39" s="35" t="s">
        <v>1219</v>
      </c>
      <c r="C39" s="49" t="s">
        <v>773</v>
      </c>
      <c r="D39" s="36">
        <v>8.5999999999999993E-2</v>
      </c>
      <c r="E39" s="33">
        <v>21.602999999999998</v>
      </c>
      <c r="F39" s="33">
        <f>IF(ISNUMBER(E39),ROUND(E39*$D39,2),"")</f>
        <v>1.86</v>
      </c>
      <c r="G39" s="44"/>
      <c r="H39" s="45"/>
      <c r="I39" s="153">
        <v>0</v>
      </c>
    </row>
    <row r="40" spans="1:9" ht="27.75" hidden="1" customHeight="1" x14ac:dyDescent="0.3">
      <c r="A40" s="182"/>
      <c r="B40" s="35" t="s">
        <v>8381</v>
      </c>
      <c r="C40" s="49" t="s">
        <v>385</v>
      </c>
      <c r="D40" s="36">
        <v>6.53</v>
      </c>
      <c r="E40" s="30">
        <v>34.152500000000003</v>
      </c>
      <c r="F40" s="33">
        <f>IF(ISNUMBER(E40),ROUND(E40*$D40,2),"")</f>
        <v>223.02</v>
      </c>
      <c r="G40" s="44"/>
      <c r="H40" s="45"/>
      <c r="I40" s="153">
        <v>0</v>
      </c>
    </row>
    <row r="41" spans="1:9" ht="27.75" hidden="1" customHeight="1" x14ac:dyDescent="0.3">
      <c r="A41" s="182"/>
      <c r="B41" s="35" t="s">
        <v>660</v>
      </c>
      <c r="C41" s="49" t="s">
        <v>583</v>
      </c>
      <c r="D41" s="36">
        <v>0.14299999999999999</v>
      </c>
      <c r="E41" s="30">
        <v>21.337</v>
      </c>
      <c r="F41" s="33">
        <f>IF(ISNUMBER(E41),ROUND(E41*$D41,2),"")</f>
        <v>3.05</v>
      </c>
      <c r="G41" s="44"/>
      <c r="H41" s="45"/>
      <c r="I41" s="153">
        <v>0</v>
      </c>
    </row>
    <row r="42" spans="1:9" ht="27.75" hidden="1" customHeight="1" x14ac:dyDescent="0.3">
      <c r="A42" s="182"/>
      <c r="B42" s="35" t="s">
        <v>862</v>
      </c>
      <c r="C42" s="49" t="s">
        <v>583</v>
      </c>
      <c r="D42" s="36">
        <v>0.71499999999999997</v>
      </c>
      <c r="E42" s="30">
        <v>26.799499999999998</v>
      </c>
      <c r="F42" s="33">
        <f>IF(ISNUMBER(E42),ROUND(E42*$D42,2),"")</f>
        <v>19.16</v>
      </c>
      <c r="G42" s="44"/>
      <c r="H42" s="45"/>
      <c r="I42" s="153">
        <v>0</v>
      </c>
    </row>
    <row r="43" spans="1:9" ht="27.75" hidden="1" customHeight="1" x14ac:dyDescent="0.3">
      <c r="A43" s="182"/>
      <c r="B43" s="35" t="s">
        <v>1013</v>
      </c>
      <c r="C43" s="49" t="s">
        <v>813</v>
      </c>
      <c r="D43" s="36">
        <v>0.05</v>
      </c>
      <c r="E43" s="30">
        <v>22.210999999999999</v>
      </c>
      <c r="F43" s="33">
        <f>IF(ISNUMBER(E43),ROUND(E43*$D43,2),"")</f>
        <v>1.1100000000000001</v>
      </c>
      <c r="G43" s="44"/>
      <c r="H43" s="45"/>
      <c r="I43" s="153">
        <v>0</v>
      </c>
    </row>
    <row r="44" spans="1:9" ht="27.75" hidden="1" customHeight="1" x14ac:dyDescent="0.3">
      <c r="A44" s="182"/>
      <c r="B44" s="35" t="s">
        <v>1014</v>
      </c>
      <c r="C44" s="49" t="s">
        <v>815</v>
      </c>
      <c r="D44" s="36">
        <v>9.2999999999999999E-2</v>
      </c>
      <c r="E44" s="33">
        <v>21.2895</v>
      </c>
      <c r="F44" s="33">
        <f>IF(ISNUMBER(E44),ROUND(E44*$D44,2),"")</f>
        <v>1.98</v>
      </c>
      <c r="G44" s="44"/>
      <c r="H44" s="45"/>
      <c r="I44" s="153">
        <v>0</v>
      </c>
    </row>
    <row r="45" spans="1:9" ht="27.75" hidden="1" customHeight="1" thickBot="1" x14ac:dyDescent="0.3">
      <c r="A45" s="184"/>
      <c r="B45" s="103"/>
      <c r="C45" s="79"/>
      <c r="D45" s="95"/>
      <c r="E45" s="66" t="s">
        <v>416</v>
      </c>
      <c r="F45" s="66" t="str">
        <f>IF(ISNUMBER(E45),ROUND(E45*$D45,2),"")</f>
        <v/>
      </c>
      <c r="G45" s="68"/>
      <c r="H45" s="30"/>
      <c r="I45" s="153">
        <v>0</v>
      </c>
    </row>
    <row r="46" spans="1:9" ht="15.75" hidden="1" thickBot="1" x14ac:dyDescent="0.3">
      <c r="A46" s="183" t="s">
        <v>2896</v>
      </c>
      <c r="B46" s="40" t="s">
        <v>416</v>
      </c>
      <c r="C46" s="77" t="s">
        <v>87</v>
      </c>
      <c r="D46" s="93"/>
      <c r="E46" s="41" t="s">
        <v>416</v>
      </c>
      <c r="F46" s="41" t="str">
        <f>IF(ISNUMBER(E46),ROUND(E46*$D46,2),"")</f>
        <v/>
      </c>
      <c r="G46" s="28"/>
      <c r="H46" s="29"/>
      <c r="I46" s="153">
        <v>0</v>
      </c>
    </row>
    <row r="47" spans="1:9" ht="15.75" hidden="1" thickBot="1" x14ac:dyDescent="0.3">
      <c r="A47" s="182"/>
      <c r="B47" s="31" t="s">
        <v>416</v>
      </c>
      <c r="C47" s="78"/>
      <c r="D47" s="91"/>
      <c r="E47" s="97" t="s">
        <v>416</v>
      </c>
      <c r="F47" s="98" t="str">
        <f>IF(ISNUMBER(E47),ROUND(E47*$D47,2),"")</f>
        <v/>
      </c>
      <c r="G47" s="34"/>
      <c r="H47" s="30"/>
      <c r="I47" s="153">
        <v>0</v>
      </c>
    </row>
    <row r="48" spans="1:9" ht="26.25" hidden="1" thickBot="1" x14ac:dyDescent="0.3">
      <c r="A48" s="182"/>
      <c r="B48" s="35" t="s">
        <v>1140</v>
      </c>
      <c r="C48" s="49" t="s">
        <v>87</v>
      </c>
      <c r="D48" s="36">
        <v>0.95</v>
      </c>
      <c r="E48" s="33">
        <v>204.97199999999998</v>
      </c>
      <c r="F48" s="33">
        <f>IF(ISNUMBER(E48),ROUND(E48*$D48,2),"")</f>
        <v>194.72</v>
      </c>
      <c r="G48" s="44">
        <f>SUM(F48:F57)</f>
        <v>611.02044647249988</v>
      </c>
      <c r="H48" s="45"/>
      <c r="I48" s="153">
        <v>0</v>
      </c>
    </row>
    <row r="49" spans="1:9" ht="15.75" hidden="1" thickBot="1" x14ac:dyDescent="0.3">
      <c r="A49" s="182"/>
      <c r="B49" s="35" t="s">
        <v>8065</v>
      </c>
      <c r="C49" s="49" t="s">
        <v>773</v>
      </c>
      <c r="D49" s="36">
        <v>426.49</v>
      </c>
      <c r="E49" s="33">
        <v>0.627</v>
      </c>
      <c r="F49" s="33">
        <f>IF(ISNUMBER(E49),ROUND(E49*$D49,2),"")</f>
        <v>267.41000000000003</v>
      </c>
      <c r="G49" s="44"/>
      <c r="H49" s="45"/>
      <c r="I49" s="153">
        <v>0</v>
      </c>
    </row>
    <row r="50" spans="1:9" ht="26.25" hidden="1" thickBot="1" x14ac:dyDescent="0.3">
      <c r="A50" s="182"/>
      <c r="B50" s="35" t="s">
        <v>1271</v>
      </c>
      <c r="C50" s="49" t="s">
        <v>583</v>
      </c>
      <c r="D50" s="36">
        <v>4.32</v>
      </c>
      <c r="E50" s="30">
        <v>20.291999999999998</v>
      </c>
      <c r="F50" s="33">
        <f>IF(ISNUMBER(E50),ROUND(E50*$D50,2),"")</f>
        <v>87.66</v>
      </c>
      <c r="G50" s="44"/>
      <c r="H50" s="45"/>
      <c r="I50" s="153">
        <v>0</v>
      </c>
    </row>
    <row r="51" spans="1:9" ht="39" hidden="1" thickBot="1" x14ac:dyDescent="0.3">
      <c r="A51" s="182"/>
      <c r="B51" s="35" t="s">
        <v>84</v>
      </c>
      <c r="C51" s="49" t="s">
        <v>813</v>
      </c>
      <c r="D51" s="36">
        <v>1.01</v>
      </c>
      <c r="E51" s="30">
        <v>1.6435</v>
      </c>
      <c r="F51" s="33">
        <f>IF(ISNUMBER(E51),ROUND(E51*$D51,2),"")</f>
        <v>1.66</v>
      </c>
      <c r="G51" s="44"/>
      <c r="H51" s="45"/>
      <c r="I51" s="153">
        <v>0</v>
      </c>
    </row>
    <row r="52" spans="1:9" ht="39" hidden="1" thickBot="1" x14ac:dyDescent="0.3">
      <c r="A52" s="182"/>
      <c r="B52" s="35" t="s">
        <v>85</v>
      </c>
      <c r="C52" s="49" t="s">
        <v>815</v>
      </c>
      <c r="D52" s="36">
        <v>3.31</v>
      </c>
      <c r="E52" s="30">
        <v>0.42749999999999999</v>
      </c>
      <c r="F52" s="33">
        <f>IF(ISNUMBER(E52),ROUND(E52*$D52,2),"")</f>
        <v>1.42</v>
      </c>
      <c r="G52" s="44"/>
      <c r="H52" s="45"/>
      <c r="I52" s="153">
        <v>0</v>
      </c>
    </row>
    <row r="53" spans="1:9" ht="51.75" hidden="1" thickBot="1" x14ac:dyDescent="0.3">
      <c r="A53" s="182"/>
      <c r="B53" s="35" t="s">
        <v>3071</v>
      </c>
      <c r="C53" s="35" t="s">
        <v>87</v>
      </c>
      <c r="D53" s="36">
        <f>D48</f>
        <v>0.95</v>
      </c>
      <c r="E53" s="30">
        <v>8.0531015499999992</v>
      </c>
      <c r="F53" s="33">
        <f>IF(ISNUMBER(E53),E53*$D53,"")</f>
        <v>7.6504464724999988</v>
      </c>
      <c r="G53" s="44"/>
      <c r="H53" s="45"/>
      <c r="I53" s="153">
        <v>0</v>
      </c>
    </row>
    <row r="54" spans="1:9" ht="39" hidden="1" thickBot="1" x14ac:dyDescent="0.3">
      <c r="A54" s="182"/>
      <c r="B54" s="35" t="s">
        <v>3068</v>
      </c>
      <c r="C54" s="49" t="s">
        <v>89</v>
      </c>
      <c r="D54" s="36">
        <f>20*D48</f>
        <v>19</v>
      </c>
      <c r="E54" s="33">
        <v>2.6576449499999995</v>
      </c>
      <c r="F54" s="33">
        <f>IF(ISNUMBER(E54),ROUND(E54*$D54,2),"")</f>
        <v>50.5</v>
      </c>
      <c r="G54" s="44"/>
      <c r="H54" s="45"/>
      <c r="I54" s="153">
        <v>0</v>
      </c>
    </row>
    <row r="55" spans="1:9" ht="15.75" hidden="1" thickBot="1" x14ac:dyDescent="0.3">
      <c r="A55" s="182"/>
      <c r="B55" s="50"/>
      <c r="C55" s="133"/>
      <c r="D55" s="36"/>
      <c r="E55" s="30" t="s">
        <v>416</v>
      </c>
      <c r="F55" s="33" t="str">
        <f>IF(ISNUMBER(E55),ROUND(E55*$D55,2),"")</f>
        <v/>
      </c>
      <c r="G55" s="44"/>
      <c r="H55" s="45"/>
      <c r="I55" s="153">
        <v>0</v>
      </c>
    </row>
    <row r="56" spans="1:9" ht="15.75" hidden="1" thickBot="1" x14ac:dyDescent="0.3">
      <c r="A56" s="182"/>
      <c r="B56" s="47" t="s">
        <v>631</v>
      </c>
      <c r="C56" s="133"/>
      <c r="D56" s="36"/>
      <c r="E56" s="30" t="s">
        <v>416</v>
      </c>
      <c r="F56" s="33" t="str">
        <f>IF(ISNUMBER(E56),ROUND(E56*$D56,2),"")</f>
        <v/>
      </c>
      <c r="G56" s="44"/>
      <c r="H56" s="45"/>
      <c r="I56" s="153">
        <v>0</v>
      </c>
    </row>
    <row r="57" spans="1:9" ht="15.75" hidden="1" thickBot="1" x14ac:dyDescent="0.3">
      <c r="A57" s="182"/>
      <c r="B57" s="47" t="s">
        <v>3225</v>
      </c>
      <c r="C57" s="49"/>
      <c r="D57" s="92"/>
      <c r="E57" s="30" t="s">
        <v>416</v>
      </c>
      <c r="F57" s="30" t="str">
        <f>IF(ISNUMBER(E57),ROUND(E57*$D57,2),"")</f>
        <v/>
      </c>
      <c r="G57" s="44"/>
      <c r="H57" s="45"/>
      <c r="I57" s="153">
        <v>0</v>
      </c>
    </row>
    <row r="58" spans="1:9" ht="15.75" hidden="1" thickBot="1" x14ac:dyDescent="0.3">
      <c r="A58" s="184"/>
      <c r="B58" s="103"/>
      <c r="C58" s="79"/>
      <c r="D58" s="95"/>
      <c r="E58" s="66" t="s">
        <v>416</v>
      </c>
      <c r="F58" s="66" t="str">
        <f>IF(ISNUMBER(E58),ROUND(E58*$D58,2),"")</f>
        <v/>
      </c>
      <c r="G58" s="68"/>
      <c r="H58" s="30"/>
      <c r="I58" s="153">
        <v>0</v>
      </c>
    </row>
    <row r="59" spans="1:9" ht="15.75" hidden="1" thickBot="1" x14ac:dyDescent="0.3">
      <c r="A59" s="183" t="s">
        <v>110</v>
      </c>
      <c r="B59" s="40" t="s">
        <v>416</v>
      </c>
      <c r="C59" s="77" t="s">
        <v>87</v>
      </c>
      <c r="D59" s="93"/>
      <c r="E59" s="41" t="s">
        <v>416</v>
      </c>
      <c r="F59" s="41" t="str">
        <f>IF(ISNUMBER(E59),ROUND(E59*$D59,2),"")</f>
        <v/>
      </c>
      <c r="G59" s="28"/>
      <c r="H59" s="29"/>
      <c r="I59" s="153">
        <v>0</v>
      </c>
    </row>
    <row r="60" spans="1:9" ht="15.75" hidden="1" thickBot="1" x14ac:dyDescent="0.3">
      <c r="A60" s="182"/>
      <c r="B60" s="31" t="s">
        <v>416</v>
      </c>
      <c r="C60" s="78"/>
      <c r="D60" s="91"/>
      <c r="E60" s="97" t="s">
        <v>416</v>
      </c>
      <c r="F60" s="98" t="str">
        <f>IF(ISNUMBER(E60),ROUND(E60*$D60,2),"")</f>
        <v/>
      </c>
      <c r="G60" s="34"/>
      <c r="H60" s="30"/>
      <c r="I60" s="153">
        <v>0</v>
      </c>
    </row>
    <row r="61" spans="1:9" ht="26.25" hidden="1" thickBot="1" x14ac:dyDescent="0.3">
      <c r="A61" s="182"/>
      <c r="B61" s="35" t="s">
        <v>7985</v>
      </c>
      <c r="C61" s="49" t="s">
        <v>87</v>
      </c>
      <c r="D61" s="36">
        <v>1.1599999999999999</v>
      </c>
      <c r="E61" s="33">
        <v>202.33099999999999</v>
      </c>
      <c r="F61" s="33">
        <f>IF(ISNUMBER(E61),ROUND(E61*$D61,2),"")</f>
        <v>234.7</v>
      </c>
      <c r="G61" s="44">
        <f>SUM(F61:F71)</f>
        <v>734.72159779799995</v>
      </c>
      <c r="H61" s="45"/>
      <c r="I61" s="153">
        <v>0</v>
      </c>
    </row>
    <row r="62" spans="1:9" ht="15.75" hidden="1" thickBot="1" x14ac:dyDescent="0.3">
      <c r="A62" s="182"/>
      <c r="B62" s="35" t="s">
        <v>8040</v>
      </c>
      <c r="C62" s="49" t="s">
        <v>773</v>
      </c>
      <c r="D62" s="36">
        <v>174.1</v>
      </c>
      <c r="E62" s="33">
        <v>1.216</v>
      </c>
      <c r="F62" s="33">
        <f>IF(ISNUMBER(E62),ROUND(E62*$D62,2),"")</f>
        <v>211.71</v>
      </c>
      <c r="G62" s="44"/>
      <c r="H62" s="45"/>
      <c r="I62" s="153">
        <v>0</v>
      </c>
    </row>
    <row r="63" spans="1:9" ht="15.75" hidden="1" thickBot="1" x14ac:dyDescent="0.3">
      <c r="A63" s="182"/>
      <c r="B63" s="35" t="s">
        <v>8065</v>
      </c>
      <c r="C63" s="49" t="s">
        <v>773</v>
      </c>
      <c r="D63" s="36">
        <v>195.86</v>
      </c>
      <c r="E63" s="30">
        <v>0.627</v>
      </c>
      <c r="F63" s="33">
        <f>IF(ISNUMBER(E63),ROUND(E63*$D63,2),"")</f>
        <v>122.8</v>
      </c>
      <c r="G63" s="44"/>
      <c r="H63" s="45"/>
      <c r="I63" s="153">
        <v>0</v>
      </c>
    </row>
    <row r="64" spans="1:9" ht="26.25" hidden="1" thickBot="1" x14ac:dyDescent="0.3">
      <c r="A64" s="182"/>
      <c r="B64" s="35" t="s">
        <v>1271</v>
      </c>
      <c r="C64" s="49" t="s">
        <v>583</v>
      </c>
      <c r="D64" s="36">
        <v>4.5</v>
      </c>
      <c r="E64" s="30">
        <v>20.291999999999998</v>
      </c>
      <c r="F64" s="33">
        <f>IF(ISNUMBER(E64),ROUND(E64*$D64,2),"")</f>
        <v>91.31</v>
      </c>
      <c r="G64" s="44"/>
      <c r="H64" s="45"/>
      <c r="I64" s="153">
        <v>0</v>
      </c>
    </row>
    <row r="65" spans="1:9" ht="39" hidden="1" thickBot="1" x14ac:dyDescent="0.3">
      <c r="A65" s="182"/>
      <c r="B65" s="35" t="s">
        <v>84</v>
      </c>
      <c r="C65" s="49" t="s">
        <v>813</v>
      </c>
      <c r="D65" s="36">
        <v>1.05</v>
      </c>
      <c r="E65" s="30">
        <v>1.6435</v>
      </c>
      <c r="F65" s="33">
        <f>IF(ISNUMBER(E65),ROUND(E65*$D65,2),"")</f>
        <v>1.73</v>
      </c>
      <c r="G65" s="44"/>
      <c r="H65" s="45"/>
      <c r="I65" s="153">
        <v>0</v>
      </c>
    </row>
    <row r="66" spans="1:9" ht="39" hidden="1" thickBot="1" x14ac:dyDescent="0.3">
      <c r="A66" s="182"/>
      <c r="B66" s="35" t="s">
        <v>85</v>
      </c>
      <c r="C66" s="49" t="s">
        <v>815</v>
      </c>
      <c r="D66" s="36">
        <v>3.45</v>
      </c>
      <c r="E66" s="30">
        <v>0.42749999999999999</v>
      </c>
      <c r="F66" s="33">
        <f>IF(ISNUMBER(E66),ROUND(E66*$D66,2),"")</f>
        <v>1.47</v>
      </c>
      <c r="G66" s="44"/>
      <c r="H66" s="45"/>
      <c r="I66" s="153">
        <v>0</v>
      </c>
    </row>
    <row r="67" spans="1:9" ht="51.75" hidden="1" thickBot="1" x14ac:dyDescent="0.3">
      <c r="A67" s="182"/>
      <c r="B67" s="35" t="s">
        <v>3071</v>
      </c>
      <c r="C67" s="35" t="s">
        <v>87</v>
      </c>
      <c r="D67" s="36">
        <f>D61</f>
        <v>1.1599999999999999</v>
      </c>
      <c r="E67" s="30">
        <v>8.0531015499999992</v>
      </c>
      <c r="F67" s="33">
        <f>IF(ISNUMBER(E67),E67*$D67,"")</f>
        <v>9.3415977979999987</v>
      </c>
      <c r="G67" s="44"/>
      <c r="H67" s="45"/>
      <c r="I67" s="153">
        <v>0</v>
      </c>
    </row>
    <row r="68" spans="1:9" ht="39" hidden="1" thickBot="1" x14ac:dyDescent="0.3">
      <c r="A68" s="182"/>
      <c r="B68" s="35" t="s">
        <v>3068</v>
      </c>
      <c r="C68" s="49" t="s">
        <v>89</v>
      </c>
      <c r="D68" s="36">
        <f>20*D61</f>
        <v>23.2</v>
      </c>
      <c r="E68" s="33">
        <v>2.6576449499999995</v>
      </c>
      <c r="F68" s="33">
        <f>IF(ISNUMBER(E68),ROUND(E68*$D68,2),"")</f>
        <v>61.66</v>
      </c>
      <c r="G68" s="44"/>
      <c r="H68" s="45"/>
      <c r="I68" s="153">
        <v>0</v>
      </c>
    </row>
    <row r="69" spans="1:9" ht="15.75" hidden="1" thickBot="1" x14ac:dyDescent="0.3">
      <c r="A69" s="182"/>
      <c r="B69" s="50"/>
      <c r="C69" s="133"/>
      <c r="D69" s="36"/>
      <c r="E69" s="30" t="s">
        <v>416</v>
      </c>
      <c r="F69" s="33" t="str">
        <f>IF(ISNUMBER(E69),ROUND(E69*$D69,2),"")</f>
        <v/>
      </c>
      <c r="G69" s="44"/>
      <c r="H69" s="45"/>
      <c r="I69" s="153">
        <v>0</v>
      </c>
    </row>
    <row r="70" spans="1:9" ht="15.75" hidden="1" thickBot="1" x14ac:dyDescent="0.3">
      <c r="A70" s="182"/>
      <c r="B70" s="47" t="s">
        <v>631</v>
      </c>
      <c r="C70" s="133"/>
      <c r="D70" s="36"/>
      <c r="E70" s="30" t="s">
        <v>416</v>
      </c>
      <c r="F70" s="33" t="str">
        <f>IF(ISNUMBER(E70),ROUND(E70*$D70,2),"")</f>
        <v/>
      </c>
      <c r="G70" s="44"/>
      <c r="H70" s="45"/>
      <c r="I70" s="153">
        <v>0</v>
      </c>
    </row>
    <row r="71" spans="1:9" ht="15.75" hidden="1" thickBot="1" x14ac:dyDescent="0.3">
      <c r="A71" s="182"/>
      <c r="B71" s="47" t="s">
        <v>3225</v>
      </c>
      <c r="C71" s="49"/>
      <c r="D71" s="92"/>
      <c r="E71" s="30" t="s">
        <v>416</v>
      </c>
      <c r="F71" s="30" t="str">
        <f>IF(ISNUMBER(E71),ROUND(E71*$D71,2),"")</f>
        <v/>
      </c>
      <c r="G71" s="44"/>
      <c r="H71" s="45"/>
      <c r="I71" s="153">
        <v>0</v>
      </c>
    </row>
    <row r="72" spans="1:9" ht="15.75" hidden="1" thickBot="1" x14ac:dyDescent="0.3">
      <c r="A72" s="184"/>
      <c r="B72" s="103"/>
      <c r="C72" s="79"/>
      <c r="D72" s="95"/>
      <c r="E72" s="66" t="s">
        <v>416</v>
      </c>
      <c r="F72" s="66" t="str">
        <f>IF(ISNUMBER(E72),ROUND(E72*$D72,2),"")</f>
        <v/>
      </c>
      <c r="G72" s="68"/>
      <c r="H72" s="30"/>
      <c r="I72" s="153">
        <v>0</v>
      </c>
    </row>
    <row r="73" spans="1:9" ht="27.75" customHeight="1" thickBot="1" x14ac:dyDescent="0.3">
      <c r="A73" s="183" t="s">
        <v>6813</v>
      </c>
      <c r="B73" s="40" t="s">
        <v>416</v>
      </c>
      <c r="C73" s="77" t="s">
        <v>773</v>
      </c>
      <c r="D73" s="93"/>
      <c r="E73" s="41" t="s">
        <v>416</v>
      </c>
      <c r="F73" s="41" t="str">
        <f>IF(ISNUMBER(E73),ROUND(E73*$D73,2),"")</f>
        <v/>
      </c>
      <c r="G73" s="28"/>
      <c r="H73" s="29"/>
      <c r="I73" s="153">
        <v>2.5927462400000003</v>
      </c>
    </row>
    <row r="74" spans="1:9" ht="27.75" customHeight="1" x14ac:dyDescent="0.25">
      <c r="A74" s="182"/>
      <c r="B74" s="31" t="s">
        <v>416</v>
      </c>
      <c r="C74" s="78"/>
      <c r="D74" s="91"/>
      <c r="E74" s="97" t="s">
        <v>416</v>
      </c>
      <c r="F74" s="98" t="str">
        <f>IF(ISNUMBER(E74),ROUND(E74*$D74,2),"")</f>
        <v/>
      </c>
      <c r="G74" s="34"/>
      <c r="H74" s="30"/>
      <c r="I74" s="153">
        <v>2.5927462400000003</v>
      </c>
    </row>
    <row r="75" spans="1:9" ht="27.75" customHeight="1" x14ac:dyDescent="0.25">
      <c r="A75" s="182"/>
      <c r="B75" s="35" t="s">
        <v>774</v>
      </c>
      <c r="C75" s="49" t="s">
        <v>213</v>
      </c>
      <c r="D75" s="36">
        <v>2.8159999999999998</v>
      </c>
      <c r="E75" s="33">
        <v>0.20899999999999999</v>
      </c>
      <c r="F75" s="33">
        <f>IF(ISNUMBER(E75),ROUND(E75*$D75,2),"")</f>
        <v>0.59</v>
      </c>
      <c r="G75" s="44">
        <f>SUM(F75:F79)</f>
        <v>16.649999999999999</v>
      </c>
      <c r="H75" s="45"/>
      <c r="I75" s="153">
        <v>2.5927462400000003</v>
      </c>
    </row>
    <row r="76" spans="1:9" ht="27.75" customHeight="1" x14ac:dyDescent="0.25">
      <c r="A76" s="182"/>
      <c r="B76" s="35" t="s">
        <v>3060</v>
      </c>
      <c r="C76" s="49" t="s">
        <v>773</v>
      </c>
      <c r="D76" s="36">
        <v>2.5000000000000001E-2</v>
      </c>
      <c r="E76" s="33">
        <v>21.042499999999997</v>
      </c>
      <c r="F76" s="33">
        <f>IF(ISNUMBER(E76),ROUND(E76*$D76,2),"")</f>
        <v>0.53</v>
      </c>
      <c r="G76" s="44"/>
      <c r="H76" s="45"/>
      <c r="I76" s="153">
        <v>2.5927462400000003</v>
      </c>
    </row>
    <row r="77" spans="1:9" ht="27.75" customHeight="1" x14ac:dyDescent="0.25">
      <c r="A77" s="182"/>
      <c r="B77" s="35" t="s">
        <v>775</v>
      </c>
      <c r="C77" s="49" t="s">
        <v>583</v>
      </c>
      <c r="D77" s="36">
        <v>1.72E-2</v>
      </c>
      <c r="E77" s="30">
        <v>20.196999999999999</v>
      </c>
      <c r="F77" s="33">
        <f>IF(ISNUMBER(E77),ROUND(E77*$D77,2),"")</f>
        <v>0.35</v>
      </c>
      <c r="G77" s="44"/>
      <c r="H77" s="45"/>
      <c r="I77" s="153">
        <v>2.5927462400000003</v>
      </c>
    </row>
    <row r="78" spans="1:9" ht="27.75" customHeight="1" x14ac:dyDescent="0.25">
      <c r="A78" s="182"/>
      <c r="B78" s="35" t="s">
        <v>776</v>
      </c>
      <c r="C78" s="49" t="s">
        <v>583</v>
      </c>
      <c r="D78" s="36">
        <v>0.1055</v>
      </c>
      <c r="E78" s="30">
        <v>26.970499999999998</v>
      </c>
      <c r="F78" s="33">
        <f>IF(ISNUMBER(E78),ROUND(E78*$D78,2),"")</f>
        <v>2.85</v>
      </c>
      <c r="G78" s="44"/>
      <c r="H78" s="45"/>
      <c r="I78" s="153">
        <v>2.5927462400000003</v>
      </c>
    </row>
    <row r="79" spans="1:9" ht="27.75" customHeight="1" x14ac:dyDescent="0.25">
      <c r="A79" s="182"/>
      <c r="B79" s="35" t="s">
        <v>6815</v>
      </c>
      <c r="C79" s="46" t="s">
        <v>773</v>
      </c>
      <c r="D79" s="36">
        <v>1</v>
      </c>
      <c r="E79" s="30">
        <v>12.325863350000002</v>
      </c>
      <c r="F79" s="33">
        <f>IF(ISNUMBER(E79),ROUND(E79*$D79,2),"")</f>
        <v>12.33</v>
      </c>
      <c r="G79" s="44"/>
      <c r="H79" s="45"/>
      <c r="I79" s="153">
        <v>2.5927462400000003</v>
      </c>
    </row>
    <row r="80" spans="1:9" ht="27.75" customHeight="1" thickBot="1" x14ac:dyDescent="0.3">
      <c r="A80" s="184"/>
      <c r="B80" s="103"/>
      <c r="C80" s="79"/>
      <c r="D80" s="95"/>
      <c r="E80" s="66" t="s">
        <v>416</v>
      </c>
      <c r="F80" s="66" t="str">
        <f>IF(ISNUMBER(E80),ROUND(E80*$D80,2),"")</f>
        <v/>
      </c>
      <c r="G80" s="68"/>
      <c r="H80" s="30"/>
      <c r="I80" s="153">
        <v>2.5927462400000003</v>
      </c>
    </row>
    <row r="81" spans="1:9" ht="15.75" thickBot="1" x14ac:dyDescent="0.3">
      <c r="A81" s="183" t="s">
        <v>5739</v>
      </c>
      <c r="B81" s="40" t="s">
        <v>416</v>
      </c>
      <c r="C81" s="77" t="s">
        <v>87</v>
      </c>
      <c r="D81" s="93"/>
      <c r="E81" s="41" t="s">
        <v>416</v>
      </c>
      <c r="F81" s="41" t="str">
        <f>IF(ISNUMBER(E81),ROUND(E81*$D81,2),"")</f>
        <v/>
      </c>
      <c r="G81" s="28"/>
      <c r="H81" s="29"/>
      <c r="I81" s="153">
        <v>0.10751999999999999</v>
      </c>
    </row>
    <row r="82" spans="1:9" x14ac:dyDescent="0.25">
      <c r="A82" s="182"/>
      <c r="B82" s="31" t="s">
        <v>416</v>
      </c>
      <c r="C82" s="78"/>
      <c r="D82" s="91"/>
      <c r="E82" s="97" t="s">
        <v>416</v>
      </c>
      <c r="F82" s="98" t="str">
        <f>IF(ISNUMBER(E82),ROUND(E82*$D82,2),"")</f>
        <v/>
      </c>
      <c r="G82" s="34"/>
      <c r="H82" s="30"/>
      <c r="I82" s="153">
        <v>0.10751999999999999</v>
      </c>
    </row>
    <row r="83" spans="1:9" ht="25.5" x14ac:dyDescent="0.25">
      <c r="A83" s="182"/>
      <c r="B83" s="35" t="s">
        <v>7985</v>
      </c>
      <c r="C83" s="49" t="s">
        <v>87</v>
      </c>
      <c r="D83" s="36">
        <v>0.71189999999999998</v>
      </c>
      <c r="E83" s="33">
        <v>202.33099999999999</v>
      </c>
      <c r="F83" s="33">
        <f>IF(ISNUMBER(E83),ROUND(E83*$D83,2),"")</f>
        <v>144.04</v>
      </c>
      <c r="G83" s="44">
        <f>SUM(F83:F91)</f>
        <v>642.95663708212999</v>
      </c>
      <c r="H83" s="45"/>
      <c r="I83" s="153">
        <v>0.10751999999999999</v>
      </c>
    </row>
    <row r="84" spans="1:9" x14ac:dyDescent="0.25">
      <c r="A84" s="182"/>
      <c r="B84" s="35" t="s">
        <v>8065</v>
      </c>
      <c r="C84" s="49" t="s">
        <v>773</v>
      </c>
      <c r="D84" s="36">
        <v>391.16629999999998</v>
      </c>
      <c r="E84" s="33">
        <v>0.627</v>
      </c>
      <c r="F84" s="33">
        <f>IF(ISNUMBER(E84),ROUND(E84*$D84,2),"")</f>
        <v>245.26</v>
      </c>
      <c r="G84" s="44"/>
      <c r="H84" s="45"/>
      <c r="I84" s="153">
        <v>0.10751999999999999</v>
      </c>
    </row>
    <row r="85" spans="1:9" ht="25.5" x14ac:dyDescent="0.25">
      <c r="A85" s="182"/>
      <c r="B85" s="35" t="s">
        <v>8311</v>
      </c>
      <c r="C85" s="49" t="s">
        <v>87</v>
      </c>
      <c r="D85" s="36">
        <v>0.5927</v>
      </c>
      <c r="E85" s="30">
        <v>176.453</v>
      </c>
      <c r="F85" s="33">
        <f>IF(ISNUMBER(E85),ROUND(E85*$D85,2),"")</f>
        <v>104.58</v>
      </c>
      <c r="G85" s="44"/>
      <c r="H85" s="45"/>
      <c r="I85" s="153">
        <v>0.10751999999999999</v>
      </c>
    </row>
    <row r="86" spans="1:9" x14ac:dyDescent="0.25">
      <c r="A86" s="182"/>
      <c r="B86" s="35" t="s">
        <v>584</v>
      </c>
      <c r="C86" s="49" t="s">
        <v>583</v>
      </c>
      <c r="D86" s="36">
        <v>1.9633</v>
      </c>
      <c r="E86" s="30">
        <v>20.225499999999997</v>
      </c>
      <c r="F86" s="33">
        <f>IF(ISNUMBER(E86),ROUND(E86*$D86,2),"")</f>
        <v>39.71</v>
      </c>
      <c r="G86" s="44"/>
      <c r="H86" s="45"/>
      <c r="I86" s="153">
        <v>0.10751999999999999</v>
      </c>
    </row>
    <row r="87" spans="1:9" ht="25.5" x14ac:dyDescent="0.25">
      <c r="A87" s="182"/>
      <c r="B87" s="35" t="s">
        <v>1271</v>
      </c>
      <c r="C87" s="49" t="s">
        <v>583</v>
      </c>
      <c r="D87" s="36">
        <v>1.24</v>
      </c>
      <c r="E87" s="30">
        <v>20.291999999999998</v>
      </c>
      <c r="F87" s="33">
        <f>IF(ISNUMBER(E87),ROUND(E87*$D87,2),"")</f>
        <v>25.16</v>
      </c>
      <c r="G87" s="44"/>
      <c r="H87" s="45"/>
      <c r="I87" s="153">
        <v>0.10751999999999999</v>
      </c>
    </row>
    <row r="88" spans="1:9" ht="38.25" x14ac:dyDescent="0.25">
      <c r="A88" s="182"/>
      <c r="B88" s="35" t="s">
        <v>1218</v>
      </c>
      <c r="C88" s="49" t="s">
        <v>813</v>
      </c>
      <c r="D88" s="36">
        <v>0.63819999999999999</v>
      </c>
      <c r="E88" s="30">
        <v>5.1395</v>
      </c>
      <c r="F88" s="33">
        <f>IF(ISNUMBER(E88),E88*$D88,"")</f>
        <v>3.2800289</v>
      </c>
      <c r="G88" s="44"/>
      <c r="H88" s="45"/>
      <c r="I88" s="153">
        <v>0.10751999999999999</v>
      </c>
    </row>
    <row r="89" spans="1:9" ht="38.25" x14ac:dyDescent="0.25">
      <c r="A89" s="182"/>
      <c r="B89" s="35" t="s">
        <v>1272</v>
      </c>
      <c r="C89" s="49" t="s">
        <v>815</v>
      </c>
      <c r="D89" s="36">
        <v>0.6018</v>
      </c>
      <c r="E89" s="30">
        <v>1.7954999999999999</v>
      </c>
      <c r="F89" s="33">
        <f>IF(ISNUMBER(E89),E89*$D89,"")</f>
        <v>1.0805319</v>
      </c>
      <c r="G89" s="44"/>
      <c r="H89" s="45"/>
      <c r="I89" s="153">
        <v>0.10751999999999999</v>
      </c>
    </row>
    <row r="90" spans="1:9" ht="51" x14ac:dyDescent="0.25">
      <c r="A90" s="182"/>
      <c r="B90" s="35" t="s">
        <v>3071</v>
      </c>
      <c r="C90" s="35" t="s">
        <v>87</v>
      </c>
      <c r="D90" s="36">
        <f>D83+D85</f>
        <v>1.3046</v>
      </c>
      <c r="E90" s="30">
        <v>8.0531015499999992</v>
      </c>
      <c r="F90" s="33">
        <f>IF(ISNUMBER(E90),E90*$D90,"")</f>
        <v>10.50607628213</v>
      </c>
      <c r="G90" s="44"/>
      <c r="H90" s="45"/>
      <c r="I90" s="153">
        <v>0.10751999999999999</v>
      </c>
    </row>
    <row r="91" spans="1:9" ht="38.25" x14ac:dyDescent="0.25">
      <c r="A91" s="182"/>
      <c r="B91" s="35" t="s">
        <v>3068</v>
      </c>
      <c r="C91" s="49" t="s">
        <v>89</v>
      </c>
      <c r="D91" s="36">
        <f>20*(D83+D85)</f>
        <v>26.091999999999999</v>
      </c>
      <c r="E91" s="33">
        <v>2.6576449499999995</v>
      </c>
      <c r="F91" s="33">
        <f>IF(ISNUMBER(E91),ROUND(E91*$D91,2),"")</f>
        <v>69.34</v>
      </c>
      <c r="G91" s="44"/>
      <c r="H91" s="45"/>
      <c r="I91" s="153">
        <v>0.10751999999999999</v>
      </c>
    </row>
    <row r="92" spans="1:9" x14ac:dyDescent="0.25">
      <c r="A92" s="182"/>
      <c r="B92" s="50"/>
      <c r="C92" s="133"/>
      <c r="D92" s="36"/>
      <c r="E92" s="30" t="s">
        <v>416</v>
      </c>
      <c r="F92" s="33" t="str">
        <f>IF(ISNUMBER(E92),ROUND(E92*$D92,2),"")</f>
        <v/>
      </c>
      <c r="G92" s="44"/>
      <c r="H92" s="45"/>
      <c r="I92" s="153">
        <v>0.10751999999999999</v>
      </c>
    </row>
    <row r="93" spans="1:9" x14ac:dyDescent="0.25">
      <c r="A93" s="182"/>
      <c r="B93" s="47" t="s">
        <v>631</v>
      </c>
      <c r="C93" s="133"/>
      <c r="D93" s="36"/>
      <c r="E93" s="30" t="s">
        <v>416</v>
      </c>
      <c r="F93" s="33" t="str">
        <f>IF(ISNUMBER(E93),ROUND(E93*$D93,2),"")</f>
        <v/>
      </c>
      <c r="G93" s="44"/>
      <c r="H93" s="45"/>
      <c r="I93" s="153">
        <v>0.10751999999999999</v>
      </c>
    </row>
    <row r="94" spans="1:9" ht="15.75" thickBot="1" x14ac:dyDescent="0.3">
      <c r="A94" s="184"/>
      <c r="B94" s="103"/>
      <c r="C94" s="79"/>
      <c r="D94" s="95"/>
      <c r="E94" s="66" t="s">
        <v>416</v>
      </c>
      <c r="F94" s="66" t="str">
        <f>IF(ISNUMBER(E94),ROUND(E94*$D94,2),"")</f>
        <v/>
      </c>
      <c r="G94" s="68"/>
      <c r="H94" s="30"/>
      <c r="I94" s="153">
        <v>0.10751999999999999</v>
      </c>
    </row>
    <row r="95" spans="1:9" ht="15.75" hidden="1" thickBot="1" x14ac:dyDescent="0.3">
      <c r="A95" s="183" t="s">
        <v>5738</v>
      </c>
      <c r="B95" s="40" t="s">
        <v>416</v>
      </c>
      <c r="C95" s="77" t="s">
        <v>87</v>
      </c>
      <c r="D95" s="93"/>
      <c r="E95" s="41" t="s">
        <v>416</v>
      </c>
      <c r="F95" s="41" t="str">
        <f>IF(ISNUMBER(E95),ROUND(E95*$D95,2),"")</f>
        <v/>
      </c>
      <c r="G95" s="28"/>
      <c r="H95" s="29"/>
      <c r="I95" s="153">
        <v>0</v>
      </c>
    </row>
    <row r="96" spans="1:9" ht="15.75" hidden="1" thickBot="1" x14ac:dyDescent="0.3">
      <c r="A96" s="182"/>
      <c r="B96" s="31" t="s">
        <v>416</v>
      </c>
      <c r="C96" s="78"/>
      <c r="D96" s="91"/>
      <c r="E96" s="97" t="s">
        <v>416</v>
      </c>
      <c r="F96" s="98" t="str">
        <f>IF(ISNUMBER(E96),ROUND(E96*$D96,2),"")</f>
        <v/>
      </c>
      <c r="G96" s="34"/>
      <c r="H96" s="30"/>
      <c r="I96" s="153">
        <v>0</v>
      </c>
    </row>
    <row r="97" spans="1:9" ht="26.25" hidden="1" thickBot="1" x14ac:dyDescent="0.3">
      <c r="A97" s="182"/>
      <c r="B97" s="35" t="s">
        <v>7985</v>
      </c>
      <c r="C97" s="49" t="s">
        <v>87</v>
      </c>
      <c r="D97" s="36">
        <v>0.72750000000000004</v>
      </c>
      <c r="E97" s="33">
        <v>202.33099999999999</v>
      </c>
      <c r="F97" s="33">
        <f>IF(ISNUMBER(E97),ROUND(E97*$D97,2),"")</f>
        <v>147.19999999999999</v>
      </c>
      <c r="G97" s="44">
        <f>SUM(F97:F105)</f>
        <v>632.27402777328496</v>
      </c>
      <c r="H97" s="45"/>
      <c r="I97" s="153">
        <v>0</v>
      </c>
    </row>
    <row r="98" spans="1:9" ht="15.75" hidden="1" thickBot="1" x14ac:dyDescent="0.3">
      <c r="A98" s="182"/>
      <c r="B98" s="35" t="s">
        <v>8065</v>
      </c>
      <c r="C98" s="49" t="s">
        <v>773</v>
      </c>
      <c r="D98" s="36">
        <v>364.94330000000002</v>
      </c>
      <c r="E98" s="33">
        <v>0.627</v>
      </c>
      <c r="F98" s="33">
        <f>IF(ISNUMBER(E98),ROUND(E98*$D98,2),"")</f>
        <v>228.82</v>
      </c>
      <c r="G98" s="44"/>
      <c r="H98" s="45"/>
      <c r="I98" s="153">
        <v>0</v>
      </c>
    </row>
    <row r="99" spans="1:9" ht="26.25" hidden="1" thickBot="1" x14ac:dyDescent="0.3">
      <c r="A99" s="182"/>
      <c r="B99" s="35" t="s">
        <v>8311</v>
      </c>
      <c r="C99" s="49" t="s">
        <v>87</v>
      </c>
      <c r="D99" s="36">
        <v>0.59719999999999995</v>
      </c>
      <c r="E99" s="30">
        <v>176.453</v>
      </c>
      <c r="F99" s="33">
        <f>IF(ISNUMBER(E99),ROUND(E99*$D99,2),"")</f>
        <v>105.38</v>
      </c>
      <c r="G99" s="44"/>
      <c r="H99" s="45"/>
      <c r="I99" s="153">
        <v>0</v>
      </c>
    </row>
    <row r="100" spans="1:9" ht="15.75" hidden="1" thickBot="1" x14ac:dyDescent="0.3">
      <c r="A100" s="182"/>
      <c r="B100" s="35" t="s">
        <v>584</v>
      </c>
      <c r="C100" s="49" t="s">
        <v>583</v>
      </c>
      <c r="D100" s="36">
        <v>1.9792000000000001</v>
      </c>
      <c r="E100" s="30">
        <v>20.225499999999997</v>
      </c>
      <c r="F100" s="33">
        <f>IF(ISNUMBER(E100),ROUND(E100*$D100,2),"")</f>
        <v>40.03</v>
      </c>
      <c r="G100" s="44"/>
      <c r="H100" s="45"/>
      <c r="I100" s="153">
        <v>0</v>
      </c>
    </row>
    <row r="101" spans="1:9" ht="26.25" hidden="1" thickBot="1" x14ac:dyDescent="0.3">
      <c r="A101" s="182"/>
      <c r="B101" s="35" t="s">
        <v>1271</v>
      </c>
      <c r="C101" s="49" t="s">
        <v>583</v>
      </c>
      <c r="D101" s="36">
        <v>1.2501</v>
      </c>
      <c r="E101" s="30">
        <v>20.291999999999998</v>
      </c>
      <c r="F101" s="33">
        <f>IF(ISNUMBER(E101),ROUND(E101*$D101,2),"")</f>
        <v>25.37</v>
      </c>
      <c r="G101" s="44"/>
      <c r="H101" s="45"/>
      <c r="I101" s="153">
        <v>0</v>
      </c>
    </row>
    <row r="102" spans="1:9" ht="39" hidden="1" thickBot="1" x14ac:dyDescent="0.3">
      <c r="A102" s="182"/>
      <c r="B102" s="35" t="s">
        <v>1218</v>
      </c>
      <c r="C102" s="49" t="s">
        <v>813</v>
      </c>
      <c r="D102" s="36">
        <v>0.64339999999999997</v>
      </c>
      <c r="E102" s="30">
        <v>5.1395</v>
      </c>
      <c r="F102" s="33">
        <f>IF(ISNUMBER(E102),E102*$D102,"")</f>
        <v>3.3067542999999997</v>
      </c>
      <c r="G102" s="44"/>
      <c r="H102" s="45"/>
      <c r="I102" s="153">
        <v>0</v>
      </c>
    </row>
    <row r="103" spans="1:9" ht="39" hidden="1" thickBot="1" x14ac:dyDescent="0.3">
      <c r="A103" s="182"/>
      <c r="B103" s="35" t="s">
        <v>1272</v>
      </c>
      <c r="C103" s="49" t="s">
        <v>815</v>
      </c>
      <c r="D103" s="36">
        <v>0.60670000000000002</v>
      </c>
      <c r="E103" s="30">
        <v>1.7954999999999999</v>
      </c>
      <c r="F103" s="33">
        <f>IF(ISNUMBER(E103),E103*$D103,"")</f>
        <v>1.0893298499999999</v>
      </c>
      <c r="G103" s="44"/>
      <c r="H103" s="45"/>
      <c r="I103" s="153">
        <v>0</v>
      </c>
    </row>
    <row r="104" spans="1:9" ht="51.75" hidden="1" thickBot="1" x14ac:dyDescent="0.3">
      <c r="A104" s="182"/>
      <c r="B104" s="35" t="s">
        <v>3071</v>
      </c>
      <c r="C104" s="35" t="s">
        <v>87</v>
      </c>
      <c r="D104" s="36">
        <f>D97+D99</f>
        <v>1.3247</v>
      </c>
      <c r="E104" s="30">
        <v>8.0531015499999992</v>
      </c>
      <c r="F104" s="33">
        <f>IF(ISNUMBER(E104),E104*$D104,"")</f>
        <v>10.667943623284998</v>
      </c>
      <c r="G104" s="44"/>
      <c r="H104" s="45"/>
      <c r="I104" s="153">
        <v>0</v>
      </c>
    </row>
    <row r="105" spans="1:9" ht="39" hidden="1" thickBot="1" x14ac:dyDescent="0.3">
      <c r="A105" s="182"/>
      <c r="B105" s="35" t="s">
        <v>3068</v>
      </c>
      <c r="C105" s="49" t="s">
        <v>89</v>
      </c>
      <c r="D105" s="36">
        <f>20*(D97+D99)</f>
        <v>26.494</v>
      </c>
      <c r="E105" s="33">
        <v>2.6576449499999995</v>
      </c>
      <c r="F105" s="33">
        <f>IF(ISNUMBER(E105),ROUND(E105*$D105,2),"")</f>
        <v>70.41</v>
      </c>
      <c r="G105" s="44"/>
      <c r="H105" s="45"/>
      <c r="I105" s="153">
        <v>0</v>
      </c>
    </row>
    <row r="106" spans="1:9" ht="15.75" hidden="1" thickBot="1" x14ac:dyDescent="0.3">
      <c r="A106" s="182"/>
      <c r="B106" s="50"/>
      <c r="C106" s="133"/>
      <c r="D106" s="36"/>
      <c r="E106" s="30" t="s">
        <v>416</v>
      </c>
      <c r="F106" s="33" t="str">
        <f>IF(ISNUMBER(E106),ROUND(E106*$D106,2),"")</f>
        <v/>
      </c>
      <c r="G106" s="44"/>
      <c r="H106" s="45"/>
      <c r="I106" s="153">
        <v>0</v>
      </c>
    </row>
    <row r="107" spans="1:9" ht="15.75" hidden="1" thickBot="1" x14ac:dyDescent="0.3">
      <c r="A107" s="182"/>
      <c r="B107" s="47" t="s">
        <v>631</v>
      </c>
      <c r="C107" s="133"/>
      <c r="D107" s="36"/>
      <c r="E107" s="30" t="s">
        <v>416</v>
      </c>
      <c r="F107" s="33" t="str">
        <f>IF(ISNUMBER(E107),ROUND(E107*$D107,2),"")</f>
        <v/>
      </c>
      <c r="G107" s="44"/>
      <c r="H107" s="45"/>
      <c r="I107" s="153">
        <v>0</v>
      </c>
    </row>
    <row r="108" spans="1:9" ht="15.75" hidden="1" thickBot="1" x14ac:dyDescent="0.3">
      <c r="A108" s="184"/>
      <c r="B108" s="103"/>
      <c r="C108" s="79"/>
      <c r="D108" s="95"/>
      <c r="E108" s="66" t="s">
        <v>416</v>
      </c>
      <c r="F108" s="66" t="str">
        <f>IF(ISNUMBER(E108),ROUND(E108*$D108,2),"")</f>
        <v/>
      </c>
      <c r="G108" s="68"/>
      <c r="H108" s="30"/>
      <c r="I108" s="153">
        <v>0</v>
      </c>
    </row>
    <row r="109" spans="1:9" ht="15.75" hidden="1" thickBot="1" x14ac:dyDescent="0.3">
      <c r="A109" s="183" t="s">
        <v>5779</v>
      </c>
      <c r="B109" s="40" t="s">
        <v>416</v>
      </c>
      <c r="C109" s="77" t="s">
        <v>87</v>
      </c>
      <c r="D109" s="93"/>
      <c r="E109" s="41" t="s">
        <v>416</v>
      </c>
      <c r="F109" s="41" t="str">
        <f>IF(ISNUMBER(E109),ROUND(E109*$D109,2),"")</f>
        <v/>
      </c>
      <c r="G109" s="28"/>
      <c r="H109" s="29"/>
      <c r="I109" s="153">
        <v>0</v>
      </c>
    </row>
    <row r="110" spans="1:9" ht="15.75" hidden="1" thickBot="1" x14ac:dyDescent="0.3">
      <c r="A110" s="182"/>
      <c r="B110" s="31" t="s">
        <v>416</v>
      </c>
      <c r="C110" s="78"/>
      <c r="D110" s="91"/>
      <c r="E110" s="97" t="s">
        <v>416</v>
      </c>
      <c r="F110" s="98" t="str">
        <f>IF(ISNUMBER(E110),ROUND(E110*$D110,2),"")</f>
        <v/>
      </c>
      <c r="G110" s="34"/>
      <c r="H110" s="30"/>
      <c r="I110" s="153">
        <v>0</v>
      </c>
    </row>
    <row r="111" spans="1:9" ht="26.25" hidden="1" thickBot="1" x14ac:dyDescent="0.3">
      <c r="A111" s="182"/>
      <c r="B111" s="35" t="s">
        <v>1140</v>
      </c>
      <c r="C111" s="49" t="s">
        <v>87</v>
      </c>
      <c r="D111" s="36">
        <v>0.63019999999999998</v>
      </c>
      <c r="E111" s="33">
        <v>204.97199999999998</v>
      </c>
      <c r="F111" s="33">
        <f>IF(ISNUMBER(E111),ROUND(E111*$D111,2),"")</f>
        <v>129.16999999999999</v>
      </c>
      <c r="G111" s="44">
        <f>SUM(F111:F120)</f>
        <v>691.61044427852005</v>
      </c>
      <c r="H111" s="45"/>
      <c r="I111" s="153">
        <v>0</v>
      </c>
    </row>
    <row r="112" spans="1:9" ht="15.75" hidden="1" thickBot="1" x14ac:dyDescent="0.3">
      <c r="A112" s="182"/>
      <c r="B112" s="35" t="s">
        <v>8040</v>
      </c>
      <c r="C112" s="49" t="s">
        <v>773</v>
      </c>
      <c r="D112" s="36">
        <v>15.125500000000001</v>
      </c>
      <c r="E112" s="33">
        <v>1.216</v>
      </c>
      <c r="F112" s="33">
        <f>IF(ISNUMBER(E112),ROUND(E112*$D112,2),"")</f>
        <v>18.39</v>
      </c>
      <c r="G112" s="44"/>
      <c r="H112" s="45"/>
      <c r="I112" s="153">
        <v>0</v>
      </c>
    </row>
    <row r="113" spans="1:9" ht="15.75" hidden="1" thickBot="1" x14ac:dyDescent="0.3">
      <c r="A113" s="182"/>
      <c r="B113" s="35" t="s">
        <v>8065</v>
      </c>
      <c r="C113" s="49" t="s">
        <v>773</v>
      </c>
      <c r="D113" s="36">
        <v>420.15269999999998</v>
      </c>
      <c r="E113" s="30">
        <v>0.627</v>
      </c>
      <c r="F113" s="33">
        <f>IF(ISNUMBER(E113),ROUND(E113*$D113,2),"")</f>
        <v>263.44</v>
      </c>
      <c r="G113" s="44"/>
      <c r="H113" s="45"/>
      <c r="I113" s="153">
        <v>0</v>
      </c>
    </row>
    <row r="114" spans="1:9" ht="26.25" hidden="1" thickBot="1" x14ac:dyDescent="0.3">
      <c r="A114" s="182"/>
      <c r="B114" s="35" t="s">
        <v>633</v>
      </c>
      <c r="C114" s="49" t="s">
        <v>87</v>
      </c>
      <c r="D114" s="36">
        <v>0.58819999999999995</v>
      </c>
      <c r="E114" s="30">
        <v>203.71799999999999</v>
      </c>
      <c r="F114" s="33">
        <f>IF(ISNUMBER(E114),ROUND(E114*$D114,2),"")</f>
        <v>119.83</v>
      </c>
      <c r="G114" s="44"/>
      <c r="H114" s="45"/>
      <c r="I114" s="153">
        <v>0</v>
      </c>
    </row>
    <row r="115" spans="1:9" ht="15.75" hidden="1" thickBot="1" x14ac:dyDescent="0.3">
      <c r="A115" s="182"/>
      <c r="B115" s="35" t="s">
        <v>584</v>
      </c>
      <c r="C115" s="49" t="s">
        <v>583</v>
      </c>
      <c r="D115" s="36">
        <v>2.5491999999999999</v>
      </c>
      <c r="E115" s="30">
        <v>20.225499999999997</v>
      </c>
      <c r="F115" s="33">
        <f>IF(ISNUMBER(E115),ROUND(E115*$D115,2),"")</f>
        <v>51.56</v>
      </c>
      <c r="G115" s="44"/>
      <c r="H115" s="45"/>
      <c r="I115" s="153">
        <v>0</v>
      </c>
    </row>
    <row r="116" spans="1:9" ht="26.25" hidden="1" thickBot="1" x14ac:dyDescent="0.3">
      <c r="A116" s="182"/>
      <c r="B116" s="35" t="s">
        <v>1271</v>
      </c>
      <c r="C116" s="49" t="s">
        <v>583</v>
      </c>
      <c r="D116" s="36">
        <v>1.6069</v>
      </c>
      <c r="E116" s="30">
        <v>20.291999999999998</v>
      </c>
      <c r="F116" s="33">
        <f>IF(ISNUMBER(E116),E116*$D116,"")</f>
        <v>32.607214799999994</v>
      </c>
      <c r="G116" s="44"/>
      <c r="H116" s="45"/>
      <c r="I116" s="153">
        <v>0</v>
      </c>
    </row>
    <row r="117" spans="1:9" ht="39" hidden="1" thickBot="1" x14ac:dyDescent="0.3">
      <c r="A117" s="182"/>
      <c r="B117" s="35" t="s">
        <v>84</v>
      </c>
      <c r="C117" s="49" t="s">
        <v>813</v>
      </c>
      <c r="D117" s="36">
        <v>1.1137999999999999</v>
      </c>
      <c r="E117" s="30">
        <v>1.6435</v>
      </c>
      <c r="F117" s="33">
        <f>IF(ISNUMBER(E117),E117*$D117,"")</f>
        <v>1.8305302999999997</v>
      </c>
      <c r="G117" s="44"/>
      <c r="H117" s="45"/>
      <c r="I117" s="153">
        <v>0</v>
      </c>
    </row>
    <row r="118" spans="1:9" ht="39" hidden="1" thickBot="1" x14ac:dyDescent="0.3">
      <c r="A118" s="182"/>
      <c r="B118" s="35" t="s">
        <v>85</v>
      </c>
      <c r="C118" s="49" t="s">
        <v>815</v>
      </c>
      <c r="D118" s="36">
        <v>0.49309999999999998</v>
      </c>
      <c r="E118" s="30">
        <v>0.42749999999999999</v>
      </c>
      <c r="F118" s="33">
        <f>IF(ISNUMBER(E118),E118*$D118,"")</f>
        <v>0.21080024999999999</v>
      </c>
      <c r="G118" s="44"/>
      <c r="H118" s="45"/>
      <c r="I118" s="153">
        <v>0</v>
      </c>
    </row>
    <row r="119" spans="1:9" ht="51.75" hidden="1" thickBot="1" x14ac:dyDescent="0.3">
      <c r="A119" s="182"/>
      <c r="B119" s="35" t="s">
        <v>3071</v>
      </c>
      <c r="C119" s="35" t="s">
        <v>87</v>
      </c>
      <c r="D119" s="36">
        <f>D111+D114</f>
        <v>1.2183999999999999</v>
      </c>
      <c r="E119" s="30">
        <v>8.0531015499999992</v>
      </c>
      <c r="F119" s="33">
        <f>IF(ISNUMBER(E119),E119*$D119,"")</f>
        <v>9.811898928519998</v>
      </c>
      <c r="G119" s="44"/>
      <c r="H119" s="45"/>
      <c r="I119" s="153">
        <v>0</v>
      </c>
    </row>
    <row r="120" spans="1:9" ht="39" hidden="1" thickBot="1" x14ac:dyDescent="0.3">
      <c r="A120" s="182"/>
      <c r="B120" s="35" t="s">
        <v>3068</v>
      </c>
      <c r="C120" s="49" t="s">
        <v>89</v>
      </c>
      <c r="D120" s="36">
        <f>20*(D111+D114)</f>
        <v>24.367999999999999</v>
      </c>
      <c r="E120" s="33">
        <v>2.6576449499999995</v>
      </c>
      <c r="F120" s="33">
        <f>IF(ISNUMBER(E120),ROUND(E120*$D120,2),"")</f>
        <v>64.760000000000005</v>
      </c>
      <c r="G120" s="44"/>
      <c r="H120" s="45"/>
      <c r="I120" s="153">
        <v>0</v>
      </c>
    </row>
    <row r="121" spans="1:9" ht="15.75" hidden="1" thickBot="1" x14ac:dyDescent="0.3">
      <c r="A121" s="182"/>
      <c r="B121" s="50"/>
      <c r="C121" s="133"/>
      <c r="D121" s="36"/>
      <c r="E121" s="30" t="s">
        <v>416</v>
      </c>
      <c r="F121" s="33" t="str">
        <f>IF(ISNUMBER(E121),ROUND(E121*$D121,2),"")</f>
        <v/>
      </c>
      <c r="G121" s="44"/>
      <c r="H121" s="45"/>
      <c r="I121" s="153">
        <v>0</v>
      </c>
    </row>
    <row r="122" spans="1:9" ht="15.75" hidden="1" thickBot="1" x14ac:dyDescent="0.3">
      <c r="A122" s="182"/>
      <c r="B122" s="47" t="s">
        <v>631</v>
      </c>
      <c r="C122" s="133"/>
      <c r="D122" s="36"/>
      <c r="E122" s="30" t="s">
        <v>416</v>
      </c>
      <c r="F122" s="33" t="str">
        <f>IF(ISNUMBER(E122),ROUND(E122*$D122,2),"")</f>
        <v/>
      </c>
      <c r="G122" s="44"/>
      <c r="H122" s="45"/>
      <c r="I122" s="153">
        <v>0</v>
      </c>
    </row>
    <row r="123" spans="1:9" ht="15.75" hidden="1" thickBot="1" x14ac:dyDescent="0.3">
      <c r="A123" s="184"/>
      <c r="B123" s="103"/>
      <c r="C123" s="79"/>
      <c r="D123" s="95"/>
      <c r="E123" s="66" t="s">
        <v>416</v>
      </c>
      <c r="F123" s="66" t="str">
        <f>IF(ISNUMBER(E123),ROUND(E123*$D123,2),"")</f>
        <v/>
      </c>
      <c r="G123" s="68"/>
      <c r="H123" s="30"/>
      <c r="I123" s="153">
        <v>0</v>
      </c>
    </row>
    <row r="124" spans="1:9" ht="15.75" hidden="1" thickBot="1" x14ac:dyDescent="0.3">
      <c r="A124" s="183" t="s">
        <v>6820</v>
      </c>
      <c r="B124" s="40" t="s">
        <v>416</v>
      </c>
      <c r="C124" s="77" t="s">
        <v>773</v>
      </c>
      <c r="D124" s="93"/>
      <c r="E124" s="27" t="s">
        <v>416</v>
      </c>
      <c r="F124" s="25" t="str">
        <f>IF(ISNUMBER(E124),ROUND(E124*$D124,2),"")</f>
        <v/>
      </c>
      <c r="G124" s="28"/>
      <c r="H124" s="29"/>
      <c r="I124" s="153">
        <v>0</v>
      </c>
    </row>
    <row r="125" spans="1:9" ht="15.75" hidden="1" thickBot="1" x14ac:dyDescent="0.3">
      <c r="A125" s="182"/>
      <c r="B125" s="31" t="s">
        <v>416</v>
      </c>
      <c r="C125" s="78"/>
      <c r="D125" s="91"/>
      <c r="E125" s="30" t="s">
        <v>416</v>
      </c>
      <c r="F125" s="30" t="str">
        <f>IF(ISNUMBER(E125),ROUND(E125*$D125,2),"")</f>
        <v/>
      </c>
      <c r="G125" s="34"/>
      <c r="H125" s="30"/>
      <c r="I125" s="153">
        <v>0</v>
      </c>
    </row>
    <row r="126" spans="1:9" ht="26.25" hidden="1" thickBot="1" x14ac:dyDescent="0.3">
      <c r="A126" s="182"/>
      <c r="B126" s="35" t="s">
        <v>7957</v>
      </c>
      <c r="C126" s="49" t="s">
        <v>773</v>
      </c>
      <c r="D126" s="36">
        <v>1.1100000000000001</v>
      </c>
      <c r="E126" s="30">
        <v>10.1365</v>
      </c>
      <c r="F126" s="33">
        <f>IF(ISNUMBER(E126),ROUND(E126*$D126,2),"")</f>
        <v>11.25</v>
      </c>
      <c r="G126" s="44">
        <f>SUM(F126:F127)</f>
        <v>11.35</v>
      </c>
      <c r="H126" s="45"/>
      <c r="I126" s="153">
        <v>0</v>
      </c>
    </row>
    <row r="127" spans="1:9" ht="15.75" hidden="1" thickBot="1" x14ac:dyDescent="0.3">
      <c r="A127" s="182"/>
      <c r="B127" s="35" t="s">
        <v>776</v>
      </c>
      <c r="C127" s="49" t="s">
        <v>583</v>
      </c>
      <c r="D127" s="36">
        <v>3.7000000000000002E-3</v>
      </c>
      <c r="E127" s="30">
        <v>26.970499999999998</v>
      </c>
      <c r="F127" s="33">
        <f>IF(ISNUMBER(E127),ROUND(E127*$D127,2),"")</f>
        <v>0.1</v>
      </c>
      <c r="G127" s="44"/>
      <c r="H127" s="45"/>
      <c r="I127" s="153">
        <v>0</v>
      </c>
    </row>
    <row r="128" spans="1:9" ht="15.75" hidden="1" thickBot="1" x14ac:dyDescent="0.3">
      <c r="A128" s="184"/>
      <c r="B128" s="54" t="s">
        <v>416</v>
      </c>
      <c r="C128" s="79"/>
      <c r="D128" s="95"/>
      <c r="E128" s="66" t="s">
        <v>416</v>
      </c>
      <c r="F128" s="67" t="str">
        <f>IF(ISNUMBER(E128),ROUND(E128*$D128,2),"")</f>
        <v/>
      </c>
      <c r="G128" s="68"/>
      <c r="H128" s="30"/>
      <c r="I128" s="153">
        <v>0</v>
      </c>
    </row>
    <row r="129" spans="1:9" ht="15.75" thickBot="1" x14ac:dyDescent="0.3">
      <c r="A129" s="183" t="s">
        <v>6816</v>
      </c>
      <c r="B129" s="40" t="s">
        <v>416</v>
      </c>
      <c r="C129" s="77" t="s">
        <v>773</v>
      </c>
      <c r="D129" s="93"/>
      <c r="E129" s="27" t="s">
        <v>416</v>
      </c>
      <c r="F129" s="25" t="str">
        <f>IF(ISNUMBER(E129),ROUND(E129*$D129,2),"")</f>
        <v/>
      </c>
      <c r="G129" s="28"/>
      <c r="H129" s="29"/>
      <c r="I129" s="153">
        <v>47.597700000000003</v>
      </c>
    </row>
    <row r="130" spans="1:9" x14ac:dyDescent="0.25">
      <c r="A130" s="182"/>
      <c r="B130" s="31" t="s">
        <v>416</v>
      </c>
      <c r="C130" s="78"/>
      <c r="D130" s="91"/>
      <c r="E130" s="30" t="s">
        <v>416</v>
      </c>
      <c r="F130" s="30" t="str">
        <f>IF(ISNUMBER(E130),ROUND(E130*$D130,2),"")</f>
        <v/>
      </c>
      <c r="G130" s="34"/>
      <c r="H130" s="30"/>
      <c r="I130" s="153">
        <v>47.597700000000003</v>
      </c>
    </row>
    <row r="131" spans="1:9" x14ac:dyDescent="0.25">
      <c r="A131" s="182"/>
      <c r="B131" s="35" t="s">
        <v>1277</v>
      </c>
      <c r="C131" s="49" t="s">
        <v>773</v>
      </c>
      <c r="D131" s="36">
        <v>1.07</v>
      </c>
      <c r="E131" s="30">
        <v>8.9205000000000005</v>
      </c>
      <c r="F131" s="33">
        <f>IF(ISNUMBER(E131),ROUND(E131*$D131,2),"")</f>
        <v>9.5399999999999991</v>
      </c>
      <c r="G131" s="44">
        <f>SUM(F131:F133)</f>
        <v>11.28</v>
      </c>
      <c r="H131" s="45"/>
      <c r="I131" s="153">
        <v>47.597700000000003</v>
      </c>
    </row>
    <row r="132" spans="1:9" x14ac:dyDescent="0.25">
      <c r="A132" s="182"/>
      <c r="B132" s="35" t="s">
        <v>775</v>
      </c>
      <c r="C132" s="49" t="s">
        <v>583</v>
      </c>
      <c r="D132" s="36">
        <v>8.2000000000000007E-3</v>
      </c>
      <c r="E132" s="33">
        <v>20.196999999999999</v>
      </c>
      <c r="F132" s="33">
        <f>IF(ISNUMBER(E132),ROUND(E132*$D132,2),"")</f>
        <v>0.17</v>
      </c>
      <c r="G132" s="44"/>
      <c r="H132" s="45"/>
      <c r="I132" s="153">
        <v>47.597700000000003</v>
      </c>
    </row>
    <row r="133" spans="1:9" x14ac:dyDescent="0.25">
      <c r="A133" s="182"/>
      <c r="B133" s="35" t="s">
        <v>776</v>
      </c>
      <c r="C133" s="49" t="s">
        <v>583</v>
      </c>
      <c r="D133" s="36">
        <v>5.8099999999999999E-2</v>
      </c>
      <c r="E133" s="30">
        <v>26.970499999999998</v>
      </c>
      <c r="F133" s="33">
        <f>IF(ISNUMBER(E133),ROUND(E133*$D133,2),"")</f>
        <v>1.57</v>
      </c>
      <c r="G133" s="44"/>
      <c r="H133" s="45"/>
      <c r="I133" s="153">
        <v>47.597700000000003</v>
      </c>
    </row>
    <row r="134" spans="1:9" ht="15.75" thickBot="1" x14ac:dyDescent="0.3">
      <c r="A134" s="184"/>
      <c r="B134" s="54" t="s">
        <v>416</v>
      </c>
      <c r="C134" s="79"/>
      <c r="D134" s="95"/>
      <c r="E134" s="66" t="s">
        <v>416</v>
      </c>
      <c r="F134" s="67" t="str">
        <f>IF(ISNUMBER(E134),ROUND(E134*$D134,2),"")</f>
        <v/>
      </c>
      <c r="G134" s="68"/>
      <c r="H134" s="30"/>
      <c r="I134" s="153">
        <v>47.597700000000003</v>
      </c>
    </row>
    <row r="135" spans="1:9" ht="15.75" hidden="1" thickBot="1" x14ac:dyDescent="0.3">
      <c r="A135" s="183" t="s">
        <v>6819</v>
      </c>
      <c r="B135" s="40" t="s">
        <v>416</v>
      </c>
      <c r="C135" s="77" t="s">
        <v>773</v>
      </c>
      <c r="D135" s="93"/>
      <c r="E135" s="27" t="s">
        <v>416</v>
      </c>
      <c r="F135" s="25" t="str">
        <f>IF(ISNUMBER(E135),ROUND(E135*$D135,2),"")</f>
        <v/>
      </c>
      <c r="G135" s="28"/>
      <c r="H135" s="29"/>
      <c r="I135" s="153">
        <v>0</v>
      </c>
    </row>
    <row r="136" spans="1:9" hidden="1" x14ac:dyDescent="0.25">
      <c r="A136" s="182"/>
      <c r="B136" s="31" t="s">
        <v>416</v>
      </c>
      <c r="C136" s="78"/>
      <c r="D136" s="91"/>
      <c r="E136" s="30" t="s">
        <v>416</v>
      </c>
      <c r="F136" s="30" t="str">
        <f>IF(ISNUMBER(E136),ROUND(E136*$D136,2),"")</f>
        <v/>
      </c>
      <c r="G136" s="34"/>
      <c r="H136" s="30"/>
      <c r="I136" s="153">
        <v>0</v>
      </c>
    </row>
    <row r="137" spans="1:9" hidden="1" x14ac:dyDescent="0.25">
      <c r="A137" s="182"/>
      <c r="B137" s="35" t="s">
        <v>647</v>
      </c>
      <c r="C137" s="49" t="s">
        <v>773</v>
      </c>
      <c r="D137" s="36">
        <v>1.1100000000000001</v>
      </c>
      <c r="E137" s="30">
        <v>8.17</v>
      </c>
      <c r="F137" s="33">
        <f>IF(ISNUMBER(E137),ROUND(E137*$D137,2),"")</f>
        <v>9.07</v>
      </c>
      <c r="G137" s="44">
        <f>SUM(F137:F138)</f>
        <v>9.14</v>
      </c>
      <c r="H137" s="45"/>
      <c r="I137" s="153">
        <v>0</v>
      </c>
    </row>
    <row r="138" spans="1:9" hidden="1" x14ac:dyDescent="0.25">
      <c r="A138" s="182"/>
      <c r="B138" s="35" t="s">
        <v>776</v>
      </c>
      <c r="C138" s="49" t="s">
        <v>583</v>
      </c>
      <c r="D138" s="36">
        <v>2.5000000000000001E-3</v>
      </c>
      <c r="E138" s="30">
        <v>26.970499999999998</v>
      </c>
      <c r="F138" s="33">
        <f>IF(ISNUMBER(E138),ROUND(E138*$D138,2),"")</f>
        <v>7.0000000000000007E-2</v>
      </c>
      <c r="G138" s="44"/>
      <c r="H138" s="45"/>
      <c r="I138" s="153">
        <v>0</v>
      </c>
    </row>
    <row r="139" spans="1:9" ht="15.75" hidden="1" thickBot="1" x14ac:dyDescent="0.3">
      <c r="A139" s="184"/>
      <c r="B139" s="54" t="s">
        <v>416</v>
      </c>
      <c r="C139" s="79"/>
      <c r="D139" s="95"/>
      <c r="E139" s="66" t="s">
        <v>416</v>
      </c>
      <c r="F139" s="67" t="str">
        <f>IF(ISNUMBER(E139),ROUND(E139*$D139,2),"")</f>
        <v/>
      </c>
      <c r="G139" s="68"/>
      <c r="H139" s="30"/>
      <c r="I139" s="153">
        <v>0</v>
      </c>
    </row>
  </sheetData>
  <autoFilter ref="A5:I139">
    <filterColumn colId="8">
      <filters>
        <filter val="0,1075"/>
        <filter val="2,5927"/>
        <filter val="2,6738"/>
        <filter val="47,5977"/>
        <filter val="53,4753"/>
      </filters>
    </filterColumn>
  </autoFilter>
  <mergeCells count="14">
    <mergeCell ref="A135:A139"/>
    <mergeCell ref="A129:A134"/>
    <mergeCell ref="A109:A123"/>
    <mergeCell ref="A124:A128"/>
    <mergeCell ref="A95:A108"/>
    <mergeCell ref="A73:A80"/>
    <mergeCell ref="A81:A94"/>
    <mergeCell ref="A46:A58"/>
    <mergeCell ref="A59:A72"/>
    <mergeCell ref="A6:A10"/>
    <mergeCell ref="A11:A16"/>
    <mergeCell ref="A17:A23"/>
    <mergeCell ref="A24:A35"/>
    <mergeCell ref="A36:A45"/>
  </mergeCells>
  <conditionalFormatting sqref="F4">
    <cfRule type="containsText" dxfId="42" priority="180" operator="containsText" text="Pesquisa">
      <formula>NOT(ISERROR(SEARCH("Pesquisa",F4)))</formula>
    </cfRule>
  </conditionalFormatting>
  <printOptions horizontalCentered="1"/>
  <pageMargins left="0.19685039370078741" right="0.19685039370078741" top="0.98425196850393704" bottom="0.59055118110236227" header="0.19685039370078741" footer="0.19685039370078741"/>
  <pageSetup paperSize="9" scale="71" fitToHeight="0" orientation="landscape" r:id="rId1"/>
  <headerFooter>
    <oddHeader>&amp;C&amp;10&amp;G
&amp;11SENADO FEDERAL&amp;10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rowBreaks count="1" manualBreakCount="1">
    <brk id="80" max="11" man="1"/>
  </rowBreak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7" filterMode="1"/>
  <dimension ref="A1:J3496"/>
  <sheetViews>
    <sheetView tabSelected="1" zoomScale="80" zoomScaleNormal="80" workbookViewId="0">
      <pane ySplit="5" topLeftCell="A6" activePane="bottomLeft" state="frozen"/>
      <selection pane="bottomLeft" activeCell="M3498" sqref="M3498"/>
    </sheetView>
  </sheetViews>
  <sheetFormatPr defaultRowHeight="15" x14ac:dyDescent="0.25"/>
  <cols>
    <col min="1" max="1" width="14.7109375" customWidth="1"/>
    <col min="2" max="2" width="80.7109375" style="4" customWidth="1"/>
    <col min="3" max="4" width="15.7109375" customWidth="1"/>
    <col min="5" max="6" width="20.7109375" customWidth="1"/>
    <col min="7" max="7" width="15.7109375" customWidth="1"/>
    <col min="8" max="9" width="20.7109375" customWidth="1"/>
    <col min="10" max="10" width="3.7109375" customWidth="1"/>
    <col min="11" max="11" width="9.140625" customWidth="1"/>
  </cols>
  <sheetData>
    <row r="1" spans="1:10" ht="24.95" customHeight="1" x14ac:dyDescent="0.25">
      <c r="A1" s="105" t="s">
        <v>8514</v>
      </c>
      <c r="B1" s="126"/>
      <c r="C1" s="105"/>
      <c r="D1" s="105"/>
      <c r="E1" s="105"/>
      <c r="F1" s="105"/>
      <c r="G1" s="105"/>
      <c r="H1" s="105"/>
      <c r="I1" s="105"/>
      <c r="J1" s="154" t="s">
        <v>3084</v>
      </c>
    </row>
    <row r="2" spans="1:10" ht="24.95" customHeight="1" x14ac:dyDescent="0.25">
      <c r="A2" s="106" t="s">
        <v>1279</v>
      </c>
      <c r="B2" s="127"/>
      <c r="C2" s="106"/>
      <c r="D2" s="106"/>
      <c r="E2" s="106"/>
      <c r="F2" s="106"/>
      <c r="G2" s="106"/>
      <c r="H2" s="106"/>
      <c r="I2" s="106"/>
      <c r="J2" s="154" t="s">
        <v>3085</v>
      </c>
    </row>
    <row r="3" spans="1:10" ht="20.100000000000001" customHeight="1" x14ac:dyDescent="0.25">
      <c r="A3" s="107" t="s">
        <v>8515</v>
      </c>
      <c r="B3" s="107"/>
      <c r="C3" s="107"/>
      <c r="D3" s="107"/>
      <c r="E3" s="107"/>
      <c r="F3" s="107"/>
      <c r="G3" s="107"/>
      <c r="H3" s="107"/>
      <c r="I3" s="107"/>
      <c r="J3" s="154" t="s">
        <v>1280</v>
      </c>
    </row>
    <row r="4" spans="1:10" ht="18" customHeight="1" thickBot="1" x14ac:dyDescent="0.3">
      <c r="A4" s="108"/>
      <c r="B4" s="109"/>
      <c r="C4" s="110"/>
      <c r="D4" s="110"/>
      <c r="E4" s="111"/>
      <c r="F4" s="111"/>
      <c r="G4" s="109"/>
      <c r="H4" s="109"/>
      <c r="I4" s="109"/>
      <c r="J4" s="112"/>
    </row>
    <row r="5" spans="1:10" ht="45" customHeight="1" x14ac:dyDescent="0.25">
      <c r="A5" s="185" t="s">
        <v>1</v>
      </c>
      <c r="B5" s="186" t="s">
        <v>2</v>
      </c>
      <c r="C5" s="186" t="s">
        <v>4</v>
      </c>
      <c r="D5" s="187" t="s">
        <v>1281</v>
      </c>
      <c r="E5" s="188" t="s">
        <v>6</v>
      </c>
      <c r="F5" s="188" t="s">
        <v>2861</v>
      </c>
      <c r="G5" s="188" t="s">
        <v>1283</v>
      </c>
      <c r="H5" s="188" t="s">
        <v>1284</v>
      </c>
      <c r="I5" s="188" t="s">
        <v>3247</v>
      </c>
      <c r="J5" s="113"/>
    </row>
    <row r="6" spans="1:10" x14ac:dyDescent="0.25">
      <c r="A6" s="189" t="s">
        <v>10</v>
      </c>
      <c r="B6" s="190" t="s">
        <v>1285</v>
      </c>
      <c r="C6" s="191" t="s">
        <v>1286</v>
      </c>
      <c r="D6" s="191">
        <v>120</v>
      </c>
      <c r="E6" s="136">
        <f ca="1">OFFSET(INDEX(Composições!A:J,MATCH(Orçamentária!A6,Composições!A:A,0),8),2,0)</f>
        <v>104.08199999999999</v>
      </c>
      <c r="F6" s="137">
        <f ca="1">IF(ISNUMBER(E6),D6*E6,"")</f>
        <v>12489.84</v>
      </c>
      <c r="G6" s="138">
        <f>BDI!$B$17</f>
        <v>0.191</v>
      </c>
      <c r="H6" s="139">
        <f ca="1">IF(ISNUMBER(E6),ROUND(E6*(1+G6),2),"")</f>
        <v>123.96</v>
      </c>
      <c r="I6" s="137">
        <f ca="1">IF(ISNUMBER(E6),ROUND(H6*D6,2),"")</f>
        <v>14875.2</v>
      </c>
      <c r="J6" s="117"/>
    </row>
    <row r="7" spans="1:10" x14ac:dyDescent="0.25">
      <c r="A7" s="189" t="s">
        <v>12</v>
      </c>
      <c r="B7" s="190" t="s">
        <v>1287</v>
      </c>
      <c r="C7" s="191" t="s">
        <v>1286</v>
      </c>
      <c r="D7" s="191">
        <v>480</v>
      </c>
      <c r="E7" s="136">
        <f ca="1">OFFSET(INDEX(Composições!A:J,MATCH(Orçamentária!A7,Composições!A:A,0),8),2,0)</f>
        <v>44.564499999999995</v>
      </c>
      <c r="F7" s="137">
        <f t="shared" ref="F7:F70" ca="1" si="0">IF(ISNUMBER(E7),D7*E7,"")</f>
        <v>21390.959999999999</v>
      </c>
      <c r="G7" s="138">
        <f>BDI!$B$17</f>
        <v>0.191</v>
      </c>
      <c r="H7" s="139">
        <f t="shared" ref="H7:H70" ca="1" si="1">IF(ISNUMBER(E7),ROUND(E7*(1+G7),2),"")</f>
        <v>53.08</v>
      </c>
      <c r="I7" s="137">
        <f t="shared" ref="I7:I70" ca="1" si="2">IF(ISNUMBER(E7),ROUND(H7*D7,2),"")</f>
        <v>25478.400000000001</v>
      </c>
      <c r="J7" s="117"/>
    </row>
    <row r="8" spans="1:10" x14ac:dyDescent="0.25">
      <c r="A8" s="189" t="s">
        <v>13</v>
      </c>
      <c r="B8" s="190" t="s">
        <v>1288</v>
      </c>
      <c r="C8" s="191" t="s">
        <v>16</v>
      </c>
      <c r="D8" s="191">
        <v>1</v>
      </c>
      <c r="E8" s="136">
        <f ca="1">OFFSET(INDEX(Composições!A:J,MATCH(Orçamentária!A8,Composições!A:A,0),8),2,0)</f>
        <v>1891.336</v>
      </c>
      <c r="F8" s="137">
        <f t="shared" ca="1" si="0"/>
        <v>1891.336</v>
      </c>
      <c r="G8" s="138">
        <f>BDI!$B$17</f>
        <v>0.191</v>
      </c>
      <c r="H8" s="139">
        <f t="shared" ca="1" si="1"/>
        <v>2252.58</v>
      </c>
      <c r="I8" s="137">
        <f t="shared" ca="1" si="2"/>
        <v>2252.58</v>
      </c>
      <c r="J8" s="117"/>
    </row>
    <row r="9" spans="1:10" x14ac:dyDescent="0.25">
      <c r="A9" s="189" t="s">
        <v>14</v>
      </c>
      <c r="B9" s="190" t="s">
        <v>1289</v>
      </c>
      <c r="C9" s="191" t="s">
        <v>16</v>
      </c>
      <c r="D9" s="191">
        <v>1</v>
      </c>
      <c r="E9" s="136">
        <f ca="1">OFFSET(INDEX(Composições!A:J,MATCH(Orçamentária!A9,Composições!A:A,0),8),2,0)</f>
        <v>2623.8900000000003</v>
      </c>
      <c r="F9" s="137">
        <f t="shared" ca="1" si="0"/>
        <v>2623.8900000000003</v>
      </c>
      <c r="G9" s="138">
        <f>BDI!$B$17</f>
        <v>0.191</v>
      </c>
      <c r="H9" s="139">
        <f t="shared" ca="1" si="1"/>
        <v>3125.05</v>
      </c>
      <c r="I9" s="137">
        <f t="shared" ca="1" si="2"/>
        <v>3125.05</v>
      </c>
      <c r="J9" s="118"/>
    </row>
    <row r="10" spans="1:10" hidden="1" x14ac:dyDescent="0.25">
      <c r="A10" s="114" t="s">
        <v>17</v>
      </c>
      <c r="B10" s="115" t="s">
        <v>1290</v>
      </c>
      <c r="C10" s="116" t="s">
        <v>80</v>
      </c>
      <c r="D10" s="116">
        <v>0</v>
      </c>
      <c r="E10" s="136">
        <f ca="1">OFFSET(INDEX(Composições!A:J,MATCH(Orçamentária!A10,Composições!A:A,0),8),2,0)</f>
        <v>53.131354899999991</v>
      </c>
      <c r="F10" s="137">
        <f t="shared" ca="1" si="0"/>
        <v>0</v>
      </c>
      <c r="G10" s="138" t="e">
        <f>IF(A10&lt;&gt;"",IF(AND(#REF!="Padrão",$H$4=#REF!),BDI!$B$17,IF(AND(#REF!="Padrão",$H$4=#REF!),BDI!#REF!,IF(AND(#REF!="Diferenciado",$H$4=#REF!),BDI!$E$17,IF(AND(#REF!="Diferenciado",$H$4=#REF!),BDI!#REF!,IF(#REF!="ZERO",0))))),"")</f>
        <v>#REF!</v>
      </c>
      <c r="H10" s="139" t="e">
        <f t="shared" ca="1" si="1"/>
        <v>#REF!</v>
      </c>
      <c r="I10" s="137" t="e">
        <f t="shared" ca="1" si="2"/>
        <v>#REF!</v>
      </c>
      <c r="J10" s="118"/>
    </row>
    <row r="11" spans="1:10" hidden="1" x14ac:dyDescent="0.25">
      <c r="A11" s="114" t="s">
        <v>18</v>
      </c>
      <c r="B11" s="115" t="s">
        <v>1291</v>
      </c>
      <c r="C11" s="116" t="s">
        <v>80</v>
      </c>
      <c r="D11" s="116">
        <v>0</v>
      </c>
      <c r="E11" s="136">
        <f ca="1">OFFSET(INDEX(Composições!A:J,MATCH(Orçamentária!A11,Composições!A:A,0),8),2,0)</f>
        <v>298.24014999999997</v>
      </c>
      <c r="F11" s="137">
        <f t="shared" ca="1" si="0"/>
        <v>0</v>
      </c>
      <c r="G11" s="138" t="e">
        <f>IF(A11&lt;&gt;"",IF(AND(#REF!="Padrão",$H$4=#REF!),BDI!$B$17,IF(AND(#REF!="Padrão",$H$4=#REF!),BDI!#REF!,IF(AND(#REF!="Diferenciado",$H$4=#REF!),BDI!$E$17,IF(AND(#REF!="Diferenciado",$H$4=#REF!),BDI!#REF!,IF(#REF!="ZERO",0))))),"")</f>
        <v>#REF!</v>
      </c>
      <c r="H11" s="139" t="e">
        <f t="shared" ca="1" si="1"/>
        <v>#REF!</v>
      </c>
      <c r="I11" s="137" t="e">
        <f t="shared" ca="1" si="2"/>
        <v>#REF!</v>
      </c>
      <c r="J11" s="118"/>
    </row>
    <row r="12" spans="1:10" hidden="1" x14ac:dyDescent="0.25">
      <c r="A12" s="114" t="s">
        <v>19</v>
      </c>
      <c r="B12" s="115" t="s">
        <v>1292</v>
      </c>
      <c r="C12" s="116" t="s">
        <v>70</v>
      </c>
      <c r="D12" s="116">
        <v>0</v>
      </c>
      <c r="E12" s="136">
        <f ca="1">OFFSET(INDEX(Composições!A:J,MATCH(Orçamentária!A12,Composições!A:A,0),8),2,0)</f>
        <v>18.35324</v>
      </c>
      <c r="F12" s="137">
        <f t="shared" ca="1" si="0"/>
        <v>0</v>
      </c>
      <c r="G12" s="138" t="e">
        <f>IF(A12&lt;&gt;"",IF(AND(#REF!="Padrão",$H$4=#REF!),BDI!$B$17,IF(AND(#REF!="Padrão",$H$4=#REF!),BDI!#REF!,IF(AND(#REF!="Diferenciado",$H$4=#REF!),BDI!$E$17,IF(AND(#REF!="Diferenciado",$H$4=#REF!),BDI!#REF!,IF(#REF!="ZERO",0))))),"")</f>
        <v>#REF!</v>
      </c>
      <c r="H12" s="139" t="e">
        <f t="shared" ca="1" si="1"/>
        <v>#REF!</v>
      </c>
      <c r="I12" s="137" t="e">
        <f t="shared" ca="1" si="2"/>
        <v>#REF!</v>
      </c>
      <c r="J12" s="118"/>
    </row>
    <row r="13" spans="1:10" x14ac:dyDescent="0.25">
      <c r="A13" s="189" t="s">
        <v>20</v>
      </c>
      <c r="B13" s="190" t="s">
        <v>1293</v>
      </c>
      <c r="C13" s="191" t="s">
        <v>70</v>
      </c>
      <c r="D13" s="191">
        <v>17</v>
      </c>
      <c r="E13" s="136">
        <f ca="1">OFFSET(INDEX(Composições!A:J,MATCH(Orçamentária!A13,Composições!A:A,0),8),2,0)</f>
        <v>7.1678516499999985</v>
      </c>
      <c r="F13" s="137">
        <f t="shared" ca="1" si="0"/>
        <v>121.85347804999998</v>
      </c>
      <c r="G13" s="138">
        <f>BDI!$B$17</f>
        <v>0.191</v>
      </c>
      <c r="H13" s="139">
        <f t="shared" ca="1" si="1"/>
        <v>8.5399999999999991</v>
      </c>
      <c r="I13" s="137">
        <f t="shared" ca="1" si="2"/>
        <v>145.18</v>
      </c>
      <c r="J13" s="118"/>
    </row>
    <row r="14" spans="1:10" x14ac:dyDescent="0.25">
      <c r="A14" s="189" t="s">
        <v>21</v>
      </c>
      <c r="B14" s="190" t="s">
        <v>5418</v>
      </c>
      <c r="C14" s="191" t="s">
        <v>70</v>
      </c>
      <c r="D14" s="191">
        <v>388</v>
      </c>
      <c r="E14" s="136">
        <f ca="1">OFFSET(INDEX(Composições!A:J,MATCH(Orçamentária!A14,Composições!A:A,0),8),2,0)</f>
        <v>1.5599959499999998</v>
      </c>
      <c r="F14" s="137">
        <f t="shared" ca="1" si="0"/>
        <v>605.27842859999987</v>
      </c>
      <c r="G14" s="138">
        <f>BDI!$B$17</f>
        <v>0.191</v>
      </c>
      <c r="H14" s="139">
        <f t="shared" ca="1" si="1"/>
        <v>1.86</v>
      </c>
      <c r="I14" s="137">
        <f t="shared" ca="1" si="2"/>
        <v>721.68</v>
      </c>
      <c r="J14" s="118"/>
    </row>
    <row r="15" spans="1:10" hidden="1" x14ac:dyDescent="0.25">
      <c r="A15" s="114" t="s">
        <v>22</v>
      </c>
      <c r="B15" s="115" t="s">
        <v>1294</v>
      </c>
      <c r="C15" s="116" t="s">
        <v>69</v>
      </c>
      <c r="D15" s="116">
        <v>0</v>
      </c>
      <c r="E15" s="136">
        <f ca="1">OFFSET(INDEX(Composições!A:J,MATCH(Orçamentária!A15,Composições!A:A,0),8),2,0)</f>
        <v>3.2372769999999997</v>
      </c>
      <c r="F15" s="137">
        <f t="shared" ca="1" si="0"/>
        <v>0</v>
      </c>
      <c r="G15" s="138" t="e">
        <f>IF(A15&lt;&gt;"",IF(AND(#REF!="Padrão",$H$4=#REF!),BDI!$B$17,IF(AND(#REF!="Padrão",$H$4=#REF!),BDI!#REF!,IF(AND(#REF!="Diferenciado",$H$4=#REF!),BDI!$E$17,IF(AND(#REF!="Diferenciado",$H$4=#REF!),BDI!#REF!,IF(#REF!="ZERO",0))))),"")</f>
        <v>#REF!</v>
      </c>
      <c r="H15" s="139" t="e">
        <f t="shared" ca="1" si="1"/>
        <v>#REF!</v>
      </c>
      <c r="I15" s="137" t="e">
        <f t="shared" ca="1" si="2"/>
        <v>#REF!</v>
      </c>
      <c r="J15" s="118"/>
    </row>
    <row r="16" spans="1:10" hidden="1" x14ac:dyDescent="0.25">
      <c r="A16" s="114" t="s">
        <v>23</v>
      </c>
      <c r="B16" s="115" t="s">
        <v>1295</v>
      </c>
      <c r="C16" s="116" t="s">
        <v>70</v>
      </c>
      <c r="D16" s="116">
        <v>0</v>
      </c>
      <c r="E16" s="136">
        <f ca="1">OFFSET(INDEX(Composições!A:J,MATCH(Orçamentária!A16,Composições!A:A,0),8),2,0)</f>
        <v>11.695665649999999</v>
      </c>
      <c r="F16" s="137">
        <f t="shared" ca="1" si="0"/>
        <v>0</v>
      </c>
      <c r="G16" s="138" t="e">
        <f>IF(A16&lt;&gt;"",IF(AND(#REF!="Padrão",$H$4=#REF!),BDI!$B$17,IF(AND(#REF!="Padrão",$H$4=#REF!),BDI!#REF!,IF(AND(#REF!="Diferenciado",$H$4=#REF!),BDI!$E$17,IF(AND(#REF!="Diferenciado",$H$4=#REF!),BDI!#REF!,IF(#REF!="ZERO",0))))),"")</f>
        <v>#REF!</v>
      </c>
      <c r="H16" s="139" t="e">
        <f t="shared" ca="1" si="1"/>
        <v>#REF!</v>
      </c>
      <c r="I16" s="137" t="e">
        <f t="shared" ca="1" si="2"/>
        <v>#REF!</v>
      </c>
      <c r="J16" s="118"/>
    </row>
    <row r="17" spans="1:10" hidden="1" x14ac:dyDescent="0.25">
      <c r="A17" s="114" t="s">
        <v>24</v>
      </c>
      <c r="B17" s="115" t="s">
        <v>1296</v>
      </c>
      <c r="C17" s="116" t="s">
        <v>70</v>
      </c>
      <c r="D17" s="116">
        <v>0</v>
      </c>
      <c r="E17" s="136">
        <f ca="1">OFFSET(INDEX(Composições!A:J,MATCH(Orçamentária!A17,Composições!A:A,0),8),2,0)</f>
        <v>3.1455478499999998</v>
      </c>
      <c r="F17" s="137">
        <f t="shared" ca="1" si="0"/>
        <v>0</v>
      </c>
      <c r="G17" s="138" t="e">
        <f>IF(A17&lt;&gt;"",IF(AND(#REF!="Padrão",$H$4=#REF!),BDI!$B$17,IF(AND(#REF!="Padrão",$H$4=#REF!),BDI!#REF!,IF(AND(#REF!="Diferenciado",$H$4=#REF!),BDI!$E$17,IF(AND(#REF!="Diferenciado",$H$4=#REF!),BDI!#REF!,IF(#REF!="ZERO",0))))),"")</f>
        <v>#REF!</v>
      </c>
      <c r="H17" s="139" t="e">
        <f t="shared" ca="1" si="1"/>
        <v>#REF!</v>
      </c>
      <c r="I17" s="137" t="e">
        <f t="shared" ca="1" si="2"/>
        <v>#REF!</v>
      </c>
      <c r="J17" s="118"/>
    </row>
    <row r="18" spans="1:10" hidden="1" x14ac:dyDescent="0.25">
      <c r="A18" s="114" t="s">
        <v>25</v>
      </c>
      <c r="B18" s="115" t="s">
        <v>1297</v>
      </c>
      <c r="C18" s="116" t="s">
        <v>69</v>
      </c>
      <c r="D18" s="116">
        <v>0</v>
      </c>
      <c r="E18" s="136">
        <f ca="1">OFFSET(INDEX(Composições!A:J,MATCH(Orçamentária!A18,Composições!A:A,0),8),2,0)</f>
        <v>0.47343344999999992</v>
      </c>
      <c r="F18" s="137">
        <f t="shared" ca="1" si="0"/>
        <v>0</v>
      </c>
      <c r="G18" s="138" t="e">
        <f>IF(A18&lt;&gt;"",IF(AND(#REF!="Padrão",$H$4=#REF!),BDI!$B$17,IF(AND(#REF!="Padrão",$H$4=#REF!),BDI!#REF!,IF(AND(#REF!="Diferenciado",$H$4=#REF!),BDI!$E$17,IF(AND(#REF!="Diferenciado",$H$4=#REF!),BDI!#REF!,IF(#REF!="ZERO",0))))),"")</f>
        <v>#REF!</v>
      </c>
      <c r="H18" s="139" t="e">
        <f t="shared" ca="1" si="1"/>
        <v>#REF!</v>
      </c>
      <c r="I18" s="137" t="e">
        <f t="shared" ca="1" si="2"/>
        <v>#REF!</v>
      </c>
      <c r="J18" s="118"/>
    </row>
    <row r="19" spans="1:10" hidden="1" x14ac:dyDescent="0.25">
      <c r="A19" s="114" t="s">
        <v>26</v>
      </c>
      <c r="B19" s="115" t="s">
        <v>1298</v>
      </c>
      <c r="C19" s="116" t="s">
        <v>80</v>
      </c>
      <c r="D19" s="116">
        <v>0</v>
      </c>
      <c r="E19" s="136">
        <f ca="1">OFFSET(INDEX(Composições!A:J,MATCH(Orçamentária!A19,Composições!A:A,0),8),2,0)</f>
        <v>270.43004759999997</v>
      </c>
      <c r="F19" s="137">
        <f t="shared" ca="1" si="0"/>
        <v>0</v>
      </c>
      <c r="G19" s="138" t="e">
        <f>IF(A19&lt;&gt;"",IF(AND(#REF!="Padrão",$H$4=#REF!),BDI!$B$17,IF(AND(#REF!="Padrão",$H$4=#REF!),BDI!#REF!,IF(AND(#REF!="Diferenciado",$H$4=#REF!),BDI!$E$17,IF(AND(#REF!="Diferenciado",$H$4=#REF!),BDI!#REF!,IF(#REF!="ZERO",0))))),"")</f>
        <v>#REF!</v>
      </c>
      <c r="H19" s="139" t="e">
        <f t="shared" ca="1" si="1"/>
        <v>#REF!</v>
      </c>
      <c r="I19" s="137" t="e">
        <f t="shared" ca="1" si="2"/>
        <v>#REF!</v>
      </c>
      <c r="J19" s="118"/>
    </row>
    <row r="20" spans="1:10" hidden="1" x14ac:dyDescent="0.25">
      <c r="A20" s="114" t="s">
        <v>1299</v>
      </c>
      <c r="B20" s="115" t="s">
        <v>1300</v>
      </c>
      <c r="C20" s="116" t="s">
        <v>16</v>
      </c>
      <c r="D20" s="116">
        <v>0</v>
      </c>
      <c r="E20" s="136" t="s">
        <v>416</v>
      </c>
      <c r="F20" s="137" t="str">
        <f t="shared" si="0"/>
        <v/>
      </c>
      <c r="G20" s="138" t="e">
        <f>IF(A20&lt;&gt;"",IF(AND(#REF!="Padrão",$H$4=#REF!),BDI!$B$17,IF(AND(#REF!="Padrão",$H$4=#REF!),BDI!#REF!,IF(AND(#REF!="Diferenciado",$H$4=#REF!),BDI!$E$17,IF(AND(#REF!="Diferenciado",$H$4=#REF!),BDI!#REF!,IF(#REF!="ZERO",0))))),"")</f>
        <v>#REF!</v>
      </c>
      <c r="H20" s="139" t="str">
        <f t="shared" si="1"/>
        <v/>
      </c>
      <c r="I20" s="137" t="str">
        <f t="shared" si="2"/>
        <v/>
      </c>
      <c r="J20" s="118"/>
    </row>
    <row r="21" spans="1:10" hidden="1" x14ac:dyDescent="0.25">
      <c r="A21" s="114" t="s">
        <v>29</v>
      </c>
      <c r="B21" s="115" t="s">
        <v>1301</v>
      </c>
      <c r="C21" s="116" t="s">
        <v>70</v>
      </c>
      <c r="D21" s="116">
        <v>0</v>
      </c>
      <c r="E21" s="136">
        <f ca="1">OFFSET(INDEX(Composições!A:J,MATCH(Orçamentária!A21,Composições!A:A,0),8),2,0)</f>
        <v>16.083024999999996</v>
      </c>
      <c r="F21" s="137">
        <f t="shared" ca="1" si="0"/>
        <v>0</v>
      </c>
      <c r="G21" s="138" t="e">
        <f>IF(A21&lt;&gt;"",IF(AND(#REF!="Padrão",$H$4=#REF!),BDI!$B$17,IF(AND(#REF!="Padrão",$H$4=#REF!),BDI!#REF!,IF(AND(#REF!="Diferenciado",$H$4=#REF!),BDI!$E$17,IF(AND(#REF!="Diferenciado",$H$4=#REF!),BDI!#REF!,IF(#REF!="ZERO",0))))),"")</f>
        <v>#REF!</v>
      </c>
      <c r="H21" s="139" t="e">
        <f t="shared" ca="1" si="1"/>
        <v>#REF!</v>
      </c>
      <c r="I21" s="137" t="e">
        <f t="shared" ca="1" si="2"/>
        <v>#REF!</v>
      </c>
      <c r="J21" s="118"/>
    </row>
    <row r="22" spans="1:10" hidden="1" x14ac:dyDescent="0.25">
      <c r="A22" s="114" t="s">
        <v>30</v>
      </c>
      <c r="B22" s="115" t="s">
        <v>1302</v>
      </c>
      <c r="C22" s="116" t="s">
        <v>70</v>
      </c>
      <c r="D22" s="116">
        <v>0</v>
      </c>
      <c r="E22" s="136">
        <f ca="1">OFFSET(INDEX(Composições!A:J,MATCH(Orçamentária!A22,Composições!A:A,0),8),2,0)</f>
        <v>24.299574999999997</v>
      </c>
      <c r="F22" s="137">
        <f t="shared" ca="1" si="0"/>
        <v>0</v>
      </c>
      <c r="G22" s="138" t="e">
        <f>IF(A22&lt;&gt;"",IF(AND(#REF!="Padrão",$H$4=#REF!),BDI!$B$17,IF(AND(#REF!="Padrão",$H$4=#REF!),BDI!#REF!,IF(AND(#REF!="Diferenciado",$H$4=#REF!),BDI!$E$17,IF(AND(#REF!="Diferenciado",$H$4=#REF!),BDI!#REF!,IF(#REF!="ZERO",0))))),"")</f>
        <v>#REF!</v>
      </c>
      <c r="H22" s="139" t="e">
        <f t="shared" ca="1" si="1"/>
        <v>#REF!</v>
      </c>
      <c r="I22" s="137" t="e">
        <f t="shared" ca="1" si="2"/>
        <v>#REF!</v>
      </c>
      <c r="J22" s="118"/>
    </row>
    <row r="23" spans="1:10" hidden="1" x14ac:dyDescent="0.25">
      <c r="A23" s="114" t="s">
        <v>31</v>
      </c>
      <c r="B23" s="115" t="s">
        <v>1303</v>
      </c>
      <c r="C23" s="116" t="s">
        <v>16</v>
      </c>
      <c r="D23" s="116">
        <v>0</v>
      </c>
      <c r="E23" s="136">
        <f ca="1">OFFSET(INDEX(Composições!A:J,MATCH(Orçamentária!A23,Composições!A:A,0),8),2,0)</f>
        <v>9.1766199999999998</v>
      </c>
      <c r="F23" s="137">
        <f t="shared" ca="1" si="0"/>
        <v>0</v>
      </c>
      <c r="G23" s="138" t="e">
        <f>IF(A23&lt;&gt;"",IF(AND(#REF!="Padrão",$H$4=#REF!),BDI!$B$17,IF(AND(#REF!="Padrão",$H$4=#REF!),BDI!#REF!,IF(AND(#REF!="Diferenciado",$H$4=#REF!),BDI!$E$17,IF(AND(#REF!="Diferenciado",$H$4=#REF!),BDI!#REF!,IF(#REF!="ZERO",0))))),"")</f>
        <v>#REF!</v>
      </c>
      <c r="H23" s="139" t="e">
        <f t="shared" ca="1" si="1"/>
        <v>#REF!</v>
      </c>
      <c r="I23" s="137" t="e">
        <f t="shared" ca="1" si="2"/>
        <v>#REF!</v>
      </c>
      <c r="J23" s="118"/>
    </row>
    <row r="24" spans="1:10" hidden="1" x14ac:dyDescent="0.25">
      <c r="A24" s="114" t="s">
        <v>32</v>
      </c>
      <c r="B24" s="115" t="s">
        <v>1304</v>
      </c>
      <c r="C24" s="116" t="s">
        <v>69</v>
      </c>
      <c r="D24" s="116">
        <v>0</v>
      </c>
      <c r="E24" s="136">
        <f ca="1">OFFSET(INDEX(Composições!A:J,MATCH(Orçamentária!A24,Composições!A:A,0),8),2,0)</f>
        <v>5.1214500000000003</v>
      </c>
      <c r="F24" s="137">
        <f t="shared" ca="1" si="0"/>
        <v>0</v>
      </c>
      <c r="G24" s="138" t="e">
        <f>IF(A24&lt;&gt;"",IF(AND(#REF!="Padrão",$H$4=#REF!),BDI!$B$17,IF(AND(#REF!="Padrão",$H$4=#REF!),BDI!#REF!,IF(AND(#REF!="Diferenciado",$H$4=#REF!),BDI!$E$17,IF(AND(#REF!="Diferenciado",$H$4=#REF!),BDI!#REF!,IF(#REF!="ZERO",0))))),"")</f>
        <v>#REF!</v>
      </c>
      <c r="H24" s="139" t="e">
        <f t="shared" ca="1" si="1"/>
        <v>#REF!</v>
      </c>
      <c r="I24" s="137" t="e">
        <f t="shared" ca="1" si="2"/>
        <v>#REF!</v>
      </c>
      <c r="J24" s="118"/>
    </row>
    <row r="25" spans="1:10" hidden="1" x14ac:dyDescent="0.25">
      <c r="A25" s="114" t="s">
        <v>33</v>
      </c>
      <c r="B25" s="115" t="s">
        <v>1305</v>
      </c>
      <c r="C25" s="116" t="s">
        <v>70</v>
      </c>
      <c r="D25" s="116">
        <v>0</v>
      </c>
      <c r="E25" s="136">
        <f ca="1">OFFSET(INDEX(Composições!A:J,MATCH(Orçamentária!A25,Composições!A:A,0),8),2,0)</f>
        <v>2.2941549999999999</v>
      </c>
      <c r="F25" s="137">
        <f t="shared" ca="1" si="0"/>
        <v>0</v>
      </c>
      <c r="G25" s="138" t="e">
        <f>IF(A25&lt;&gt;"",IF(AND(#REF!="Padrão",$H$4=#REF!),BDI!$B$17,IF(AND(#REF!="Padrão",$H$4=#REF!),BDI!#REF!,IF(AND(#REF!="Diferenciado",$H$4=#REF!),BDI!$E$17,IF(AND(#REF!="Diferenciado",$H$4=#REF!),BDI!#REF!,IF(#REF!="ZERO",0))))),"")</f>
        <v>#REF!</v>
      </c>
      <c r="H25" s="139" t="e">
        <f t="shared" ca="1" si="1"/>
        <v>#REF!</v>
      </c>
      <c r="I25" s="137" t="e">
        <f t="shared" ca="1" si="2"/>
        <v>#REF!</v>
      </c>
      <c r="J25" s="118"/>
    </row>
    <row r="26" spans="1:10" hidden="1" x14ac:dyDescent="0.25">
      <c r="A26" s="114" t="s">
        <v>34</v>
      </c>
      <c r="B26" s="115" t="s">
        <v>1306</v>
      </c>
      <c r="C26" s="116" t="s">
        <v>69</v>
      </c>
      <c r="D26" s="116">
        <v>0</v>
      </c>
      <c r="E26" s="136">
        <f ca="1">OFFSET(INDEX(Composições!A:J,MATCH(Orçamentária!A26,Composições!A:A,0),8),2,0)</f>
        <v>3.5537106000000001</v>
      </c>
      <c r="F26" s="137">
        <f t="shared" ca="1" si="0"/>
        <v>0</v>
      </c>
      <c r="G26" s="138" t="e">
        <f>IF(A26&lt;&gt;"",IF(AND(#REF!="Padrão",$H$4=#REF!),BDI!$B$17,IF(AND(#REF!="Padrão",$H$4=#REF!),BDI!#REF!,IF(AND(#REF!="Diferenciado",$H$4=#REF!),BDI!$E$17,IF(AND(#REF!="Diferenciado",$H$4=#REF!),BDI!#REF!,IF(#REF!="ZERO",0))))),"")</f>
        <v>#REF!</v>
      </c>
      <c r="H26" s="139" t="e">
        <f t="shared" ca="1" si="1"/>
        <v>#REF!</v>
      </c>
      <c r="I26" s="137" t="e">
        <f t="shared" ca="1" si="2"/>
        <v>#REF!</v>
      </c>
      <c r="J26" s="118"/>
    </row>
    <row r="27" spans="1:10" hidden="1" x14ac:dyDescent="0.25">
      <c r="A27" s="114" t="s">
        <v>35</v>
      </c>
      <c r="B27" s="115" t="s">
        <v>1307</v>
      </c>
      <c r="C27" s="116" t="s">
        <v>16</v>
      </c>
      <c r="D27" s="116">
        <v>0</v>
      </c>
      <c r="E27" s="136">
        <f ca="1">OFFSET(INDEX(Composições!A:J,MATCH(Orçamentária!A27,Composições!A:A,0),8),2,0)</f>
        <v>26.031899999999993</v>
      </c>
      <c r="F27" s="137">
        <f t="shared" ca="1" si="0"/>
        <v>0</v>
      </c>
      <c r="G27" s="138" t="e">
        <f>IF(A27&lt;&gt;"",IF(AND(#REF!="Padrão",$H$4=#REF!),BDI!$B$17,IF(AND(#REF!="Padrão",$H$4=#REF!),BDI!#REF!,IF(AND(#REF!="Diferenciado",$H$4=#REF!),BDI!$E$17,IF(AND(#REF!="Diferenciado",$H$4=#REF!),BDI!#REF!,IF(#REF!="ZERO",0))))),"")</f>
        <v>#REF!</v>
      </c>
      <c r="H27" s="139" t="e">
        <f t="shared" ca="1" si="1"/>
        <v>#REF!</v>
      </c>
      <c r="I27" s="137" t="e">
        <f t="shared" ca="1" si="2"/>
        <v>#REF!</v>
      </c>
      <c r="J27" s="118"/>
    </row>
    <row r="28" spans="1:10" hidden="1" x14ac:dyDescent="0.25">
      <c r="A28" s="114" t="s">
        <v>36</v>
      </c>
      <c r="B28" s="115" t="s">
        <v>1308</v>
      </c>
      <c r="C28" s="116" t="s">
        <v>70</v>
      </c>
      <c r="D28" s="116">
        <v>0</v>
      </c>
      <c r="E28" s="136">
        <f ca="1">OFFSET(INDEX(Composições!A:J,MATCH(Orçamentária!A28,Composições!A:A,0),8),2,0)</f>
        <v>40.492799999999988</v>
      </c>
      <c r="F28" s="137">
        <f t="shared" ca="1" si="0"/>
        <v>0</v>
      </c>
      <c r="G28" s="138" t="e">
        <f>IF(A28&lt;&gt;"",IF(AND(#REF!="Padrão",$H$4=#REF!),BDI!$B$17,IF(AND(#REF!="Padrão",$H$4=#REF!),BDI!#REF!,IF(AND(#REF!="Diferenciado",$H$4=#REF!),BDI!$E$17,IF(AND(#REF!="Diferenciado",$H$4=#REF!),BDI!#REF!,IF(#REF!="ZERO",0))))),"")</f>
        <v>#REF!</v>
      </c>
      <c r="H28" s="139" t="e">
        <f t="shared" ca="1" si="1"/>
        <v>#REF!</v>
      </c>
      <c r="I28" s="137" t="e">
        <f t="shared" ca="1" si="2"/>
        <v>#REF!</v>
      </c>
      <c r="J28" s="118"/>
    </row>
    <row r="29" spans="1:10" hidden="1" x14ac:dyDescent="0.25">
      <c r="A29" s="114" t="s">
        <v>37</v>
      </c>
      <c r="B29" s="115" t="s">
        <v>1309</v>
      </c>
      <c r="C29" s="116" t="s">
        <v>70</v>
      </c>
      <c r="D29" s="116">
        <v>0</v>
      </c>
      <c r="E29" s="136">
        <f ca="1">OFFSET(INDEX(Composições!A:J,MATCH(Orçamentária!A29,Composições!A:A,0),8),2,0)</f>
        <v>7.1678516499999985</v>
      </c>
      <c r="F29" s="137">
        <f t="shared" ca="1" si="0"/>
        <v>0</v>
      </c>
      <c r="G29" s="138" t="e">
        <f>IF(A29&lt;&gt;"",IF(AND(#REF!="Padrão",$H$4=#REF!),BDI!$B$17,IF(AND(#REF!="Padrão",$H$4=#REF!),BDI!#REF!,IF(AND(#REF!="Diferenciado",$H$4=#REF!),BDI!$E$17,IF(AND(#REF!="Diferenciado",$H$4=#REF!),BDI!#REF!,IF(#REF!="ZERO",0))))),"")</f>
        <v>#REF!</v>
      </c>
      <c r="H29" s="139" t="e">
        <f t="shared" ca="1" si="1"/>
        <v>#REF!</v>
      </c>
      <c r="I29" s="137" t="e">
        <f t="shared" ca="1" si="2"/>
        <v>#REF!</v>
      </c>
      <c r="J29" s="118"/>
    </row>
    <row r="30" spans="1:10" x14ac:dyDescent="0.25">
      <c r="A30" s="189" t="s">
        <v>38</v>
      </c>
      <c r="B30" s="190" t="s">
        <v>1310</v>
      </c>
      <c r="C30" s="191" t="s">
        <v>69</v>
      </c>
      <c r="D30" s="191">
        <v>271</v>
      </c>
      <c r="E30" s="136">
        <f ca="1">OFFSET(INDEX(Composições!A:J,MATCH(Orçamentária!A30,Composições!A:A,0),8),2,0)</f>
        <v>10.757562499999999</v>
      </c>
      <c r="F30" s="137">
        <f t="shared" ca="1" si="0"/>
        <v>2915.2994374999998</v>
      </c>
      <c r="G30" s="138">
        <f>BDI!$B$17</f>
        <v>0.191</v>
      </c>
      <c r="H30" s="139">
        <f t="shared" ca="1" si="1"/>
        <v>12.81</v>
      </c>
      <c r="I30" s="137">
        <f t="shared" ca="1" si="2"/>
        <v>3471.51</v>
      </c>
      <c r="J30" s="118"/>
    </row>
    <row r="31" spans="1:10" hidden="1" x14ac:dyDescent="0.25">
      <c r="A31" s="114" t="s">
        <v>39</v>
      </c>
      <c r="B31" s="115" t="s">
        <v>1311</v>
      </c>
      <c r="C31" s="116" t="s">
        <v>70</v>
      </c>
      <c r="D31" s="116">
        <v>0</v>
      </c>
      <c r="E31" s="136">
        <f ca="1">OFFSET(INDEX(Composições!A:J,MATCH(Orçamentária!A31,Composições!A:A,0),8),2,0)</f>
        <v>11.470774999999998</v>
      </c>
      <c r="F31" s="137">
        <f t="shared" ca="1" si="0"/>
        <v>0</v>
      </c>
      <c r="G31" s="138" t="e">
        <f>IF(A31&lt;&gt;"",IF(AND(#REF!="Padrão",$H$4=#REF!),BDI!$B$17,IF(AND(#REF!="Padrão",$H$4=#REF!),BDI!#REF!,IF(AND(#REF!="Diferenciado",$H$4=#REF!),BDI!$E$17,IF(AND(#REF!="Diferenciado",$H$4=#REF!),BDI!#REF!,IF(#REF!="ZERO",0))))),"")</f>
        <v>#REF!</v>
      </c>
      <c r="H31" s="139" t="e">
        <f t="shared" ca="1" si="1"/>
        <v>#REF!</v>
      </c>
      <c r="I31" s="137" t="e">
        <f t="shared" ca="1" si="2"/>
        <v>#REF!</v>
      </c>
      <c r="J31" s="118"/>
    </row>
    <row r="32" spans="1:10" hidden="1" x14ac:dyDescent="0.25">
      <c r="A32" s="114" t="s">
        <v>40</v>
      </c>
      <c r="B32" s="115" t="s">
        <v>1312</v>
      </c>
      <c r="C32" s="116" t="s">
        <v>16</v>
      </c>
      <c r="D32" s="116">
        <v>0</v>
      </c>
      <c r="E32" s="136">
        <f ca="1">OFFSET(INDEX(Composições!A:J,MATCH(Orçamentária!A32,Composições!A:A,0),8),2,0)</f>
        <v>8.3505000000000003</v>
      </c>
      <c r="F32" s="137">
        <f t="shared" ca="1" si="0"/>
        <v>0</v>
      </c>
      <c r="G32" s="138" t="e">
        <f>IF(A32&lt;&gt;"",IF(AND(#REF!="Padrão",$H$4=#REF!),BDI!$B$17,IF(AND(#REF!="Padrão",$H$4=#REF!),BDI!#REF!,IF(AND(#REF!="Diferenciado",$H$4=#REF!),BDI!$E$17,IF(AND(#REF!="Diferenciado",$H$4=#REF!),BDI!#REF!,IF(#REF!="ZERO",0))))),"")</f>
        <v>#REF!</v>
      </c>
      <c r="H32" s="139" t="e">
        <f t="shared" ca="1" si="1"/>
        <v>#REF!</v>
      </c>
      <c r="I32" s="137" t="e">
        <f t="shared" ca="1" si="2"/>
        <v>#REF!</v>
      </c>
      <c r="J32" s="118"/>
    </row>
    <row r="33" spans="1:10" hidden="1" x14ac:dyDescent="0.25">
      <c r="A33" s="114" t="s">
        <v>41</v>
      </c>
      <c r="B33" s="115" t="s">
        <v>1313</v>
      </c>
      <c r="C33" s="116" t="s">
        <v>16</v>
      </c>
      <c r="D33" s="116">
        <v>0</v>
      </c>
      <c r="E33" s="136">
        <f ca="1">OFFSET(INDEX(Composições!A:J,MATCH(Orçamentária!A33,Composições!A:A,0),8),2,0)</f>
        <v>6.4314999999999989</v>
      </c>
      <c r="F33" s="137">
        <f t="shared" ca="1" si="0"/>
        <v>0</v>
      </c>
      <c r="G33" s="138" t="e">
        <f>IF(A33&lt;&gt;"",IF(AND(#REF!="Padrão",$H$4=#REF!),BDI!$B$17,IF(AND(#REF!="Padrão",$H$4=#REF!),BDI!#REF!,IF(AND(#REF!="Diferenciado",$H$4=#REF!),BDI!$E$17,IF(AND(#REF!="Diferenciado",$H$4=#REF!),BDI!#REF!,IF(#REF!="ZERO",0))))),"")</f>
        <v>#REF!</v>
      </c>
      <c r="H33" s="139" t="e">
        <f t="shared" ca="1" si="1"/>
        <v>#REF!</v>
      </c>
      <c r="I33" s="137" t="e">
        <f t="shared" ca="1" si="2"/>
        <v>#REF!</v>
      </c>
      <c r="J33" s="118"/>
    </row>
    <row r="34" spans="1:10" hidden="1" x14ac:dyDescent="0.25">
      <c r="A34" s="114" t="s">
        <v>42</v>
      </c>
      <c r="B34" s="115" t="s">
        <v>5419</v>
      </c>
      <c r="C34" s="116" t="s">
        <v>16</v>
      </c>
      <c r="D34" s="116">
        <v>0</v>
      </c>
      <c r="E34" s="136">
        <f ca="1">OFFSET(INDEX(Composições!A:J,MATCH(Orçamentária!A34,Composições!A:A,0),8),2,0)</f>
        <v>8.7938298499999981</v>
      </c>
      <c r="F34" s="137">
        <f t="shared" ca="1" si="0"/>
        <v>0</v>
      </c>
      <c r="G34" s="138" t="e">
        <f>IF(A34&lt;&gt;"",IF(AND(#REF!="Padrão",$H$4=#REF!),BDI!$B$17,IF(AND(#REF!="Padrão",$H$4=#REF!),BDI!#REF!,IF(AND(#REF!="Diferenciado",$H$4=#REF!),BDI!$E$17,IF(AND(#REF!="Diferenciado",$H$4=#REF!),BDI!#REF!,IF(#REF!="ZERO",0))))),"")</f>
        <v>#REF!</v>
      </c>
      <c r="H34" s="139" t="e">
        <f t="shared" ca="1" si="1"/>
        <v>#REF!</v>
      </c>
      <c r="I34" s="137" t="e">
        <f t="shared" ca="1" si="2"/>
        <v>#REF!</v>
      </c>
      <c r="J34" s="118"/>
    </row>
    <row r="35" spans="1:10" hidden="1" x14ac:dyDescent="0.25">
      <c r="A35" s="114" t="s">
        <v>43</v>
      </c>
      <c r="B35" s="115" t="s">
        <v>1314</v>
      </c>
      <c r="C35" s="116" t="s">
        <v>70</v>
      </c>
      <c r="D35" s="116">
        <v>0</v>
      </c>
      <c r="E35" s="136">
        <f ca="1">OFFSET(INDEX(Composições!A:J,MATCH(Orçamentária!A35,Composições!A:A,0),8),2,0)</f>
        <v>20.647394999999996</v>
      </c>
      <c r="F35" s="137">
        <f t="shared" ca="1" si="0"/>
        <v>0</v>
      </c>
      <c r="G35" s="138" t="e">
        <f>IF(A35&lt;&gt;"",IF(AND(#REF!="Padrão",$H$4=#REF!),BDI!$B$17,IF(AND(#REF!="Padrão",$H$4=#REF!),BDI!#REF!,IF(AND(#REF!="Diferenciado",$H$4=#REF!),BDI!$E$17,IF(AND(#REF!="Diferenciado",$H$4=#REF!),BDI!#REF!,IF(#REF!="ZERO",0))))),"")</f>
        <v>#REF!</v>
      </c>
      <c r="H35" s="139" t="e">
        <f t="shared" ca="1" si="1"/>
        <v>#REF!</v>
      </c>
      <c r="I35" s="137" t="e">
        <f t="shared" ca="1" si="2"/>
        <v>#REF!</v>
      </c>
      <c r="J35" s="118"/>
    </row>
    <row r="36" spans="1:10" hidden="1" x14ac:dyDescent="0.25">
      <c r="A36" s="114" t="s">
        <v>44</v>
      </c>
      <c r="B36" s="115" t="s">
        <v>1315</v>
      </c>
      <c r="C36" s="116" t="s">
        <v>16</v>
      </c>
      <c r="D36" s="116">
        <v>0</v>
      </c>
      <c r="E36" s="136">
        <f ca="1">OFFSET(INDEX(Composições!A:J,MATCH(Orçamentária!A36,Composições!A:A,0),8),2,0)</f>
        <v>11.677064649999998</v>
      </c>
      <c r="F36" s="137">
        <f t="shared" ca="1" si="0"/>
        <v>0</v>
      </c>
      <c r="G36" s="138" t="e">
        <f>IF(A36&lt;&gt;"",IF(AND(#REF!="Padrão",$H$4=#REF!),BDI!$B$17,IF(AND(#REF!="Padrão",$H$4=#REF!),BDI!#REF!,IF(AND(#REF!="Diferenciado",$H$4=#REF!),BDI!$E$17,IF(AND(#REF!="Diferenciado",$H$4=#REF!),BDI!#REF!,IF(#REF!="ZERO",0))))),"")</f>
        <v>#REF!</v>
      </c>
      <c r="H36" s="139" t="e">
        <f t="shared" ca="1" si="1"/>
        <v>#REF!</v>
      </c>
      <c r="I36" s="137" t="e">
        <f t="shared" ca="1" si="2"/>
        <v>#REF!</v>
      </c>
      <c r="J36" s="118"/>
    </row>
    <row r="37" spans="1:10" hidden="1" x14ac:dyDescent="0.25">
      <c r="A37" s="114" t="s">
        <v>45</v>
      </c>
      <c r="B37" s="115" t="s">
        <v>1316</v>
      </c>
      <c r="C37" s="116" t="s">
        <v>16</v>
      </c>
      <c r="D37" s="116">
        <v>0</v>
      </c>
      <c r="E37" s="136">
        <f ca="1">OFFSET(INDEX(Composições!A:J,MATCH(Orçamentária!A37,Composições!A:A,0),8),2,0)</f>
        <v>6.1773797499999992</v>
      </c>
      <c r="F37" s="137">
        <f t="shared" ca="1" si="0"/>
        <v>0</v>
      </c>
      <c r="G37" s="138" t="e">
        <f>IF(A37&lt;&gt;"",IF(AND(#REF!="Padrão",$H$4=#REF!),BDI!$B$17,IF(AND(#REF!="Padrão",$H$4=#REF!),BDI!#REF!,IF(AND(#REF!="Diferenciado",$H$4=#REF!),BDI!$E$17,IF(AND(#REF!="Diferenciado",$H$4=#REF!),BDI!#REF!,IF(#REF!="ZERO",0))))),"")</f>
        <v>#REF!</v>
      </c>
      <c r="H37" s="139" t="e">
        <f t="shared" ca="1" si="1"/>
        <v>#REF!</v>
      </c>
      <c r="I37" s="137" t="e">
        <f t="shared" ca="1" si="2"/>
        <v>#REF!</v>
      </c>
      <c r="J37" s="118"/>
    </row>
    <row r="38" spans="1:10" hidden="1" x14ac:dyDescent="0.25">
      <c r="A38" s="114" t="s">
        <v>47</v>
      </c>
      <c r="B38" s="115" t="s">
        <v>1317</v>
      </c>
      <c r="C38" s="116" t="s">
        <v>16</v>
      </c>
      <c r="D38" s="116">
        <v>0</v>
      </c>
      <c r="E38" s="136">
        <f ca="1">OFFSET(INDEX(Composições!A:J,MATCH(Orçamentária!A38,Composições!A:A,0),8),2,0)</f>
        <v>8.5150266999999999</v>
      </c>
      <c r="F38" s="137">
        <f t="shared" ca="1" si="0"/>
        <v>0</v>
      </c>
      <c r="G38" s="138" t="e">
        <f>IF(A38&lt;&gt;"",IF(AND(#REF!="Padrão",$H$4=#REF!),BDI!$B$17,IF(AND(#REF!="Padrão",$H$4=#REF!),BDI!#REF!,IF(AND(#REF!="Diferenciado",$H$4=#REF!),BDI!$E$17,IF(AND(#REF!="Diferenciado",$H$4=#REF!),BDI!#REF!,IF(#REF!="ZERO",0))))),"")</f>
        <v>#REF!</v>
      </c>
      <c r="H38" s="139" t="e">
        <f t="shared" ca="1" si="1"/>
        <v>#REF!</v>
      </c>
      <c r="I38" s="137" t="e">
        <f t="shared" ca="1" si="2"/>
        <v>#REF!</v>
      </c>
      <c r="J38" s="118"/>
    </row>
    <row r="39" spans="1:10" hidden="1" x14ac:dyDescent="0.25">
      <c r="A39" s="114" t="s">
        <v>48</v>
      </c>
      <c r="B39" s="115" t="s">
        <v>1318</v>
      </c>
      <c r="C39" s="116" t="s">
        <v>70</v>
      </c>
      <c r="D39" s="116">
        <v>0</v>
      </c>
      <c r="E39" s="136">
        <f ca="1">OFFSET(INDEX(Composições!A:J,MATCH(Orçamentária!A39,Composições!A:A,0),8),2,0)</f>
        <v>15.557446999999996</v>
      </c>
      <c r="F39" s="137">
        <f t="shared" ca="1" si="0"/>
        <v>0</v>
      </c>
      <c r="G39" s="138" t="e">
        <f>IF(A39&lt;&gt;"",IF(AND(#REF!="Padrão",$H$4=#REF!),BDI!$B$17,IF(AND(#REF!="Padrão",$H$4=#REF!),BDI!#REF!,IF(AND(#REF!="Diferenciado",$H$4=#REF!),BDI!$E$17,IF(AND(#REF!="Diferenciado",$H$4=#REF!),BDI!#REF!,IF(#REF!="ZERO",0))))),"")</f>
        <v>#REF!</v>
      </c>
      <c r="H39" s="139" t="e">
        <f t="shared" ca="1" si="1"/>
        <v>#REF!</v>
      </c>
      <c r="I39" s="137" t="e">
        <f t="shared" ca="1" si="2"/>
        <v>#REF!</v>
      </c>
      <c r="J39" s="118"/>
    </row>
    <row r="40" spans="1:10" hidden="1" x14ac:dyDescent="0.25">
      <c r="A40" s="114" t="s">
        <v>49</v>
      </c>
      <c r="B40" s="115" t="s">
        <v>1319</v>
      </c>
      <c r="C40" s="116" t="s">
        <v>70</v>
      </c>
      <c r="D40" s="116">
        <v>0</v>
      </c>
      <c r="E40" s="136">
        <f ca="1">OFFSET(INDEX(Composições!A:J,MATCH(Orçamentária!A40,Composições!A:A,0),8),2,0)</f>
        <v>10.0244</v>
      </c>
      <c r="F40" s="137">
        <f t="shared" ca="1" si="0"/>
        <v>0</v>
      </c>
      <c r="G40" s="138" t="e">
        <f>IF(A40&lt;&gt;"",IF(AND(#REF!="Padrão",$H$4=#REF!),BDI!$B$17,IF(AND(#REF!="Padrão",$H$4=#REF!),BDI!#REF!,IF(AND(#REF!="Diferenciado",$H$4=#REF!),BDI!$E$17,IF(AND(#REF!="Diferenciado",$H$4=#REF!),BDI!#REF!,IF(#REF!="ZERO",0))))),"")</f>
        <v>#REF!</v>
      </c>
      <c r="H40" s="139" t="e">
        <f t="shared" ca="1" si="1"/>
        <v>#REF!</v>
      </c>
      <c r="I40" s="137" t="e">
        <f t="shared" ca="1" si="2"/>
        <v>#REF!</v>
      </c>
      <c r="J40" s="118"/>
    </row>
    <row r="41" spans="1:10" hidden="1" x14ac:dyDescent="0.25">
      <c r="A41" s="114" t="s">
        <v>50</v>
      </c>
      <c r="B41" s="115" t="s">
        <v>1320</v>
      </c>
      <c r="C41" s="116" t="s">
        <v>69</v>
      </c>
      <c r="D41" s="116">
        <v>0</v>
      </c>
      <c r="E41" s="136">
        <f ca="1">OFFSET(INDEX(Composições!A:J,MATCH(Orçamentária!A41,Composições!A:A,0),8),2,0)</f>
        <v>3.5537106000000001</v>
      </c>
      <c r="F41" s="137">
        <f t="shared" ca="1" si="0"/>
        <v>0</v>
      </c>
      <c r="G41" s="138" t="e">
        <f>IF(A41&lt;&gt;"",IF(AND(#REF!="Padrão",$H$4=#REF!),BDI!$B$17,IF(AND(#REF!="Padrão",$H$4=#REF!),BDI!#REF!,IF(AND(#REF!="Diferenciado",$H$4=#REF!),BDI!$E$17,IF(AND(#REF!="Diferenciado",$H$4=#REF!),BDI!#REF!,IF(#REF!="ZERO",0))))),"")</f>
        <v>#REF!</v>
      </c>
      <c r="H41" s="139" t="e">
        <f t="shared" ca="1" si="1"/>
        <v>#REF!</v>
      </c>
      <c r="I41" s="137" t="e">
        <f t="shared" ca="1" si="2"/>
        <v>#REF!</v>
      </c>
      <c r="J41" s="118"/>
    </row>
    <row r="42" spans="1:10" hidden="1" x14ac:dyDescent="0.25">
      <c r="A42" s="114" t="s">
        <v>51</v>
      </c>
      <c r="B42" s="115" t="s">
        <v>1321</v>
      </c>
      <c r="C42" s="116" t="s">
        <v>70</v>
      </c>
      <c r="D42" s="116">
        <v>0</v>
      </c>
      <c r="E42" s="136">
        <f ca="1">OFFSET(INDEX(Composições!A:J,MATCH(Orçamentária!A42,Composições!A:A,0),8),2,0)</f>
        <v>8.0901999999999994</v>
      </c>
      <c r="F42" s="137">
        <f t="shared" ca="1" si="0"/>
        <v>0</v>
      </c>
      <c r="G42" s="138" t="e">
        <f>IF(A42&lt;&gt;"",IF(AND(#REF!="Padrão",$H$4=#REF!),BDI!$B$17,IF(AND(#REF!="Padrão",$H$4=#REF!),BDI!#REF!,IF(AND(#REF!="Diferenciado",$H$4=#REF!),BDI!$E$17,IF(AND(#REF!="Diferenciado",$H$4=#REF!),BDI!#REF!,IF(#REF!="ZERO",0))))),"")</f>
        <v>#REF!</v>
      </c>
      <c r="H42" s="139" t="e">
        <f t="shared" ca="1" si="1"/>
        <v>#REF!</v>
      </c>
      <c r="I42" s="137" t="e">
        <f t="shared" ca="1" si="2"/>
        <v>#REF!</v>
      </c>
      <c r="J42" s="118"/>
    </row>
    <row r="43" spans="1:10" hidden="1" x14ac:dyDescent="0.25">
      <c r="A43" s="114" t="s">
        <v>52</v>
      </c>
      <c r="B43" s="115" t="s">
        <v>1322</v>
      </c>
      <c r="C43" s="116" t="s">
        <v>70</v>
      </c>
      <c r="D43" s="116">
        <v>0</v>
      </c>
      <c r="E43" s="136">
        <f ca="1">OFFSET(INDEX(Composições!A:J,MATCH(Orçamentária!A43,Composições!A:A,0),8),2,0)</f>
        <v>4.6799878499999998</v>
      </c>
      <c r="F43" s="137">
        <f t="shared" ca="1" si="0"/>
        <v>0</v>
      </c>
      <c r="G43" s="138" t="e">
        <f>IF(A43&lt;&gt;"",IF(AND(#REF!="Padrão",$H$4=#REF!),BDI!$B$17,IF(AND(#REF!="Padrão",$H$4=#REF!),BDI!#REF!,IF(AND(#REF!="Diferenciado",$H$4=#REF!),BDI!$E$17,IF(AND(#REF!="Diferenciado",$H$4=#REF!),BDI!#REF!,IF(#REF!="ZERO",0))))),"")</f>
        <v>#REF!</v>
      </c>
      <c r="H43" s="139" t="e">
        <f t="shared" ca="1" si="1"/>
        <v>#REF!</v>
      </c>
      <c r="I43" s="137" t="e">
        <f t="shared" ca="1" si="2"/>
        <v>#REF!</v>
      </c>
      <c r="J43" s="118"/>
    </row>
    <row r="44" spans="1:10" hidden="1" x14ac:dyDescent="0.25">
      <c r="A44" s="114" t="s">
        <v>54</v>
      </c>
      <c r="B44" s="115" t="s">
        <v>1323</v>
      </c>
      <c r="C44" s="116" t="s">
        <v>16</v>
      </c>
      <c r="D44" s="116">
        <v>0</v>
      </c>
      <c r="E44" s="136">
        <f ca="1">OFFSET(INDEX(Composições!A:J,MATCH(Orçamentária!A44,Composições!A:A,0),8),2,0)</f>
        <v>72.095499999999987</v>
      </c>
      <c r="F44" s="137">
        <f t="shared" ca="1" si="0"/>
        <v>0</v>
      </c>
      <c r="G44" s="138" t="e">
        <f>IF(A44&lt;&gt;"",IF(AND(#REF!="Padrão",$H$4=#REF!),BDI!$B$17,IF(AND(#REF!="Padrão",$H$4=#REF!),BDI!#REF!,IF(AND(#REF!="Diferenciado",$H$4=#REF!),BDI!$E$17,IF(AND(#REF!="Diferenciado",$H$4=#REF!),BDI!#REF!,IF(#REF!="ZERO",0))))),"")</f>
        <v>#REF!</v>
      </c>
      <c r="H44" s="139" t="e">
        <f t="shared" ca="1" si="1"/>
        <v>#REF!</v>
      </c>
      <c r="I44" s="137" t="e">
        <f t="shared" ca="1" si="2"/>
        <v>#REF!</v>
      </c>
      <c r="J44" s="118"/>
    </row>
    <row r="45" spans="1:10" hidden="1" x14ac:dyDescent="0.25">
      <c r="A45" s="114" t="s">
        <v>55</v>
      </c>
      <c r="B45" s="115" t="s">
        <v>1324</v>
      </c>
      <c r="C45" s="116" t="s">
        <v>70</v>
      </c>
      <c r="D45" s="116">
        <v>0</v>
      </c>
      <c r="E45" s="136">
        <f ca="1">OFFSET(INDEX(Composições!A:J,MATCH(Orçamentária!A45,Composições!A:A,0),8),2,0)</f>
        <v>4.0450999999999997</v>
      </c>
      <c r="F45" s="137">
        <f t="shared" ca="1" si="0"/>
        <v>0</v>
      </c>
      <c r="G45" s="138" t="e">
        <f>IF(A45&lt;&gt;"",IF(AND(#REF!="Padrão",$H$4=#REF!),BDI!$B$17,IF(AND(#REF!="Padrão",$H$4=#REF!),BDI!#REF!,IF(AND(#REF!="Diferenciado",$H$4=#REF!),BDI!$E$17,IF(AND(#REF!="Diferenciado",$H$4=#REF!),BDI!#REF!,IF(#REF!="ZERO",0))))),"")</f>
        <v>#REF!</v>
      </c>
      <c r="H45" s="139" t="e">
        <f t="shared" ca="1" si="1"/>
        <v>#REF!</v>
      </c>
      <c r="I45" s="137" t="e">
        <f t="shared" ca="1" si="2"/>
        <v>#REF!</v>
      </c>
      <c r="J45" s="118"/>
    </row>
    <row r="46" spans="1:10" hidden="1" x14ac:dyDescent="0.25">
      <c r="A46" s="114" t="s">
        <v>56</v>
      </c>
      <c r="B46" s="115" t="s">
        <v>1325</v>
      </c>
      <c r="C46" s="116" t="s">
        <v>69</v>
      </c>
      <c r="D46" s="116">
        <v>0</v>
      </c>
      <c r="E46" s="136">
        <f ca="1">OFFSET(INDEX(Composições!A:J,MATCH(Orçamentária!A46,Composições!A:A,0),8),2,0)</f>
        <v>1.7677086999999998</v>
      </c>
      <c r="F46" s="137">
        <f t="shared" ca="1" si="0"/>
        <v>0</v>
      </c>
      <c r="G46" s="138" t="e">
        <f>IF(A46&lt;&gt;"",IF(AND(#REF!="Padrão",$H$4=#REF!),BDI!$B$17,IF(AND(#REF!="Padrão",$H$4=#REF!),BDI!#REF!,IF(AND(#REF!="Diferenciado",$H$4=#REF!),BDI!$E$17,IF(AND(#REF!="Diferenciado",$H$4=#REF!),BDI!#REF!,IF(#REF!="ZERO",0))))),"")</f>
        <v>#REF!</v>
      </c>
      <c r="H46" s="139" t="e">
        <f t="shared" ca="1" si="1"/>
        <v>#REF!</v>
      </c>
      <c r="I46" s="137" t="e">
        <f t="shared" ca="1" si="2"/>
        <v>#REF!</v>
      </c>
      <c r="J46" s="118"/>
    </row>
    <row r="47" spans="1:10" hidden="1" x14ac:dyDescent="0.25">
      <c r="A47" s="114" t="s">
        <v>57</v>
      </c>
      <c r="B47" s="115" t="s">
        <v>1326</v>
      </c>
      <c r="C47" s="116" t="s">
        <v>70</v>
      </c>
      <c r="D47" s="116">
        <v>0</v>
      </c>
      <c r="E47" s="136">
        <f ca="1">OFFSET(INDEX(Composições!A:J,MATCH(Orçamentária!A47,Composições!A:A,0),8),2,0)</f>
        <v>7.2055124999999993</v>
      </c>
      <c r="F47" s="137">
        <f t="shared" ca="1" si="0"/>
        <v>0</v>
      </c>
      <c r="G47" s="138" t="e">
        <f>IF(A47&lt;&gt;"",IF(AND(#REF!="Padrão",$H$4=#REF!),BDI!$B$17,IF(AND(#REF!="Padrão",$H$4=#REF!),BDI!#REF!,IF(AND(#REF!="Diferenciado",$H$4=#REF!),BDI!$E$17,IF(AND(#REF!="Diferenciado",$H$4=#REF!),BDI!#REF!,IF(#REF!="ZERO",0))))),"")</f>
        <v>#REF!</v>
      </c>
      <c r="H47" s="139" t="e">
        <f t="shared" ca="1" si="1"/>
        <v>#REF!</v>
      </c>
      <c r="I47" s="137" t="e">
        <f t="shared" ca="1" si="2"/>
        <v>#REF!</v>
      </c>
      <c r="J47" s="118"/>
    </row>
    <row r="48" spans="1:10" hidden="1" x14ac:dyDescent="0.25">
      <c r="A48" s="114" t="s">
        <v>58</v>
      </c>
      <c r="B48" s="115" t="s">
        <v>1327</v>
      </c>
      <c r="C48" s="116" t="s">
        <v>69</v>
      </c>
      <c r="D48" s="116">
        <v>0</v>
      </c>
      <c r="E48" s="136">
        <f ca="1">OFFSET(INDEX(Composições!A:J,MATCH(Orçamentária!A48,Composições!A:A,0),8),2,0)</f>
        <v>11.124025</v>
      </c>
      <c r="F48" s="137">
        <f t="shared" ca="1" si="0"/>
        <v>0</v>
      </c>
      <c r="G48" s="138" t="e">
        <f>IF(A48&lt;&gt;"",IF(AND(#REF!="Padrão",$H$4=#REF!),BDI!$B$17,IF(AND(#REF!="Padrão",$H$4=#REF!),BDI!#REF!,IF(AND(#REF!="Diferenciado",$H$4=#REF!),BDI!$E$17,IF(AND(#REF!="Diferenciado",$H$4=#REF!),BDI!#REF!,IF(#REF!="ZERO",0))))),"")</f>
        <v>#REF!</v>
      </c>
      <c r="H48" s="139" t="e">
        <f t="shared" ca="1" si="1"/>
        <v>#REF!</v>
      </c>
      <c r="I48" s="137" t="e">
        <f t="shared" ca="1" si="2"/>
        <v>#REF!</v>
      </c>
      <c r="J48" s="118"/>
    </row>
    <row r="49" spans="1:10" x14ac:dyDescent="0.25">
      <c r="A49" s="189" t="s">
        <v>59</v>
      </c>
      <c r="B49" s="190" t="s">
        <v>1328</v>
      </c>
      <c r="C49" s="191" t="s">
        <v>16</v>
      </c>
      <c r="D49" s="191">
        <v>21</v>
      </c>
      <c r="E49" s="136">
        <f ca="1">OFFSET(INDEX(Composições!A:J,MATCH(Orçamentária!A49,Composições!A:A,0),8),2,0)</f>
        <v>52.344999999999999</v>
      </c>
      <c r="F49" s="137">
        <f t="shared" ca="1" si="0"/>
        <v>1099.2449999999999</v>
      </c>
      <c r="G49" s="138">
        <f>BDI!$B$17</f>
        <v>0.191</v>
      </c>
      <c r="H49" s="139">
        <f t="shared" ca="1" si="1"/>
        <v>62.34</v>
      </c>
      <c r="I49" s="137">
        <f t="shared" ca="1" si="2"/>
        <v>1309.1400000000001</v>
      </c>
      <c r="J49" s="118"/>
    </row>
    <row r="50" spans="1:10" hidden="1" x14ac:dyDescent="0.25">
      <c r="A50" s="114" t="s">
        <v>60</v>
      </c>
      <c r="B50" s="115" t="s">
        <v>1329</v>
      </c>
      <c r="C50" s="116" t="s">
        <v>70</v>
      </c>
      <c r="D50" s="116">
        <v>0</v>
      </c>
      <c r="E50" s="136">
        <f ca="1">OFFSET(INDEX(Composições!A:J,MATCH(Orçamentária!A50,Composições!A:A,0),8),2,0)</f>
        <v>17.937405999999999</v>
      </c>
      <c r="F50" s="137">
        <f t="shared" ca="1" si="0"/>
        <v>0</v>
      </c>
      <c r="G50" s="138" t="e">
        <f>IF(A50&lt;&gt;"",IF(AND(#REF!="Padrão",$H$4=#REF!),BDI!$B$17,IF(AND(#REF!="Padrão",$H$4=#REF!),BDI!#REF!,IF(AND(#REF!="Diferenciado",$H$4=#REF!),BDI!$E$17,IF(AND(#REF!="Diferenciado",$H$4=#REF!),BDI!#REF!,IF(#REF!="ZERO",0))))),"")</f>
        <v>#REF!</v>
      </c>
      <c r="H50" s="139" t="e">
        <f t="shared" ca="1" si="1"/>
        <v>#REF!</v>
      </c>
      <c r="I50" s="137" t="e">
        <f t="shared" ca="1" si="2"/>
        <v>#REF!</v>
      </c>
      <c r="J50" s="118"/>
    </row>
    <row r="51" spans="1:10" hidden="1" x14ac:dyDescent="0.25">
      <c r="A51" s="114" t="s">
        <v>61</v>
      </c>
      <c r="B51" s="115" t="s">
        <v>1330</v>
      </c>
      <c r="C51" s="116" t="s">
        <v>80</v>
      </c>
      <c r="D51" s="116">
        <v>0</v>
      </c>
      <c r="E51" s="136">
        <f ca="1">OFFSET(INDEX(Composições!A:J,MATCH(Orçamentária!A51,Composições!A:A,0),8),2,0)</f>
        <v>20.225499999999997</v>
      </c>
      <c r="F51" s="137">
        <f t="shared" ca="1" si="0"/>
        <v>0</v>
      </c>
      <c r="G51" s="138" t="e">
        <f>IF(A51&lt;&gt;"",IF(AND(#REF!="Padrão",$H$4=#REF!),BDI!$B$17,IF(AND(#REF!="Padrão",$H$4=#REF!),BDI!#REF!,IF(AND(#REF!="Diferenciado",$H$4=#REF!),BDI!$E$17,IF(AND(#REF!="Diferenciado",$H$4=#REF!),BDI!#REF!,IF(#REF!="ZERO",0))))),"")</f>
        <v>#REF!</v>
      </c>
      <c r="H51" s="139" t="e">
        <f t="shared" ca="1" si="1"/>
        <v>#REF!</v>
      </c>
      <c r="I51" s="137" t="e">
        <f t="shared" ca="1" si="2"/>
        <v>#REF!</v>
      </c>
      <c r="J51" s="118"/>
    </row>
    <row r="52" spans="1:10" hidden="1" x14ac:dyDescent="0.25">
      <c r="A52" s="114" t="s">
        <v>1331</v>
      </c>
      <c r="B52" s="115" t="s">
        <v>1332</v>
      </c>
      <c r="C52" s="116" t="s">
        <v>16</v>
      </c>
      <c r="D52" s="116">
        <v>0</v>
      </c>
      <c r="E52" s="136" t="s">
        <v>416</v>
      </c>
      <c r="F52" s="137" t="str">
        <f t="shared" si="0"/>
        <v/>
      </c>
      <c r="G52" s="138" t="e">
        <f>IF(A52&lt;&gt;"",IF(AND(#REF!="Padrão",$H$4=#REF!),BDI!$B$17,IF(AND(#REF!="Padrão",$H$4=#REF!),BDI!#REF!,IF(AND(#REF!="Diferenciado",$H$4=#REF!),BDI!$E$17,IF(AND(#REF!="Diferenciado",$H$4=#REF!),BDI!#REF!,IF(#REF!="ZERO",0))))),"")</f>
        <v>#REF!</v>
      </c>
      <c r="H52" s="139" t="str">
        <f t="shared" si="1"/>
        <v/>
      </c>
      <c r="I52" s="137" t="str">
        <f t="shared" si="2"/>
        <v/>
      </c>
      <c r="J52" s="118"/>
    </row>
    <row r="53" spans="1:10" hidden="1" x14ac:dyDescent="0.25">
      <c r="A53" s="114" t="s">
        <v>62</v>
      </c>
      <c r="B53" s="115" t="s">
        <v>1333</v>
      </c>
      <c r="C53" s="116" t="s">
        <v>1334</v>
      </c>
      <c r="D53" s="116">
        <v>0</v>
      </c>
      <c r="E53" s="136">
        <f ca="1">OFFSET(INDEX(Composições!A:J,MATCH(Orçamentária!A53,Composições!A:A,0),8),2,0)</f>
        <v>6.327</v>
      </c>
      <c r="F53" s="137">
        <f t="shared" ca="1" si="0"/>
        <v>0</v>
      </c>
      <c r="G53" s="138" t="e">
        <f>IF(A53&lt;&gt;"",IF(AND(#REF!="Padrão",$H$4=#REF!),BDI!$B$17,IF(AND(#REF!="Padrão",$H$4=#REF!),BDI!#REF!,IF(AND(#REF!="Diferenciado",$H$4=#REF!),BDI!$E$17,IF(AND(#REF!="Diferenciado",$H$4=#REF!),BDI!#REF!,IF(#REF!="ZERO",0))))),"")</f>
        <v>#REF!</v>
      </c>
      <c r="H53" s="139" t="e">
        <f t="shared" ca="1" si="1"/>
        <v>#REF!</v>
      </c>
      <c r="I53" s="137" t="e">
        <f t="shared" ca="1" si="2"/>
        <v>#REF!</v>
      </c>
      <c r="J53" s="118"/>
    </row>
    <row r="54" spans="1:10" hidden="1" x14ac:dyDescent="0.25">
      <c r="A54" s="114" t="s">
        <v>64</v>
      </c>
      <c r="B54" s="115" t="s">
        <v>1335</v>
      </c>
      <c r="C54" s="116" t="s">
        <v>1336</v>
      </c>
      <c r="D54" s="116">
        <v>0</v>
      </c>
      <c r="E54" s="136">
        <f ca="1">OFFSET(INDEX(Composições!A:J,MATCH(Orçamentária!A54,Composições!A:A,0),8),2,0)</f>
        <v>19</v>
      </c>
      <c r="F54" s="137">
        <f t="shared" ca="1" si="0"/>
        <v>0</v>
      </c>
      <c r="G54" s="138" t="e">
        <f>IF(A54&lt;&gt;"",IF(AND(#REF!="Padrão",$H$4=#REF!),BDI!$B$17,IF(AND(#REF!="Padrão",$H$4=#REF!),BDI!#REF!,IF(AND(#REF!="Diferenciado",$H$4=#REF!),BDI!$E$17,IF(AND(#REF!="Diferenciado",$H$4=#REF!),BDI!#REF!,IF(#REF!="ZERO",0))))),"")</f>
        <v>#REF!</v>
      </c>
      <c r="H54" s="139" t="e">
        <f t="shared" ca="1" si="1"/>
        <v>#REF!</v>
      </c>
      <c r="I54" s="137" t="e">
        <f t="shared" ca="1" si="2"/>
        <v>#REF!</v>
      </c>
      <c r="J54" s="118"/>
    </row>
    <row r="55" spans="1:10" hidden="1" x14ac:dyDescent="0.25">
      <c r="A55" s="114" t="s">
        <v>1337</v>
      </c>
      <c r="B55" s="115" t="s">
        <v>1338</v>
      </c>
      <c r="C55" s="116" t="s">
        <v>69</v>
      </c>
      <c r="D55" s="116">
        <v>0</v>
      </c>
      <c r="E55" s="136" t="s">
        <v>416</v>
      </c>
      <c r="F55" s="137" t="str">
        <f t="shared" si="0"/>
        <v/>
      </c>
      <c r="G55" s="138" t="e">
        <f>IF(A55&lt;&gt;"",IF(AND(#REF!="Padrão",$H$4=#REF!),BDI!$B$17,IF(AND(#REF!="Padrão",$H$4=#REF!),BDI!#REF!,IF(AND(#REF!="Diferenciado",$H$4=#REF!),BDI!$E$17,IF(AND(#REF!="Diferenciado",$H$4=#REF!),BDI!#REF!,IF(#REF!="ZERO",0))))),"")</f>
        <v>#REF!</v>
      </c>
      <c r="H55" s="139" t="str">
        <f t="shared" si="1"/>
        <v/>
      </c>
      <c r="I55" s="137" t="str">
        <f t="shared" si="2"/>
        <v/>
      </c>
      <c r="J55" s="118"/>
    </row>
    <row r="56" spans="1:10" hidden="1" x14ac:dyDescent="0.25">
      <c r="A56" s="114" t="s">
        <v>66</v>
      </c>
      <c r="B56" s="115" t="s">
        <v>1339</v>
      </c>
      <c r="C56" s="116" t="s">
        <v>69</v>
      </c>
      <c r="D56" s="116">
        <v>0</v>
      </c>
      <c r="E56" s="136">
        <f ca="1">OFFSET(INDEX(Composições!A:J,MATCH(Orçamentária!A56,Composições!A:A,0),8),2,0)</f>
        <v>5.7740999999999998</v>
      </c>
      <c r="F56" s="137">
        <f t="shared" ca="1" si="0"/>
        <v>0</v>
      </c>
      <c r="G56" s="138" t="e">
        <f>IF(A56&lt;&gt;"",IF(AND(#REF!="Padrão",$H$4=#REF!),BDI!$B$17,IF(AND(#REF!="Padrão",$H$4=#REF!),BDI!#REF!,IF(AND(#REF!="Diferenciado",$H$4=#REF!),BDI!$E$17,IF(AND(#REF!="Diferenciado",$H$4=#REF!),BDI!#REF!,IF(#REF!="ZERO",0))))),"")</f>
        <v>#REF!</v>
      </c>
      <c r="H56" s="139" t="e">
        <f t="shared" ca="1" si="1"/>
        <v>#REF!</v>
      </c>
      <c r="I56" s="137" t="e">
        <f t="shared" ca="1" si="2"/>
        <v>#REF!</v>
      </c>
      <c r="J56" s="118"/>
    </row>
    <row r="57" spans="1:10" hidden="1" x14ac:dyDescent="0.25">
      <c r="A57" s="114" t="s">
        <v>1340</v>
      </c>
      <c r="B57" s="115" t="s">
        <v>1341</v>
      </c>
      <c r="C57" s="116" t="s">
        <v>16</v>
      </c>
      <c r="D57" s="116">
        <v>0</v>
      </c>
      <c r="E57" s="136" t="s">
        <v>416</v>
      </c>
      <c r="F57" s="137" t="str">
        <f t="shared" si="0"/>
        <v/>
      </c>
      <c r="G57" s="138" t="e">
        <f>IF(A57&lt;&gt;"",IF(AND(#REF!="Padrão",$H$4=#REF!),BDI!$B$17,IF(AND(#REF!="Padrão",$H$4=#REF!),BDI!#REF!,IF(AND(#REF!="Diferenciado",$H$4=#REF!),BDI!$E$17,IF(AND(#REF!="Diferenciado",$H$4=#REF!),BDI!#REF!,IF(#REF!="ZERO",0))))),"")</f>
        <v>#REF!</v>
      </c>
      <c r="H57" s="139" t="str">
        <f t="shared" si="1"/>
        <v/>
      </c>
      <c r="I57" s="137" t="str">
        <f t="shared" si="2"/>
        <v/>
      </c>
      <c r="J57" s="118"/>
    </row>
    <row r="58" spans="1:10" hidden="1" x14ac:dyDescent="0.25">
      <c r="A58" s="114" t="s">
        <v>1342</v>
      </c>
      <c r="B58" s="115" t="s">
        <v>1343</v>
      </c>
      <c r="C58" s="116" t="s">
        <v>1336</v>
      </c>
      <c r="D58" s="116">
        <v>0</v>
      </c>
      <c r="E58" s="136" t="s">
        <v>416</v>
      </c>
      <c r="F58" s="137" t="str">
        <f t="shared" si="0"/>
        <v/>
      </c>
      <c r="G58" s="138" t="e">
        <f>IF(A58&lt;&gt;"",IF(AND(#REF!="Padrão",$H$4=#REF!),BDI!$B$17,IF(AND(#REF!="Padrão",$H$4=#REF!),BDI!#REF!,IF(AND(#REF!="Diferenciado",$H$4=#REF!),BDI!$E$17,IF(AND(#REF!="Diferenciado",$H$4=#REF!),BDI!#REF!,IF(#REF!="ZERO",0))))),"")</f>
        <v>#REF!</v>
      </c>
      <c r="H58" s="139" t="str">
        <f t="shared" si="1"/>
        <v/>
      </c>
      <c r="I58" s="137" t="str">
        <f t="shared" si="2"/>
        <v/>
      </c>
      <c r="J58" s="117"/>
    </row>
    <row r="59" spans="1:10" hidden="1" x14ac:dyDescent="0.25">
      <c r="A59" s="114" t="s">
        <v>1344</v>
      </c>
      <c r="B59" s="115" t="s">
        <v>1345</v>
      </c>
      <c r="C59" s="116" t="s">
        <v>16</v>
      </c>
      <c r="D59" s="116">
        <v>0</v>
      </c>
      <c r="E59" s="136" t="s">
        <v>416</v>
      </c>
      <c r="F59" s="137" t="str">
        <f t="shared" si="0"/>
        <v/>
      </c>
      <c r="G59" s="138" t="e">
        <f>IF(A59&lt;&gt;"",IF(AND(#REF!="Padrão",$H$4=#REF!),BDI!$B$17,IF(AND(#REF!="Padrão",$H$4=#REF!),BDI!#REF!,IF(AND(#REF!="Diferenciado",$H$4=#REF!),BDI!$E$17,IF(AND(#REF!="Diferenciado",$H$4=#REF!),BDI!#REF!,IF(#REF!="ZERO",0))))),"")</f>
        <v>#REF!</v>
      </c>
      <c r="H59" s="139" t="str">
        <f t="shared" si="1"/>
        <v/>
      </c>
      <c r="I59" s="137" t="str">
        <f t="shared" si="2"/>
        <v/>
      </c>
      <c r="J59" s="117"/>
    </row>
    <row r="60" spans="1:10" hidden="1" x14ac:dyDescent="0.25">
      <c r="A60" s="114" t="s">
        <v>1346</v>
      </c>
      <c r="B60" s="115" t="s">
        <v>1347</v>
      </c>
      <c r="C60" s="116" t="s">
        <v>1336</v>
      </c>
      <c r="D60" s="116">
        <v>0</v>
      </c>
      <c r="E60" s="136" t="s">
        <v>416</v>
      </c>
      <c r="F60" s="137" t="str">
        <f t="shared" si="0"/>
        <v/>
      </c>
      <c r="G60" s="138" t="e">
        <f>IF(A60&lt;&gt;"",IF(AND(#REF!="Padrão",$H$4=#REF!),BDI!$B$17,IF(AND(#REF!="Padrão",$H$4=#REF!),BDI!#REF!,IF(AND(#REF!="Diferenciado",$H$4=#REF!),BDI!$E$17,IF(AND(#REF!="Diferenciado",$H$4=#REF!),BDI!#REF!,IF(#REF!="ZERO",0))))),"")</f>
        <v>#REF!</v>
      </c>
      <c r="H60" s="139" t="str">
        <f t="shared" si="1"/>
        <v/>
      </c>
      <c r="I60" s="137" t="str">
        <f t="shared" si="2"/>
        <v/>
      </c>
      <c r="J60" s="117"/>
    </row>
    <row r="61" spans="1:10" hidden="1" x14ac:dyDescent="0.25">
      <c r="A61" s="114" t="s">
        <v>1348</v>
      </c>
      <c r="B61" s="115" t="s">
        <v>1349</v>
      </c>
      <c r="C61" s="116" t="s">
        <v>16</v>
      </c>
      <c r="D61" s="116">
        <v>0</v>
      </c>
      <c r="E61" s="136" t="s">
        <v>416</v>
      </c>
      <c r="F61" s="137" t="str">
        <f t="shared" si="0"/>
        <v/>
      </c>
      <c r="G61" s="138" t="e">
        <f>IF(A61&lt;&gt;"",IF(AND(#REF!="Padrão",$H$4=#REF!),BDI!$B$17,IF(AND(#REF!="Padrão",$H$4=#REF!),BDI!#REF!,IF(AND(#REF!="Diferenciado",$H$4=#REF!),BDI!$E$17,IF(AND(#REF!="Diferenciado",$H$4=#REF!),BDI!#REF!,IF(#REF!="ZERO",0))))),"")</f>
        <v>#REF!</v>
      </c>
      <c r="H61" s="139" t="str">
        <f t="shared" si="1"/>
        <v/>
      </c>
      <c r="I61" s="137" t="str">
        <f t="shared" si="2"/>
        <v/>
      </c>
      <c r="J61" s="117"/>
    </row>
    <row r="62" spans="1:10" ht="25.5" hidden="1" x14ac:dyDescent="0.25">
      <c r="A62" s="114" t="s">
        <v>68</v>
      </c>
      <c r="B62" s="115" t="s">
        <v>1350</v>
      </c>
      <c r="C62" s="116" t="s">
        <v>70</v>
      </c>
      <c r="D62" s="116">
        <v>0</v>
      </c>
      <c r="E62" s="136">
        <f ca="1">OFFSET(INDEX(Composições!A:J,MATCH(Orçamentária!A62,Composições!A:A,0),8),2,0)</f>
        <v>28.244449999999993</v>
      </c>
      <c r="F62" s="137">
        <f t="shared" ca="1" si="0"/>
        <v>0</v>
      </c>
      <c r="G62" s="138" t="e">
        <f>IF(A62&lt;&gt;"",IF(AND(#REF!="Padrão",$H$4=#REF!),BDI!$B$17,IF(AND(#REF!="Padrão",$H$4=#REF!),BDI!#REF!,IF(AND(#REF!="Diferenciado",$H$4=#REF!),BDI!$E$17,IF(AND(#REF!="Diferenciado",$H$4=#REF!),BDI!#REF!,IF(#REF!="ZERO",0))))),"")</f>
        <v>#REF!</v>
      </c>
      <c r="H62" s="139" t="e">
        <f t="shared" ca="1" si="1"/>
        <v>#REF!</v>
      </c>
      <c r="I62" s="137" t="e">
        <f t="shared" ca="1" si="2"/>
        <v>#REF!</v>
      </c>
      <c r="J62" s="117"/>
    </row>
    <row r="63" spans="1:10" hidden="1" x14ac:dyDescent="0.25">
      <c r="A63" s="114" t="s">
        <v>1351</v>
      </c>
      <c r="B63" s="115" t="s">
        <v>1352</v>
      </c>
      <c r="C63" s="116" t="s">
        <v>16</v>
      </c>
      <c r="D63" s="116">
        <v>0</v>
      </c>
      <c r="E63" s="136" t="s">
        <v>416</v>
      </c>
      <c r="F63" s="137" t="str">
        <f t="shared" si="0"/>
        <v/>
      </c>
      <c r="G63" s="138" t="e">
        <f>IF(A63&lt;&gt;"",IF(AND(#REF!="Padrão",$H$4=#REF!),BDI!$B$17,IF(AND(#REF!="Padrão",$H$4=#REF!),BDI!#REF!,IF(AND(#REF!="Diferenciado",$H$4=#REF!),BDI!$E$17,IF(AND(#REF!="Diferenciado",$H$4=#REF!),BDI!#REF!,IF(#REF!="ZERO",0))))),"")</f>
        <v>#REF!</v>
      </c>
      <c r="H63" s="139" t="str">
        <f t="shared" si="1"/>
        <v/>
      </c>
      <c r="I63" s="137" t="str">
        <f t="shared" si="2"/>
        <v/>
      </c>
      <c r="J63" s="117"/>
    </row>
    <row r="64" spans="1:10" hidden="1" x14ac:dyDescent="0.25">
      <c r="A64" s="114" t="s">
        <v>1353</v>
      </c>
      <c r="B64" s="115" t="s">
        <v>1354</v>
      </c>
      <c r="C64" s="116" t="s">
        <v>16</v>
      </c>
      <c r="D64" s="116">
        <v>0</v>
      </c>
      <c r="E64" s="136" t="s">
        <v>416</v>
      </c>
      <c r="F64" s="137" t="str">
        <f t="shared" si="0"/>
        <v/>
      </c>
      <c r="G64" s="138" t="e">
        <f>IF(A64&lt;&gt;"",IF(AND(#REF!="Padrão",$H$4=#REF!),BDI!$B$17,IF(AND(#REF!="Padrão",$H$4=#REF!),BDI!#REF!,IF(AND(#REF!="Diferenciado",$H$4=#REF!),BDI!$E$17,IF(AND(#REF!="Diferenciado",$H$4=#REF!),BDI!#REF!,IF(#REF!="ZERO",0))))),"")</f>
        <v>#REF!</v>
      </c>
      <c r="H64" s="139" t="str">
        <f t="shared" si="1"/>
        <v/>
      </c>
      <c r="I64" s="137" t="str">
        <f t="shared" si="2"/>
        <v/>
      </c>
      <c r="J64" s="117"/>
    </row>
    <row r="65" spans="1:10" hidden="1" x14ac:dyDescent="0.25">
      <c r="A65" s="114" t="s">
        <v>1355</v>
      </c>
      <c r="B65" s="115" t="s">
        <v>1356</v>
      </c>
      <c r="C65" s="116" t="s">
        <v>16</v>
      </c>
      <c r="D65" s="116">
        <v>0</v>
      </c>
      <c r="E65" s="136" t="s">
        <v>416</v>
      </c>
      <c r="F65" s="137" t="str">
        <f t="shared" si="0"/>
        <v/>
      </c>
      <c r="G65" s="138" t="e">
        <f>IF(A65&lt;&gt;"",IF(AND(#REF!="Padrão",$H$4=#REF!),BDI!$B$17,IF(AND(#REF!="Padrão",$H$4=#REF!),BDI!#REF!,IF(AND(#REF!="Diferenciado",$H$4=#REF!),BDI!$E$17,IF(AND(#REF!="Diferenciado",$H$4=#REF!),BDI!#REF!,IF(#REF!="ZERO",0))))),"")</f>
        <v>#REF!</v>
      </c>
      <c r="H65" s="139" t="str">
        <f t="shared" si="1"/>
        <v/>
      </c>
      <c r="I65" s="137" t="str">
        <f t="shared" si="2"/>
        <v/>
      </c>
      <c r="J65" s="117"/>
    </row>
    <row r="66" spans="1:10" hidden="1" x14ac:dyDescent="0.25">
      <c r="A66" s="114" t="s">
        <v>1357</v>
      </c>
      <c r="B66" s="115" t="s">
        <v>1358</v>
      </c>
      <c r="C66" s="116" t="s">
        <v>16</v>
      </c>
      <c r="D66" s="116">
        <v>0</v>
      </c>
      <c r="E66" s="136" t="s">
        <v>416</v>
      </c>
      <c r="F66" s="137" t="str">
        <f t="shared" si="0"/>
        <v/>
      </c>
      <c r="G66" s="138" t="e">
        <f>IF(A66&lt;&gt;"",IF(AND(#REF!="Padrão",$H$4=#REF!),BDI!$B$17,IF(AND(#REF!="Padrão",$H$4=#REF!),BDI!#REF!,IF(AND(#REF!="Diferenciado",$H$4=#REF!),BDI!$E$17,IF(AND(#REF!="Diferenciado",$H$4=#REF!),BDI!#REF!,IF(#REF!="ZERO",0))))),"")</f>
        <v>#REF!</v>
      </c>
      <c r="H66" s="139" t="str">
        <f t="shared" si="1"/>
        <v/>
      </c>
      <c r="I66" s="137" t="str">
        <f t="shared" si="2"/>
        <v/>
      </c>
      <c r="J66" s="117"/>
    </row>
    <row r="67" spans="1:10" hidden="1" x14ac:dyDescent="0.25">
      <c r="A67" s="114" t="s">
        <v>1359</v>
      </c>
      <c r="B67" s="115" t="s">
        <v>1360</v>
      </c>
      <c r="C67" s="116" t="s">
        <v>16</v>
      </c>
      <c r="D67" s="116">
        <v>0</v>
      </c>
      <c r="E67" s="136" t="s">
        <v>416</v>
      </c>
      <c r="F67" s="137" t="str">
        <f t="shared" si="0"/>
        <v/>
      </c>
      <c r="G67" s="138" t="e">
        <f>IF(A67&lt;&gt;"",IF(AND(#REF!="Padrão",$H$4=#REF!),BDI!$B$17,IF(AND(#REF!="Padrão",$H$4=#REF!),BDI!#REF!,IF(AND(#REF!="Diferenciado",$H$4=#REF!),BDI!$E$17,IF(AND(#REF!="Diferenciado",$H$4=#REF!),BDI!#REF!,IF(#REF!="ZERO",0))))),"")</f>
        <v>#REF!</v>
      </c>
      <c r="H67" s="139" t="str">
        <f t="shared" si="1"/>
        <v/>
      </c>
      <c r="I67" s="137" t="str">
        <f t="shared" si="2"/>
        <v/>
      </c>
      <c r="J67" s="117"/>
    </row>
    <row r="68" spans="1:10" hidden="1" x14ac:dyDescent="0.25">
      <c r="A68" s="114" t="s">
        <v>1361</v>
      </c>
      <c r="B68" s="115" t="s">
        <v>1362</v>
      </c>
      <c r="C68" s="116" t="s">
        <v>1334</v>
      </c>
      <c r="D68" s="116">
        <v>0</v>
      </c>
      <c r="E68" s="136" t="s">
        <v>416</v>
      </c>
      <c r="F68" s="137" t="str">
        <f t="shared" si="0"/>
        <v/>
      </c>
      <c r="G68" s="138" t="e">
        <f>IF(A68&lt;&gt;"",IF(AND(#REF!="Padrão",$H$4=#REF!),BDI!$B$17,IF(AND(#REF!="Padrão",$H$4=#REF!),BDI!#REF!,IF(AND(#REF!="Diferenciado",$H$4=#REF!),BDI!$E$17,IF(AND(#REF!="Diferenciado",$H$4=#REF!),BDI!#REF!,IF(#REF!="ZERO",0))))),"")</f>
        <v>#REF!</v>
      </c>
      <c r="H68" s="139" t="str">
        <f t="shared" si="1"/>
        <v/>
      </c>
      <c r="I68" s="137" t="str">
        <f t="shared" si="2"/>
        <v/>
      </c>
      <c r="J68" s="117"/>
    </row>
    <row r="69" spans="1:10" hidden="1" x14ac:dyDescent="0.25">
      <c r="A69" s="114" t="s">
        <v>1363</v>
      </c>
      <c r="B69" s="115" t="s">
        <v>1364</v>
      </c>
      <c r="C69" s="116" t="s">
        <v>16</v>
      </c>
      <c r="D69" s="116">
        <v>0</v>
      </c>
      <c r="E69" s="136" t="s">
        <v>416</v>
      </c>
      <c r="F69" s="137" t="str">
        <f t="shared" si="0"/>
        <v/>
      </c>
      <c r="G69" s="138" t="e">
        <f>IF(A69&lt;&gt;"",IF(AND(#REF!="Padrão",$H$4=#REF!),BDI!$B$17,IF(AND(#REF!="Padrão",$H$4=#REF!),BDI!#REF!,IF(AND(#REF!="Diferenciado",$H$4=#REF!),BDI!$E$17,IF(AND(#REF!="Diferenciado",$H$4=#REF!),BDI!#REF!,IF(#REF!="ZERO",0))))),"")</f>
        <v>#REF!</v>
      </c>
      <c r="H69" s="139" t="str">
        <f t="shared" si="1"/>
        <v/>
      </c>
      <c r="I69" s="137" t="str">
        <f t="shared" si="2"/>
        <v/>
      </c>
      <c r="J69" s="117"/>
    </row>
    <row r="70" spans="1:10" hidden="1" x14ac:dyDescent="0.25">
      <c r="A70" s="114" t="s">
        <v>1365</v>
      </c>
      <c r="B70" s="115" t="s">
        <v>1366</v>
      </c>
      <c r="C70" s="116" t="s">
        <v>16</v>
      </c>
      <c r="D70" s="116">
        <v>0</v>
      </c>
      <c r="E70" s="136" t="s">
        <v>416</v>
      </c>
      <c r="F70" s="137" t="str">
        <f t="shared" si="0"/>
        <v/>
      </c>
      <c r="G70" s="138" t="e">
        <f>IF(A70&lt;&gt;"",IF(AND(#REF!="Padrão",$H$4=#REF!),BDI!$B$17,IF(AND(#REF!="Padrão",$H$4=#REF!),BDI!#REF!,IF(AND(#REF!="Diferenciado",$H$4=#REF!),BDI!$E$17,IF(AND(#REF!="Diferenciado",$H$4=#REF!),BDI!#REF!,IF(#REF!="ZERO",0))))),"")</f>
        <v>#REF!</v>
      </c>
      <c r="H70" s="139" t="str">
        <f t="shared" si="1"/>
        <v/>
      </c>
      <c r="I70" s="137" t="str">
        <f t="shared" si="2"/>
        <v/>
      </c>
      <c r="J70" s="117"/>
    </row>
    <row r="71" spans="1:10" hidden="1" x14ac:dyDescent="0.25">
      <c r="A71" s="114" t="s">
        <v>1367</v>
      </c>
      <c r="B71" s="115" t="s">
        <v>1368</v>
      </c>
      <c r="C71" s="116" t="s">
        <v>16</v>
      </c>
      <c r="D71" s="116">
        <v>0</v>
      </c>
      <c r="E71" s="136" t="s">
        <v>416</v>
      </c>
      <c r="F71" s="137" t="str">
        <f t="shared" ref="F71:F134" si="3">IF(ISNUMBER(E71),D71*E71,"")</f>
        <v/>
      </c>
      <c r="G71" s="138" t="e">
        <f>IF(A71&lt;&gt;"",IF(AND(#REF!="Padrão",$H$4=#REF!),BDI!$B$17,IF(AND(#REF!="Padrão",$H$4=#REF!),BDI!#REF!,IF(AND(#REF!="Diferenciado",$H$4=#REF!),BDI!$E$17,IF(AND(#REF!="Diferenciado",$H$4=#REF!),BDI!#REF!,IF(#REF!="ZERO",0))))),"")</f>
        <v>#REF!</v>
      </c>
      <c r="H71" s="139" t="str">
        <f t="shared" ref="H71:H134" si="4">IF(ISNUMBER(E71),ROUND(E71*(1+G71),2),"")</f>
        <v/>
      </c>
      <c r="I71" s="137" t="str">
        <f t="shared" ref="I71:I134" si="5">IF(ISNUMBER(E71),ROUND(H71*D71,2),"")</f>
        <v/>
      </c>
      <c r="J71" s="117"/>
    </row>
    <row r="72" spans="1:10" hidden="1" x14ac:dyDescent="0.25">
      <c r="A72" s="114" t="s">
        <v>1369</v>
      </c>
      <c r="B72" s="115" t="s">
        <v>1370</v>
      </c>
      <c r="C72" s="116" t="s">
        <v>1371</v>
      </c>
      <c r="D72" s="116">
        <v>0</v>
      </c>
      <c r="E72" s="136" t="s">
        <v>416</v>
      </c>
      <c r="F72" s="137" t="str">
        <f t="shared" si="3"/>
        <v/>
      </c>
      <c r="G72" s="138" t="e">
        <f>IF(A72&lt;&gt;"",IF(AND(#REF!="Padrão",$H$4=#REF!),BDI!$B$17,IF(AND(#REF!="Padrão",$H$4=#REF!),BDI!#REF!,IF(AND(#REF!="Diferenciado",$H$4=#REF!),BDI!$E$17,IF(AND(#REF!="Diferenciado",$H$4=#REF!),BDI!#REF!,IF(#REF!="ZERO",0))))),"")</f>
        <v>#REF!</v>
      </c>
      <c r="H72" s="139" t="str">
        <f t="shared" si="4"/>
        <v/>
      </c>
      <c r="I72" s="137" t="str">
        <f t="shared" si="5"/>
        <v/>
      </c>
      <c r="J72" s="117"/>
    </row>
    <row r="73" spans="1:10" hidden="1" x14ac:dyDescent="0.25">
      <c r="A73" s="114" t="s">
        <v>1372</v>
      </c>
      <c r="B73" s="115" t="s">
        <v>1373</v>
      </c>
      <c r="C73" s="116" t="s">
        <v>1336</v>
      </c>
      <c r="D73" s="116">
        <v>0</v>
      </c>
      <c r="E73" s="136" t="s">
        <v>416</v>
      </c>
      <c r="F73" s="137" t="str">
        <f t="shared" si="3"/>
        <v/>
      </c>
      <c r="G73" s="138" t="e">
        <f>IF(A73&lt;&gt;"",IF(AND(#REF!="Padrão",$H$4=#REF!),BDI!$B$17,IF(AND(#REF!="Padrão",$H$4=#REF!),BDI!#REF!,IF(AND(#REF!="Diferenciado",$H$4=#REF!),BDI!$E$17,IF(AND(#REF!="Diferenciado",$H$4=#REF!),BDI!#REF!,IF(#REF!="ZERO",0))))),"")</f>
        <v>#REF!</v>
      </c>
      <c r="H73" s="139" t="str">
        <f t="shared" si="4"/>
        <v/>
      </c>
      <c r="I73" s="137" t="str">
        <f t="shared" si="5"/>
        <v/>
      </c>
      <c r="J73" s="117"/>
    </row>
    <row r="74" spans="1:10" hidden="1" x14ac:dyDescent="0.25">
      <c r="A74" s="114" t="s">
        <v>1374</v>
      </c>
      <c r="B74" s="115" t="s">
        <v>5420</v>
      </c>
      <c r="C74" s="116" t="s">
        <v>16</v>
      </c>
      <c r="D74" s="116">
        <v>0</v>
      </c>
      <c r="E74" s="136" t="s">
        <v>416</v>
      </c>
      <c r="F74" s="137" t="str">
        <f t="shared" si="3"/>
        <v/>
      </c>
      <c r="G74" s="138" t="e">
        <f>IF(A74&lt;&gt;"",IF(AND(#REF!="Padrão",$H$4=#REF!),BDI!$B$17,IF(AND(#REF!="Padrão",$H$4=#REF!),BDI!#REF!,IF(AND(#REF!="Diferenciado",$H$4=#REF!),BDI!$E$17,IF(AND(#REF!="Diferenciado",$H$4=#REF!),BDI!#REF!,IF(#REF!="ZERO",0))))),"")</f>
        <v>#REF!</v>
      </c>
      <c r="H74" s="139" t="str">
        <f t="shared" si="4"/>
        <v/>
      </c>
      <c r="I74" s="137" t="str">
        <f t="shared" si="5"/>
        <v/>
      </c>
      <c r="J74" s="117"/>
    </row>
    <row r="75" spans="1:10" hidden="1" x14ac:dyDescent="0.25">
      <c r="A75" s="114" t="s">
        <v>71</v>
      </c>
      <c r="B75" s="115" t="s">
        <v>1375</v>
      </c>
      <c r="C75" s="116" t="s">
        <v>70</v>
      </c>
      <c r="D75" s="116">
        <v>0</v>
      </c>
      <c r="E75" s="136">
        <f ca="1">OFFSET(INDEX(Composições!A:J,MATCH(Orçamentária!A75,Composições!A:A,0),8),2,0)</f>
        <v>83.14817050000002</v>
      </c>
      <c r="F75" s="137">
        <f t="shared" ca="1" si="3"/>
        <v>0</v>
      </c>
      <c r="G75" s="138" t="e">
        <f>IF(A75&lt;&gt;"",IF(AND(#REF!="Padrão",$H$4=#REF!),BDI!$B$17,IF(AND(#REF!="Padrão",$H$4=#REF!),BDI!#REF!,IF(AND(#REF!="Diferenciado",$H$4=#REF!),BDI!$E$17,IF(AND(#REF!="Diferenciado",$H$4=#REF!),BDI!#REF!,IF(#REF!="ZERO",0))))),"")</f>
        <v>#REF!</v>
      </c>
      <c r="H75" s="139" t="e">
        <f t="shared" ca="1" si="4"/>
        <v>#REF!</v>
      </c>
      <c r="I75" s="137" t="e">
        <f t="shared" ca="1" si="5"/>
        <v>#REF!</v>
      </c>
      <c r="J75" s="117"/>
    </row>
    <row r="76" spans="1:10" hidden="1" x14ac:dyDescent="0.25">
      <c r="A76" s="114" t="s">
        <v>1376</v>
      </c>
      <c r="B76" s="115" t="s">
        <v>1377</v>
      </c>
      <c r="C76" s="116" t="s">
        <v>16</v>
      </c>
      <c r="D76" s="116">
        <v>0</v>
      </c>
      <c r="E76" s="136" t="s">
        <v>416</v>
      </c>
      <c r="F76" s="137" t="str">
        <f t="shared" si="3"/>
        <v/>
      </c>
      <c r="G76" s="138" t="e">
        <f>IF(A76&lt;&gt;"",IF(AND(#REF!="Padrão",$H$4=#REF!),BDI!$B$17,IF(AND(#REF!="Padrão",$H$4=#REF!),BDI!#REF!,IF(AND(#REF!="Diferenciado",$H$4=#REF!),BDI!$E$17,IF(AND(#REF!="Diferenciado",$H$4=#REF!),BDI!#REF!,IF(#REF!="ZERO",0))))),"")</f>
        <v>#REF!</v>
      </c>
      <c r="H76" s="139" t="str">
        <f t="shared" si="4"/>
        <v/>
      </c>
      <c r="I76" s="137" t="str">
        <f t="shared" si="5"/>
        <v/>
      </c>
      <c r="J76" s="117"/>
    </row>
    <row r="77" spans="1:10" hidden="1" x14ac:dyDescent="0.25">
      <c r="A77" s="114" t="s">
        <v>1378</v>
      </c>
      <c r="B77" s="115" t="s">
        <v>1379</v>
      </c>
      <c r="C77" s="116" t="s">
        <v>16</v>
      </c>
      <c r="D77" s="116">
        <v>0</v>
      </c>
      <c r="E77" s="136" t="s">
        <v>416</v>
      </c>
      <c r="F77" s="137" t="str">
        <f t="shared" si="3"/>
        <v/>
      </c>
      <c r="G77" s="138" t="e">
        <f>IF(A77&lt;&gt;"",IF(AND(#REF!="Padrão",$H$4=#REF!),BDI!$B$17,IF(AND(#REF!="Padrão",$H$4=#REF!),BDI!#REF!,IF(AND(#REF!="Diferenciado",$H$4=#REF!),BDI!$E$17,IF(AND(#REF!="Diferenciado",$H$4=#REF!),BDI!#REF!,IF(#REF!="ZERO",0))))),"")</f>
        <v>#REF!</v>
      </c>
      <c r="H77" s="139" t="str">
        <f t="shared" si="4"/>
        <v/>
      </c>
      <c r="I77" s="137" t="str">
        <f t="shared" si="5"/>
        <v/>
      </c>
      <c r="J77" s="117"/>
    </row>
    <row r="78" spans="1:10" hidden="1" x14ac:dyDescent="0.25">
      <c r="A78" s="114" t="s">
        <v>77</v>
      </c>
      <c r="B78" s="115" t="s">
        <v>5495</v>
      </c>
      <c r="C78" s="116" t="s">
        <v>70</v>
      </c>
      <c r="D78" s="116">
        <v>0</v>
      </c>
      <c r="E78" s="136">
        <f ca="1">OFFSET(INDEX(Composições!A:J,MATCH(Orçamentária!A78,Composições!A:A,0),8),2,0)</f>
        <v>2.467511</v>
      </c>
      <c r="F78" s="137">
        <f t="shared" ca="1" si="3"/>
        <v>0</v>
      </c>
      <c r="G78" s="138" t="e">
        <f>IF(A78&lt;&gt;"",IF(AND(#REF!="Padrão",$H$4=#REF!),BDI!$B$17,IF(AND(#REF!="Padrão",$H$4=#REF!),BDI!#REF!,IF(AND(#REF!="Diferenciado",$H$4=#REF!),BDI!$E$17,IF(AND(#REF!="Diferenciado",$H$4=#REF!),BDI!#REF!,IF(#REF!="ZERO",0))))),"")</f>
        <v>#REF!</v>
      </c>
      <c r="H78" s="139" t="e">
        <f t="shared" ca="1" si="4"/>
        <v>#REF!</v>
      </c>
      <c r="I78" s="137" t="e">
        <f t="shared" ca="1" si="5"/>
        <v>#REF!</v>
      </c>
      <c r="J78" s="117"/>
    </row>
    <row r="79" spans="1:10" hidden="1" x14ac:dyDescent="0.25">
      <c r="A79" s="114" t="s">
        <v>78</v>
      </c>
      <c r="B79" s="115" t="s">
        <v>1380</v>
      </c>
      <c r="C79" s="116" t="s">
        <v>69</v>
      </c>
      <c r="D79" s="116">
        <v>0</v>
      </c>
      <c r="E79" s="136">
        <f ca="1">OFFSET(INDEX(Composições!A:J,MATCH(Orçamentária!A79,Composições!A:A,0),8),2,0)</f>
        <v>20.663349636765499</v>
      </c>
      <c r="F79" s="137">
        <f t="shared" ca="1" si="3"/>
        <v>0</v>
      </c>
      <c r="G79" s="138" t="e">
        <f>IF(A79&lt;&gt;"",IF(AND(#REF!="Padrão",$H$4=#REF!),BDI!$B$17,IF(AND(#REF!="Padrão",$H$4=#REF!),BDI!#REF!,IF(AND(#REF!="Diferenciado",$H$4=#REF!),BDI!$E$17,IF(AND(#REF!="Diferenciado",$H$4=#REF!),BDI!#REF!,IF(#REF!="ZERO",0))))),"")</f>
        <v>#REF!</v>
      </c>
      <c r="H79" s="139" t="e">
        <f t="shared" ca="1" si="4"/>
        <v>#REF!</v>
      </c>
      <c r="I79" s="137" t="e">
        <f t="shared" ca="1" si="5"/>
        <v>#REF!</v>
      </c>
      <c r="J79" s="117"/>
    </row>
    <row r="80" spans="1:10" hidden="1" x14ac:dyDescent="0.25">
      <c r="A80" s="114" t="s">
        <v>81</v>
      </c>
      <c r="B80" s="115" t="s">
        <v>7548</v>
      </c>
      <c r="C80" s="116" t="s">
        <v>16</v>
      </c>
      <c r="D80" s="116">
        <v>0</v>
      </c>
      <c r="E80" s="136">
        <f ca="1">OFFSET(INDEX(Composições!A:J,MATCH(Orçamentária!A80,Composições!A:A,0),8),2,0)</f>
        <v>100.656927</v>
      </c>
      <c r="F80" s="137">
        <f t="shared" ca="1" si="3"/>
        <v>0</v>
      </c>
      <c r="G80" s="138" t="e">
        <f>IF(A80&lt;&gt;"",IF(AND(#REF!="Padrão",$H$4=#REF!),BDI!$B$17,IF(AND(#REF!="Padrão",$H$4=#REF!),BDI!#REF!,IF(AND(#REF!="Diferenciado",$H$4=#REF!),BDI!$E$17,IF(AND(#REF!="Diferenciado",$H$4=#REF!),BDI!#REF!,IF(#REF!="ZERO",0))))),"")</f>
        <v>#REF!</v>
      </c>
      <c r="H80" s="139" t="e">
        <f t="shared" ca="1" si="4"/>
        <v>#REF!</v>
      </c>
      <c r="I80" s="137" t="e">
        <f t="shared" ca="1" si="5"/>
        <v>#REF!</v>
      </c>
      <c r="J80" s="117"/>
    </row>
    <row r="81" spans="1:10" hidden="1" x14ac:dyDescent="0.25">
      <c r="A81" s="114" t="s">
        <v>82</v>
      </c>
      <c r="B81" s="115" t="s">
        <v>7549</v>
      </c>
      <c r="C81" s="116" t="s">
        <v>16</v>
      </c>
      <c r="D81" s="116">
        <v>0</v>
      </c>
      <c r="E81" s="136">
        <f ca="1">OFFSET(INDEX(Composições!A:J,MATCH(Orçamentária!A81,Composições!A:A,0),8),2,0)</f>
        <v>128.56084949999999</v>
      </c>
      <c r="F81" s="137">
        <f t="shared" ca="1" si="3"/>
        <v>0</v>
      </c>
      <c r="G81" s="138" t="e">
        <f>IF(A81&lt;&gt;"",IF(AND(#REF!="Padrão",$H$4=#REF!),BDI!$B$17,IF(AND(#REF!="Padrão",$H$4=#REF!),BDI!#REF!,IF(AND(#REF!="Diferenciado",$H$4=#REF!),BDI!$E$17,IF(AND(#REF!="Diferenciado",$H$4=#REF!),BDI!#REF!,IF(#REF!="ZERO",0))))),"")</f>
        <v>#REF!</v>
      </c>
      <c r="H81" s="139" t="e">
        <f t="shared" ca="1" si="4"/>
        <v>#REF!</v>
      </c>
      <c r="I81" s="137" t="e">
        <f t="shared" ca="1" si="5"/>
        <v>#REF!</v>
      </c>
      <c r="J81" s="117"/>
    </row>
    <row r="82" spans="1:10" hidden="1" x14ac:dyDescent="0.25">
      <c r="A82" s="114" t="s">
        <v>83</v>
      </c>
      <c r="B82" s="115" t="s">
        <v>1381</v>
      </c>
      <c r="C82" s="116" t="s">
        <v>80</v>
      </c>
      <c r="D82" s="116">
        <v>0</v>
      </c>
      <c r="E82" s="136">
        <f ca="1">OFFSET(INDEX(Composições!A:J,MATCH(Orçamentária!A82,Composições!A:A,0),8),2,0)</f>
        <v>881.20200397747999</v>
      </c>
      <c r="F82" s="137">
        <f t="shared" ca="1" si="3"/>
        <v>0</v>
      </c>
      <c r="G82" s="138" t="e">
        <f>IF(A82&lt;&gt;"",IF(AND(#REF!="Padrão",$H$4=#REF!),BDI!$B$17,IF(AND(#REF!="Padrão",$H$4=#REF!),BDI!#REF!,IF(AND(#REF!="Diferenciado",$H$4=#REF!),BDI!$E$17,IF(AND(#REF!="Diferenciado",$H$4=#REF!),BDI!#REF!,IF(#REF!="ZERO",0))))),"")</f>
        <v>#REF!</v>
      </c>
      <c r="H82" s="139" t="e">
        <f t="shared" ca="1" si="4"/>
        <v>#REF!</v>
      </c>
      <c r="I82" s="137" t="e">
        <f t="shared" ca="1" si="5"/>
        <v>#REF!</v>
      </c>
      <c r="J82" s="117"/>
    </row>
    <row r="83" spans="1:10" hidden="1" x14ac:dyDescent="0.25">
      <c r="A83" s="114" t="s">
        <v>91</v>
      </c>
      <c r="B83" s="115" t="s">
        <v>7550</v>
      </c>
      <c r="C83" s="116" t="s">
        <v>80</v>
      </c>
      <c r="D83" s="116">
        <v>0</v>
      </c>
      <c r="E83" s="136">
        <f ca="1">OFFSET(INDEX(Composições!A:J,MATCH(Orçamentária!A83,Composições!A:A,0),8),2,0)</f>
        <v>920.49739506213996</v>
      </c>
      <c r="F83" s="137">
        <f t="shared" ca="1" si="3"/>
        <v>0</v>
      </c>
      <c r="G83" s="138" t="e">
        <f>IF(A83&lt;&gt;"",IF(AND(#REF!="Padrão",$H$4=#REF!),BDI!$B$17,IF(AND(#REF!="Padrão",$H$4=#REF!),BDI!#REF!,IF(AND(#REF!="Diferenciado",$H$4=#REF!),BDI!$E$17,IF(AND(#REF!="Diferenciado",$H$4=#REF!),BDI!#REF!,IF(#REF!="ZERO",0))))),"")</f>
        <v>#REF!</v>
      </c>
      <c r="H83" s="139" t="e">
        <f t="shared" ca="1" si="4"/>
        <v>#REF!</v>
      </c>
      <c r="I83" s="137" t="e">
        <f t="shared" ca="1" si="5"/>
        <v>#REF!</v>
      </c>
      <c r="J83" s="117"/>
    </row>
    <row r="84" spans="1:10" hidden="1" x14ac:dyDescent="0.25">
      <c r="A84" s="114" t="s">
        <v>92</v>
      </c>
      <c r="B84" s="115" t="s">
        <v>1382</v>
      </c>
      <c r="C84" s="116" t="s">
        <v>1334</v>
      </c>
      <c r="D84" s="116">
        <v>0</v>
      </c>
      <c r="E84" s="136">
        <f ca="1">OFFSET(INDEX(Composições!A:J,MATCH(Orçamentária!A84,Composições!A:A,0),8),2,0)</f>
        <v>20.672000000000001</v>
      </c>
      <c r="F84" s="137">
        <f t="shared" ca="1" si="3"/>
        <v>0</v>
      </c>
      <c r="G84" s="138" t="e">
        <f>IF(A84&lt;&gt;"",IF(AND(#REF!="Padrão",$H$4=#REF!),BDI!$B$17,IF(AND(#REF!="Padrão",$H$4=#REF!),BDI!#REF!,IF(AND(#REF!="Diferenciado",$H$4=#REF!),BDI!$E$17,IF(AND(#REF!="Diferenciado",$H$4=#REF!),BDI!#REF!,IF(#REF!="ZERO",0))))),"")</f>
        <v>#REF!</v>
      </c>
      <c r="H84" s="139" t="e">
        <f t="shared" ca="1" si="4"/>
        <v>#REF!</v>
      </c>
      <c r="I84" s="137" t="e">
        <f t="shared" ca="1" si="5"/>
        <v>#REF!</v>
      </c>
      <c r="J84" s="117"/>
    </row>
    <row r="85" spans="1:10" hidden="1" x14ac:dyDescent="0.25">
      <c r="A85" s="114" t="s">
        <v>94</v>
      </c>
      <c r="B85" s="115" t="s">
        <v>1383</v>
      </c>
      <c r="C85" s="116" t="s">
        <v>28</v>
      </c>
      <c r="D85" s="116">
        <v>0</v>
      </c>
      <c r="E85" s="136">
        <f ca="1">OFFSET(INDEX(Composições!A:J,MATCH(Orçamentária!A85,Composições!A:A,0),8),2,0)</f>
        <v>15.324924999999997</v>
      </c>
      <c r="F85" s="137">
        <f t="shared" ca="1" si="3"/>
        <v>0</v>
      </c>
      <c r="G85" s="138" t="e">
        <f>IF(A85&lt;&gt;"",IF(AND(#REF!="Padrão",$H$4=#REF!),BDI!$B$17,IF(AND(#REF!="Padrão",$H$4=#REF!),BDI!#REF!,IF(AND(#REF!="Diferenciado",$H$4=#REF!),BDI!$E$17,IF(AND(#REF!="Diferenciado",$H$4=#REF!),BDI!#REF!,IF(#REF!="ZERO",0))))),"")</f>
        <v>#REF!</v>
      </c>
      <c r="H85" s="139" t="e">
        <f t="shared" ca="1" si="4"/>
        <v>#REF!</v>
      </c>
      <c r="I85" s="137" t="e">
        <f t="shared" ca="1" si="5"/>
        <v>#REF!</v>
      </c>
      <c r="J85" s="117"/>
    </row>
    <row r="86" spans="1:10" hidden="1" x14ac:dyDescent="0.25">
      <c r="A86" s="114" t="s">
        <v>104</v>
      </c>
      <c r="B86" s="115" t="s">
        <v>1384</v>
      </c>
      <c r="C86" s="116" t="s">
        <v>70</v>
      </c>
      <c r="D86" s="116">
        <v>0</v>
      </c>
      <c r="E86" s="136">
        <f ca="1">OFFSET(INDEX(Composições!A:J,MATCH(Orçamentária!A86,Composições!A:A,0),8),2,0)</f>
        <v>193.04211718899998</v>
      </c>
      <c r="F86" s="137">
        <f t="shared" ca="1" si="3"/>
        <v>0</v>
      </c>
      <c r="G86" s="138" t="e">
        <f>IF(A86&lt;&gt;"",IF(AND(#REF!="Padrão",$H$4=#REF!),BDI!$B$17,IF(AND(#REF!="Padrão",$H$4=#REF!),BDI!#REF!,IF(AND(#REF!="Diferenciado",$H$4=#REF!),BDI!$E$17,IF(AND(#REF!="Diferenciado",$H$4=#REF!),BDI!#REF!,IF(#REF!="ZERO",0))))),"")</f>
        <v>#REF!</v>
      </c>
      <c r="H86" s="139" t="e">
        <f t="shared" ca="1" si="4"/>
        <v>#REF!</v>
      </c>
      <c r="I86" s="137" t="e">
        <f t="shared" ca="1" si="5"/>
        <v>#REF!</v>
      </c>
      <c r="J86" s="117"/>
    </row>
    <row r="87" spans="1:10" hidden="1" x14ac:dyDescent="0.25">
      <c r="A87" s="114" t="s">
        <v>105</v>
      </c>
      <c r="B87" s="115" t="s">
        <v>1385</v>
      </c>
      <c r="C87" s="116" t="s">
        <v>69</v>
      </c>
      <c r="D87" s="116">
        <v>0</v>
      </c>
      <c r="E87" s="136">
        <f ca="1">OFFSET(INDEX(Composições!A:J,MATCH(Orçamentária!A87,Composições!A:A,0),8),2,0)</f>
        <v>27.234093155999997</v>
      </c>
      <c r="F87" s="137">
        <f t="shared" ca="1" si="3"/>
        <v>0</v>
      </c>
      <c r="G87" s="138" t="e">
        <f>IF(A87&lt;&gt;"",IF(AND(#REF!="Padrão",$H$4=#REF!),BDI!$B$17,IF(AND(#REF!="Padrão",$H$4=#REF!),BDI!#REF!,IF(AND(#REF!="Diferenciado",$H$4=#REF!),BDI!$E$17,IF(AND(#REF!="Diferenciado",$H$4=#REF!),BDI!#REF!,IF(#REF!="ZERO",0))))),"")</f>
        <v>#REF!</v>
      </c>
      <c r="H87" s="139" t="e">
        <f t="shared" ca="1" si="4"/>
        <v>#REF!</v>
      </c>
      <c r="I87" s="137" t="e">
        <f t="shared" ca="1" si="5"/>
        <v>#REF!</v>
      </c>
      <c r="J87" s="117"/>
    </row>
    <row r="88" spans="1:10" hidden="1" x14ac:dyDescent="0.25">
      <c r="A88" s="114" t="s">
        <v>108</v>
      </c>
      <c r="B88" s="115" t="s">
        <v>1386</v>
      </c>
      <c r="C88" s="116" t="s">
        <v>70</v>
      </c>
      <c r="D88" s="116">
        <v>0</v>
      </c>
      <c r="E88" s="136">
        <f ca="1">OFFSET(INDEX(Composições!A:J,MATCH(Orçamentária!A88,Composições!A:A,0),8),2,0)</f>
        <v>28.850929999999998</v>
      </c>
      <c r="F88" s="137">
        <f t="shared" ca="1" si="3"/>
        <v>0</v>
      </c>
      <c r="G88" s="138" t="e">
        <f>IF(A88&lt;&gt;"",IF(AND(#REF!="Padrão",$H$4=#REF!),BDI!$B$17,IF(AND(#REF!="Padrão",$H$4=#REF!),BDI!#REF!,IF(AND(#REF!="Diferenciado",$H$4=#REF!),BDI!$E$17,IF(AND(#REF!="Diferenciado",$H$4=#REF!),BDI!#REF!,IF(#REF!="ZERO",0))))),"")</f>
        <v>#REF!</v>
      </c>
      <c r="H88" s="139" t="e">
        <f t="shared" ca="1" si="4"/>
        <v>#REF!</v>
      </c>
      <c r="I88" s="137" t="e">
        <f t="shared" ca="1" si="5"/>
        <v>#REF!</v>
      </c>
      <c r="J88" s="117"/>
    </row>
    <row r="89" spans="1:10" hidden="1" x14ac:dyDescent="0.25">
      <c r="A89" s="114" t="s">
        <v>109</v>
      </c>
      <c r="B89" s="115" t="s">
        <v>1387</v>
      </c>
      <c r="C89" s="116" t="s">
        <v>70</v>
      </c>
      <c r="D89" s="116">
        <v>0</v>
      </c>
      <c r="E89" s="136">
        <f ca="1">OFFSET(INDEX(Composições!A:J,MATCH(Orçamentária!A89,Composições!A:A,0),8),2,0)</f>
        <v>86.719148344805788</v>
      </c>
      <c r="F89" s="137">
        <f t="shared" ca="1" si="3"/>
        <v>0</v>
      </c>
      <c r="G89" s="138" t="e">
        <f>IF(A89&lt;&gt;"",IF(AND(#REF!="Padrão",$H$4=#REF!),BDI!$B$17,IF(AND(#REF!="Padrão",$H$4=#REF!),BDI!#REF!,IF(AND(#REF!="Diferenciado",$H$4=#REF!),BDI!$E$17,IF(AND(#REF!="Diferenciado",$H$4=#REF!),BDI!#REF!,IF(#REF!="ZERO",0))))),"")</f>
        <v>#REF!</v>
      </c>
      <c r="H89" s="139" t="e">
        <f t="shared" ca="1" si="4"/>
        <v>#REF!</v>
      </c>
      <c r="I89" s="137" t="e">
        <f t="shared" ca="1" si="5"/>
        <v>#REF!</v>
      </c>
      <c r="J89" s="117"/>
    </row>
    <row r="90" spans="1:10" hidden="1" x14ac:dyDescent="0.25">
      <c r="A90" s="114" t="s">
        <v>111</v>
      </c>
      <c r="B90" s="115" t="s">
        <v>1388</v>
      </c>
      <c r="C90" s="116" t="s">
        <v>70</v>
      </c>
      <c r="D90" s="116">
        <v>0</v>
      </c>
      <c r="E90" s="136">
        <f ca="1">OFFSET(INDEX(Composições!A:J,MATCH(Orçamentária!A90,Composições!A:A,0),8),2,0)</f>
        <v>57.077645399999994</v>
      </c>
      <c r="F90" s="137">
        <f t="shared" ca="1" si="3"/>
        <v>0</v>
      </c>
      <c r="G90" s="138" t="e">
        <f>IF(A90&lt;&gt;"",IF(AND(#REF!="Padrão",$H$4=#REF!),BDI!$B$17,IF(AND(#REF!="Padrão",$H$4=#REF!),BDI!#REF!,IF(AND(#REF!="Diferenciado",$H$4=#REF!),BDI!$E$17,IF(AND(#REF!="Diferenciado",$H$4=#REF!),BDI!#REF!,IF(#REF!="ZERO",0))))),"")</f>
        <v>#REF!</v>
      </c>
      <c r="H90" s="139" t="e">
        <f t="shared" ca="1" si="4"/>
        <v>#REF!</v>
      </c>
      <c r="I90" s="137" t="e">
        <f t="shared" ca="1" si="5"/>
        <v>#REF!</v>
      </c>
      <c r="J90" s="117"/>
    </row>
    <row r="91" spans="1:10" hidden="1" x14ac:dyDescent="0.25">
      <c r="A91" s="114" t="s">
        <v>112</v>
      </c>
      <c r="B91" s="115" t="s">
        <v>1389</v>
      </c>
      <c r="C91" s="116" t="s">
        <v>69</v>
      </c>
      <c r="D91" s="116">
        <v>0</v>
      </c>
      <c r="E91" s="136">
        <f ca="1">OFFSET(INDEX(Composições!A:J,MATCH(Orçamentária!A91,Composições!A:A,0),8),2,0)</f>
        <v>26.602964775374797</v>
      </c>
      <c r="F91" s="137">
        <f t="shared" ca="1" si="3"/>
        <v>0</v>
      </c>
      <c r="G91" s="138" t="e">
        <f>IF(A91&lt;&gt;"",IF(AND(#REF!="Padrão",$H$4=#REF!),BDI!$B$17,IF(AND(#REF!="Padrão",$H$4=#REF!),BDI!#REF!,IF(AND(#REF!="Diferenciado",$H$4=#REF!),BDI!$E$17,IF(AND(#REF!="Diferenciado",$H$4=#REF!),BDI!#REF!,IF(#REF!="ZERO",0))))),"")</f>
        <v>#REF!</v>
      </c>
      <c r="H91" s="139" t="e">
        <f t="shared" ca="1" si="4"/>
        <v>#REF!</v>
      </c>
      <c r="I91" s="137" t="e">
        <f t="shared" ca="1" si="5"/>
        <v>#REF!</v>
      </c>
      <c r="J91" s="117"/>
    </row>
    <row r="92" spans="1:10" hidden="1" x14ac:dyDescent="0.25">
      <c r="A92" s="114" t="s">
        <v>114</v>
      </c>
      <c r="B92" s="115" t="s">
        <v>1390</v>
      </c>
      <c r="C92" s="116" t="s">
        <v>70</v>
      </c>
      <c r="D92" s="116">
        <v>0</v>
      </c>
      <c r="E92" s="136">
        <f ca="1">OFFSET(INDEX(Composições!A:J,MATCH(Orçamentária!A92,Composições!A:A,0),8),2,0)</f>
        <v>83.216490700000008</v>
      </c>
      <c r="F92" s="137">
        <f t="shared" ca="1" si="3"/>
        <v>0</v>
      </c>
      <c r="G92" s="138" t="e">
        <f>IF(A92&lt;&gt;"",IF(AND(#REF!="Padrão",$H$4=#REF!),BDI!$B$17,IF(AND(#REF!="Padrão",$H$4=#REF!),BDI!#REF!,IF(AND(#REF!="Diferenciado",$H$4=#REF!),BDI!$E$17,IF(AND(#REF!="Diferenciado",$H$4=#REF!),BDI!#REF!,IF(#REF!="ZERO",0))))),"")</f>
        <v>#REF!</v>
      </c>
      <c r="H92" s="139" t="e">
        <f t="shared" ca="1" si="4"/>
        <v>#REF!</v>
      </c>
      <c r="I92" s="137" t="e">
        <f t="shared" ca="1" si="5"/>
        <v>#REF!</v>
      </c>
      <c r="J92" s="117"/>
    </row>
    <row r="93" spans="1:10" hidden="1" x14ac:dyDescent="0.25">
      <c r="A93" s="114" t="s">
        <v>115</v>
      </c>
      <c r="B93" s="115" t="s">
        <v>1391</v>
      </c>
      <c r="C93" s="116" t="s">
        <v>70</v>
      </c>
      <c r="D93" s="116">
        <v>0</v>
      </c>
      <c r="E93" s="136">
        <f ca="1">OFFSET(INDEX(Composições!A:J,MATCH(Orçamentária!A93,Composições!A:A,0),8),2,0)</f>
        <v>5.7121343499999986</v>
      </c>
      <c r="F93" s="137">
        <f t="shared" ca="1" si="3"/>
        <v>0</v>
      </c>
      <c r="G93" s="138" t="e">
        <f>IF(A93&lt;&gt;"",IF(AND(#REF!="Padrão",$H$4=#REF!),BDI!$B$17,IF(AND(#REF!="Padrão",$H$4=#REF!),BDI!#REF!,IF(AND(#REF!="Diferenciado",$H$4=#REF!),BDI!$E$17,IF(AND(#REF!="Diferenciado",$H$4=#REF!),BDI!#REF!,IF(#REF!="ZERO",0))))),"")</f>
        <v>#REF!</v>
      </c>
      <c r="H93" s="139" t="e">
        <f t="shared" ca="1" si="4"/>
        <v>#REF!</v>
      </c>
      <c r="I93" s="137" t="e">
        <f t="shared" ca="1" si="5"/>
        <v>#REF!</v>
      </c>
      <c r="J93" s="117"/>
    </row>
    <row r="94" spans="1:10" hidden="1" x14ac:dyDescent="0.25">
      <c r="A94" s="114" t="s">
        <v>116</v>
      </c>
      <c r="B94" s="115" t="s">
        <v>1392</v>
      </c>
      <c r="C94" s="116" t="s">
        <v>70</v>
      </c>
      <c r="D94" s="116">
        <v>0</v>
      </c>
      <c r="E94" s="136">
        <f ca="1">OFFSET(INDEX(Composições!A:J,MATCH(Orçamentária!A94,Composições!A:A,0),8),2,0)</f>
        <v>85.735808613224592</v>
      </c>
      <c r="F94" s="137">
        <f t="shared" ca="1" si="3"/>
        <v>0</v>
      </c>
      <c r="G94" s="138" t="e">
        <f>IF(A94&lt;&gt;"",IF(AND(#REF!="Padrão",$H$4=#REF!),BDI!$B$17,IF(AND(#REF!="Padrão",$H$4=#REF!),BDI!#REF!,IF(AND(#REF!="Diferenciado",$H$4=#REF!),BDI!$E$17,IF(AND(#REF!="Diferenciado",$H$4=#REF!),BDI!#REF!,IF(#REF!="ZERO",0))))),"")</f>
        <v>#REF!</v>
      </c>
      <c r="H94" s="139" t="e">
        <f t="shared" ca="1" si="4"/>
        <v>#REF!</v>
      </c>
      <c r="I94" s="137" t="e">
        <f t="shared" ca="1" si="5"/>
        <v>#REF!</v>
      </c>
      <c r="J94" s="117"/>
    </row>
    <row r="95" spans="1:10" hidden="1" x14ac:dyDescent="0.25">
      <c r="A95" s="114" t="s">
        <v>117</v>
      </c>
      <c r="B95" s="115" t="s">
        <v>1393</v>
      </c>
      <c r="C95" s="116" t="s">
        <v>70</v>
      </c>
      <c r="D95" s="116">
        <v>0</v>
      </c>
      <c r="E95" s="136">
        <f ca="1">OFFSET(INDEX(Composições!A:J,MATCH(Orçamentária!A95,Composições!A:A,0),8),2,0)</f>
        <v>19.130335744</v>
      </c>
      <c r="F95" s="137">
        <f t="shared" ca="1" si="3"/>
        <v>0</v>
      </c>
      <c r="G95" s="138" t="e">
        <f>IF(A95&lt;&gt;"",IF(AND(#REF!="Padrão",$H$4=#REF!),BDI!$B$17,IF(AND(#REF!="Padrão",$H$4=#REF!),BDI!#REF!,IF(AND(#REF!="Diferenciado",$H$4=#REF!),BDI!$E$17,IF(AND(#REF!="Diferenciado",$H$4=#REF!),BDI!#REF!,IF(#REF!="ZERO",0))))),"")</f>
        <v>#REF!</v>
      </c>
      <c r="H95" s="139" t="e">
        <f t="shared" ca="1" si="4"/>
        <v>#REF!</v>
      </c>
      <c r="I95" s="137" t="e">
        <f t="shared" ca="1" si="5"/>
        <v>#REF!</v>
      </c>
      <c r="J95" s="117"/>
    </row>
    <row r="96" spans="1:10" hidden="1" x14ac:dyDescent="0.25">
      <c r="A96" s="114" t="s">
        <v>119</v>
      </c>
      <c r="B96" s="115" t="s">
        <v>1394</v>
      </c>
      <c r="C96" s="116" t="s">
        <v>70</v>
      </c>
      <c r="D96" s="116">
        <v>0</v>
      </c>
      <c r="E96" s="136">
        <f ca="1">OFFSET(INDEX(Composições!A:J,MATCH(Orçamentária!A96,Composições!A:A,0),8),2,0)</f>
        <v>5.1427551301713983</v>
      </c>
      <c r="F96" s="137">
        <f t="shared" ca="1" si="3"/>
        <v>0</v>
      </c>
      <c r="G96" s="138" t="e">
        <f>IF(A96&lt;&gt;"",IF(AND(#REF!="Padrão",$H$4=#REF!),BDI!$B$17,IF(AND(#REF!="Padrão",$H$4=#REF!),BDI!#REF!,IF(AND(#REF!="Diferenciado",$H$4=#REF!),BDI!$E$17,IF(AND(#REF!="Diferenciado",$H$4=#REF!),BDI!#REF!,IF(#REF!="ZERO",0))))),"")</f>
        <v>#REF!</v>
      </c>
      <c r="H96" s="139" t="e">
        <f t="shared" ca="1" si="4"/>
        <v>#REF!</v>
      </c>
      <c r="I96" s="137" t="e">
        <f t="shared" ca="1" si="5"/>
        <v>#REF!</v>
      </c>
      <c r="J96" s="117"/>
    </row>
    <row r="97" spans="1:10" hidden="1" x14ac:dyDescent="0.25">
      <c r="A97" s="114" t="s">
        <v>121</v>
      </c>
      <c r="B97" s="115" t="s">
        <v>122</v>
      </c>
      <c r="C97" s="116" t="s">
        <v>70</v>
      </c>
      <c r="D97" s="116">
        <v>0</v>
      </c>
      <c r="E97" s="136">
        <f ca="1">OFFSET(INDEX(Composições!A:J,MATCH(Orçamentária!A97,Composições!A:A,0),8),2,0)</f>
        <v>12.40624</v>
      </c>
      <c r="F97" s="137">
        <f t="shared" ca="1" si="3"/>
        <v>0</v>
      </c>
      <c r="G97" s="138" t="e">
        <f>IF(A97&lt;&gt;"",IF(AND(#REF!="Padrão",$H$4=#REF!),BDI!$B$17,IF(AND(#REF!="Padrão",$H$4=#REF!),BDI!#REF!,IF(AND(#REF!="Diferenciado",$H$4=#REF!),BDI!$E$17,IF(AND(#REF!="Diferenciado",$H$4=#REF!),BDI!#REF!,IF(#REF!="ZERO",0))))),"")</f>
        <v>#REF!</v>
      </c>
      <c r="H97" s="139" t="e">
        <f t="shared" ca="1" si="4"/>
        <v>#REF!</v>
      </c>
      <c r="I97" s="137" t="e">
        <f t="shared" ca="1" si="5"/>
        <v>#REF!</v>
      </c>
      <c r="J97" s="117"/>
    </row>
    <row r="98" spans="1:10" hidden="1" x14ac:dyDescent="0.25">
      <c r="A98" s="114" t="s">
        <v>124</v>
      </c>
      <c r="B98" s="115" t="s">
        <v>7551</v>
      </c>
      <c r="C98" s="116" t="s">
        <v>70</v>
      </c>
      <c r="D98" s="116">
        <v>0</v>
      </c>
      <c r="E98" s="136">
        <f ca="1">OFFSET(INDEX(Composições!A:J,MATCH(Orçamentária!A98,Composições!A:A,0),8),2,0)</f>
        <v>44.027124899999997</v>
      </c>
      <c r="F98" s="137">
        <f t="shared" ca="1" si="3"/>
        <v>0</v>
      </c>
      <c r="G98" s="138" t="e">
        <f>IF(A98&lt;&gt;"",IF(AND(#REF!="Padrão",$H$4=#REF!),BDI!$B$17,IF(AND(#REF!="Padrão",$H$4=#REF!),BDI!#REF!,IF(AND(#REF!="Diferenciado",$H$4=#REF!),BDI!$E$17,IF(AND(#REF!="Diferenciado",$H$4=#REF!),BDI!#REF!,IF(#REF!="ZERO",0))))),"")</f>
        <v>#REF!</v>
      </c>
      <c r="H98" s="139" t="e">
        <f t="shared" ca="1" si="4"/>
        <v>#REF!</v>
      </c>
      <c r="I98" s="137" t="e">
        <f t="shared" ca="1" si="5"/>
        <v>#REF!</v>
      </c>
      <c r="J98" s="117"/>
    </row>
    <row r="99" spans="1:10" hidden="1" x14ac:dyDescent="0.25">
      <c r="A99" s="114" t="s">
        <v>127</v>
      </c>
      <c r="B99" s="115" t="s">
        <v>7552</v>
      </c>
      <c r="C99" s="116" t="s">
        <v>70</v>
      </c>
      <c r="D99" s="116">
        <v>0</v>
      </c>
      <c r="E99" s="136">
        <f ca="1">OFFSET(INDEX(Composições!A:J,MATCH(Orçamentária!A99,Composições!A:A,0),8),2,0)</f>
        <v>14.795943625</v>
      </c>
      <c r="F99" s="137">
        <f t="shared" ca="1" si="3"/>
        <v>0</v>
      </c>
      <c r="G99" s="138" t="e">
        <f>IF(A99&lt;&gt;"",IF(AND(#REF!="Padrão",$H$4=#REF!),BDI!$B$17,IF(AND(#REF!="Padrão",$H$4=#REF!),BDI!#REF!,IF(AND(#REF!="Diferenciado",$H$4=#REF!),BDI!$E$17,IF(AND(#REF!="Diferenciado",$H$4=#REF!),BDI!#REF!,IF(#REF!="ZERO",0))))),"")</f>
        <v>#REF!</v>
      </c>
      <c r="H99" s="139" t="e">
        <f t="shared" ca="1" si="4"/>
        <v>#REF!</v>
      </c>
      <c r="I99" s="137" t="e">
        <f t="shared" ca="1" si="5"/>
        <v>#REF!</v>
      </c>
      <c r="J99" s="117"/>
    </row>
    <row r="100" spans="1:10" hidden="1" x14ac:dyDescent="0.25">
      <c r="A100" s="114" t="s">
        <v>128</v>
      </c>
      <c r="B100" s="115" t="s">
        <v>1395</v>
      </c>
      <c r="C100" s="116" t="s">
        <v>69</v>
      </c>
      <c r="D100" s="116">
        <v>0</v>
      </c>
      <c r="E100" s="136">
        <f ca="1">OFFSET(INDEX(Composições!A:J,MATCH(Orçamentária!A100,Composições!A:A,0),8),2,0)</f>
        <v>16.8428027</v>
      </c>
      <c r="F100" s="137">
        <f t="shared" ca="1" si="3"/>
        <v>0</v>
      </c>
      <c r="G100" s="138" t="e">
        <f>IF(A100&lt;&gt;"",IF(AND(#REF!="Padrão",$H$4=#REF!),BDI!$B$17,IF(AND(#REF!="Padrão",$H$4=#REF!),BDI!#REF!,IF(AND(#REF!="Diferenciado",$H$4=#REF!),BDI!$E$17,IF(AND(#REF!="Diferenciado",$H$4=#REF!),BDI!#REF!,IF(#REF!="ZERO",0))))),"")</f>
        <v>#REF!</v>
      </c>
      <c r="H100" s="139" t="e">
        <f t="shared" ca="1" si="4"/>
        <v>#REF!</v>
      </c>
      <c r="I100" s="137" t="e">
        <f t="shared" ca="1" si="5"/>
        <v>#REF!</v>
      </c>
      <c r="J100" s="117"/>
    </row>
    <row r="101" spans="1:10" hidden="1" x14ac:dyDescent="0.25">
      <c r="A101" s="114" t="s">
        <v>132</v>
      </c>
      <c r="B101" s="115" t="s">
        <v>1396</v>
      </c>
      <c r="C101" s="116" t="s">
        <v>70</v>
      </c>
      <c r="D101" s="116">
        <v>0</v>
      </c>
      <c r="E101" s="136">
        <f ca="1">OFFSET(INDEX(Composições!A:J,MATCH(Orçamentária!A101,Composições!A:A,0),8),2,0)</f>
        <v>3.5842074999999998</v>
      </c>
      <c r="F101" s="137">
        <f t="shared" ca="1" si="3"/>
        <v>0</v>
      </c>
      <c r="G101" s="138" t="e">
        <f>IF(A101&lt;&gt;"",IF(AND(#REF!="Padrão",$H$4=#REF!),BDI!$B$17,IF(AND(#REF!="Padrão",$H$4=#REF!),BDI!#REF!,IF(AND(#REF!="Diferenciado",$H$4=#REF!),BDI!$E$17,IF(AND(#REF!="Diferenciado",$H$4=#REF!),BDI!#REF!,IF(#REF!="ZERO",0))))),"")</f>
        <v>#REF!</v>
      </c>
      <c r="H101" s="139" t="e">
        <f t="shared" ca="1" si="4"/>
        <v>#REF!</v>
      </c>
      <c r="I101" s="137" t="e">
        <f t="shared" ca="1" si="5"/>
        <v>#REF!</v>
      </c>
      <c r="J101" s="117"/>
    </row>
    <row r="102" spans="1:10" hidden="1" x14ac:dyDescent="0.25">
      <c r="A102" s="114" t="s">
        <v>134</v>
      </c>
      <c r="B102" s="115" t="s">
        <v>5421</v>
      </c>
      <c r="C102" s="116" t="s">
        <v>70</v>
      </c>
      <c r="D102" s="116">
        <v>0</v>
      </c>
      <c r="E102" s="136">
        <f ca="1">OFFSET(INDEX(Composições!A:J,MATCH(Orçamentária!A102,Composições!A:A,0),8),2,0)</f>
        <v>12.318712700000001</v>
      </c>
      <c r="F102" s="137">
        <f t="shared" ca="1" si="3"/>
        <v>0</v>
      </c>
      <c r="G102" s="138" t="e">
        <f>IF(A102&lt;&gt;"",IF(AND(#REF!="Padrão",$H$4=#REF!),BDI!$B$17,IF(AND(#REF!="Padrão",$H$4=#REF!),BDI!#REF!,IF(AND(#REF!="Diferenciado",$H$4=#REF!),BDI!$E$17,IF(AND(#REF!="Diferenciado",$H$4=#REF!),BDI!#REF!,IF(#REF!="ZERO",0))))),"")</f>
        <v>#REF!</v>
      </c>
      <c r="H102" s="139" t="e">
        <f t="shared" ca="1" si="4"/>
        <v>#REF!</v>
      </c>
      <c r="I102" s="137" t="e">
        <f t="shared" ca="1" si="5"/>
        <v>#REF!</v>
      </c>
      <c r="J102" s="117"/>
    </row>
    <row r="103" spans="1:10" hidden="1" x14ac:dyDescent="0.25">
      <c r="A103" s="114" t="s">
        <v>139</v>
      </c>
      <c r="B103" s="115" t="s">
        <v>1397</v>
      </c>
      <c r="C103" s="116" t="s">
        <v>70</v>
      </c>
      <c r="D103" s="116">
        <v>0</v>
      </c>
      <c r="E103" s="136">
        <f ca="1">OFFSET(INDEX(Composições!A:J,MATCH(Orçamentária!A103,Composições!A:A,0),8),2,0)</f>
        <v>22.098640459999999</v>
      </c>
      <c r="F103" s="137">
        <f t="shared" ca="1" si="3"/>
        <v>0</v>
      </c>
      <c r="G103" s="138" t="e">
        <f>IF(A103&lt;&gt;"",IF(AND(#REF!="Padrão",$H$4=#REF!),BDI!$B$17,IF(AND(#REF!="Padrão",$H$4=#REF!),BDI!#REF!,IF(AND(#REF!="Diferenciado",$H$4=#REF!),BDI!$E$17,IF(AND(#REF!="Diferenciado",$H$4=#REF!),BDI!#REF!,IF(#REF!="ZERO",0))))),"")</f>
        <v>#REF!</v>
      </c>
      <c r="H103" s="139" t="e">
        <f t="shared" ca="1" si="4"/>
        <v>#REF!</v>
      </c>
      <c r="I103" s="137" t="e">
        <f t="shared" ca="1" si="5"/>
        <v>#REF!</v>
      </c>
      <c r="J103" s="117"/>
    </row>
    <row r="104" spans="1:10" x14ac:dyDescent="0.25">
      <c r="A104" s="189" t="s">
        <v>140</v>
      </c>
      <c r="B104" s="190" t="s">
        <v>1398</v>
      </c>
      <c r="C104" s="191" t="s">
        <v>70</v>
      </c>
      <c r="D104" s="191">
        <v>71</v>
      </c>
      <c r="E104" s="136">
        <f ca="1">OFFSET(INDEX(Composições!A:J,MATCH(Orçamentária!A104,Composições!A:A,0),8),2,0)</f>
        <v>17.345461759999999</v>
      </c>
      <c r="F104" s="137">
        <f t="shared" ca="1" si="3"/>
        <v>1231.52778496</v>
      </c>
      <c r="G104" s="138">
        <f>BDI!$B$17</f>
        <v>0.191</v>
      </c>
      <c r="H104" s="139">
        <f t="shared" ca="1" si="4"/>
        <v>20.66</v>
      </c>
      <c r="I104" s="137">
        <f t="shared" ca="1" si="5"/>
        <v>1466.86</v>
      </c>
      <c r="J104" s="117"/>
    </row>
    <row r="105" spans="1:10" hidden="1" x14ac:dyDescent="0.25">
      <c r="A105" s="114" t="s">
        <v>141</v>
      </c>
      <c r="B105" s="115" t="s">
        <v>1399</v>
      </c>
      <c r="C105" s="116" t="s">
        <v>70</v>
      </c>
      <c r="D105" s="116">
        <v>0</v>
      </c>
      <c r="E105" s="136">
        <f ca="1">OFFSET(INDEX(Composições!A:J,MATCH(Orçamentária!A105,Composições!A:A,0),8),2,0)</f>
        <v>15.793464999999999</v>
      </c>
      <c r="F105" s="137">
        <f t="shared" ca="1" si="3"/>
        <v>0</v>
      </c>
      <c r="G105" s="138" t="e">
        <f>IF(A105&lt;&gt;"",IF(AND(#REF!="Padrão",$H$4=#REF!),BDI!$B$17,IF(AND(#REF!="Padrão",$H$4=#REF!),BDI!#REF!,IF(AND(#REF!="Diferenciado",$H$4=#REF!),BDI!$E$17,IF(AND(#REF!="Diferenciado",$H$4=#REF!),BDI!#REF!,IF(#REF!="ZERO",0))))),"")</f>
        <v>#REF!</v>
      </c>
      <c r="H105" s="139" t="e">
        <f t="shared" ca="1" si="4"/>
        <v>#REF!</v>
      </c>
      <c r="I105" s="137" t="e">
        <f t="shared" ca="1" si="5"/>
        <v>#REF!</v>
      </c>
      <c r="J105" s="117"/>
    </row>
    <row r="106" spans="1:10" hidden="1" x14ac:dyDescent="0.25">
      <c r="A106" s="114" t="s">
        <v>142</v>
      </c>
      <c r="B106" s="115" t="s">
        <v>1400</v>
      </c>
      <c r="C106" s="116" t="s">
        <v>70</v>
      </c>
      <c r="D106" s="116">
        <v>0</v>
      </c>
      <c r="E106" s="136">
        <f ca="1">OFFSET(INDEX(Composições!A:J,MATCH(Orçamentária!A106,Composições!A:A,0),8),2,0)</f>
        <v>20.280877400000001</v>
      </c>
      <c r="F106" s="137">
        <f t="shared" ca="1" si="3"/>
        <v>0</v>
      </c>
      <c r="G106" s="138" t="e">
        <f>IF(A106&lt;&gt;"",IF(AND(#REF!="Padrão",$H$4=#REF!),BDI!$B$17,IF(AND(#REF!="Padrão",$H$4=#REF!),BDI!#REF!,IF(AND(#REF!="Diferenciado",$H$4=#REF!),BDI!$E$17,IF(AND(#REF!="Diferenciado",$H$4=#REF!),BDI!#REF!,IF(#REF!="ZERO",0))))),"")</f>
        <v>#REF!</v>
      </c>
      <c r="H106" s="139" t="e">
        <f t="shared" ca="1" si="4"/>
        <v>#REF!</v>
      </c>
      <c r="I106" s="137" t="e">
        <f t="shared" ca="1" si="5"/>
        <v>#REF!</v>
      </c>
      <c r="J106" s="117"/>
    </row>
    <row r="107" spans="1:10" hidden="1" x14ac:dyDescent="0.25">
      <c r="A107" s="114" t="s">
        <v>144</v>
      </c>
      <c r="B107" s="115" t="s">
        <v>1401</v>
      </c>
      <c r="C107" s="116" t="s">
        <v>70</v>
      </c>
      <c r="D107" s="116">
        <v>0</v>
      </c>
      <c r="E107" s="136">
        <f ca="1">OFFSET(INDEX(Composições!A:J,MATCH(Orçamentária!A107,Composições!A:A,0),8),2,0)</f>
        <v>16.3599842</v>
      </c>
      <c r="F107" s="137">
        <f t="shared" ca="1" si="3"/>
        <v>0</v>
      </c>
      <c r="G107" s="138" t="e">
        <f>IF(A107&lt;&gt;"",IF(AND(#REF!="Padrão",$H$4=#REF!),BDI!$B$17,IF(AND(#REF!="Padrão",$H$4=#REF!),BDI!#REF!,IF(AND(#REF!="Diferenciado",$H$4=#REF!),BDI!$E$17,IF(AND(#REF!="Diferenciado",$H$4=#REF!),BDI!#REF!,IF(#REF!="ZERO",0))))),"")</f>
        <v>#REF!</v>
      </c>
      <c r="H107" s="139" t="e">
        <f t="shared" ca="1" si="4"/>
        <v>#REF!</v>
      </c>
      <c r="I107" s="137" t="e">
        <f t="shared" ca="1" si="5"/>
        <v>#REF!</v>
      </c>
      <c r="J107" s="117"/>
    </row>
    <row r="108" spans="1:10" x14ac:dyDescent="0.25">
      <c r="A108" s="189" t="s">
        <v>146</v>
      </c>
      <c r="B108" s="190" t="s">
        <v>1402</v>
      </c>
      <c r="C108" s="191" t="s">
        <v>70</v>
      </c>
      <c r="D108" s="191">
        <v>356</v>
      </c>
      <c r="E108" s="136">
        <f ca="1">OFFSET(INDEX(Composições!A:J,MATCH(Orçamentária!A108,Composições!A:A,0),8),2,0)</f>
        <v>17.831680499999997</v>
      </c>
      <c r="F108" s="137">
        <f t="shared" ca="1" si="3"/>
        <v>6348.0782579999986</v>
      </c>
      <c r="G108" s="138">
        <f>BDI!$B$17</f>
        <v>0.191</v>
      </c>
      <c r="H108" s="139">
        <f t="shared" ca="1" si="4"/>
        <v>21.24</v>
      </c>
      <c r="I108" s="137">
        <f t="shared" ca="1" si="5"/>
        <v>7561.44</v>
      </c>
      <c r="J108" s="117"/>
    </row>
    <row r="109" spans="1:10" hidden="1" x14ac:dyDescent="0.25">
      <c r="A109" s="114" t="s">
        <v>147</v>
      </c>
      <c r="B109" s="115" t="s">
        <v>1403</v>
      </c>
      <c r="C109" s="116" t="s">
        <v>70</v>
      </c>
      <c r="D109" s="116">
        <v>0</v>
      </c>
      <c r="E109" s="136">
        <f ca="1">OFFSET(INDEX(Composições!A:J,MATCH(Orçamentária!A109,Composições!A:A,0),8),2,0)</f>
        <v>78.271829999999994</v>
      </c>
      <c r="F109" s="137">
        <f t="shared" ca="1" si="3"/>
        <v>0</v>
      </c>
      <c r="G109" s="138" t="e">
        <f>IF(A109&lt;&gt;"",IF(AND(#REF!="Padrão",$H$4=#REF!),BDI!$B$17,IF(AND(#REF!="Padrão",$H$4=#REF!),BDI!#REF!,IF(AND(#REF!="Diferenciado",$H$4=#REF!),BDI!$E$17,IF(AND(#REF!="Diferenciado",$H$4=#REF!),BDI!#REF!,IF(#REF!="ZERO",0))))),"")</f>
        <v>#REF!</v>
      </c>
      <c r="H109" s="139" t="e">
        <f t="shared" ca="1" si="4"/>
        <v>#REF!</v>
      </c>
      <c r="I109" s="137" t="e">
        <f t="shared" ca="1" si="5"/>
        <v>#REF!</v>
      </c>
      <c r="J109" s="117"/>
    </row>
    <row r="110" spans="1:10" hidden="1" x14ac:dyDescent="0.25">
      <c r="A110" s="114" t="s">
        <v>149</v>
      </c>
      <c r="B110" s="115" t="s">
        <v>1404</v>
      </c>
      <c r="C110" s="116" t="s">
        <v>70</v>
      </c>
      <c r="D110" s="116">
        <v>0</v>
      </c>
      <c r="E110" s="136">
        <f ca="1">OFFSET(INDEX(Composições!A:J,MATCH(Orçamentária!A110,Composições!A:A,0),8),2,0)</f>
        <v>59.467599399352494</v>
      </c>
      <c r="F110" s="137">
        <f t="shared" ca="1" si="3"/>
        <v>0</v>
      </c>
      <c r="G110" s="138" t="e">
        <f>IF(A110&lt;&gt;"",IF(AND(#REF!="Padrão",$H$4=#REF!),BDI!$B$17,IF(AND(#REF!="Padrão",$H$4=#REF!),BDI!#REF!,IF(AND(#REF!="Diferenciado",$H$4=#REF!),BDI!$E$17,IF(AND(#REF!="Diferenciado",$H$4=#REF!),BDI!#REF!,IF(#REF!="ZERO",0))))),"")</f>
        <v>#REF!</v>
      </c>
      <c r="H110" s="139" t="e">
        <f t="shared" ca="1" si="4"/>
        <v>#REF!</v>
      </c>
      <c r="I110" s="137" t="e">
        <f t="shared" ca="1" si="5"/>
        <v>#REF!</v>
      </c>
      <c r="J110" s="117"/>
    </row>
    <row r="111" spans="1:10" hidden="1" x14ac:dyDescent="0.25">
      <c r="A111" s="114" t="s">
        <v>151</v>
      </c>
      <c r="B111" s="115" t="s">
        <v>7553</v>
      </c>
      <c r="C111" s="116" t="s">
        <v>70</v>
      </c>
      <c r="D111" s="116">
        <v>0</v>
      </c>
      <c r="E111" s="136">
        <f ca="1">OFFSET(INDEX(Composições!A:J,MATCH(Orçamentária!A111,Composições!A:A,0),8),2,0)</f>
        <v>38.331915743017497</v>
      </c>
      <c r="F111" s="137">
        <f t="shared" ca="1" si="3"/>
        <v>0</v>
      </c>
      <c r="G111" s="138" t="e">
        <f>IF(A111&lt;&gt;"",IF(AND(#REF!="Padrão",$H$4=#REF!),BDI!$B$17,IF(AND(#REF!="Padrão",$H$4=#REF!),BDI!#REF!,IF(AND(#REF!="Diferenciado",$H$4=#REF!),BDI!$E$17,IF(AND(#REF!="Diferenciado",$H$4=#REF!),BDI!#REF!,IF(#REF!="ZERO",0))))),"")</f>
        <v>#REF!</v>
      </c>
      <c r="H111" s="139" t="e">
        <f t="shared" ca="1" si="4"/>
        <v>#REF!</v>
      </c>
      <c r="I111" s="137" t="e">
        <f t="shared" ca="1" si="5"/>
        <v>#REF!</v>
      </c>
      <c r="J111" s="117"/>
    </row>
    <row r="112" spans="1:10" hidden="1" x14ac:dyDescent="0.25">
      <c r="A112" s="114" t="s">
        <v>152</v>
      </c>
      <c r="B112" s="115" t="s">
        <v>1405</v>
      </c>
      <c r="C112" s="116" t="s">
        <v>70</v>
      </c>
      <c r="D112" s="116">
        <v>0</v>
      </c>
      <c r="E112" s="136">
        <f ca="1">OFFSET(INDEX(Composições!A:J,MATCH(Orçamentária!A112,Composições!A:A,0),8),2,0)</f>
        <v>60.177122999999987</v>
      </c>
      <c r="F112" s="137">
        <f t="shared" ca="1" si="3"/>
        <v>0</v>
      </c>
      <c r="G112" s="138" t="e">
        <f>IF(A112&lt;&gt;"",IF(AND(#REF!="Padrão",$H$4=#REF!),BDI!$B$17,IF(AND(#REF!="Padrão",$H$4=#REF!),BDI!#REF!,IF(AND(#REF!="Diferenciado",$H$4=#REF!),BDI!$E$17,IF(AND(#REF!="Diferenciado",$H$4=#REF!),BDI!#REF!,IF(#REF!="ZERO",0))))),"")</f>
        <v>#REF!</v>
      </c>
      <c r="H112" s="139" t="e">
        <f t="shared" ca="1" si="4"/>
        <v>#REF!</v>
      </c>
      <c r="I112" s="137" t="e">
        <f t="shared" ca="1" si="5"/>
        <v>#REF!</v>
      </c>
      <c r="J112" s="117"/>
    </row>
    <row r="113" spans="1:10" hidden="1" x14ac:dyDescent="0.25">
      <c r="A113" s="114" t="s">
        <v>154</v>
      </c>
      <c r="B113" s="115" t="s">
        <v>1406</v>
      </c>
      <c r="C113" s="116" t="s">
        <v>70</v>
      </c>
      <c r="D113" s="116">
        <v>0</v>
      </c>
      <c r="E113" s="136">
        <f ca="1">OFFSET(INDEX(Composições!A:J,MATCH(Orçamentária!A113,Composições!A:A,0),8),2,0)</f>
        <v>130.87674999999999</v>
      </c>
      <c r="F113" s="137">
        <f t="shared" ca="1" si="3"/>
        <v>0</v>
      </c>
      <c r="G113" s="138" t="e">
        <f>IF(A113&lt;&gt;"",IF(AND(#REF!="Padrão",$H$4=#REF!),BDI!$B$17,IF(AND(#REF!="Padrão",$H$4=#REF!),BDI!#REF!,IF(AND(#REF!="Diferenciado",$H$4=#REF!),BDI!$E$17,IF(AND(#REF!="Diferenciado",$H$4=#REF!),BDI!#REF!,IF(#REF!="ZERO",0))))),"")</f>
        <v>#REF!</v>
      </c>
      <c r="H113" s="139" t="e">
        <f t="shared" ca="1" si="4"/>
        <v>#REF!</v>
      </c>
      <c r="I113" s="137" t="e">
        <f t="shared" ca="1" si="5"/>
        <v>#REF!</v>
      </c>
      <c r="J113" s="117"/>
    </row>
    <row r="114" spans="1:10" hidden="1" x14ac:dyDescent="0.25">
      <c r="A114" s="114" t="s">
        <v>157</v>
      </c>
      <c r="B114" s="115" t="s">
        <v>1407</v>
      </c>
      <c r="C114" s="116" t="s">
        <v>70</v>
      </c>
      <c r="D114" s="116">
        <v>0</v>
      </c>
      <c r="E114" s="136">
        <f ca="1">OFFSET(INDEX(Composições!A:J,MATCH(Orçamentária!A114,Composições!A:A,0),8),2,0)</f>
        <v>150.9292379</v>
      </c>
      <c r="F114" s="137">
        <f t="shared" ca="1" si="3"/>
        <v>0</v>
      </c>
      <c r="G114" s="138" t="e">
        <f>IF(A114&lt;&gt;"",IF(AND(#REF!="Padrão",$H$4=#REF!),BDI!$B$17,IF(AND(#REF!="Padrão",$H$4=#REF!),BDI!#REF!,IF(AND(#REF!="Diferenciado",$H$4=#REF!),BDI!$E$17,IF(AND(#REF!="Diferenciado",$H$4=#REF!),BDI!#REF!,IF(#REF!="ZERO",0))))),"")</f>
        <v>#REF!</v>
      </c>
      <c r="H114" s="139" t="e">
        <f t="shared" ca="1" si="4"/>
        <v>#REF!</v>
      </c>
      <c r="I114" s="137" t="e">
        <f t="shared" ca="1" si="5"/>
        <v>#REF!</v>
      </c>
      <c r="J114" s="117"/>
    </row>
    <row r="115" spans="1:10" hidden="1" x14ac:dyDescent="0.25">
      <c r="A115" s="114" t="s">
        <v>160</v>
      </c>
      <c r="B115" s="115" t="s">
        <v>1408</v>
      </c>
      <c r="C115" s="116" t="s">
        <v>70</v>
      </c>
      <c r="D115" s="116">
        <v>0</v>
      </c>
      <c r="E115" s="136">
        <f ca="1">OFFSET(INDEX(Composições!A:J,MATCH(Orçamentária!A115,Composições!A:A,0),8),2,0)</f>
        <v>60.177122999999987</v>
      </c>
      <c r="F115" s="137">
        <f t="shared" ca="1" si="3"/>
        <v>0</v>
      </c>
      <c r="G115" s="138" t="e">
        <f>IF(A115&lt;&gt;"",IF(AND(#REF!="Padrão",$H$4=#REF!),BDI!$B$17,IF(AND(#REF!="Padrão",$H$4=#REF!),BDI!#REF!,IF(AND(#REF!="Diferenciado",$H$4=#REF!),BDI!$E$17,IF(AND(#REF!="Diferenciado",$H$4=#REF!),BDI!#REF!,IF(#REF!="ZERO",0))))),"")</f>
        <v>#REF!</v>
      </c>
      <c r="H115" s="139" t="e">
        <f t="shared" ca="1" si="4"/>
        <v>#REF!</v>
      </c>
      <c r="I115" s="137" t="e">
        <f t="shared" ca="1" si="5"/>
        <v>#REF!</v>
      </c>
      <c r="J115" s="117"/>
    </row>
    <row r="116" spans="1:10" hidden="1" x14ac:dyDescent="0.25">
      <c r="A116" s="114" t="s">
        <v>162</v>
      </c>
      <c r="B116" s="115" t="s">
        <v>1409</v>
      </c>
      <c r="C116" s="116" t="s">
        <v>70</v>
      </c>
      <c r="D116" s="116">
        <v>0</v>
      </c>
      <c r="E116" s="136">
        <f ca="1">OFFSET(INDEX(Composições!A:J,MATCH(Orçamentária!A116,Composições!A:A,0),8),2,0)</f>
        <v>130.87674999999999</v>
      </c>
      <c r="F116" s="137">
        <f t="shared" ca="1" si="3"/>
        <v>0</v>
      </c>
      <c r="G116" s="138" t="e">
        <f>IF(A116&lt;&gt;"",IF(AND(#REF!="Padrão",$H$4=#REF!),BDI!$B$17,IF(AND(#REF!="Padrão",$H$4=#REF!),BDI!#REF!,IF(AND(#REF!="Diferenciado",$H$4=#REF!),BDI!$E$17,IF(AND(#REF!="Diferenciado",$H$4=#REF!),BDI!#REF!,IF(#REF!="ZERO",0))))),"")</f>
        <v>#REF!</v>
      </c>
      <c r="H116" s="139" t="e">
        <f t="shared" ca="1" si="4"/>
        <v>#REF!</v>
      </c>
      <c r="I116" s="137" t="e">
        <f t="shared" ca="1" si="5"/>
        <v>#REF!</v>
      </c>
      <c r="J116" s="117"/>
    </row>
    <row r="117" spans="1:10" hidden="1" x14ac:dyDescent="0.25">
      <c r="A117" s="114" t="s">
        <v>164</v>
      </c>
      <c r="B117" s="115" t="s">
        <v>1410</v>
      </c>
      <c r="C117" s="116" t="s">
        <v>70</v>
      </c>
      <c r="D117" s="116">
        <v>0</v>
      </c>
      <c r="E117" s="136">
        <f ca="1">OFFSET(INDEX(Composições!A:J,MATCH(Orçamentária!A117,Composições!A:A,0),8),2,0)</f>
        <v>150.9292379</v>
      </c>
      <c r="F117" s="137">
        <f t="shared" ca="1" si="3"/>
        <v>0</v>
      </c>
      <c r="G117" s="138" t="e">
        <f>IF(A117&lt;&gt;"",IF(AND(#REF!="Padrão",$H$4=#REF!),BDI!$B$17,IF(AND(#REF!="Padrão",$H$4=#REF!),BDI!#REF!,IF(AND(#REF!="Diferenciado",$H$4=#REF!),BDI!$E$17,IF(AND(#REF!="Diferenciado",$H$4=#REF!),BDI!#REF!,IF(#REF!="ZERO",0))))),"")</f>
        <v>#REF!</v>
      </c>
      <c r="H117" s="139" t="e">
        <f t="shared" ca="1" si="4"/>
        <v>#REF!</v>
      </c>
      <c r="I117" s="137" t="e">
        <f t="shared" ca="1" si="5"/>
        <v>#REF!</v>
      </c>
      <c r="J117" s="117"/>
    </row>
    <row r="118" spans="1:10" hidden="1" x14ac:dyDescent="0.25">
      <c r="A118" s="114" t="s">
        <v>166</v>
      </c>
      <c r="B118" s="115" t="s">
        <v>1411</v>
      </c>
      <c r="C118" s="116" t="s">
        <v>69</v>
      </c>
      <c r="D118" s="116">
        <v>0</v>
      </c>
      <c r="E118" s="136">
        <f ca="1">OFFSET(INDEX(Composições!A:J,MATCH(Orçamentária!A118,Composições!A:A,0),8),2,0)</f>
        <v>14.525818249999997</v>
      </c>
      <c r="F118" s="137">
        <f t="shared" ca="1" si="3"/>
        <v>0</v>
      </c>
      <c r="G118" s="138" t="e">
        <f>IF(A118&lt;&gt;"",IF(AND(#REF!="Padrão",$H$4=#REF!),BDI!$B$17,IF(AND(#REF!="Padrão",$H$4=#REF!),BDI!#REF!,IF(AND(#REF!="Diferenciado",$H$4=#REF!),BDI!$E$17,IF(AND(#REF!="Diferenciado",$H$4=#REF!),BDI!#REF!,IF(#REF!="ZERO",0))))),"")</f>
        <v>#REF!</v>
      </c>
      <c r="H118" s="139" t="e">
        <f t="shared" ca="1" si="4"/>
        <v>#REF!</v>
      </c>
      <c r="I118" s="137" t="e">
        <f t="shared" ca="1" si="5"/>
        <v>#REF!</v>
      </c>
      <c r="J118" s="117"/>
    </row>
    <row r="119" spans="1:10" hidden="1" x14ac:dyDescent="0.25">
      <c r="A119" s="114" t="s">
        <v>167</v>
      </c>
      <c r="B119" s="115" t="s">
        <v>1412</v>
      </c>
      <c r="C119" s="116" t="s">
        <v>70</v>
      </c>
      <c r="D119" s="116">
        <v>0</v>
      </c>
      <c r="E119" s="136">
        <f ca="1">OFFSET(INDEX(Composições!A:J,MATCH(Orçamentária!A119,Composições!A:A,0),8),2,0)</f>
        <v>60.177122999999987</v>
      </c>
      <c r="F119" s="137">
        <f t="shared" ca="1" si="3"/>
        <v>0</v>
      </c>
      <c r="G119" s="138" t="e">
        <f>IF(A119&lt;&gt;"",IF(AND(#REF!="Padrão",$H$4=#REF!),BDI!$B$17,IF(AND(#REF!="Padrão",$H$4=#REF!),BDI!#REF!,IF(AND(#REF!="Diferenciado",$H$4=#REF!),BDI!$E$17,IF(AND(#REF!="Diferenciado",$H$4=#REF!),BDI!#REF!,IF(#REF!="ZERO",0))))),"")</f>
        <v>#REF!</v>
      </c>
      <c r="H119" s="139" t="e">
        <f t="shared" ca="1" si="4"/>
        <v>#REF!</v>
      </c>
      <c r="I119" s="137" t="e">
        <f t="shared" ca="1" si="5"/>
        <v>#REF!</v>
      </c>
      <c r="J119" s="117"/>
    </row>
    <row r="120" spans="1:10" hidden="1" x14ac:dyDescent="0.25">
      <c r="A120" s="114" t="s">
        <v>169</v>
      </c>
      <c r="B120" s="115" t="s">
        <v>1413</v>
      </c>
      <c r="C120" s="116" t="s">
        <v>70</v>
      </c>
      <c r="D120" s="116">
        <v>0</v>
      </c>
      <c r="E120" s="136">
        <f ca="1">OFFSET(INDEX(Composições!A:J,MATCH(Orçamentária!A120,Composições!A:A,0),8),2,0)</f>
        <v>60.177122999999987</v>
      </c>
      <c r="F120" s="137">
        <f t="shared" ca="1" si="3"/>
        <v>0</v>
      </c>
      <c r="G120" s="138" t="e">
        <f>IF(A120&lt;&gt;"",IF(AND(#REF!="Padrão",$H$4=#REF!),BDI!$B$17,IF(AND(#REF!="Padrão",$H$4=#REF!),BDI!#REF!,IF(AND(#REF!="Diferenciado",$H$4=#REF!),BDI!$E$17,IF(AND(#REF!="Diferenciado",$H$4=#REF!),BDI!#REF!,IF(#REF!="ZERO",0))))),"")</f>
        <v>#REF!</v>
      </c>
      <c r="H120" s="139" t="e">
        <f t="shared" ca="1" si="4"/>
        <v>#REF!</v>
      </c>
      <c r="I120" s="137" t="e">
        <f t="shared" ca="1" si="5"/>
        <v>#REF!</v>
      </c>
      <c r="J120" s="117"/>
    </row>
    <row r="121" spans="1:10" hidden="1" x14ac:dyDescent="0.25">
      <c r="A121" s="114" t="s">
        <v>171</v>
      </c>
      <c r="B121" s="115" t="s">
        <v>1414</v>
      </c>
      <c r="C121" s="116" t="s">
        <v>69</v>
      </c>
      <c r="D121" s="116">
        <v>0</v>
      </c>
      <c r="E121" s="136">
        <f ca="1">OFFSET(INDEX(Composições!A:J,MATCH(Orçamentária!A121,Composições!A:A,0),8),2,0)</f>
        <v>31.998170749999996</v>
      </c>
      <c r="F121" s="137">
        <f t="shared" ca="1" si="3"/>
        <v>0</v>
      </c>
      <c r="G121" s="138" t="e">
        <f>IF(A121&lt;&gt;"",IF(AND(#REF!="Padrão",$H$4=#REF!),BDI!$B$17,IF(AND(#REF!="Padrão",$H$4=#REF!),BDI!#REF!,IF(AND(#REF!="Diferenciado",$H$4=#REF!),BDI!$E$17,IF(AND(#REF!="Diferenciado",$H$4=#REF!),BDI!#REF!,IF(#REF!="ZERO",0))))),"")</f>
        <v>#REF!</v>
      </c>
      <c r="H121" s="139" t="e">
        <f t="shared" ca="1" si="4"/>
        <v>#REF!</v>
      </c>
      <c r="I121" s="137" t="e">
        <f t="shared" ca="1" si="5"/>
        <v>#REF!</v>
      </c>
      <c r="J121" s="117"/>
    </row>
    <row r="122" spans="1:10" hidden="1" x14ac:dyDescent="0.25">
      <c r="A122" s="114" t="s">
        <v>172</v>
      </c>
      <c r="B122" s="115" t="s">
        <v>1415</v>
      </c>
      <c r="C122" s="116" t="s">
        <v>69</v>
      </c>
      <c r="D122" s="116">
        <v>0</v>
      </c>
      <c r="E122" s="136">
        <f ca="1">OFFSET(INDEX(Composições!A:J,MATCH(Orçamentária!A122,Composições!A:A,0),8),2,0)</f>
        <v>54.073999999999998</v>
      </c>
      <c r="F122" s="137">
        <f t="shared" ca="1" si="3"/>
        <v>0</v>
      </c>
      <c r="G122" s="138" t="e">
        <f>IF(A122&lt;&gt;"",IF(AND(#REF!="Padrão",$H$4=#REF!),BDI!$B$17,IF(AND(#REF!="Padrão",$H$4=#REF!),BDI!#REF!,IF(AND(#REF!="Diferenciado",$H$4=#REF!),BDI!$E$17,IF(AND(#REF!="Diferenciado",$H$4=#REF!),BDI!#REF!,IF(#REF!="ZERO",0))))),"")</f>
        <v>#REF!</v>
      </c>
      <c r="H122" s="139" t="e">
        <f t="shared" ca="1" si="4"/>
        <v>#REF!</v>
      </c>
      <c r="I122" s="137" t="e">
        <f t="shared" ca="1" si="5"/>
        <v>#REF!</v>
      </c>
      <c r="J122" s="117"/>
    </row>
    <row r="123" spans="1:10" hidden="1" x14ac:dyDescent="0.25">
      <c r="A123" s="114" t="s">
        <v>173</v>
      </c>
      <c r="B123" s="115" t="s">
        <v>1416</v>
      </c>
      <c r="C123" s="116" t="s">
        <v>69</v>
      </c>
      <c r="D123" s="116">
        <v>0</v>
      </c>
      <c r="E123" s="136">
        <f ca="1">OFFSET(INDEX(Composições!A:J,MATCH(Orçamentária!A123,Composições!A:A,0),8),2,0)</f>
        <v>47.314749999999997</v>
      </c>
      <c r="F123" s="137">
        <f t="shared" ca="1" si="3"/>
        <v>0</v>
      </c>
      <c r="G123" s="138" t="e">
        <f>IF(A123&lt;&gt;"",IF(AND(#REF!="Padrão",$H$4=#REF!),BDI!$B$17,IF(AND(#REF!="Padrão",$H$4=#REF!),BDI!#REF!,IF(AND(#REF!="Diferenciado",$H$4=#REF!),BDI!$E$17,IF(AND(#REF!="Diferenciado",$H$4=#REF!),BDI!#REF!,IF(#REF!="ZERO",0))))),"")</f>
        <v>#REF!</v>
      </c>
      <c r="H123" s="139" t="e">
        <f t="shared" ca="1" si="4"/>
        <v>#REF!</v>
      </c>
      <c r="I123" s="137" t="e">
        <f t="shared" ca="1" si="5"/>
        <v>#REF!</v>
      </c>
      <c r="J123" s="117"/>
    </row>
    <row r="124" spans="1:10" hidden="1" x14ac:dyDescent="0.25">
      <c r="A124" s="114" t="s">
        <v>174</v>
      </c>
      <c r="B124" s="115" t="s">
        <v>1417</v>
      </c>
      <c r="C124" s="116" t="s">
        <v>69</v>
      </c>
      <c r="D124" s="116">
        <v>0</v>
      </c>
      <c r="E124" s="136">
        <f ca="1">OFFSET(INDEX(Composições!A:J,MATCH(Orçamentária!A124,Composições!A:A,0),8),2,0)</f>
        <v>27.036999999999999</v>
      </c>
      <c r="F124" s="137">
        <f t="shared" ca="1" si="3"/>
        <v>0</v>
      </c>
      <c r="G124" s="138" t="e">
        <f>IF(A124&lt;&gt;"",IF(AND(#REF!="Padrão",$H$4=#REF!),BDI!$B$17,IF(AND(#REF!="Padrão",$H$4=#REF!),BDI!#REF!,IF(AND(#REF!="Diferenciado",$H$4=#REF!),BDI!$E$17,IF(AND(#REF!="Diferenciado",$H$4=#REF!),BDI!#REF!,IF(#REF!="ZERO",0))))),"")</f>
        <v>#REF!</v>
      </c>
      <c r="H124" s="139" t="e">
        <f t="shared" ca="1" si="4"/>
        <v>#REF!</v>
      </c>
      <c r="I124" s="137" t="e">
        <f t="shared" ca="1" si="5"/>
        <v>#REF!</v>
      </c>
      <c r="J124" s="117"/>
    </row>
    <row r="125" spans="1:10" hidden="1" x14ac:dyDescent="0.25">
      <c r="A125" s="114" t="s">
        <v>175</v>
      </c>
      <c r="B125" s="115" t="s">
        <v>1418</v>
      </c>
      <c r="C125" s="116" t="s">
        <v>69</v>
      </c>
      <c r="D125" s="116">
        <v>0</v>
      </c>
      <c r="E125" s="136">
        <f ca="1">OFFSET(INDEX(Composições!A:J,MATCH(Orçamentária!A125,Composições!A:A,0),8),2,0)</f>
        <v>33.796250000000001</v>
      </c>
      <c r="F125" s="137">
        <f t="shared" ca="1" si="3"/>
        <v>0</v>
      </c>
      <c r="G125" s="138" t="e">
        <f>IF(A125&lt;&gt;"",IF(AND(#REF!="Padrão",$H$4=#REF!),BDI!$B$17,IF(AND(#REF!="Padrão",$H$4=#REF!),BDI!#REF!,IF(AND(#REF!="Diferenciado",$H$4=#REF!),BDI!$E$17,IF(AND(#REF!="Diferenciado",$H$4=#REF!),BDI!#REF!,IF(#REF!="ZERO",0))))),"")</f>
        <v>#REF!</v>
      </c>
      <c r="H125" s="139" t="e">
        <f t="shared" ca="1" si="4"/>
        <v>#REF!</v>
      </c>
      <c r="I125" s="137" t="e">
        <f t="shared" ca="1" si="5"/>
        <v>#REF!</v>
      </c>
      <c r="J125" s="117"/>
    </row>
    <row r="126" spans="1:10" hidden="1" x14ac:dyDescent="0.25">
      <c r="A126" s="114" t="s">
        <v>176</v>
      </c>
      <c r="B126" s="115" t="s">
        <v>1419</v>
      </c>
      <c r="C126" s="116" t="s">
        <v>16</v>
      </c>
      <c r="D126" s="116">
        <v>0</v>
      </c>
      <c r="E126" s="136">
        <f ca="1">OFFSET(INDEX(Composições!A:J,MATCH(Orçamentária!A126,Composições!A:A,0),8),2,0)</f>
        <v>113.715</v>
      </c>
      <c r="F126" s="137">
        <f t="shared" ca="1" si="3"/>
        <v>0</v>
      </c>
      <c r="G126" s="138" t="e">
        <f>IF(A126&lt;&gt;"",IF(AND(#REF!="Padrão",$H$4=#REF!),BDI!$B$17,IF(AND(#REF!="Padrão",$H$4=#REF!),BDI!#REF!,IF(AND(#REF!="Diferenciado",$H$4=#REF!),BDI!$E$17,IF(AND(#REF!="Diferenciado",$H$4=#REF!),BDI!#REF!,IF(#REF!="ZERO",0))))),"")</f>
        <v>#REF!</v>
      </c>
      <c r="H126" s="139" t="e">
        <f t="shared" ca="1" si="4"/>
        <v>#REF!</v>
      </c>
      <c r="I126" s="137" t="e">
        <f t="shared" ca="1" si="5"/>
        <v>#REF!</v>
      </c>
      <c r="J126" s="117"/>
    </row>
    <row r="127" spans="1:10" ht="25.5" hidden="1" x14ac:dyDescent="0.25">
      <c r="A127" s="114" t="s">
        <v>178</v>
      </c>
      <c r="B127" s="115" t="s">
        <v>1420</v>
      </c>
      <c r="C127" s="116" t="s">
        <v>16</v>
      </c>
      <c r="D127" s="116">
        <v>0</v>
      </c>
      <c r="E127" s="136">
        <f ca="1">OFFSET(INDEX(Composições!A:J,MATCH(Orçamentária!A127,Composições!A:A,0),8),2,0)</f>
        <v>17.052499999999998</v>
      </c>
      <c r="F127" s="137">
        <f t="shared" ca="1" si="3"/>
        <v>0</v>
      </c>
      <c r="G127" s="138" t="e">
        <f>IF(A127&lt;&gt;"",IF(AND(#REF!="Padrão",$H$4=#REF!),BDI!$B$17,IF(AND(#REF!="Padrão",$H$4=#REF!),BDI!#REF!,IF(AND(#REF!="Diferenciado",$H$4=#REF!),BDI!$E$17,IF(AND(#REF!="Diferenciado",$H$4=#REF!),BDI!#REF!,IF(#REF!="ZERO",0))))),"")</f>
        <v>#REF!</v>
      </c>
      <c r="H127" s="139" t="e">
        <f t="shared" ca="1" si="4"/>
        <v>#REF!</v>
      </c>
      <c r="I127" s="137" t="e">
        <f t="shared" ca="1" si="5"/>
        <v>#REF!</v>
      </c>
      <c r="J127" s="117"/>
    </row>
    <row r="128" spans="1:10" hidden="1" x14ac:dyDescent="0.25">
      <c r="A128" s="114" t="s">
        <v>179</v>
      </c>
      <c r="B128" s="115" t="s">
        <v>7554</v>
      </c>
      <c r="C128" s="116" t="s">
        <v>70</v>
      </c>
      <c r="D128" s="116">
        <v>0</v>
      </c>
      <c r="E128" s="136">
        <f ca="1">OFFSET(INDEX(Composições!A:J,MATCH(Orçamentária!A128,Composições!A:A,0),8),2,0)</f>
        <v>87.250325599999996</v>
      </c>
      <c r="F128" s="137">
        <f t="shared" ca="1" si="3"/>
        <v>0</v>
      </c>
      <c r="G128" s="138" t="e">
        <f>IF(A128&lt;&gt;"",IF(AND(#REF!="Padrão",$H$4=#REF!),BDI!$B$17,IF(AND(#REF!="Padrão",$H$4=#REF!),BDI!#REF!,IF(AND(#REF!="Diferenciado",$H$4=#REF!),BDI!$E$17,IF(AND(#REF!="Diferenciado",$H$4=#REF!),BDI!#REF!,IF(#REF!="ZERO",0))))),"")</f>
        <v>#REF!</v>
      </c>
      <c r="H128" s="139" t="e">
        <f t="shared" ca="1" si="4"/>
        <v>#REF!</v>
      </c>
      <c r="I128" s="137" t="e">
        <f t="shared" ca="1" si="5"/>
        <v>#REF!</v>
      </c>
      <c r="J128" s="117"/>
    </row>
    <row r="129" spans="1:10" hidden="1" x14ac:dyDescent="0.25">
      <c r="A129" s="114" t="s">
        <v>181</v>
      </c>
      <c r="B129" s="115" t="s">
        <v>7555</v>
      </c>
      <c r="C129" s="116" t="s">
        <v>70</v>
      </c>
      <c r="D129" s="116">
        <v>0</v>
      </c>
      <c r="E129" s="136">
        <f ca="1">OFFSET(INDEX(Composições!A:J,MATCH(Orçamentária!A129,Composições!A:A,0),8),2,0)</f>
        <v>155.11190929999998</v>
      </c>
      <c r="F129" s="137">
        <f t="shared" ca="1" si="3"/>
        <v>0</v>
      </c>
      <c r="G129" s="138" t="e">
        <f>IF(A129&lt;&gt;"",IF(AND(#REF!="Padrão",$H$4=#REF!),BDI!$B$17,IF(AND(#REF!="Padrão",$H$4=#REF!),BDI!#REF!,IF(AND(#REF!="Diferenciado",$H$4=#REF!),BDI!$E$17,IF(AND(#REF!="Diferenciado",$H$4=#REF!),BDI!#REF!,IF(#REF!="ZERO",0))))),"")</f>
        <v>#REF!</v>
      </c>
      <c r="H129" s="139" t="e">
        <f t="shared" ca="1" si="4"/>
        <v>#REF!</v>
      </c>
      <c r="I129" s="137" t="e">
        <f t="shared" ca="1" si="5"/>
        <v>#REF!</v>
      </c>
      <c r="J129" s="117"/>
    </row>
    <row r="130" spans="1:10" hidden="1" x14ac:dyDescent="0.25">
      <c r="A130" s="114" t="s">
        <v>183</v>
      </c>
      <c r="B130" s="115" t="s">
        <v>7556</v>
      </c>
      <c r="C130" s="116" t="s">
        <v>70</v>
      </c>
      <c r="D130" s="116">
        <v>0</v>
      </c>
      <c r="E130" s="136">
        <f ca="1">OFFSET(INDEX(Composições!A:J,MATCH(Orçamentária!A130,Composições!A:A,0),8),2,0)</f>
        <v>111.88545199999999</v>
      </c>
      <c r="F130" s="137">
        <f t="shared" ca="1" si="3"/>
        <v>0</v>
      </c>
      <c r="G130" s="138" t="e">
        <f>IF(A130&lt;&gt;"",IF(AND(#REF!="Padrão",$H$4=#REF!),BDI!$B$17,IF(AND(#REF!="Padrão",$H$4=#REF!),BDI!#REF!,IF(AND(#REF!="Diferenciado",$H$4=#REF!),BDI!$E$17,IF(AND(#REF!="Diferenciado",$H$4=#REF!),BDI!#REF!,IF(#REF!="ZERO",0))))),"")</f>
        <v>#REF!</v>
      </c>
      <c r="H130" s="139" t="e">
        <f t="shared" ca="1" si="4"/>
        <v>#REF!</v>
      </c>
      <c r="I130" s="137" t="e">
        <f t="shared" ca="1" si="5"/>
        <v>#REF!</v>
      </c>
      <c r="J130" s="117"/>
    </row>
    <row r="131" spans="1:10" hidden="1" x14ac:dyDescent="0.25">
      <c r="A131" s="114" t="s">
        <v>185</v>
      </c>
      <c r="B131" s="115" t="s">
        <v>7557</v>
      </c>
      <c r="C131" s="116" t="s">
        <v>70</v>
      </c>
      <c r="D131" s="116">
        <v>0</v>
      </c>
      <c r="E131" s="136">
        <f ca="1">OFFSET(INDEX(Composições!A:J,MATCH(Orçamentária!A131,Composições!A:A,0),8),2,0)</f>
        <v>87.250325599999996</v>
      </c>
      <c r="F131" s="137">
        <f t="shared" ca="1" si="3"/>
        <v>0</v>
      </c>
      <c r="G131" s="138" t="e">
        <f>IF(A131&lt;&gt;"",IF(AND(#REF!="Padrão",$H$4=#REF!),BDI!$B$17,IF(AND(#REF!="Padrão",$H$4=#REF!),BDI!#REF!,IF(AND(#REF!="Diferenciado",$H$4=#REF!),BDI!$E$17,IF(AND(#REF!="Diferenciado",$H$4=#REF!),BDI!#REF!,IF(#REF!="ZERO",0))))),"")</f>
        <v>#REF!</v>
      </c>
      <c r="H131" s="139" t="e">
        <f t="shared" ca="1" si="4"/>
        <v>#REF!</v>
      </c>
      <c r="I131" s="137" t="e">
        <f t="shared" ca="1" si="5"/>
        <v>#REF!</v>
      </c>
      <c r="J131" s="117"/>
    </row>
    <row r="132" spans="1:10" hidden="1" x14ac:dyDescent="0.25">
      <c r="A132" s="114" t="s">
        <v>187</v>
      </c>
      <c r="B132" s="115" t="s">
        <v>7558</v>
      </c>
      <c r="C132" s="116" t="s">
        <v>70</v>
      </c>
      <c r="D132" s="116">
        <v>0</v>
      </c>
      <c r="E132" s="136">
        <f ca="1">OFFSET(INDEX(Composições!A:J,MATCH(Orçamentária!A132,Composições!A:A,0),8),2,0)</f>
        <v>155.11190929999998</v>
      </c>
      <c r="F132" s="137">
        <f t="shared" ca="1" si="3"/>
        <v>0</v>
      </c>
      <c r="G132" s="138" t="e">
        <f>IF(A132&lt;&gt;"",IF(AND(#REF!="Padrão",$H$4=#REF!),BDI!$B$17,IF(AND(#REF!="Padrão",$H$4=#REF!),BDI!#REF!,IF(AND(#REF!="Diferenciado",$H$4=#REF!),BDI!$E$17,IF(AND(#REF!="Diferenciado",$H$4=#REF!),BDI!#REF!,IF(#REF!="ZERO",0))))),"")</f>
        <v>#REF!</v>
      </c>
      <c r="H132" s="139" t="e">
        <f t="shared" ca="1" si="4"/>
        <v>#REF!</v>
      </c>
      <c r="I132" s="137" t="e">
        <f t="shared" ca="1" si="5"/>
        <v>#REF!</v>
      </c>
      <c r="J132" s="117"/>
    </row>
    <row r="133" spans="1:10" hidden="1" x14ac:dyDescent="0.25">
      <c r="A133" s="114" t="s">
        <v>189</v>
      </c>
      <c r="B133" s="115" t="s">
        <v>1421</v>
      </c>
      <c r="C133" s="116" t="s">
        <v>70</v>
      </c>
      <c r="D133" s="116">
        <v>0</v>
      </c>
      <c r="E133" s="136">
        <f ca="1">OFFSET(INDEX(Composições!A:J,MATCH(Orçamentária!A133,Composições!A:A,0),8),2,0)</f>
        <v>155.11190929999998</v>
      </c>
      <c r="F133" s="137">
        <f t="shared" ca="1" si="3"/>
        <v>0</v>
      </c>
      <c r="G133" s="138" t="e">
        <f>IF(A133&lt;&gt;"",IF(AND(#REF!="Padrão",$H$4=#REF!),BDI!$B$17,IF(AND(#REF!="Padrão",$H$4=#REF!),BDI!#REF!,IF(AND(#REF!="Diferenciado",$H$4=#REF!),BDI!$E$17,IF(AND(#REF!="Diferenciado",$H$4=#REF!),BDI!#REF!,IF(#REF!="ZERO",0))))),"")</f>
        <v>#REF!</v>
      </c>
      <c r="H133" s="139" t="e">
        <f t="shared" ca="1" si="4"/>
        <v>#REF!</v>
      </c>
      <c r="I133" s="137" t="e">
        <f t="shared" ca="1" si="5"/>
        <v>#REF!</v>
      </c>
      <c r="J133" s="117"/>
    </row>
    <row r="134" spans="1:10" hidden="1" x14ac:dyDescent="0.25">
      <c r="A134" s="114" t="s">
        <v>190</v>
      </c>
      <c r="B134" s="115" t="s">
        <v>5422</v>
      </c>
      <c r="C134" s="116" t="s">
        <v>70</v>
      </c>
      <c r="D134" s="116">
        <v>0</v>
      </c>
      <c r="E134" s="136">
        <f ca="1">OFFSET(INDEX(Composições!A:J,MATCH(Orçamentária!A134,Composições!A:A,0),8),2,0)</f>
        <v>13.087674999999997</v>
      </c>
      <c r="F134" s="137">
        <f t="shared" ca="1" si="3"/>
        <v>0</v>
      </c>
      <c r="G134" s="138" t="e">
        <f>IF(A134&lt;&gt;"",IF(AND(#REF!="Padrão",$H$4=#REF!),BDI!$B$17,IF(AND(#REF!="Padrão",$H$4=#REF!),BDI!#REF!,IF(AND(#REF!="Diferenciado",$H$4=#REF!),BDI!$E$17,IF(AND(#REF!="Diferenciado",$H$4=#REF!),BDI!#REF!,IF(#REF!="ZERO",0))))),"")</f>
        <v>#REF!</v>
      </c>
      <c r="H134" s="139" t="e">
        <f t="shared" ca="1" si="4"/>
        <v>#REF!</v>
      </c>
      <c r="I134" s="137" t="e">
        <f t="shared" ca="1" si="5"/>
        <v>#REF!</v>
      </c>
      <c r="J134" s="117"/>
    </row>
    <row r="135" spans="1:10" hidden="1" x14ac:dyDescent="0.25">
      <c r="A135" s="114" t="s">
        <v>191</v>
      </c>
      <c r="B135" s="115" t="s">
        <v>1422</v>
      </c>
      <c r="C135" s="116" t="s">
        <v>70</v>
      </c>
      <c r="D135" s="116">
        <v>0</v>
      </c>
      <c r="E135" s="136">
        <f ca="1">OFFSET(INDEX(Composições!A:J,MATCH(Orçamentária!A135,Composições!A:A,0),8),2,0)</f>
        <v>59.69300299999999</v>
      </c>
      <c r="F135" s="137">
        <f t="shared" ref="F135:F198" ca="1" si="6">IF(ISNUMBER(E135),D135*E135,"")</f>
        <v>0</v>
      </c>
      <c r="G135" s="138" t="e">
        <f>IF(A135&lt;&gt;"",IF(AND(#REF!="Padrão",$H$4=#REF!),BDI!$B$17,IF(AND(#REF!="Padrão",$H$4=#REF!),BDI!#REF!,IF(AND(#REF!="Diferenciado",$H$4=#REF!),BDI!$E$17,IF(AND(#REF!="Diferenciado",$H$4=#REF!),BDI!#REF!,IF(#REF!="ZERO",0))))),"")</f>
        <v>#REF!</v>
      </c>
      <c r="H135" s="139" t="e">
        <f t="shared" ref="H135:H198" ca="1" si="7">IF(ISNUMBER(E135),ROUND(E135*(1+G135),2),"")</f>
        <v>#REF!</v>
      </c>
      <c r="I135" s="137" t="e">
        <f t="shared" ref="I135:I198" ca="1" si="8">IF(ISNUMBER(E135),ROUND(H135*D135,2),"")</f>
        <v>#REF!</v>
      </c>
      <c r="J135" s="117"/>
    </row>
    <row r="136" spans="1:10" hidden="1" x14ac:dyDescent="0.25">
      <c r="A136" s="114" t="s">
        <v>192</v>
      </c>
      <c r="B136" s="115" t="s">
        <v>7559</v>
      </c>
      <c r="C136" s="116" t="s">
        <v>70</v>
      </c>
      <c r="D136" s="116">
        <v>0</v>
      </c>
      <c r="E136" s="136">
        <f ca="1">OFFSET(INDEX(Composições!A:J,MATCH(Orçamentária!A136,Composições!A:A,0),8),2,0)</f>
        <v>60.177122999999987</v>
      </c>
      <c r="F136" s="137">
        <f t="shared" ca="1" si="6"/>
        <v>0</v>
      </c>
      <c r="G136" s="138" t="e">
        <f>IF(A136&lt;&gt;"",IF(AND(#REF!="Padrão",$H$4=#REF!),BDI!$B$17,IF(AND(#REF!="Padrão",$H$4=#REF!),BDI!#REF!,IF(AND(#REF!="Diferenciado",$H$4=#REF!),BDI!$E$17,IF(AND(#REF!="Diferenciado",$H$4=#REF!),BDI!#REF!,IF(#REF!="ZERO",0))))),"")</f>
        <v>#REF!</v>
      </c>
      <c r="H136" s="139" t="e">
        <f t="shared" ca="1" si="7"/>
        <v>#REF!</v>
      </c>
      <c r="I136" s="137" t="e">
        <f t="shared" ca="1" si="8"/>
        <v>#REF!</v>
      </c>
      <c r="J136" s="117"/>
    </row>
    <row r="137" spans="1:10" hidden="1" x14ac:dyDescent="0.25">
      <c r="A137" s="114" t="s">
        <v>1423</v>
      </c>
      <c r="B137" s="115" t="s">
        <v>1424</v>
      </c>
      <c r="C137" s="116" t="s">
        <v>70</v>
      </c>
      <c r="D137" s="116">
        <v>0</v>
      </c>
      <c r="E137" s="136" t="s">
        <v>416</v>
      </c>
      <c r="F137" s="137" t="str">
        <f t="shared" si="6"/>
        <v/>
      </c>
      <c r="G137" s="138" t="e">
        <f>IF(A137&lt;&gt;"",IF(AND(#REF!="Padrão",$H$4=#REF!),BDI!$B$17,IF(AND(#REF!="Padrão",$H$4=#REF!),BDI!#REF!,IF(AND(#REF!="Diferenciado",$H$4=#REF!),BDI!$E$17,IF(AND(#REF!="Diferenciado",$H$4=#REF!),BDI!#REF!,IF(#REF!="ZERO",0))))),"")</f>
        <v>#REF!</v>
      </c>
      <c r="H137" s="139" t="str">
        <f t="shared" si="7"/>
        <v/>
      </c>
      <c r="I137" s="137" t="str">
        <f t="shared" si="8"/>
        <v/>
      </c>
      <c r="J137" s="117"/>
    </row>
    <row r="138" spans="1:10" ht="25.5" hidden="1" x14ac:dyDescent="0.25">
      <c r="A138" s="114" t="s">
        <v>1425</v>
      </c>
      <c r="B138" s="115" t="s">
        <v>1426</v>
      </c>
      <c r="C138" s="116" t="s">
        <v>70</v>
      </c>
      <c r="D138" s="116">
        <v>0</v>
      </c>
      <c r="E138" s="136" t="s">
        <v>416</v>
      </c>
      <c r="F138" s="137" t="str">
        <f t="shared" si="6"/>
        <v/>
      </c>
      <c r="G138" s="138" t="e">
        <f>IF(A138&lt;&gt;"",IF(AND(#REF!="Padrão",$H$4=#REF!),BDI!$B$17,IF(AND(#REF!="Padrão",$H$4=#REF!),BDI!#REF!,IF(AND(#REF!="Diferenciado",$H$4=#REF!),BDI!$E$17,IF(AND(#REF!="Diferenciado",$H$4=#REF!),BDI!#REF!,IF(#REF!="ZERO",0))))),"")</f>
        <v>#REF!</v>
      </c>
      <c r="H138" s="139" t="str">
        <f t="shared" si="7"/>
        <v/>
      </c>
      <c r="I138" s="137" t="str">
        <f t="shared" si="8"/>
        <v/>
      </c>
      <c r="J138" s="117"/>
    </row>
    <row r="139" spans="1:10" hidden="1" x14ac:dyDescent="0.25">
      <c r="A139" s="114" t="s">
        <v>1427</v>
      </c>
      <c r="B139" s="115" t="s">
        <v>1428</v>
      </c>
      <c r="C139" s="116" t="s">
        <v>70</v>
      </c>
      <c r="D139" s="116">
        <v>0</v>
      </c>
      <c r="E139" s="136" t="s">
        <v>416</v>
      </c>
      <c r="F139" s="137" t="str">
        <f t="shared" si="6"/>
        <v/>
      </c>
      <c r="G139" s="138" t="e">
        <f>IF(A139&lt;&gt;"",IF(AND(#REF!="Padrão",$H$4=#REF!),BDI!$B$17,IF(AND(#REF!="Padrão",$H$4=#REF!),BDI!#REF!,IF(AND(#REF!="Diferenciado",$H$4=#REF!),BDI!$E$17,IF(AND(#REF!="Diferenciado",$H$4=#REF!),BDI!#REF!,IF(#REF!="ZERO",0))))),"")</f>
        <v>#REF!</v>
      </c>
      <c r="H139" s="139" t="str">
        <f t="shared" si="7"/>
        <v/>
      </c>
      <c r="I139" s="137" t="str">
        <f t="shared" si="8"/>
        <v/>
      </c>
      <c r="J139" s="117"/>
    </row>
    <row r="140" spans="1:10" hidden="1" x14ac:dyDescent="0.25">
      <c r="A140" s="114" t="s">
        <v>1429</v>
      </c>
      <c r="B140" s="115" t="s">
        <v>1430</v>
      </c>
      <c r="C140" s="116" t="s">
        <v>70</v>
      </c>
      <c r="D140" s="116">
        <v>0</v>
      </c>
      <c r="E140" s="136" t="s">
        <v>416</v>
      </c>
      <c r="F140" s="137" t="str">
        <f t="shared" si="6"/>
        <v/>
      </c>
      <c r="G140" s="138" t="e">
        <f>IF(A140&lt;&gt;"",IF(AND(#REF!="Padrão",$H$4=#REF!),BDI!$B$17,IF(AND(#REF!="Padrão",$H$4=#REF!),BDI!#REF!,IF(AND(#REF!="Diferenciado",$H$4=#REF!),BDI!$E$17,IF(AND(#REF!="Diferenciado",$H$4=#REF!),BDI!#REF!,IF(#REF!="ZERO",0))))),"")</f>
        <v>#REF!</v>
      </c>
      <c r="H140" s="139" t="str">
        <f t="shared" si="7"/>
        <v/>
      </c>
      <c r="I140" s="137" t="str">
        <f t="shared" si="8"/>
        <v/>
      </c>
      <c r="J140" s="117"/>
    </row>
    <row r="141" spans="1:10" hidden="1" x14ac:dyDescent="0.25">
      <c r="A141" s="114" t="s">
        <v>1431</v>
      </c>
      <c r="B141" s="115" t="s">
        <v>1432</v>
      </c>
      <c r="C141" s="116" t="s">
        <v>70</v>
      </c>
      <c r="D141" s="116">
        <v>0</v>
      </c>
      <c r="E141" s="136" t="s">
        <v>416</v>
      </c>
      <c r="F141" s="137" t="str">
        <f t="shared" si="6"/>
        <v/>
      </c>
      <c r="G141" s="138" t="e">
        <f>IF(A141&lt;&gt;"",IF(AND(#REF!="Padrão",$H$4=#REF!),BDI!$B$17,IF(AND(#REF!="Padrão",$H$4=#REF!),BDI!#REF!,IF(AND(#REF!="Diferenciado",$H$4=#REF!),BDI!$E$17,IF(AND(#REF!="Diferenciado",$H$4=#REF!),BDI!#REF!,IF(#REF!="ZERO",0))))),"")</f>
        <v>#REF!</v>
      </c>
      <c r="H141" s="139" t="str">
        <f t="shared" si="7"/>
        <v/>
      </c>
      <c r="I141" s="137" t="str">
        <f t="shared" si="8"/>
        <v/>
      </c>
      <c r="J141" s="117"/>
    </row>
    <row r="142" spans="1:10" hidden="1" x14ac:dyDescent="0.25">
      <c r="A142" s="114" t="s">
        <v>1433</v>
      </c>
      <c r="B142" s="115" t="s">
        <v>1434</v>
      </c>
      <c r="C142" s="116" t="s">
        <v>70</v>
      </c>
      <c r="D142" s="116">
        <v>0</v>
      </c>
      <c r="E142" s="136" t="s">
        <v>416</v>
      </c>
      <c r="F142" s="137" t="str">
        <f t="shared" si="6"/>
        <v/>
      </c>
      <c r="G142" s="138" t="e">
        <f>IF(A142&lt;&gt;"",IF(AND(#REF!="Padrão",$H$4=#REF!),BDI!$B$17,IF(AND(#REF!="Padrão",$H$4=#REF!),BDI!#REF!,IF(AND(#REF!="Diferenciado",$H$4=#REF!),BDI!$E$17,IF(AND(#REF!="Diferenciado",$H$4=#REF!),BDI!#REF!,IF(#REF!="ZERO",0))))),"")</f>
        <v>#REF!</v>
      </c>
      <c r="H142" s="139" t="str">
        <f t="shared" si="7"/>
        <v/>
      </c>
      <c r="I142" s="137" t="str">
        <f t="shared" si="8"/>
        <v/>
      </c>
      <c r="J142" s="117"/>
    </row>
    <row r="143" spans="1:10" hidden="1" x14ac:dyDescent="0.25">
      <c r="A143" s="114" t="s">
        <v>194</v>
      </c>
      <c r="B143" s="115" t="s">
        <v>1435</v>
      </c>
      <c r="C143" s="116" t="s">
        <v>70</v>
      </c>
      <c r="D143" s="116">
        <v>0</v>
      </c>
      <c r="E143" s="136">
        <f ca="1">OFFSET(INDEX(Composições!A:J,MATCH(Orçamentária!A143,Composições!A:A,0),8),2,0)</f>
        <v>0</v>
      </c>
      <c r="F143" s="137">
        <f t="shared" ca="1" si="6"/>
        <v>0</v>
      </c>
      <c r="G143" s="138" t="e">
        <f>IF(A143&lt;&gt;"",IF(AND(#REF!="Padrão",$H$4=#REF!),BDI!$B$17,IF(AND(#REF!="Padrão",$H$4=#REF!),BDI!#REF!,IF(AND(#REF!="Diferenciado",$H$4=#REF!),BDI!$E$17,IF(AND(#REF!="Diferenciado",$H$4=#REF!),BDI!#REF!,IF(#REF!="ZERO",0))))),"")</f>
        <v>#REF!</v>
      </c>
      <c r="H143" s="139" t="e">
        <f t="shared" ca="1" si="7"/>
        <v>#REF!</v>
      </c>
      <c r="I143" s="137" t="e">
        <f t="shared" ca="1" si="8"/>
        <v>#REF!</v>
      </c>
      <c r="J143" s="117"/>
    </row>
    <row r="144" spans="1:10" hidden="1" x14ac:dyDescent="0.25">
      <c r="A144" s="114" t="s">
        <v>196</v>
      </c>
      <c r="B144" s="115" t="s">
        <v>1436</v>
      </c>
      <c r="C144" s="116" t="s">
        <v>70</v>
      </c>
      <c r="D144" s="116">
        <v>0</v>
      </c>
      <c r="E144" s="136">
        <f ca="1">OFFSET(INDEX(Composições!A:J,MATCH(Orçamentária!A144,Composições!A:A,0),8),2,0)</f>
        <v>67.769769999999994</v>
      </c>
      <c r="F144" s="137">
        <f t="shared" ca="1" si="6"/>
        <v>0</v>
      </c>
      <c r="G144" s="138" t="e">
        <f>IF(A144&lt;&gt;"",IF(AND(#REF!="Padrão",$H$4=#REF!),BDI!$B$17,IF(AND(#REF!="Padrão",$H$4=#REF!),BDI!#REF!,IF(AND(#REF!="Diferenciado",$H$4=#REF!),BDI!$E$17,IF(AND(#REF!="Diferenciado",$H$4=#REF!),BDI!#REF!,IF(#REF!="ZERO",0))))),"")</f>
        <v>#REF!</v>
      </c>
      <c r="H144" s="139" t="e">
        <f t="shared" ca="1" si="7"/>
        <v>#REF!</v>
      </c>
      <c r="I144" s="137" t="e">
        <f t="shared" ca="1" si="8"/>
        <v>#REF!</v>
      </c>
      <c r="J144" s="117"/>
    </row>
    <row r="145" spans="1:10" hidden="1" x14ac:dyDescent="0.25">
      <c r="A145" s="114" t="s">
        <v>198</v>
      </c>
      <c r="B145" s="115" t="s">
        <v>7560</v>
      </c>
      <c r="C145" s="116" t="s">
        <v>70</v>
      </c>
      <c r="D145" s="116">
        <v>0</v>
      </c>
      <c r="E145" s="136">
        <f ca="1">OFFSET(INDEX(Composições!A:J,MATCH(Orçamentária!A145,Composições!A:A,0),8),2,0)</f>
        <v>63.404395549999997</v>
      </c>
      <c r="F145" s="137">
        <f t="shared" ca="1" si="6"/>
        <v>0</v>
      </c>
      <c r="G145" s="138" t="e">
        <f>IF(A145&lt;&gt;"",IF(AND(#REF!="Padrão",$H$4=#REF!),BDI!$B$17,IF(AND(#REF!="Padrão",$H$4=#REF!),BDI!#REF!,IF(AND(#REF!="Diferenciado",$H$4=#REF!),BDI!$E$17,IF(AND(#REF!="Diferenciado",$H$4=#REF!),BDI!#REF!,IF(#REF!="ZERO",0))))),"")</f>
        <v>#REF!</v>
      </c>
      <c r="H145" s="139" t="e">
        <f t="shared" ca="1" si="7"/>
        <v>#REF!</v>
      </c>
      <c r="I145" s="137" t="e">
        <f t="shared" ca="1" si="8"/>
        <v>#REF!</v>
      </c>
      <c r="J145" s="117"/>
    </row>
    <row r="146" spans="1:10" hidden="1" x14ac:dyDescent="0.25">
      <c r="A146" s="114" t="s">
        <v>202</v>
      </c>
      <c r="B146" s="115" t="s">
        <v>7561</v>
      </c>
      <c r="C146" s="116" t="s">
        <v>70</v>
      </c>
      <c r="D146" s="116">
        <v>0</v>
      </c>
      <c r="E146" s="136">
        <f ca="1">OFFSET(INDEX(Composições!A:J,MATCH(Orçamentária!A146,Composições!A:A,0),8),2,0)</f>
        <v>28.624687499999993</v>
      </c>
      <c r="F146" s="137">
        <f t="shared" ca="1" si="6"/>
        <v>0</v>
      </c>
      <c r="G146" s="138" t="e">
        <f>IF(A146&lt;&gt;"",IF(AND(#REF!="Padrão",$H$4=#REF!),BDI!$B$17,IF(AND(#REF!="Padrão",$H$4=#REF!),BDI!#REF!,IF(AND(#REF!="Diferenciado",$H$4=#REF!),BDI!$E$17,IF(AND(#REF!="Diferenciado",$H$4=#REF!),BDI!#REF!,IF(#REF!="ZERO",0))))),"")</f>
        <v>#REF!</v>
      </c>
      <c r="H146" s="139" t="e">
        <f t="shared" ca="1" si="7"/>
        <v>#REF!</v>
      </c>
      <c r="I146" s="137" t="e">
        <f t="shared" ca="1" si="8"/>
        <v>#REF!</v>
      </c>
      <c r="J146" s="117"/>
    </row>
    <row r="147" spans="1:10" hidden="1" x14ac:dyDescent="0.25">
      <c r="A147" s="114" t="s">
        <v>203</v>
      </c>
      <c r="B147" s="115" t="s">
        <v>1437</v>
      </c>
      <c r="C147" s="116" t="s">
        <v>70</v>
      </c>
      <c r="D147" s="116">
        <v>0</v>
      </c>
      <c r="E147" s="136">
        <f ca="1">OFFSET(INDEX(Composições!A:J,MATCH(Orçamentária!A147,Composições!A:A,0),8),2,0)</f>
        <v>38.424715549999995</v>
      </c>
      <c r="F147" s="137">
        <f t="shared" ca="1" si="6"/>
        <v>0</v>
      </c>
      <c r="G147" s="138" t="e">
        <f>IF(A147&lt;&gt;"",IF(AND(#REF!="Padrão",$H$4=#REF!),BDI!$B$17,IF(AND(#REF!="Padrão",$H$4=#REF!),BDI!#REF!,IF(AND(#REF!="Diferenciado",$H$4=#REF!),BDI!$E$17,IF(AND(#REF!="Diferenciado",$H$4=#REF!),BDI!#REF!,IF(#REF!="ZERO",0))))),"")</f>
        <v>#REF!</v>
      </c>
      <c r="H147" s="139" t="e">
        <f t="shared" ca="1" si="7"/>
        <v>#REF!</v>
      </c>
      <c r="I147" s="137" t="e">
        <f t="shared" ca="1" si="8"/>
        <v>#REF!</v>
      </c>
      <c r="J147" s="117"/>
    </row>
    <row r="148" spans="1:10" hidden="1" x14ac:dyDescent="0.25">
      <c r="A148" s="114" t="s">
        <v>205</v>
      </c>
      <c r="B148" s="115" t="s">
        <v>1438</v>
      </c>
      <c r="C148" s="116" t="s">
        <v>70</v>
      </c>
      <c r="D148" s="116">
        <v>0</v>
      </c>
      <c r="E148" s="136">
        <f ca="1">OFFSET(INDEX(Composições!A:J,MATCH(Orçamentária!A148,Composições!A:A,0),8),2,0)</f>
        <v>21.940249999999999</v>
      </c>
      <c r="F148" s="137">
        <f t="shared" ca="1" si="6"/>
        <v>0</v>
      </c>
      <c r="G148" s="138" t="e">
        <f>IF(A148&lt;&gt;"",IF(AND(#REF!="Padrão",$H$4=#REF!),BDI!$B$17,IF(AND(#REF!="Padrão",$H$4=#REF!),BDI!#REF!,IF(AND(#REF!="Diferenciado",$H$4=#REF!),BDI!$E$17,IF(AND(#REF!="Diferenciado",$H$4=#REF!),BDI!#REF!,IF(#REF!="ZERO",0))))),"")</f>
        <v>#REF!</v>
      </c>
      <c r="H148" s="139" t="e">
        <f t="shared" ca="1" si="7"/>
        <v>#REF!</v>
      </c>
      <c r="I148" s="137" t="e">
        <f t="shared" ca="1" si="8"/>
        <v>#REF!</v>
      </c>
      <c r="J148" s="117"/>
    </row>
    <row r="149" spans="1:10" x14ac:dyDescent="0.25">
      <c r="A149" s="189" t="s">
        <v>208</v>
      </c>
      <c r="B149" s="190" t="s">
        <v>1439</v>
      </c>
      <c r="C149" s="191" t="s">
        <v>70</v>
      </c>
      <c r="D149" s="191">
        <v>356</v>
      </c>
      <c r="E149" s="136">
        <f ca="1">OFFSET(INDEX(Composições!A:J,MATCH(Orçamentária!A149,Composições!A:A,0),8),2,0)</f>
        <v>66.545316899999989</v>
      </c>
      <c r="F149" s="137">
        <f t="shared" ca="1" si="6"/>
        <v>23690.132816399997</v>
      </c>
      <c r="G149" s="138">
        <f>BDI!$B$17</f>
        <v>0.191</v>
      </c>
      <c r="H149" s="139">
        <f t="shared" ca="1" si="7"/>
        <v>79.260000000000005</v>
      </c>
      <c r="I149" s="137">
        <f t="shared" ca="1" si="8"/>
        <v>28216.560000000001</v>
      </c>
      <c r="J149" s="117"/>
    </row>
    <row r="150" spans="1:10" hidden="1" x14ac:dyDescent="0.25">
      <c r="A150" s="114" t="s">
        <v>209</v>
      </c>
      <c r="B150" s="115" t="s">
        <v>1440</v>
      </c>
      <c r="C150" s="116" t="s">
        <v>70</v>
      </c>
      <c r="D150" s="116">
        <v>0</v>
      </c>
      <c r="E150" s="136">
        <f ca="1">OFFSET(INDEX(Composições!A:J,MATCH(Orçamentária!A150,Composições!A:A,0),8),2,0)</f>
        <v>40.584372399999999</v>
      </c>
      <c r="F150" s="137">
        <f t="shared" ca="1" si="6"/>
        <v>0</v>
      </c>
      <c r="G150" s="138" t="e">
        <f>IF(A150&lt;&gt;"",IF(AND(#REF!="Padrão",$H$4=#REF!),BDI!$B$17,IF(AND(#REF!="Padrão",$H$4=#REF!),BDI!#REF!,IF(AND(#REF!="Diferenciado",$H$4=#REF!),BDI!$E$17,IF(AND(#REF!="Diferenciado",$H$4=#REF!),BDI!#REF!,IF(#REF!="ZERO",0))))),"")</f>
        <v>#REF!</v>
      </c>
      <c r="H150" s="139" t="e">
        <f t="shared" ca="1" si="7"/>
        <v>#REF!</v>
      </c>
      <c r="I150" s="137" t="e">
        <f t="shared" ca="1" si="8"/>
        <v>#REF!</v>
      </c>
      <c r="J150" s="117"/>
    </row>
    <row r="151" spans="1:10" hidden="1" x14ac:dyDescent="0.25">
      <c r="A151" s="114" t="s">
        <v>210</v>
      </c>
      <c r="B151" s="115" t="s">
        <v>1441</v>
      </c>
      <c r="C151" s="116" t="s">
        <v>70</v>
      </c>
      <c r="D151" s="116">
        <v>0</v>
      </c>
      <c r="E151" s="136">
        <f ca="1">OFFSET(INDEX(Composições!A:J,MATCH(Orçamentária!A151,Composições!A:A,0),8),2,0)</f>
        <v>123.68049999999999</v>
      </c>
      <c r="F151" s="137">
        <f t="shared" ca="1" si="6"/>
        <v>0</v>
      </c>
      <c r="G151" s="138" t="e">
        <f>IF(A151&lt;&gt;"",IF(AND(#REF!="Padrão",$H$4=#REF!),BDI!$B$17,IF(AND(#REF!="Padrão",$H$4=#REF!),BDI!#REF!,IF(AND(#REF!="Diferenciado",$H$4=#REF!),BDI!$E$17,IF(AND(#REF!="Diferenciado",$H$4=#REF!),BDI!#REF!,IF(#REF!="ZERO",0))))),"")</f>
        <v>#REF!</v>
      </c>
      <c r="H151" s="139" t="e">
        <f t="shared" ca="1" si="7"/>
        <v>#REF!</v>
      </c>
      <c r="I151" s="137" t="e">
        <f t="shared" ca="1" si="8"/>
        <v>#REF!</v>
      </c>
      <c r="J151" s="117"/>
    </row>
    <row r="152" spans="1:10" hidden="1" x14ac:dyDescent="0.25">
      <c r="A152" s="114" t="s">
        <v>212</v>
      </c>
      <c r="B152" s="115" t="s">
        <v>1442</v>
      </c>
      <c r="C152" s="116" t="s">
        <v>70</v>
      </c>
      <c r="D152" s="116">
        <v>0</v>
      </c>
      <c r="E152" s="136">
        <f ca="1">OFFSET(INDEX(Composições!A:J,MATCH(Orçamentária!A152,Composições!A:A,0),8),2,0)</f>
        <v>33.945399999999999</v>
      </c>
      <c r="F152" s="137">
        <f t="shared" ca="1" si="6"/>
        <v>0</v>
      </c>
      <c r="G152" s="138" t="e">
        <f>IF(A152&lt;&gt;"",IF(AND(#REF!="Padrão",$H$4=#REF!),BDI!$B$17,IF(AND(#REF!="Padrão",$H$4=#REF!),BDI!#REF!,IF(AND(#REF!="Diferenciado",$H$4=#REF!),BDI!$E$17,IF(AND(#REF!="Diferenciado",$H$4=#REF!),BDI!#REF!,IF(#REF!="ZERO",0))))),"")</f>
        <v>#REF!</v>
      </c>
      <c r="H152" s="139" t="e">
        <f t="shared" ca="1" si="7"/>
        <v>#REF!</v>
      </c>
      <c r="I152" s="137" t="e">
        <f t="shared" ca="1" si="8"/>
        <v>#REF!</v>
      </c>
      <c r="J152" s="117"/>
    </row>
    <row r="153" spans="1:10" hidden="1" x14ac:dyDescent="0.25">
      <c r="A153" s="114" t="s">
        <v>214</v>
      </c>
      <c r="B153" s="115" t="s">
        <v>1443</v>
      </c>
      <c r="C153" s="116" t="s">
        <v>70</v>
      </c>
      <c r="D153" s="116">
        <v>0</v>
      </c>
      <c r="E153" s="136">
        <f ca="1">OFFSET(INDEX(Composições!A:J,MATCH(Orçamentária!A153,Composições!A:A,0),8),2,0)</f>
        <v>3.1037810999999991</v>
      </c>
      <c r="F153" s="137">
        <f t="shared" ca="1" si="6"/>
        <v>0</v>
      </c>
      <c r="G153" s="138" t="e">
        <f>IF(A153&lt;&gt;"",IF(AND(#REF!="Padrão",$H$4=#REF!),BDI!$B$17,IF(AND(#REF!="Padrão",$H$4=#REF!),BDI!#REF!,IF(AND(#REF!="Diferenciado",$H$4=#REF!),BDI!$E$17,IF(AND(#REF!="Diferenciado",$H$4=#REF!),BDI!#REF!,IF(#REF!="ZERO",0))))),"")</f>
        <v>#REF!</v>
      </c>
      <c r="H153" s="139" t="e">
        <f t="shared" ca="1" si="7"/>
        <v>#REF!</v>
      </c>
      <c r="I153" s="137" t="e">
        <f t="shared" ca="1" si="8"/>
        <v>#REF!</v>
      </c>
      <c r="J153" s="117"/>
    </row>
    <row r="154" spans="1:10" hidden="1" x14ac:dyDescent="0.25">
      <c r="A154" s="114" t="s">
        <v>215</v>
      </c>
      <c r="B154" s="115" t="s">
        <v>1444</v>
      </c>
      <c r="C154" s="116" t="s">
        <v>70</v>
      </c>
      <c r="D154" s="116">
        <v>0</v>
      </c>
      <c r="E154" s="136">
        <f ca="1">OFFSET(INDEX(Composições!A:J,MATCH(Orçamentária!A154,Composições!A:A,0),8),2,0)</f>
        <v>50.444999999999993</v>
      </c>
      <c r="F154" s="137">
        <f t="shared" ca="1" si="6"/>
        <v>0</v>
      </c>
      <c r="G154" s="138" t="e">
        <f>IF(A154&lt;&gt;"",IF(AND(#REF!="Padrão",$H$4=#REF!),BDI!$B$17,IF(AND(#REF!="Padrão",$H$4=#REF!),BDI!#REF!,IF(AND(#REF!="Diferenciado",$H$4=#REF!),BDI!$E$17,IF(AND(#REF!="Diferenciado",$H$4=#REF!),BDI!#REF!,IF(#REF!="ZERO",0))))),"")</f>
        <v>#REF!</v>
      </c>
      <c r="H154" s="139" t="e">
        <f t="shared" ca="1" si="7"/>
        <v>#REF!</v>
      </c>
      <c r="I154" s="137" t="e">
        <f t="shared" ca="1" si="8"/>
        <v>#REF!</v>
      </c>
      <c r="J154" s="117"/>
    </row>
    <row r="155" spans="1:10" hidden="1" x14ac:dyDescent="0.25">
      <c r="A155" s="114" t="s">
        <v>216</v>
      </c>
      <c r="B155" s="115" t="s">
        <v>1445</v>
      </c>
      <c r="C155" s="116" t="s">
        <v>69</v>
      </c>
      <c r="D155" s="116">
        <v>0</v>
      </c>
      <c r="E155" s="136">
        <f ca="1">OFFSET(INDEX(Composições!A:J,MATCH(Orçamentária!A155,Composições!A:A,0),8),2,0)</f>
        <v>13.042102549999999</v>
      </c>
      <c r="F155" s="137">
        <f t="shared" ca="1" si="6"/>
        <v>0</v>
      </c>
      <c r="G155" s="138" t="e">
        <f>IF(A155&lt;&gt;"",IF(AND(#REF!="Padrão",$H$4=#REF!),BDI!$B$17,IF(AND(#REF!="Padrão",$H$4=#REF!),BDI!#REF!,IF(AND(#REF!="Diferenciado",$H$4=#REF!),BDI!$E$17,IF(AND(#REF!="Diferenciado",$H$4=#REF!),BDI!#REF!,IF(#REF!="ZERO",0))))),"")</f>
        <v>#REF!</v>
      </c>
      <c r="H155" s="139" t="e">
        <f t="shared" ca="1" si="7"/>
        <v>#REF!</v>
      </c>
      <c r="I155" s="137" t="e">
        <f t="shared" ca="1" si="8"/>
        <v>#REF!</v>
      </c>
      <c r="J155" s="117"/>
    </row>
    <row r="156" spans="1:10" hidden="1" x14ac:dyDescent="0.25">
      <c r="A156" s="114" t="s">
        <v>217</v>
      </c>
      <c r="B156" s="115" t="s">
        <v>1446</v>
      </c>
      <c r="C156" s="116" t="s">
        <v>70</v>
      </c>
      <c r="D156" s="116">
        <v>0</v>
      </c>
      <c r="E156" s="136">
        <f ca="1">OFFSET(INDEX(Composições!A:J,MATCH(Orçamentária!A156,Composições!A:A,0),8),2,0)</f>
        <v>9.4657999999999998</v>
      </c>
      <c r="F156" s="137">
        <f t="shared" ca="1" si="6"/>
        <v>0</v>
      </c>
      <c r="G156" s="138" t="e">
        <f>IF(A156&lt;&gt;"",IF(AND(#REF!="Padrão",$H$4=#REF!),BDI!$B$17,IF(AND(#REF!="Padrão",$H$4=#REF!),BDI!#REF!,IF(AND(#REF!="Diferenciado",$H$4=#REF!),BDI!$E$17,IF(AND(#REF!="Diferenciado",$H$4=#REF!),BDI!#REF!,IF(#REF!="ZERO",0))))),"")</f>
        <v>#REF!</v>
      </c>
      <c r="H156" s="139" t="e">
        <f t="shared" ca="1" si="7"/>
        <v>#REF!</v>
      </c>
      <c r="I156" s="137" t="e">
        <f t="shared" ca="1" si="8"/>
        <v>#REF!</v>
      </c>
      <c r="J156" s="117"/>
    </row>
    <row r="157" spans="1:10" hidden="1" x14ac:dyDescent="0.25">
      <c r="A157" s="114" t="s">
        <v>218</v>
      </c>
      <c r="B157" s="115" t="s">
        <v>219</v>
      </c>
      <c r="C157" s="116" t="s">
        <v>69</v>
      </c>
      <c r="D157" s="116">
        <v>0</v>
      </c>
      <c r="E157" s="136">
        <f ca="1">OFFSET(INDEX(Composições!A:J,MATCH(Orçamentária!A157,Composições!A:A,0),8),2,0)</f>
        <v>6.2652499999999991</v>
      </c>
      <c r="F157" s="137">
        <f t="shared" ca="1" si="6"/>
        <v>0</v>
      </c>
      <c r="G157" s="138" t="e">
        <f>IF(A157&lt;&gt;"",IF(AND(#REF!="Padrão",$H$4=#REF!),BDI!$B$17,IF(AND(#REF!="Padrão",$H$4=#REF!),BDI!#REF!,IF(AND(#REF!="Diferenciado",$H$4=#REF!),BDI!$E$17,IF(AND(#REF!="Diferenciado",$H$4=#REF!),BDI!#REF!,IF(#REF!="ZERO",0))))),"")</f>
        <v>#REF!</v>
      </c>
      <c r="H157" s="139" t="e">
        <f t="shared" ca="1" si="7"/>
        <v>#REF!</v>
      </c>
      <c r="I157" s="137" t="e">
        <f t="shared" ca="1" si="8"/>
        <v>#REF!</v>
      </c>
      <c r="J157" s="119"/>
    </row>
    <row r="158" spans="1:10" hidden="1" x14ac:dyDescent="0.25">
      <c r="A158" s="114" t="s">
        <v>220</v>
      </c>
      <c r="B158" s="115" t="s">
        <v>1447</v>
      </c>
      <c r="C158" s="116" t="s">
        <v>69</v>
      </c>
      <c r="D158" s="116">
        <v>0</v>
      </c>
      <c r="E158" s="136">
        <f ca="1">OFFSET(INDEX(Composições!A:J,MATCH(Orçamentária!A158,Composições!A:A,0),8),2,0)</f>
        <v>20.248774999999998</v>
      </c>
      <c r="F158" s="137">
        <f t="shared" ca="1" si="6"/>
        <v>0</v>
      </c>
      <c r="G158" s="138" t="e">
        <f>IF(A158&lt;&gt;"",IF(AND(#REF!="Padrão",$H$4=#REF!),BDI!$B$17,IF(AND(#REF!="Padrão",$H$4=#REF!),BDI!#REF!,IF(AND(#REF!="Diferenciado",$H$4=#REF!),BDI!$E$17,IF(AND(#REF!="Diferenciado",$H$4=#REF!),BDI!#REF!,IF(#REF!="ZERO",0))))),"")</f>
        <v>#REF!</v>
      </c>
      <c r="H158" s="139" t="e">
        <f t="shared" ca="1" si="7"/>
        <v>#REF!</v>
      </c>
      <c r="I158" s="137" t="e">
        <f t="shared" ca="1" si="8"/>
        <v>#REF!</v>
      </c>
      <c r="J158" s="119"/>
    </row>
    <row r="159" spans="1:10" hidden="1" x14ac:dyDescent="0.25">
      <c r="A159" s="114" t="s">
        <v>221</v>
      </c>
      <c r="B159" s="115" t="s">
        <v>7564</v>
      </c>
      <c r="C159" s="116" t="s">
        <v>70</v>
      </c>
      <c r="D159" s="116">
        <v>0</v>
      </c>
      <c r="E159" s="136">
        <f ca="1">OFFSET(INDEX(Composições!A:J,MATCH(Orçamentária!A159,Composições!A:A,0),8),2,0)</f>
        <v>113.21624999999997</v>
      </c>
      <c r="F159" s="137">
        <f t="shared" ca="1" si="6"/>
        <v>0</v>
      </c>
      <c r="G159" s="138" t="e">
        <f>IF(A159&lt;&gt;"",IF(AND(#REF!="Padrão",$H$4=#REF!),BDI!$B$17,IF(AND(#REF!="Padrão",$H$4=#REF!),BDI!#REF!,IF(AND(#REF!="Diferenciado",$H$4=#REF!),BDI!$E$17,IF(AND(#REF!="Diferenciado",$H$4=#REF!),BDI!#REF!,IF(#REF!="ZERO",0))))),"")</f>
        <v>#REF!</v>
      </c>
      <c r="H159" s="139" t="e">
        <f t="shared" ca="1" si="7"/>
        <v>#REF!</v>
      </c>
      <c r="I159" s="137" t="e">
        <f t="shared" ca="1" si="8"/>
        <v>#REF!</v>
      </c>
      <c r="J159" s="117"/>
    </row>
    <row r="160" spans="1:10" hidden="1" x14ac:dyDescent="0.25">
      <c r="A160" s="114" t="s">
        <v>223</v>
      </c>
      <c r="B160" s="115" t="s">
        <v>1448</v>
      </c>
      <c r="C160" s="116" t="s">
        <v>70</v>
      </c>
      <c r="D160" s="116">
        <v>0</v>
      </c>
      <c r="E160" s="136">
        <f ca="1">OFFSET(INDEX(Composições!A:J,MATCH(Orçamentária!A160,Composições!A:A,0),8),2,0)</f>
        <v>33.933999999999997</v>
      </c>
      <c r="F160" s="137">
        <f t="shared" ca="1" si="6"/>
        <v>0</v>
      </c>
      <c r="G160" s="138" t="e">
        <f>IF(A160&lt;&gt;"",IF(AND(#REF!="Padrão",$H$4=#REF!),BDI!$B$17,IF(AND(#REF!="Padrão",$H$4=#REF!),BDI!#REF!,IF(AND(#REF!="Diferenciado",$H$4=#REF!),BDI!$E$17,IF(AND(#REF!="Diferenciado",$H$4=#REF!),BDI!#REF!,IF(#REF!="ZERO",0))))),"")</f>
        <v>#REF!</v>
      </c>
      <c r="H160" s="139" t="e">
        <f t="shared" ca="1" si="7"/>
        <v>#REF!</v>
      </c>
      <c r="I160" s="137" t="e">
        <f t="shared" ca="1" si="8"/>
        <v>#REF!</v>
      </c>
      <c r="J160" s="117"/>
    </row>
    <row r="161" spans="1:10" hidden="1" x14ac:dyDescent="0.25">
      <c r="A161" s="114" t="s">
        <v>224</v>
      </c>
      <c r="B161" s="115" t="s">
        <v>1449</v>
      </c>
      <c r="C161" s="116" t="s">
        <v>69</v>
      </c>
      <c r="D161" s="116">
        <v>0</v>
      </c>
      <c r="E161" s="136">
        <f ca="1">OFFSET(INDEX(Composições!A:J,MATCH(Orçamentária!A161,Composições!A:A,0),8),2,0)</f>
        <v>22.293412499999995</v>
      </c>
      <c r="F161" s="137">
        <f t="shared" ca="1" si="6"/>
        <v>0</v>
      </c>
      <c r="G161" s="138" t="e">
        <f>IF(A161&lt;&gt;"",IF(AND(#REF!="Padrão",$H$4=#REF!),BDI!$B$17,IF(AND(#REF!="Padrão",$H$4=#REF!),BDI!#REF!,IF(AND(#REF!="Diferenciado",$H$4=#REF!),BDI!$E$17,IF(AND(#REF!="Diferenciado",$H$4=#REF!),BDI!#REF!,IF(#REF!="ZERO",0))))),"")</f>
        <v>#REF!</v>
      </c>
      <c r="H161" s="139" t="e">
        <f t="shared" ca="1" si="7"/>
        <v>#REF!</v>
      </c>
      <c r="I161" s="137" t="e">
        <f t="shared" ca="1" si="8"/>
        <v>#REF!</v>
      </c>
      <c r="J161" s="119"/>
    </row>
    <row r="162" spans="1:10" hidden="1" x14ac:dyDescent="0.25">
      <c r="A162" s="114" t="s">
        <v>226</v>
      </c>
      <c r="B162" s="115" t="s">
        <v>7562</v>
      </c>
      <c r="C162" s="116" t="s">
        <v>70</v>
      </c>
      <c r="D162" s="116">
        <v>0</v>
      </c>
      <c r="E162" s="136">
        <f ca="1">OFFSET(INDEX(Composições!A:J,MATCH(Orçamentária!A162,Composições!A:A,0),8),2,0)</f>
        <v>114.182951</v>
      </c>
      <c r="F162" s="137">
        <f t="shared" ca="1" si="6"/>
        <v>0</v>
      </c>
      <c r="G162" s="138" t="e">
        <f>IF(A162&lt;&gt;"",IF(AND(#REF!="Padrão",$H$4=#REF!),BDI!$B$17,IF(AND(#REF!="Padrão",$H$4=#REF!),BDI!#REF!,IF(AND(#REF!="Diferenciado",$H$4=#REF!),BDI!$E$17,IF(AND(#REF!="Diferenciado",$H$4=#REF!),BDI!#REF!,IF(#REF!="ZERO",0))))),"")</f>
        <v>#REF!</v>
      </c>
      <c r="H162" s="139" t="e">
        <f t="shared" ca="1" si="7"/>
        <v>#REF!</v>
      </c>
      <c r="I162" s="137" t="e">
        <f t="shared" ca="1" si="8"/>
        <v>#REF!</v>
      </c>
      <c r="J162" s="119"/>
    </row>
    <row r="163" spans="1:10" hidden="1" x14ac:dyDescent="0.25">
      <c r="A163" s="114" t="s">
        <v>227</v>
      </c>
      <c r="B163" s="115" t="s">
        <v>7563</v>
      </c>
      <c r="C163" s="116" t="s">
        <v>70</v>
      </c>
      <c r="D163" s="116">
        <v>0</v>
      </c>
      <c r="E163" s="136">
        <f ca="1">OFFSET(INDEX(Composições!A:J,MATCH(Orçamentária!A163,Composições!A:A,0),8),2,0)</f>
        <v>126.23794749999999</v>
      </c>
      <c r="F163" s="137">
        <f t="shared" ca="1" si="6"/>
        <v>0</v>
      </c>
      <c r="G163" s="138" t="e">
        <f>IF(A163&lt;&gt;"",IF(AND(#REF!="Padrão",$H$4=#REF!),BDI!$B$17,IF(AND(#REF!="Padrão",$H$4=#REF!),BDI!#REF!,IF(AND(#REF!="Diferenciado",$H$4=#REF!),BDI!$E$17,IF(AND(#REF!="Diferenciado",$H$4=#REF!),BDI!#REF!,IF(#REF!="ZERO",0))))),"")</f>
        <v>#REF!</v>
      </c>
      <c r="H163" s="139" t="e">
        <f t="shared" ca="1" si="7"/>
        <v>#REF!</v>
      </c>
      <c r="I163" s="137" t="e">
        <f t="shared" ca="1" si="8"/>
        <v>#REF!</v>
      </c>
      <c r="J163" s="119"/>
    </row>
    <row r="164" spans="1:10" hidden="1" x14ac:dyDescent="0.25">
      <c r="A164" s="114" t="s">
        <v>229</v>
      </c>
      <c r="B164" s="115" t="s">
        <v>1450</v>
      </c>
      <c r="C164" s="116" t="s">
        <v>70</v>
      </c>
      <c r="D164" s="116">
        <v>0</v>
      </c>
      <c r="E164" s="136">
        <f ca="1">OFFSET(INDEX(Composições!A:J,MATCH(Orçamentária!A164,Composições!A:A,0),8),2,0)</f>
        <v>49.815150000000003</v>
      </c>
      <c r="F164" s="137">
        <f t="shared" ca="1" si="6"/>
        <v>0</v>
      </c>
      <c r="G164" s="138" t="e">
        <f>IF(A164&lt;&gt;"",IF(AND(#REF!="Padrão",$H$4=#REF!),BDI!$B$17,IF(AND(#REF!="Padrão",$H$4=#REF!),BDI!#REF!,IF(AND(#REF!="Diferenciado",$H$4=#REF!),BDI!$E$17,IF(AND(#REF!="Diferenciado",$H$4=#REF!),BDI!#REF!,IF(#REF!="ZERO",0))))),"")</f>
        <v>#REF!</v>
      </c>
      <c r="H164" s="139" t="e">
        <f t="shared" ca="1" si="7"/>
        <v>#REF!</v>
      </c>
      <c r="I164" s="137" t="e">
        <f t="shared" ca="1" si="8"/>
        <v>#REF!</v>
      </c>
      <c r="J164" s="117"/>
    </row>
    <row r="165" spans="1:10" hidden="1" x14ac:dyDescent="0.25">
      <c r="A165" s="114" t="s">
        <v>230</v>
      </c>
      <c r="B165" s="115" t="s">
        <v>1451</v>
      </c>
      <c r="C165" s="116" t="s">
        <v>16</v>
      </c>
      <c r="D165" s="116">
        <v>0</v>
      </c>
      <c r="E165" s="136">
        <f ca="1">OFFSET(INDEX(Composições!A:J,MATCH(Orçamentária!A165,Composições!A:A,0),8),2,0)</f>
        <v>81.299356499999988</v>
      </c>
      <c r="F165" s="137">
        <f t="shared" ca="1" si="6"/>
        <v>0</v>
      </c>
      <c r="G165" s="138" t="e">
        <f>IF(A165&lt;&gt;"",IF(AND(#REF!="Padrão",$H$4=#REF!),BDI!$B$17,IF(AND(#REF!="Padrão",$H$4=#REF!),BDI!#REF!,IF(AND(#REF!="Diferenciado",$H$4=#REF!),BDI!$E$17,IF(AND(#REF!="Diferenciado",$H$4=#REF!),BDI!#REF!,IF(#REF!="ZERO",0))))),"")</f>
        <v>#REF!</v>
      </c>
      <c r="H165" s="139" t="e">
        <f t="shared" ca="1" si="7"/>
        <v>#REF!</v>
      </c>
      <c r="I165" s="137" t="e">
        <f t="shared" ca="1" si="8"/>
        <v>#REF!</v>
      </c>
      <c r="J165" s="119"/>
    </row>
    <row r="166" spans="1:10" hidden="1" x14ac:dyDescent="0.25">
      <c r="A166" s="114" t="s">
        <v>231</v>
      </c>
      <c r="B166" s="115" t="s">
        <v>1452</v>
      </c>
      <c r="C166" s="116" t="s">
        <v>69</v>
      </c>
      <c r="D166" s="116">
        <v>0</v>
      </c>
      <c r="E166" s="136">
        <f ca="1">OFFSET(INDEX(Composições!A:J,MATCH(Orçamentária!A166,Composições!A:A,0),8),2,0)</f>
        <v>7.1052894000000002</v>
      </c>
      <c r="F166" s="137">
        <f t="shared" ca="1" si="6"/>
        <v>0</v>
      </c>
      <c r="G166" s="138" t="e">
        <f>IF(A166&lt;&gt;"",IF(AND(#REF!="Padrão",$H$4=#REF!),BDI!$B$17,IF(AND(#REF!="Padrão",$H$4=#REF!),BDI!#REF!,IF(AND(#REF!="Diferenciado",$H$4=#REF!),BDI!$E$17,IF(AND(#REF!="Diferenciado",$H$4=#REF!),BDI!#REF!,IF(#REF!="ZERO",0))))),"")</f>
        <v>#REF!</v>
      </c>
      <c r="H166" s="139" t="e">
        <f t="shared" ca="1" si="7"/>
        <v>#REF!</v>
      </c>
      <c r="I166" s="137" t="e">
        <f t="shared" ca="1" si="8"/>
        <v>#REF!</v>
      </c>
      <c r="J166" s="117"/>
    </row>
    <row r="167" spans="1:10" hidden="1" x14ac:dyDescent="0.25">
      <c r="A167" s="114" t="s">
        <v>1453</v>
      </c>
      <c r="B167" s="115" t="s">
        <v>1454</v>
      </c>
      <c r="C167" s="116" t="s">
        <v>70</v>
      </c>
      <c r="D167" s="116">
        <v>0</v>
      </c>
      <c r="E167" s="136" t="s">
        <v>416</v>
      </c>
      <c r="F167" s="137" t="str">
        <f t="shared" si="6"/>
        <v/>
      </c>
      <c r="G167" s="138" t="e">
        <f>IF(A167&lt;&gt;"",IF(AND(#REF!="Padrão",$H$4=#REF!),BDI!$B$17,IF(AND(#REF!="Padrão",$H$4=#REF!),BDI!#REF!,IF(AND(#REF!="Diferenciado",$H$4=#REF!),BDI!$E$17,IF(AND(#REF!="Diferenciado",$H$4=#REF!),BDI!#REF!,IF(#REF!="ZERO",0))))),"")</f>
        <v>#REF!</v>
      </c>
      <c r="H167" s="139" t="str">
        <f t="shared" si="7"/>
        <v/>
      </c>
      <c r="I167" s="137" t="str">
        <f t="shared" si="8"/>
        <v/>
      </c>
      <c r="J167" s="119"/>
    </row>
    <row r="168" spans="1:10" hidden="1" x14ac:dyDescent="0.25">
      <c r="A168" s="114" t="s">
        <v>1455</v>
      </c>
      <c r="B168" s="115" t="s">
        <v>7565</v>
      </c>
      <c r="C168" s="116" t="s">
        <v>70</v>
      </c>
      <c r="D168" s="116">
        <v>0</v>
      </c>
      <c r="E168" s="136" t="s">
        <v>416</v>
      </c>
      <c r="F168" s="137" t="str">
        <f t="shared" si="6"/>
        <v/>
      </c>
      <c r="G168" s="138" t="e">
        <f>IF(A168&lt;&gt;"",IF(AND(#REF!="Padrão",$H$4=#REF!),BDI!$B$17,IF(AND(#REF!="Padrão",$H$4=#REF!),BDI!#REF!,IF(AND(#REF!="Diferenciado",$H$4=#REF!),BDI!$E$17,IF(AND(#REF!="Diferenciado",$H$4=#REF!),BDI!#REF!,IF(#REF!="ZERO",0))))),"")</f>
        <v>#REF!</v>
      </c>
      <c r="H168" s="139" t="str">
        <f t="shared" si="7"/>
        <v/>
      </c>
      <c r="I168" s="137" t="str">
        <f t="shared" si="8"/>
        <v/>
      </c>
      <c r="J168" s="119"/>
    </row>
    <row r="169" spans="1:10" hidden="1" x14ac:dyDescent="0.25">
      <c r="A169" s="114" t="s">
        <v>1456</v>
      </c>
      <c r="B169" s="115" t="s">
        <v>7566</v>
      </c>
      <c r="C169" s="116" t="s">
        <v>70</v>
      </c>
      <c r="D169" s="116">
        <v>0</v>
      </c>
      <c r="E169" s="136" t="s">
        <v>416</v>
      </c>
      <c r="F169" s="137" t="str">
        <f t="shared" si="6"/>
        <v/>
      </c>
      <c r="G169" s="138" t="e">
        <f>IF(A169&lt;&gt;"",IF(AND(#REF!="Padrão",$H$4=#REF!),BDI!$B$17,IF(AND(#REF!="Padrão",$H$4=#REF!),BDI!#REF!,IF(AND(#REF!="Diferenciado",$H$4=#REF!),BDI!$E$17,IF(AND(#REF!="Diferenciado",$H$4=#REF!),BDI!#REF!,IF(#REF!="ZERO",0))))),"")</f>
        <v>#REF!</v>
      </c>
      <c r="H169" s="139" t="str">
        <f t="shared" si="7"/>
        <v/>
      </c>
      <c r="I169" s="137" t="str">
        <f t="shared" si="8"/>
        <v/>
      </c>
      <c r="J169" s="119"/>
    </row>
    <row r="170" spans="1:10" hidden="1" x14ac:dyDescent="0.25">
      <c r="A170" s="114" t="s">
        <v>1457</v>
      </c>
      <c r="B170" s="115" t="s">
        <v>1458</v>
      </c>
      <c r="C170" s="116" t="s">
        <v>70</v>
      </c>
      <c r="D170" s="116">
        <v>0</v>
      </c>
      <c r="E170" s="136" t="s">
        <v>416</v>
      </c>
      <c r="F170" s="137" t="str">
        <f t="shared" si="6"/>
        <v/>
      </c>
      <c r="G170" s="138" t="e">
        <f>IF(A170&lt;&gt;"",IF(AND(#REF!="Padrão",$H$4=#REF!),BDI!$B$17,IF(AND(#REF!="Padrão",$H$4=#REF!),BDI!#REF!,IF(AND(#REF!="Diferenciado",$H$4=#REF!),BDI!$E$17,IF(AND(#REF!="Diferenciado",$H$4=#REF!),BDI!#REF!,IF(#REF!="ZERO",0))))),"")</f>
        <v>#REF!</v>
      </c>
      <c r="H170" s="139" t="str">
        <f t="shared" si="7"/>
        <v/>
      </c>
      <c r="I170" s="137" t="str">
        <f t="shared" si="8"/>
        <v/>
      </c>
      <c r="J170" s="117"/>
    </row>
    <row r="171" spans="1:10" hidden="1" x14ac:dyDescent="0.25">
      <c r="A171" s="114" t="s">
        <v>232</v>
      </c>
      <c r="B171" s="115" t="s">
        <v>1459</v>
      </c>
      <c r="C171" s="116" t="s">
        <v>16</v>
      </c>
      <c r="D171" s="116">
        <v>0</v>
      </c>
      <c r="E171" s="136">
        <f ca="1">OFFSET(INDEX(Composições!A:J,MATCH(Orçamentária!A171,Composições!A:A,0),8),2,0)</f>
        <v>19.752400000000002</v>
      </c>
      <c r="F171" s="137">
        <f t="shared" ca="1" si="6"/>
        <v>0</v>
      </c>
      <c r="G171" s="138" t="e">
        <f>IF(A171&lt;&gt;"",IF(AND(#REF!="Padrão",$H$4=#REF!),BDI!$B$17,IF(AND(#REF!="Padrão",$H$4=#REF!),BDI!#REF!,IF(AND(#REF!="Diferenciado",$H$4=#REF!),BDI!$E$17,IF(AND(#REF!="Diferenciado",$H$4=#REF!),BDI!#REF!,IF(#REF!="ZERO",0))))),"")</f>
        <v>#REF!</v>
      </c>
      <c r="H171" s="139" t="e">
        <f t="shared" ca="1" si="7"/>
        <v>#REF!</v>
      </c>
      <c r="I171" s="137" t="e">
        <f t="shared" ca="1" si="8"/>
        <v>#REF!</v>
      </c>
      <c r="J171" s="117"/>
    </row>
    <row r="172" spans="1:10" x14ac:dyDescent="0.25">
      <c r="A172" s="189" t="s">
        <v>234</v>
      </c>
      <c r="B172" s="190" t="s">
        <v>7567</v>
      </c>
      <c r="C172" s="191" t="s">
        <v>69</v>
      </c>
      <c r="D172" s="191">
        <v>6</v>
      </c>
      <c r="E172" s="136">
        <f ca="1">OFFSET(INDEX(Composições!A:J,MATCH(Orçamentária!A172,Composições!A:A,0),8),2,0)</f>
        <v>58.468903299999994</v>
      </c>
      <c r="F172" s="137">
        <f t="shared" ca="1" si="6"/>
        <v>350.81341979999996</v>
      </c>
      <c r="G172" s="138">
        <f>BDI!$B$17</f>
        <v>0.191</v>
      </c>
      <c r="H172" s="139">
        <f t="shared" ca="1" si="7"/>
        <v>69.64</v>
      </c>
      <c r="I172" s="137">
        <f t="shared" ca="1" si="8"/>
        <v>417.84</v>
      </c>
      <c r="J172" s="117"/>
    </row>
    <row r="173" spans="1:10" hidden="1" x14ac:dyDescent="0.25">
      <c r="A173" s="114" t="s">
        <v>235</v>
      </c>
      <c r="B173" s="115" t="s">
        <v>7568</v>
      </c>
      <c r="C173" s="116" t="s">
        <v>69</v>
      </c>
      <c r="D173" s="116">
        <v>0</v>
      </c>
      <c r="E173" s="136">
        <f ca="1">OFFSET(INDEX(Composições!A:J,MATCH(Orçamentária!A173,Composições!A:A,0),8),2,0)</f>
        <v>17.299652000000002</v>
      </c>
      <c r="F173" s="137">
        <f t="shared" ca="1" si="6"/>
        <v>0</v>
      </c>
      <c r="G173" s="138" t="e">
        <f>IF(A173&lt;&gt;"",IF(AND(#REF!="Padrão",$H$4=#REF!),BDI!$B$17,IF(AND(#REF!="Padrão",$H$4=#REF!),BDI!#REF!,IF(AND(#REF!="Diferenciado",$H$4=#REF!),BDI!$E$17,IF(AND(#REF!="Diferenciado",$H$4=#REF!),BDI!#REF!,IF(#REF!="ZERO",0))))),"")</f>
        <v>#REF!</v>
      </c>
      <c r="H173" s="139" t="e">
        <f t="shared" ca="1" si="7"/>
        <v>#REF!</v>
      </c>
      <c r="I173" s="137" t="e">
        <f t="shared" ca="1" si="8"/>
        <v>#REF!</v>
      </c>
      <c r="J173" s="117"/>
    </row>
    <row r="174" spans="1:10" hidden="1" x14ac:dyDescent="0.25">
      <c r="A174" s="114" t="s">
        <v>236</v>
      </c>
      <c r="B174" s="115" t="s">
        <v>7569</v>
      </c>
      <c r="C174" s="116" t="s">
        <v>69</v>
      </c>
      <c r="D174" s="116">
        <v>0</v>
      </c>
      <c r="E174" s="136">
        <f ca="1">OFFSET(INDEX(Composições!A:J,MATCH(Orçamentária!A174,Composições!A:A,0),8),2,0)</f>
        <v>25.552732349999999</v>
      </c>
      <c r="F174" s="137">
        <f t="shared" ca="1" si="6"/>
        <v>0</v>
      </c>
      <c r="G174" s="138" t="e">
        <f>IF(A174&lt;&gt;"",IF(AND(#REF!="Padrão",$H$4=#REF!),BDI!$B$17,IF(AND(#REF!="Padrão",$H$4=#REF!),BDI!#REF!,IF(AND(#REF!="Diferenciado",$H$4=#REF!),BDI!$E$17,IF(AND(#REF!="Diferenciado",$H$4=#REF!),BDI!#REF!,IF(#REF!="ZERO",0))))),"")</f>
        <v>#REF!</v>
      </c>
      <c r="H174" s="139" t="e">
        <f t="shared" ca="1" si="7"/>
        <v>#REF!</v>
      </c>
      <c r="I174" s="137" t="e">
        <f t="shared" ca="1" si="8"/>
        <v>#REF!</v>
      </c>
      <c r="J174" s="117"/>
    </row>
    <row r="175" spans="1:10" hidden="1" x14ac:dyDescent="0.25">
      <c r="A175" s="114" t="s">
        <v>237</v>
      </c>
      <c r="B175" s="115" t="s">
        <v>7570</v>
      </c>
      <c r="C175" s="116" t="s">
        <v>69</v>
      </c>
      <c r="D175" s="116">
        <v>0</v>
      </c>
      <c r="E175" s="136">
        <f ca="1">OFFSET(INDEX(Composições!A:J,MATCH(Orçamentária!A175,Composições!A:A,0),8),2,0)</f>
        <v>44.945856599999999</v>
      </c>
      <c r="F175" s="137">
        <f t="shared" ca="1" si="6"/>
        <v>0</v>
      </c>
      <c r="G175" s="138" t="e">
        <f>IF(A175&lt;&gt;"",IF(AND(#REF!="Padrão",$H$4=#REF!),BDI!$B$17,IF(AND(#REF!="Padrão",$H$4=#REF!),BDI!#REF!,IF(AND(#REF!="Diferenciado",$H$4=#REF!),BDI!$E$17,IF(AND(#REF!="Diferenciado",$H$4=#REF!),BDI!#REF!,IF(#REF!="ZERO",0))))),"")</f>
        <v>#REF!</v>
      </c>
      <c r="H175" s="139" t="e">
        <f t="shared" ca="1" si="7"/>
        <v>#REF!</v>
      </c>
      <c r="I175" s="137" t="e">
        <f t="shared" ca="1" si="8"/>
        <v>#REF!</v>
      </c>
      <c r="J175" s="117"/>
    </row>
    <row r="176" spans="1:10" x14ac:dyDescent="0.25">
      <c r="A176" s="189" t="s">
        <v>238</v>
      </c>
      <c r="B176" s="190" t="s">
        <v>7356</v>
      </c>
      <c r="C176" s="191" t="s">
        <v>69</v>
      </c>
      <c r="D176" s="191">
        <v>76</v>
      </c>
      <c r="E176" s="136">
        <f ca="1">OFFSET(INDEX(Composições!A:J,MATCH(Orçamentária!A176,Composições!A:A,0),8),2,0)</f>
        <v>5.1217920000000001</v>
      </c>
      <c r="F176" s="137">
        <f t="shared" ca="1" si="6"/>
        <v>389.256192</v>
      </c>
      <c r="G176" s="138">
        <f>BDI!$B$17</f>
        <v>0.191</v>
      </c>
      <c r="H176" s="139">
        <f t="shared" ca="1" si="7"/>
        <v>6.1</v>
      </c>
      <c r="I176" s="137">
        <f t="shared" ca="1" si="8"/>
        <v>463.6</v>
      </c>
      <c r="J176" s="117"/>
    </row>
    <row r="177" spans="1:10" hidden="1" x14ac:dyDescent="0.25">
      <c r="A177" s="114" t="s">
        <v>239</v>
      </c>
      <c r="B177" s="115" t="s">
        <v>7357</v>
      </c>
      <c r="C177" s="116" t="s">
        <v>69</v>
      </c>
      <c r="D177" s="116">
        <v>0</v>
      </c>
      <c r="E177" s="136">
        <f ca="1">OFFSET(INDEX(Composições!A:J,MATCH(Orçamentária!A177,Composições!A:A,0),8),2,0)</f>
        <v>10.353403999999999</v>
      </c>
      <c r="F177" s="137">
        <f t="shared" ca="1" si="6"/>
        <v>0</v>
      </c>
      <c r="G177" s="138" t="e">
        <f>IF(A177&lt;&gt;"",IF(AND(#REF!="Padrão",$H$4=#REF!),BDI!$B$17,IF(AND(#REF!="Padrão",$H$4=#REF!),BDI!#REF!,IF(AND(#REF!="Diferenciado",$H$4=#REF!),BDI!$E$17,IF(AND(#REF!="Diferenciado",$H$4=#REF!),BDI!#REF!,IF(#REF!="ZERO",0))))),"")</f>
        <v>#REF!</v>
      </c>
      <c r="H177" s="139" t="e">
        <f t="shared" ca="1" si="7"/>
        <v>#REF!</v>
      </c>
      <c r="I177" s="137" t="e">
        <f t="shared" ca="1" si="8"/>
        <v>#REF!</v>
      </c>
      <c r="J177" s="117"/>
    </row>
    <row r="178" spans="1:10" hidden="1" x14ac:dyDescent="0.25">
      <c r="A178" s="114" t="s">
        <v>240</v>
      </c>
      <c r="B178" s="115" t="s">
        <v>7358</v>
      </c>
      <c r="C178" s="116" t="s">
        <v>69</v>
      </c>
      <c r="D178" s="116">
        <v>0</v>
      </c>
      <c r="E178" s="136">
        <f ca="1">OFFSET(INDEX(Composições!A:J,MATCH(Orçamentária!A178,Composições!A:A,0),8),2,0)</f>
        <v>15.924507999999999</v>
      </c>
      <c r="F178" s="137">
        <f t="shared" ca="1" si="6"/>
        <v>0</v>
      </c>
      <c r="G178" s="138" t="e">
        <f>IF(A178&lt;&gt;"",IF(AND(#REF!="Padrão",$H$4=#REF!),BDI!$B$17,IF(AND(#REF!="Padrão",$H$4=#REF!),BDI!#REF!,IF(AND(#REF!="Diferenciado",$H$4=#REF!),BDI!$E$17,IF(AND(#REF!="Diferenciado",$H$4=#REF!),BDI!#REF!,IF(#REF!="ZERO",0))))),"")</f>
        <v>#REF!</v>
      </c>
      <c r="H178" s="139" t="e">
        <f t="shared" ca="1" si="7"/>
        <v>#REF!</v>
      </c>
      <c r="I178" s="137" t="e">
        <f t="shared" ca="1" si="8"/>
        <v>#REF!</v>
      </c>
      <c r="J178" s="117"/>
    </row>
    <row r="179" spans="1:10" hidden="1" x14ac:dyDescent="0.25">
      <c r="A179" s="114" t="s">
        <v>241</v>
      </c>
      <c r="B179" s="115" t="s">
        <v>7359</v>
      </c>
      <c r="C179" s="116" t="s">
        <v>69</v>
      </c>
      <c r="D179" s="116">
        <v>0</v>
      </c>
      <c r="E179" s="136">
        <f ca="1">OFFSET(INDEX(Composições!A:J,MATCH(Orçamentária!A179,Composições!A:A,0),8),2,0)</f>
        <v>17.599861499999999</v>
      </c>
      <c r="F179" s="137">
        <f t="shared" ca="1" si="6"/>
        <v>0</v>
      </c>
      <c r="G179" s="138" t="e">
        <f>IF(A179&lt;&gt;"",IF(AND(#REF!="Padrão",$H$4=#REF!),BDI!$B$17,IF(AND(#REF!="Padrão",$H$4=#REF!),BDI!#REF!,IF(AND(#REF!="Diferenciado",$H$4=#REF!),BDI!$E$17,IF(AND(#REF!="Diferenciado",$H$4=#REF!),BDI!#REF!,IF(#REF!="ZERO",0))))),"")</f>
        <v>#REF!</v>
      </c>
      <c r="H179" s="139" t="e">
        <f t="shared" ca="1" si="7"/>
        <v>#REF!</v>
      </c>
      <c r="I179" s="137" t="e">
        <f t="shared" ca="1" si="8"/>
        <v>#REF!</v>
      </c>
      <c r="J179" s="117"/>
    </row>
    <row r="180" spans="1:10" hidden="1" x14ac:dyDescent="0.25">
      <c r="A180" s="114" t="s">
        <v>242</v>
      </c>
      <c r="B180" s="115" t="s">
        <v>1460</v>
      </c>
      <c r="C180" s="116" t="s">
        <v>16</v>
      </c>
      <c r="D180" s="116">
        <v>0</v>
      </c>
      <c r="E180" s="136">
        <f ca="1">OFFSET(INDEX(Composições!A:J,MATCH(Orçamentária!A180,Composições!A:A,0),8),2,0)</f>
        <v>10.767765499999999</v>
      </c>
      <c r="F180" s="137">
        <f t="shared" ca="1" si="6"/>
        <v>0</v>
      </c>
      <c r="G180" s="138" t="e">
        <f>IF(A180&lt;&gt;"",IF(AND(#REF!="Padrão",$H$4=#REF!),BDI!$B$17,IF(AND(#REF!="Padrão",$H$4=#REF!),BDI!#REF!,IF(AND(#REF!="Diferenciado",$H$4=#REF!),BDI!$E$17,IF(AND(#REF!="Diferenciado",$H$4=#REF!),BDI!#REF!,IF(#REF!="ZERO",0))))),"")</f>
        <v>#REF!</v>
      </c>
      <c r="H180" s="139" t="e">
        <f t="shared" ca="1" si="7"/>
        <v>#REF!</v>
      </c>
      <c r="I180" s="137" t="e">
        <f t="shared" ca="1" si="8"/>
        <v>#REF!</v>
      </c>
      <c r="J180" s="117"/>
    </row>
    <row r="181" spans="1:10" hidden="1" x14ac:dyDescent="0.25">
      <c r="A181" s="114" t="s">
        <v>245</v>
      </c>
      <c r="B181" s="115" t="s">
        <v>5894</v>
      </c>
      <c r="C181" s="116" t="s">
        <v>16</v>
      </c>
      <c r="D181" s="116">
        <v>0</v>
      </c>
      <c r="E181" s="136">
        <f ca="1">OFFSET(INDEX(Composições!A:J,MATCH(Orçamentária!A181,Composições!A:A,0),8),2,0)</f>
        <v>109.89886235</v>
      </c>
      <c r="F181" s="137">
        <f t="shared" ca="1" si="6"/>
        <v>0</v>
      </c>
      <c r="G181" s="138" t="e">
        <f>IF(A181&lt;&gt;"",IF(AND(#REF!="Padrão",$H$4=#REF!),BDI!$B$17,IF(AND(#REF!="Padrão",$H$4=#REF!),BDI!#REF!,IF(AND(#REF!="Diferenciado",$H$4=#REF!),BDI!$E$17,IF(AND(#REF!="Diferenciado",$H$4=#REF!),BDI!#REF!,IF(#REF!="ZERO",0))))),"")</f>
        <v>#REF!</v>
      </c>
      <c r="H181" s="139" t="e">
        <f t="shared" ca="1" si="7"/>
        <v>#REF!</v>
      </c>
      <c r="I181" s="137" t="e">
        <f t="shared" ca="1" si="8"/>
        <v>#REF!</v>
      </c>
      <c r="J181" s="117"/>
    </row>
    <row r="182" spans="1:10" hidden="1" x14ac:dyDescent="0.25">
      <c r="A182" s="114" t="s">
        <v>246</v>
      </c>
      <c r="B182" s="115" t="s">
        <v>5895</v>
      </c>
      <c r="C182" s="116" t="s">
        <v>16</v>
      </c>
      <c r="D182" s="116">
        <v>0</v>
      </c>
      <c r="E182" s="136">
        <f ca="1">OFFSET(INDEX(Composições!A:J,MATCH(Orçamentária!A182,Composições!A:A,0),8),2,0)</f>
        <v>149.98886235000001</v>
      </c>
      <c r="F182" s="137">
        <f t="shared" ca="1" si="6"/>
        <v>0</v>
      </c>
      <c r="G182" s="138" t="e">
        <f>IF(A182&lt;&gt;"",IF(AND(#REF!="Padrão",$H$4=#REF!),BDI!$B$17,IF(AND(#REF!="Padrão",$H$4=#REF!),BDI!#REF!,IF(AND(#REF!="Diferenciado",$H$4=#REF!),BDI!$E$17,IF(AND(#REF!="Diferenciado",$H$4=#REF!),BDI!#REF!,IF(#REF!="ZERO",0))))),"")</f>
        <v>#REF!</v>
      </c>
      <c r="H182" s="139" t="e">
        <f t="shared" ca="1" si="7"/>
        <v>#REF!</v>
      </c>
      <c r="I182" s="137" t="e">
        <f t="shared" ca="1" si="8"/>
        <v>#REF!</v>
      </c>
      <c r="J182" s="117"/>
    </row>
    <row r="183" spans="1:10" hidden="1" x14ac:dyDescent="0.25">
      <c r="A183" s="114" t="s">
        <v>247</v>
      </c>
      <c r="B183" s="115" t="s">
        <v>7571</v>
      </c>
      <c r="C183" s="116" t="s">
        <v>16</v>
      </c>
      <c r="D183" s="116">
        <v>0</v>
      </c>
      <c r="E183" s="136">
        <f ca="1">OFFSET(INDEX(Composições!A:J,MATCH(Orçamentária!A183,Composições!A:A,0),8),2,0)</f>
        <v>3.0338249999999993</v>
      </c>
      <c r="F183" s="137">
        <f t="shared" ca="1" si="6"/>
        <v>0</v>
      </c>
      <c r="G183" s="138" t="e">
        <f>IF(A183&lt;&gt;"",IF(AND(#REF!="Padrão",$H$4=#REF!),BDI!$B$17,IF(AND(#REF!="Padrão",$H$4=#REF!),BDI!#REF!,IF(AND(#REF!="Diferenciado",$H$4=#REF!),BDI!$E$17,IF(AND(#REF!="Diferenciado",$H$4=#REF!),BDI!#REF!,IF(#REF!="ZERO",0))))),"")</f>
        <v>#REF!</v>
      </c>
      <c r="H183" s="139" t="e">
        <f t="shared" ca="1" si="7"/>
        <v>#REF!</v>
      </c>
      <c r="I183" s="137" t="e">
        <f t="shared" ca="1" si="8"/>
        <v>#REF!</v>
      </c>
      <c r="J183" s="117"/>
    </row>
    <row r="184" spans="1:10" hidden="1" x14ac:dyDescent="0.25">
      <c r="A184" s="114" t="s">
        <v>249</v>
      </c>
      <c r="B184" s="115" t="s">
        <v>7572</v>
      </c>
      <c r="C184" s="116" t="s">
        <v>16</v>
      </c>
      <c r="D184" s="116">
        <v>0</v>
      </c>
      <c r="E184" s="136">
        <f ca="1">OFFSET(INDEX(Composições!A:J,MATCH(Orçamentária!A184,Composições!A:A,0),8),2,0)</f>
        <v>3.0338249999999993</v>
      </c>
      <c r="F184" s="137">
        <f t="shared" ca="1" si="6"/>
        <v>0</v>
      </c>
      <c r="G184" s="138" t="e">
        <f>IF(A184&lt;&gt;"",IF(AND(#REF!="Padrão",$H$4=#REF!),BDI!$B$17,IF(AND(#REF!="Padrão",$H$4=#REF!),BDI!#REF!,IF(AND(#REF!="Diferenciado",$H$4=#REF!),BDI!$E$17,IF(AND(#REF!="Diferenciado",$H$4=#REF!),BDI!#REF!,IF(#REF!="ZERO",0))))),"")</f>
        <v>#REF!</v>
      </c>
      <c r="H184" s="139" t="e">
        <f t="shared" ca="1" si="7"/>
        <v>#REF!</v>
      </c>
      <c r="I184" s="137" t="e">
        <f t="shared" ca="1" si="8"/>
        <v>#REF!</v>
      </c>
      <c r="J184" s="117"/>
    </row>
    <row r="185" spans="1:10" hidden="1" x14ac:dyDescent="0.25">
      <c r="A185" s="114" t="s">
        <v>251</v>
      </c>
      <c r="B185" s="115" t="s">
        <v>7573</v>
      </c>
      <c r="C185" s="116" t="s">
        <v>16</v>
      </c>
      <c r="D185" s="116">
        <v>0</v>
      </c>
      <c r="E185" s="136">
        <f ca="1">OFFSET(INDEX(Composições!A:J,MATCH(Orçamentária!A185,Composições!A:A,0),8),2,0)</f>
        <v>16.062741549999998</v>
      </c>
      <c r="F185" s="137">
        <f t="shared" ca="1" si="6"/>
        <v>0</v>
      </c>
      <c r="G185" s="138" t="e">
        <f>IF(A185&lt;&gt;"",IF(AND(#REF!="Padrão",$H$4=#REF!),BDI!$B$17,IF(AND(#REF!="Padrão",$H$4=#REF!),BDI!#REF!,IF(AND(#REF!="Diferenciado",$H$4=#REF!),BDI!$E$17,IF(AND(#REF!="Diferenciado",$H$4=#REF!),BDI!#REF!,IF(#REF!="ZERO",0))))),"")</f>
        <v>#REF!</v>
      </c>
      <c r="H185" s="139" t="e">
        <f t="shared" ca="1" si="7"/>
        <v>#REF!</v>
      </c>
      <c r="I185" s="137" t="e">
        <f t="shared" ca="1" si="8"/>
        <v>#REF!</v>
      </c>
      <c r="J185" s="117"/>
    </row>
    <row r="186" spans="1:10" hidden="1" x14ac:dyDescent="0.25">
      <c r="A186" s="114" t="s">
        <v>252</v>
      </c>
      <c r="B186" s="115" t="s">
        <v>5423</v>
      </c>
      <c r="C186" s="116" t="s">
        <v>16</v>
      </c>
      <c r="D186" s="116">
        <v>0</v>
      </c>
      <c r="E186" s="136">
        <f ca="1">OFFSET(INDEX(Composições!A:J,MATCH(Orçamentária!A186,Composições!A:A,0),8),2,0)</f>
        <v>2.0225499999999998</v>
      </c>
      <c r="F186" s="137">
        <f t="shared" ca="1" si="6"/>
        <v>0</v>
      </c>
      <c r="G186" s="138" t="e">
        <f>IF(A186&lt;&gt;"",IF(AND(#REF!="Padrão",$H$4=#REF!),BDI!$B$17,IF(AND(#REF!="Padrão",$H$4=#REF!),BDI!#REF!,IF(AND(#REF!="Diferenciado",$H$4=#REF!),BDI!$E$17,IF(AND(#REF!="Diferenciado",$H$4=#REF!),BDI!#REF!,IF(#REF!="ZERO",0))))),"")</f>
        <v>#REF!</v>
      </c>
      <c r="H186" s="139" t="e">
        <f t="shared" ca="1" si="7"/>
        <v>#REF!</v>
      </c>
      <c r="I186" s="137" t="e">
        <f t="shared" ca="1" si="8"/>
        <v>#REF!</v>
      </c>
      <c r="J186" s="117"/>
    </row>
    <row r="187" spans="1:10" hidden="1" x14ac:dyDescent="0.25">
      <c r="A187" s="114" t="s">
        <v>254</v>
      </c>
      <c r="B187" s="115" t="s">
        <v>1461</v>
      </c>
      <c r="C187" s="116" t="s">
        <v>16</v>
      </c>
      <c r="D187" s="116">
        <v>0</v>
      </c>
      <c r="E187" s="136">
        <f ca="1">OFFSET(INDEX(Composições!A:J,MATCH(Orçamentária!A187,Composições!A:A,0),8),2,0)</f>
        <v>267.89069949999998</v>
      </c>
      <c r="F187" s="137">
        <f t="shared" ca="1" si="6"/>
        <v>0</v>
      </c>
      <c r="G187" s="138" t="e">
        <f>IF(A187&lt;&gt;"",IF(AND(#REF!="Padrão",$H$4=#REF!),BDI!$B$17,IF(AND(#REF!="Padrão",$H$4=#REF!),BDI!#REF!,IF(AND(#REF!="Diferenciado",$H$4=#REF!),BDI!$E$17,IF(AND(#REF!="Diferenciado",$H$4=#REF!),BDI!#REF!,IF(#REF!="ZERO",0))))),"")</f>
        <v>#REF!</v>
      </c>
      <c r="H187" s="139" t="e">
        <f t="shared" ca="1" si="7"/>
        <v>#REF!</v>
      </c>
      <c r="I187" s="137" t="e">
        <f t="shared" ca="1" si="8"/>
        <v>#REF!</v>
      </c>
      <c r="J187" s="117"/>
    </row>
    <row r="188" spans="1:10" hidden="1" x14ac:dyDescent="0.25">
      <c r="A188" s="114" t="s">
        <v>255</v>
      </c>
      <c r="B188" s="115" t="s">
        <v>1462</v>
      </c>
      <c r="C188" s="116" t="s">
        <v>16</v>
      </c>
      <c r="D188" s="116">
        <v>0</v>
      </c>
      <c r="E188" s="136">
        <f ca="1">OFFSET(INDEX(Composições!A:J,MATCH(Orçamentária!A188,Composições!A:A,0),8),2,0)</f>
        <v>86.792199499999981</v>
      </c>
      <c r="F188" s="137">
        <f t="shared" ca="1" si="6"/>
        <v>0</v>
      </c>
      <c r="G188" s="138" t="e">
        <f>IF(A188&lt;&gt;"",IF(AND(#REF!="Padrão",$H$4=#REF!),BDI!$B$17,IF(AND(#REF!="Padrão",$H$4=#REF!),BDI!#REF!,IF(AND(#REF!="Diferenciado",$H$4=#REF!),BDI!$E$17,IF(AND(#REF!="Diferenciado",$H$4=#REF!),BDI!#REF!,IF(#REF!="ZERO",0))))),"")</f>
        <v>#REF!</v>
      </c>
      <c r="H188" s="139" t="e">
        <f t="shared" ca="1" si="7"/>
        <v>#REF!</v>
      </c>
      <c r="I188" s="137" t="e">
        <f t="shared" ca="1" si="8"/>
        <v>#REF!</v>
      </c>
      <c r="J188" s="117"/>
    </row>
    <row r="189" spans="1:10" hidden="1" x14ac:dyDescent="0.25">
      <c r="A189" s="114" t="s">
        <v>257</v>
      </c>
      <c r="B189" s="115" t="s">
        <v>1463</v>
      </c>
      <c r="C189" s="116" t="s">
        <v>16</v>
      </c>
      <c r="D189" s="116">
        <v>0</v>
      </c>
      <c r="E189" s="136">
        <f ca="1">OFFSET(INDEX(Composições!A:J,MATCH(Orçamentária!A189,Composições!A:A,0),8),2,0)</f>
        <v>48.7234385</v>
      </c>
      <c r="F189" s="137">
        <f t="shared" ca="1" si="6"/>
        <v>0</v>
      </c>
      <c r="G189" s="138" t="e">
        <f>IF(A189&lt;&gt;"",IF(AND(#REF!="Padrão",$H$4=#REF!),BDI!$B$17,IF(AND(#REF!="Padrão",$H$4=#REF!),BDI!#REF!,IF(AND(#REF!="Diferenciado",$H$4=#REF!),BDI!$E$17,IF(AND(#REF!="Diferenciado",$H$4=#REF!),BDI!#REF!,IF(#REF!="ZERO",0))))),"")</f>
        <v>#REF!</v>
      </c>
      <c r="H189" s="139" t="e">
        <f t="shared" ca="1" si="7"/>
        <v>#REF!</v>
      </c>
      <c r="I189" s="137" t="e">
        <f t="shared" ca="1" si="8"/>
        <v>#REF!</v>
      </c>
      <c r="J189" s="117"/>
    </row>
    <row r="190" spans="1:10" hidden="1" x14ac:dyDescent="0.25">
      <c r="A190" s="114" t="s">
        <v>259</v>
      </c>
      <c r="B190" s="115" t="s">
        <v>5424</v>
      </c>
      <c r="C190" s="116" t="s">
        <v>16</v>
      </c>
      <c r="D190" s="116">
        <v>0</v>
      </c>
      <c r="E190" s="136">
        <f ca="1">OFFSET(INDEX(Composições!A:J,MATCH(Orçamentária!A190,Composições!A:A,0),8),2,0)</f>
        <v>27.496380099999996</v>
      </c>
      <c r="F190" s="137">
        <f t="shared" ca="1" si="6"/>
        <v>0</v>
      </c>
      <c r="G190" s="138" t="e">
        <f>IF(A190&lt;&gt;"",IF(AND(#REF!="Padrão",$H$4=#REF!),BDI!$B$17,IF(AND(#REF!="Padrão",$H$4=#REF!),BDI!#REF!,IF(AND(#REF!="Diferenciado",$H$4=#REF!),BDI!$E$17,IF(AND(#REF!="Diferenciado",$H$4=#REF!),BDI!#REF!,IF(#REF!="ZERO",0))))),"")</f>
        <v>#REF!</v>
      </c>
      <c r="H190" s="139" t="e">
        <f t="shared" ca="1" si="7"/>
        <v>#REF!</v>
      </c>
      <c r="I190" s="137" t="e">
        <f t="shared" ca="1" si="8"/>
        <v>#REF!</v>
      </c>
      <c r="J190" s="117"/>
    </row>
    <row r="191" spans="1:10" hidden="1" x14ac:dyDescent="0.25">
      <c r="A191" s="114" t="s">
        <v>261</v>
      </c>
      <c r="B191" s="115" t="s">
        <v>1464</v>
      </c>
      <c r="C191" s="116" t="s">
        <v>16</v>
      </c>
      <c r="D191" s="116">
        <v>0</v>
      </c>
      <c r="E191" s="136">
        <f ca="1">OFFSET(INDEX(Composições!A:J,MATCH(Orçamentária!A191,Composições!A:A,0),8),2,0)</f>
        <v>48.7234385</v>
      </c>
      <c r="F191" s="137">
        <f t="shared" ca="1" si="6"/>
        <v>0</v>
      </c>
      <c r="G191" s="138" t="e">
        <f>IF(A191&lt;&gt;"",IF(AND(#REF!="Padrão",$H$4=#REF!),BDI!$B$17,IF(AND(#REF!="Padrão",$H$4=#REF!),BDI!#REF!,IF(AND(#REF!="Diferenciado",$H$4=#REF!),BDI!$E$17,IF(AND(#REF!="Diferenciado",$H$4=#REF!),BDI!#REF!,IF(#REF!="ZERO",0))))),"")</f>
        <v>#REF!</v>
      </c>
      <c r="H191" s="139" t="e">
        <f t="shared" ca="1" si="7"/>
        <v>#REF!</v>
      </c>
      <c r="I191" s="137" t="e">
        <f t="shared" ca="1" si="8"/>
        <v>#REF!</v>
      </c>
      <c r="J191" s="117"/>
    </row>
    <row r="192" spans="1:10" hidden="1" x14ac:dyDescent="0.25">
      <c r="A192" s="114" t="s">
        <v>263</v>
      </c>
      <c r="B192" s="115" t="s">
        <v>1465</v>
      </c>
      <c r="C192" s="116" t="s">
        <v>16</v>
      </c>
      <c r="D192" s="116">
        <v>0</v>
      </c>
      <c r="E192" s="136">
        <f ca="1">OFFSET(INDEX(Composições!A:J,MATCH(Orçamentária!A192,Composições!A:A,0),8),2,0)</f>
        <v>50.201165399999994</v>
      </c>
      <c r="F192" s="137">
        <f t="shared" ca="1" si="6"/>
        <v>0</v>
      </c>
      <c r="G192" s="138" t="e">
        <f>IF(A192&lt;&gt;"",IF(AND(#REF!="Padrão",$H$4=#REF!),BDI!$B$17,IF(AND(#REF!="Padrão",$H$4=#REF!),BDI!#REF!,IF(AND(#REF!="Diferenciado",$H$4=#REF!),BDI!$E$17,IF(AND(#REF!="Diferenciado",$H$4=#REF!),BDI!#REF!,IF(#REF!="ZERO",0))))),"")</f>
        <v>#REF!</v>
      </c>
      <c r="H192" s="139" t="e">
        <f t="shared" ca="1" si="7"/>
        <v>#REF!</v>
      </c>
      <c r="I192" s="137" t="e">
        <f t="shared" ca="1" si="8"/>
        <v>#REF!</v>
      </c>
      <c r="J192" s="117"/>
    </row>
    <row r="193" spans="1:10" hidden="1" x14ac:dyDescent="0.25">
      <c r="A193" s="114" t="s">
        <v>264</v>
      </c>
      <c r="B193" s="115" t="s">
        <v>1466</v>
      </c>
      <c r="C193" s="116" t="s">
        <v>16</v>
      </c>
      <c r="D193" s="116">
        <v>0</v>
      </c>
      <c r="E193" s="136">
        <f ca="1">OFFSET(INDEX(Composições!A:J,MATCH(Orçamentária!A193,Composições!A:A,0),8),2,0)</f>
        <v>50.684570999999991</v>
      </c>
      <c r="F193" s="137">
        <f t="shared" ca="1" si="6"/>
        <v>0</v>
      </c>
      <c r="G193" s="138" t="e">
        <f>IF(A193&lt;&gt;"",IF(AND(#REF!="Padrão",$H$4=#REF!),BDI!$B$17,IF(AND(#REF!="Padrão",$H$4=#REF!),BDI!#REF!,IF(AND(#REF!="Diferenciado",$H$4=#REF!),BDI!$E$17,IF(AND(#REF!="Diferenciado",$H$4=#REF!),BDI!#REF!,IF(#REF!="ZERO",0))))),"")</f>
        <v>#REF!</v>
      </c>
      <c r="H193" s="139" t="e">
        <f t="shared" ca="1" si="7"/>
        <v>#REF!</v>
      </c>
      <c r="I193" s="137" t="e">
        <f t="shared" ca="1" si="8"/>
        <v>#REF!</v>
      </c>
      <c r="J193" s="117"/>
    </row>
    <row r="194" spans="1:10" hidden="1" x14ac:dyDescent="0.25">
      <c r="A194" s="114" t="s">
        <v>266</v>
      </c>
      <c r="B194" s="115" t="s">
        <v>1467</v>
      </c>
      <c r="C194" s="116" t="s">
        <v>16</v>
      </c>
      <c r="D194" s="116">
        <v>0</v>
      </c>
      <c r="E194" s="136">
        <f ca="1">OFFSET(INDEX(Composições!A:J,MATCH(Orçamentária!A194,Composições!A:A,0),8),2,0)</f>
        <v>86.792199499999981</v>
      </c>
      <c r="F194" s="137">
        <f t="shared" ca="1" si="6"/>
        <v>0</v>
      </c>
      <c r="G194" s="138" t="e">
        <f>IF(A194&lt;&gt;"",IF(AND(#REF!="Padrão",$H$4=#REF!),BDI!$B$17,IF(AND(#REF!="Padrão",$H$4=#REF!),BDI!#REF!,IF(AND(#REF!="Diferenciado",$H$4=#REF!),BDI!$E$17,IF(AND(#REF!="Diferenciado",$H$4=#REF!),BDI!#REF!,IF(#REF!="ZERO",0))))),"")</f>
        <v>#REF!</v>
      </c>
      <c r="H194" s="139" t="e">
        <f t="shared" ca="1" si="7"/>
        <v>#REF!</v>
      </c>
      <c r="I194" s="137" t="e">
        <f t="shared" ca="1" si="8"/>
        <v>#REF!</v>
      </c>
      <c r="J194" s="117"/>
    </row>
    <row r="195" spans="1:10" hidden="1" x14ac:dyDescent="0.25">
      <c r="A195" s="114" t="s">
        <v>267</v>
      </c>
      <c r="B195" s="115" t="s">
        <v>1468</v>
      </c>
      <c r="C195" s="116" t="s">
        <v>16</v>
      </c>
      <c r="D195" s="116">
        <v>0</v>
      </c>
      <c r="E195" s="136">
        <f ca="1">OFFSET(INDEX(Composições!A:J,MATCH(Orçamentária!A195,Composições!A:A,0),8),2,0)</f>
        <v>132.18616539999999</v>
      </c>
      <c r="F195" s="137">
        <f t="shared" ca="1" si="6"/>
        <v>0</v>
      </c>
      <c r="G195" s="138" t="e">
        <f>IF(A195&lt;&gt;"",IF(AND(#REF!="Padrão",$H$4=#REF!),BDI!$B$17,IF(AND(#REF!="Padrão",$H$4=#REF!),BDI!#REF!,IF(AND(#REF!="Diferenciado",$H$4=#REF!),BDI!$E$17,IF(AND(#REF!="Diferenciado",$H$4=#REF!),BDI!#REF!,IF(#REF!="ZERO",0))))),"")</f>
        <v>#REF!</v>
      </c>
      <c r="H195" s="139" t="e">
        <f t="shared" ca="1" si="7"/>
        <v>#REF!</v>
      </c>
      <c r="I195" s="137" t="e">
        <f t="shared" ca="1" si="8"/>
        <v>#REF!</v>
      </c>
      <c r="J195" s="117"/>
    </row>
    <row r="196" spans="1:10" hidden="1" x14ac:dyDescent="0.25">
      <c r="A196" s="114" t="s">
        <v>268</v>
      </c>
      <c r="B196" s="115" t="s">
        <v>1469</v>
      </c>
      <c r="C196" s="116" t="s">
        <v>16</v>
      </c>
      <c r="D196" s="116">
        <v>0</v>
      </c>
      <c r="E196" s="136">
        <f ca="1">OFFSET(INDEX(Composições!A:J,MATCH(Orçamentária!A196,Composições!A:A,0),8),2,0)</f>
        <v>365.9895709999999</v>
      </c>
      <c r="F196" s="137">
        <f t="shared" ca="1" si="6"/>
        <v>0</v>
      </c>
      <c r="G196" s="138" t="e">
        <f>IF(A196&lt;&gt;"",IF(AND(#REF!="Padrão",$H$4=#REF!),BDI!$B$17,IF(AND(#REF!="Padrão",$H$4=#REF!),BDI!#REF!,IF(AND(#REF!="Diferenciado",$H$4=#REF!),BDI!$E$17,IF(AND(#REF!="Diferenciado",$H$4=#REF!),BDI!#REF!,IF(#REF!="ZERO",0))))),"")</f>
        <v>#REF!</v>
      </c>
      <c r="H196" s="139" t="e">
        <f t="shared" ca="1" si="7"/>
        <v>#REF!</v>
      </c>
      <c r="I196" s="137" t="e">
        <f t="shared" ca="1" si="8"/>
        <v>#REF!</v>
      </c>
      <c r="J196" s="117"/>
    </row>
    <row r="197" spans="1:10" hidden="1" x14ac:dyDescent="0.25">
      <c r="A197" s="114" t="s">
        <v>269</v>
      </c>
      <c r="B197" s="115" t="s">
        <v>5425</v>
      </c>
      <c r="C197" s="116" t="s">
        <v>16</v>
      </c>
      <c r="D197" s="116">
        <v>0</v>
      </c>
      <c r="E197" s="136">
        <f ca="1">OFFSET(INDEX(Composições!A:J,MATCH(Orçamentária!A197,Composições!A:A,0),8),2,0)</f>
        <v>99.457599499999986</v>
      </c>
      <c r="F197" s="137">
        <f t="shared" ca="1" si="6"/>
        <v>0</v>
      </c>
      <c r="G197" s="138" t="e">
        <f>IF(A197&lt;&gt;"",IF(AND(#REF!="Padrão",$H$4=#REF!),BDI!$B$17,IF(AND(#REF!="Padrão",$H$4=#REF!),BDI!#REF!,IF(AND(#REF!="Diferenciado",$H$4=#REF!),BDI!$E$17,IF(AND(#REF!="Diferenciado",$H$4=#REF!),BDI!#REF!,IF(#REF!="ZERO",0))))),"")</f>
        <v>#REF!</v>
      </c>
      <c r="H197" s="139" t="e">
        <f t="shared" ca="1" si="7"/>
        <v>#REF!</v>
      </c>
      <c r="I197" s="137" t="e">
        <f t="shared" ca="1" si="8"/>
        <v>#REF!</v>
      </c>
      <c r="J197" s="117"/>
    </row>
    <row r="198" spans="1:10" hidden="1" x14ac:dyDescent="0.25">
      <c r="A198" s="114" t="s">
        <v>271</v>
      </c>
      <c r="B198" s="115" t="s">
        <v>5426</v>
      </c>
      <c r="C198" s="116" t="s">
        <v>16</v>
      </c>
      <c r="D198" s="116">
        <v>0</v>
      </c>
      <c r="E198" s="136">
        <f ca="1">OFFSET(INDEX(Composições!A:J,MATCH(Orçamentária!A198,Composições!A:A,0),8),2,0)</f>
        <v>2.1439599999999999</v>
      </c>
      <c r="F198" s="137">
        <f t="shared" ca="1" si="6"/>
        <v>0</v>
      </c>
      <c r="G198" s="138" t="e">
        <f>IF(A198&lt;&gt;"",IF(AND(#REF!="Padrão",$H$4=#REF!),BDI!$B$17,IF(AND(#REF!="Padrão",$H$4=#REF!),BDI!#REF!,IF(AND(#REF!="Diferenciado",$H$4=#REF!),BDI!$E$17,IF(AND(#REF!="Diferenciado",$H$4=#REF!),BDI!#REF!,IF(#REF!="ZERO",0))))),"")</f>
        <v>#REF!</v>
      </c>
      <c r="H198" s="139" t="e">
        <f t="shared" ca="1" si="7"/>
        <v>#REF!</v>
      </c>
      <c r="I198" s="137" t="e">
        <f t="shared" ca="1" si="8"/>
        <v>#REF!</v>
      </c>
      <c r="J198" s="117"/>
    </row>
    <row r="199" spans="1:10" hidden="1" x14ac:dyDescent="0.25">
      <c r="A199" s="114" t="s">
        <v>273</v>
      </c>
      <c r="B199" s="115" t="s">
        <v>5427</v>
      </c>
      <c r="C199" s="116" t="s">
        <v>16</v>
      </c>
      <c r="D199" s="116">
        <v>0</v>
      </c>
      <c r="E199" s="136">
        <f ca="1">OFFSET(INDEX(Composições!A:J,MATCH(Orçamentária!A199,Composições!A:A,0),8),2,0)</f>
        <v>2.1439599999999999</v>
      </c>
      <c r="F199" s="137">
        <f t="shared" ref="F199:F262" ca="1" si="9">IF(ISNUMBER(E199),D199*E199,"")</f>
        <v>0</v>
      </c>
      <c r="G199" s="138" t="e">
        <f>IF(A199&lt;&gt;"",IF(AND(#REF!="Padrão",$H$4=#REF!),BDI!$B$17,IF(AND(#REF!="Padrão",$H$4=#REF!),BDI!#REF!,IF(AND(#REF!="Diferenciado",$H$4=#REF!),BDI!$E$17,IF(AND(#REF!="Diferenciado",$H$4=#REF!),BDI!#REF!,IF(#REF!="ZERO",0))))),"")</f>
        <v>#REF!</v>
      </c>
      <c r="H199" s="139" t="e">
        <f t="shared" ref="H199:H262" ca="1" si="10">IF(ISNUMBER(E199),ROUND(E199*(1+G199),2),"")</f>
        <v>#REF!</v>
      </c>
      <c r="I199" s="137" t="e">
        <f t="shared" ref="I199:I262" ca="1" si="11">IF(ISNUMBER(E199),ROUND(H199*D199,2),"")</f>
        <v>#REF!</v>
      </c>
      <c r="J199" s="117"/>
    </row>
    <row r="200" spans="1:10" hidden="1" x14ac:dyDescent="0.25">
      <c r="A200" s="114" t="s">
        <v>275</v>
      </c>
      <c r="B200" s="115" t="s">
        <v>5428</v>
      </c>
      <c r="C200" s="116" t="s">
        <v>16</v>
      </c>
      <c r="D200" s="116">
        <v>0</v>
      </c>
      <c r="E200" s="136">
        <f ca="1">OFFSET(INDEX(Composições!A:J,MATCH(Orçamentária!A200,Composições!A:A,0),8),2,0)</f>
        <v>23.982749999999999</v>
      </c>
      <c r="F200" s="137">
        <f t="shared" ca="1" si="9"/>
        <v>0</v>
      </c>
      <c r="G200" s="138" t="e">
        <f>IF(A200&lt;&gt;"",IF(AND(#REF!="Padrão",$H$4=#REF!),BDI!$B$17,IF(AND(#REF!="Padrão",$H$4=#REF!),BDI!#REF!,IF(AND(#REF!="Diferenciado",$H$4=#REF!),BDI!$E$17,IF(AND(#REF!="Diferenciado",$H$4=#REF!),BDI!#REF!,IF(#REF!="ZERO",0))))),"")</f>
        <v>#REF!</v>
      </c>
      <c r="H200" s="139" t="e">
        <f t="shared" ca="1" si="10"/>
        <v>#REF!</v>
      </c>
      <c r="I200" s="137" t="e">
        <f t="shared" ca="1" si="11"/>
        <v>#REF!</v>
      </c>
      <c r="J200" s="117"/>
    </row>
    <row r="201" spans="1:10" hidden="1" x14ac:dyDescent="0.25">
      <c r="A201" s="114" t="s">
        <v>277</v>
      </c>
      <c r="B201" s="115" t="s">
        <v>1470</v>
      </c>
      <c r="C201" s="116" t="s">
        <v>16</v>
      </c>
      <c r="D201" s="116">
        <v>0</v>
      </c>
      <c r="E201" s="136">
        <f ca="1">OFFSET(INDEX(Composições!A:J,MATCH(Orçamentária!A201,Composições!A:A,0),8),2,0)</f>
        <v>4.8246671499999998</v>
      </c>
      <c r="F201" s="137">
        <f t="shared" ca="1" si="9"/>
        <v>0</v>
      </c>
      <c r="G201" s="138" t="e">
        <f>IF(A201&lt;&gt;"",IF(AND(#REF!="Padrão",$H$4=#REF!),BDI!$B$17,IF(AND(#REF!="Padrão",$H$4=#REF!),BDI!#REF!,IF(AND(#REF!="Diferenciado",$H$4=#REF!),BDI!$E$17,IF(AND(#REF!="Diferenciado",$H$4=#REF!),BDI!#REF!,IF(#REF!="ZERO",0))))),"")</f>
        <v>#REF!</v>
      </c>
      <c r="H201" s="139" t="e">
        <f t="shared" ca="1" si="10"/>
        <v>#REF!</v>
      </c>
      <c r="I201" s="137" t="e">
        <f t="shared" ca="1" si="11"/>
        <v>#REF!</v>
      </c>
      <c r="J201" s="117"/>
    </row>
    <row r="202" spans="1:10" hidden="1" x14ac:dyDescent="0.25">
      <c r="A202" s="114" t="s">
        <v>278</v>
      </c>
      <c r="B202" s="115" t="s">
        <v>5429</v>
      </c>
      <c r="C202" s="116" t="s">
        <v>16</v>
      </c>
      <c r="D202" s="116">
        <v>0</v>
      </c>
      <c r="E202" s="136">
        <f ca="1">OFFSET(INDEX(Composições!A:J,MATCH(Orçamentária!A202,Composições!A:A,0),8),2,0)</f>
        <v>42.427356249999995</v>
      </c>
      <c r="F202" s="137">
        <f t="shared" ca="1" si="9"/>
        <v>0</v>
      </c>
      <c r="G202" s="138" t="e">
        <f>IF(A202&lt;&gt;"",IF(AND(#REF!="Padrão",$H$4=#REF!),BDI!$B$17,IF(AND(#REF!="Padrão",$H$4=#REF!),BDI!#REF!,IF(AND(#REF!="Diferenciado",$H$4=#REF!),BDI!$E$17,IF(AND(#REF!="Diferenciado",$H$4=#REF!),BDI!#REF!,IF(#REF!="ZERO",0))))),"")</f>
        <v>#REF!</v>
      </c>
      <c r="H202" s="139" t="e">
        <f t="shared" ca="1" si="10"/>
        <v>#REF!</v>
      </c>
      <c r="I202" s="137" t="e">
        <f t="shared" ca="1" si="11"/>
        <v>#REF!</v>
      </c>
      <c r="J202" s="117"/>
    </row>
    <row r="203" spans="1:10" hidden="1" x14ac:dyDescent="0.25">
      <c r="A203" s="114" t="s">
        <v>279</v>
      </c>
      <c r="B203" s="115" t="s">
        <v>5430</v>
      </c>
      <c r="C203" s="116" t="s">
        <v>16</v>
      </c>
      <c r="D203" s="116">
        <v>0</v>
      </c>
      <c r="E203" s="136">
        <f ca="1">OFFSET(INDEX(Composições!A:J,MATCH(Orçamentária!A203,Composições!A:A,0),8),2,0)</f>
        <v>9.2044663999999994</v>
      </c>
      <c r="F203" s="137">
        <f t="shared" ca="1" si="9"/>
        <v>0</v>
      </c>
      <c r="G203" s="138" t="e">
        <f>IF(A203&lt;&gt;"",IF(AND(#REF!="Padrão",$H$4=#REF!),BDI!$B$17,IF(AND(#REF!="Padrão",$H$4=#REF!),BDI!#REF!,IF(AND(#REF!="Diferenciado",$H$4=#REF!),BDI!$E$17,IF(AND(#REF!="Diferenciado",$H$4=#REF!),BDI!#REF!,IF(#REF!="ZERO",0))))),"")</f>
        <v>#REF!</v>
      </c>
      <c r="H203" s="139" t="e">
        <f t="shared" ca="1" si="10"/>
        <v>#REF!</v>
      </c>
      <c r="I203" s="137" t="e">
        <f t="shared" ca="1" si="11"/>
        <v>#REF!</v>
      </c>
      <c r="J203" s="117"/>
    </row>
    <row r="204" spans="1:10" hidden="1" x14ac:dyDescent="0.25">
      <c r="A204" s="114" t="s">
        <v>281</v>
      </c>
      <c r="B204" s="115" t="s">
        <v>1471</v>
      </c>
      <c r="C204" s="116" t="s">
        <v>16</v>
      </c>
      <c r="D204" s="116">
        <v>0</v>
      </c>
      <c r="E204" s="136">
        <f ca="1">OFFSET(INDEX(Composições!A:J,MATCH(Orçamentária!A204,Composições!A:A,0),8),2,0)</f>
        <v>157.97103499999997</v>
      </c>
      <c r="F204" s="137">
        <f t="shared" ca="1" si="9"/>
        <v>0</v>
      </c>
      <c r="G204" s="138" t="e">
        <f>IF(A204&lt;&gt;"",IF(AND(#REF!="Padrão",$H$4=#REF!),BDI!$B$17,IF(AND(#REF!="Padrão",$H$4=#REF!),BDI!#REF!,IF(AND(#REF!="Diferenciado",$H$4=#REF!),BDI!$E$17,IF(AND(#REF!="Diferenciado",$H$4=#REF!),BDI!#REF!,IF(#REF!="ZERO",0))))),"")</f>
        <v>#REF!</v>
      </c>
      <c r="H204" s="139" t="e">
        <f t="shared" ca="1" si="10"/>
        <v>#REF!</v>
      </c>
      <c r="I204" s="137" t="e">
        <f t="shared" ca="1" si="11"/>
        <v>#REF!</v>
      </c>
      <c r="J204" s="117"/>
    </row>
    <row r="205" spans="1:10" hidden="1" x14ac:dyDescent="0.25">
      <c r="A205" s="114" t="s">
        <v>282</v>
      </c>
      <c r="B205" s="115" t="s">
        <v>5431</v>
      </c>
      <c r="C205" s="116" t="s">
        <v>16</v>
      </c>
      <c r="D205" s="116">
        <v>0</v>
      </c>
      <c r="E205" s="136">
        <f ca="1">OFFSET(INDEX(Composições!A:J,MATCH(Orçamentária!A205,Composições!A:A,0),8),2,0)</f>
        <v>166.69546639999999</v>
      </c>
      <c r="F205" s="137">
        <f t="shared" ca="1" si="9"/>
        <v>0</v>
      </c>
      <c r="G205" s="138" t="e">
        <f>IF(A205&lt;&gt;"",IF(AND(#REF!="Padrão",$H$4=#REF!),BDI!$B$17,IF(AND(#REF!="Padrão",$H$4=#REF!),BDI!#REF!,IF(AND(#REF!="Diferenciado",$H$4=#REF!),BDI!$E$17,IF(AND(#REF!="Diferenciado",$H$4=#REF!),BDI!#REF!,IF(#REF!="ZERO",0))))),"")</f>
        <v>#REF!</v>
      </c>
      <c r="H205" s="139" t="e">
        <f t="shared" ca="1" si="10"/>
        <v>#REF!</v>
      </c>
      <c r="I205" s="137" t="e">
        <f t="shared" ca="1" si="11"/>
        <v>#REF!</v>
      </c>
      <c r="J205" s="117"/>
    </row>
    <row r="206" spans="1:10" hidden="1" x14ac:dyDescent="0.25">
      <c r="A206" s="114" t="s">
        <v>283</v>
      </c>
      <c r="B206" s="115" t="s">
        <v>1472</v>
      </c>
      <c r="C206" s="116" t="s">
        <v>16</v>
      </c>
      <c r="D206" s="116">
        <v>0</v>
      </c>
      <c r="E206" s="136">
        <f ca="1">OFFSET(INDEX(Composições!A:J,MATCH(Orçamentária!A206,Composições!A:A,0),8),2,0)</f>
        <v>5.6141028999999989</v>
      </c>
      <c r="F206" s="137">
        <f t="shared" ca="1" si="9"/>
        <v>0</v>
      </c>
      <c r="G206" s="138" t="e">
        <f>IF(A206&lt;&gt;"",IF(AND(#REF!="Padrão",$H$4=#REF!),BDI!$B$17,IF(AND(#REF!="Padrão",$H$4=#REF!),BDI!#REF!,IF(AND(#REF!="Diferenciado",$H$4=#REF!),BDI!$E$17,IF(AND(#REF!="Diferenciado",$H$4=#REF!),BDI!#REF!,IF(#REF!="ZERO",0))))),"")</f>
        <v>#REF!</v>
      </c>
      <c r="H206" s="139" t="e">
        <f t="shared" ca="1" si="10"/>
        <v>#REF!</v>
      </c>
      <c r="I206" s="137" t="e">
        <f t="shared" ca="1" si="11"/>
        <v>#REF!</v>
      </c>
      <c r="J206" s="117"/>
    </row>
    <row r="207" spans="1:10" hidden="1" x14ac:dyDescent="0.25">
      <c r="A207" s="114" t="s">
        <v>285</v>
      </c>
      <c r="B207" s="115" t="s">
        <v>5432</v>
      </c>
      <c r="C207" s="116" t="s">
        <v>16</v>
      </c>
      <c r="D207" s="116">
        <v>0</v>
      </c>
      <c r="E207" s="136">
        <f ca="1">OFFSET(INDEX(Composições!A:J,MATCH(Orçamentária!A207,Composições!A:A,0),8),2,0)</f>
        <v>5.6141028999999989</v>
      </c>
      <c r="F207" s="137">
        <f t="shared" ca="1" si="9"/>
        <v>0</v>
      </c>
      <c r="G207" s="138" t="e">
        <f>IF(A207&lt;&gt;"",IF(AND(#REF!="Padrão",$H$4=#REF!),BDI!$B$17,IF(AND(#REF!="Padrão",$H$4=#REF!),BDI!#REF!,IF(AND(#REF!="Diferenciado",$H$4=#REF!),BDI!$E$17,IF(AND(#REF!="Diferenciado",$H$4=#REF!),BDI!#REF!,IF(#REF!="ZERO",0))))),"")</f>
        <v>#REF!</v>
      </c>
      <c r="H207" s="139" t="e">
        <f t="shared" ca="1" si="10"/>
        <v>#REF!</v>
      </c>
      <c r="I207" s="137" t="e">
        <f t="shared" ca="1" si="11"/>
        <v>#REF!</v>
      </c>
      <c r="J207" s="117"/>
    </row>
    <row r="208" spans="1:10" hidden="1" x14ac:dyDescent="0.25">
      <c r="A208" s="114" t="s">
        <v>287</v>
      </c>
      <c r="B208" s="115" t="s">
        <v>1473</v>
      </c>
      <c r="C208" s="116" t="s">
        <v>16</v>
      </c>
      <c r="D208" s="116">
        <v>0</v>
      </c>
      <c r="E208" s="136">
        <f ca="1">OFFSET(INDEX(Composições!A:J,MATCH(Orçamentária!A208,Composições!A:A,0),8),2,0)</f>
        <v>3.27037215</v>
      </c>
      <c r="F208" s="137">
        <f t="shared" ca="1" si="9"/>
        <v>0</v>
      </c>
      <c r="G208" s="138" t="e">
        <f>IF(A208&lt;&gt;"",IF(AND(#REF!="Padrão",$H$4=#REF!),BDI!$B$17,IF(AND(#REF!="Padrão",$H$4=#REF!),BDI!#REF!,IF(AND(#REF!="Diferenciado",$H$4=#REF!),BDI!$E$17,IF(AND(#REF!="Diferenciado",$H$4=#REF!),BDI!#REF!,IF(#REF!="ZERO",0))))),"")</f>
        <v>#REF!</v>
      </c>
      <c r="H208" s="139" t="e">
        <f t="shared" ca="1" si="10"/>
        <v>#REF!</v>
      </c>
      <c r="I208" s="137" t="e">
        <f t="shared" ca="1" si="11"/>
        <v>#REF!</v>
      </c>
      <c r="J208" s="117"/>
    </row>
    <row r="209" spans="1:10" hidden="1" x14ac:dyDescent="0.25">
      <c r="A209" s="114" t="s">
        <v>289</v>
      </c>
      <c r="B209" s="115" t="s">
        <v>5433</v>
      </c>
      <c r="C209" s="116" t="s">
        <v>16</v>
      </c>
      <c r="D209" s="116">
        <v>0</v>
      </c>
      <c r="E209" s="136">
        <f ca="1">OFFSET(INDEX(Composições!A:J,MATCH(Orçamentária!A209,Composições!A:A,0),8),2,0)</f>
        <v>3.27037215</v>
      </c>
      <c r="F209" s="137">
        <f t="shared" ca="1" si="9"/>
        <v>0</v>
      </c>
      <c r="G209" s="138" t="e">
        <f>IF(A209&lt;&gt;"",IF(AND(#REF!="Padrão",$H$4=#REF!),BDI!$B$17,IF(AND(#REF!="Padrão",$H$4=#REF!),BDI!#REF!,IF(AND(#REF!="Diferenciado",$H$4=#REF!),BDI!$E$17,IF(AND(#REF!="Diferenciado",$H$4=#REF!),BDI!#REF!,IF(#REF!="ZERO",0))))),"")</f>
        <v>#REF!</v>
      </c>
      <c r="H209" s="139" t="e">
        <f t="shared" ca="1" si="10"/>
        <v>#REF!</v>
      </c>
      <c r="I209" s="137" t="e">
        <f t="shared" ca="1" si="11"/>
        <v>#REF!</v>
      </c>
      <c r="J209" s="117"/>
    </row>
    <row r="210" spans="1:10" hidden="1" x14ac:dyDescent="0.25">
      <c r="A210" s="114" t="s">
        <v>291</v>
      </c>
      <c r="B210" s="115" t="s">
        <v>5434</v>
      </c>
      <c r="C210" s="116" t="s">
        <v>16</v>
      </c>
      <c r="D210" s="116">
        <v>0</v>
      </c>
      <c r="E210" s="136">
        <f ca="1">OFFSET(INDEX(Composições!A:J,MATCH(Orçamentária!A210,Composições!A:A,0),8),2,0)</f>
        <v>3.27037215</v>
      </c>
      <c r="F210" s="137">
        <f t="shared" ca="1" si="9"/>
        <v>0</v>
      </c>
      <c r="G210" s="138" t="e">
        <f>IF(A210&lt;&gt;"",IF(AND(#REF!="Padrão",$H$4=#REF!),BDI!$B$17,IF(AND(#REF!="Padrão",$H$4=#REF!),BDI!#REF!,IF(AND(#REF!="Diferenciado",$H$4=#REF!),BDI!$E$17,IF(AND(#REF!="Diferenciado",$H$4=#REF!),BDI!#REF!,IF(#REF!="ZERO",0))))),"")</f>
        <v>#REF!</v>
      </c>
      <c r="H210" s="139" t="e">
        <f t="shared" ca="1" si="10"/>
        <v>#REF!</v>
      </c>
      <c r="I210" s="137" t="e">
        <f t="shared" ca="1" si="11"/>
        <v>#REF!</v>
      </c>
      <c r="J210" s="117"/>
    </row>
    <row r="211" spans="1:10" hidden="1" x14ac:dyDescent="0.25">
      <c r="A211" s="114" t="s">
        <v>293</v>
      </c>
      <c r="B211" s="115" t="s">
        <v>1474</v>
      </c>
      <c r="C211" s="116" t="s">
        <v>16</v>
      </c>
      <c r="D211" s="116">
        <v>0</v>
      </c>
      <c r="E211" s="136">
        <f ca="1">OFFSET(INDEX(Composições!A:J,MATCH(Orçamentária!A211,Composições!A:A,0),8),2,0)</f>
        <v>117.99237214999999</v>
      </c>
      <c r="F211" s="137">
        <f t="shared" ca="1" si="9"/>
        <v>0</v>
      </c>
      <c r="G211" s="138" t="e">
        <f>IF(A211&lt;&gt;"",IF(AND(#REF!="Padrão",$H$4=#REF!),BDI!$B$17,IF(AND(#REF!="Padrão",$H$4=#REF!),BDI!#REF!,IF(AND(#REF!="Diferenciado",$H$4=#REF!),BDI!$E$17,IF(AND(#REF!="Diferenciado",$H$4=#REF!),BDI!#REF!,IF(#REF!="ZERO",0))))),"")</f>
        <v>#REF!</v>
      </c>
      <c r="H211" s="139" t="e">
        <f t="shared" ca="1" si="10"/>
        <v>#REF!</v>
      </c>
      <c r="I211" s="137" t="e">
        <f t="shared" ca="1" si="11"/>
        <v>#REF!</v>
      </c>
      <c r="J211" s="117"/>
    </row>
    <row r="212" spans="1:10" hidden="1" x14ac:dyDescent="0.25">
      <c r="A212" s="114" t="s">
        <v>294</v>
      </c>
      <c r="B212" s="115" t="s">
        <v>5435</v>
      </c>
      <c r="C212" s="116" t="s">
        <v>16</v>
      </c>
      <c r="D212" s="116">
        <v>0</v>
      </c>
      <c r="E212" s="136">
        <f ca="1">OFFSET(INDEX(Composições!A:J,MATCH(Orçamentária!A212,Composições!A:A,0),8),2,0)</f>
        <v>3.9465251499999998</v>
      </c>
      <c r="F212" s="137">
        <f t="shared" ca="1" si="9"/>
        <v>0</v>
      </c>
      <c r="G212" s="138" t="e">
        <f>IF(A212&lt;&gt;"",IF(AND(#REF!="Padrão",$H$4=#REF!),BDI!$B$17,IF(AND(#REF!="Padrão",$H$4=#REF!),BDI!#REF!,IF(AND(#REF!="Diferenciado",$H$4=#REF!),BDI!$E$17,IF(AND(#REF!="Diferenciado",$H$4=#REF!),BDI!#REF!,IF(#REF!="ZERO",0))))),"")</f>
        <v>#REF!</v>
      </c>
      <c r="H212" s="139" t="e">
        <f t="shared" ca="1" si="10"/>
        <v>#REF!</v>
      </c>
      <c r="I212" s="137" t="e">
        <f t="shared" ca="1" si="11"/>
        <v>#REF!</v>
      </c>
      <c r="J212" s="117"/>
    </row>
    <row r="213" spans="1:10" hidden="1" x14ac:dyDescent="0.25">
      <c r="A213" s="114" t="s">
        <v>296</v>
      </c>
      <c r="B213" s="115" t="s">
        <v>5436</v>
      </c>
      <c r="C213" s="116" t="s">
        <v>16</v>
      </c>
      <c r="D213" s="116">
        <v>0</v>
      </c>
      <c r="E213" s="136">
        <f ca="1">OFFSET(INDEX(Composições!A:J,MATCH(Orçamentária!A213,Composições!A:A,0),8),2,0)</f>
        <v>51.029557799999999</v>
      </c>
      <c r="F213" s="137">
        <f t="shared" ca="1" si="9"/>
        <v>0</v>
      </c>
      <c r="G213" s="138" t="e">
        <f>IF(A213&lt;&gt;"",IF(AND(#REF!="Padrão",$H$4=#REF!),BDI!$B$17,IF(AND(#REF!="Padrão",$H$4=#REF!),BDI!#REF!,IF(AND(#REF!="Diferenciado",$H$4=#REF!),BDI!$E$17,IF(AND(#REF!="Diferenciado",$H$4=#REF!),BDI!#REF!,IF(#REF!="ZERO",0))))),"")</f>
        <v>#REF!</v>
      </c>
      <c r="H213" s="139" t="e">
        <f t="shared" ca="1" si="10"/>
        <v>#REF!</v>
      </c>
      <c r="I213" s="137" t="e">
        <f t="shared" ca="1" si="11"/>
        <v>#REF!</v>
      </c>
      <c r="J213" s="117"/>
    </row>
    <row r="214" spans="1:10" hidden="1" x14ac:dyDescent="0.25">
      <c r="A214" s="114" t="s">
        <v>297</v>
      </c>
      <c r="B214" s="115" t="s">
        <v>5496</v>
      </c>
      <c r="C214" s="116" t="s">
        <v>16</v>
      </c>
      <c r="D214" s="116">
        <v>0</v>
      </c>
      <c r="E214" s="136">
        <f ca="1">OFFSET(INDEX(Composições!A:J,MATCH(Orçamentária!A214,Composições!A:A,0),8),2,0)</f>
        <v>23.982749999999999</v>
      </c>
      <c r="F214" s="137">
        <f t="shared" ca="1" si="9"/>
        <v>0</v>
      </c>
      <c r="G214" s="138" t="e">
        <f>IF(A214&lt;&gt;"",IF(AND(#REF!="Padrão",$H$4=#REF!),BDI!$B$17,IF(AND(#REF!="Padrão",$H$4=#REF!),BDI!#REF!,IF(AND(#REF!="Diferenciado",$H$4=#REF!),BDI!$E$17,IF(AND(#REF!="Diferenciado",$H$4=#REF!),BDI!#REF!,IF(#REF!="ZERO",0))))),"")</f>
        <v>#REF!</v>
      </c>
      <c r="H214" s="139" t="e">
        <f t="shared" ca="1" si="10"/>
        <v>#REF!</v>
      </c>
      <c r="I214" s="137" t="e">
        <f t="shared" ca="1" si="11"/>
        <v>#REF!</v>
      </c>
      <c r="J214" s="117"/>
    </row>
    <row r="215" spans="1:10" hidden="1" x14ac:dyDescent="0.25">
      <c r="A215" s="114" t="s">
        <v>298</v>
      </c>
      <c r="B215" s="115" t="s">
        <v>5497</v>
      </c>
      <c r="C215" s="116" t="s">
        <v>16</v>
      </c>
      <c r="D215" s="116">
        <v>0</v>
      </c>
      <c r="E215" s="136">
        <f ca="1">OFFSET(INDEX(Composições!A:J,MATCH(Orçamentária!A215,Composições!A:A,0),8),2,0)</f>
        <v>23.982749999999999</v>
      </c>
      <c r="F215" s="137">
        <f t="shared" ca="1" si="9"/>
        <v>0</v>
      </c>
      <c r="G215" s="138" t="e">
        <f>IF(A215&lt;&gt;"",IF(AND(#REF!="Padrão",$H$4=#REF!),BDI!$B$17,IF(AND(#REF!="Padrão",$H$4=#REF!),BDI!#REF!,IF(AND(#REF!="Diferenciado",$H$4=#REF!),BDI!$E$17,IF(AND(#REF!="Diferenciado",$H$4=#REF!),BDI!#REF!,IF(#REF!="ZERO",0))))),"")</f>
        <v>#REF!</v>
      </c>
      <c r="H215" s="139" t="e">
        <f t="shared" ca="1" si="10"/>
        <v>#REF!</v>
      </c>
      <c r="I215" s="137" t="e">
        <f t="shared" ca="1" si="11"/>
        <v>#REF!</v>
      </c>
      <c r="J215" s="117"/>
    </row>
    <row r="216" spans="1:10" hidden="1" x14ac:dyDescent="0.25">
      <c r="A216" s="114" t="s">
        <v>299</v>
      </c>
      <c r="B216" s="115" t="s">
        <v>5498</v>
      </c>
      <c r="C216" s="116" t="s">
        <v>16</v>
      </c>
      <c r="D216" s="116">
        <v>0</v>
      </c>
      <c r="E216" s="136">
        <f ca="1">OFFSET(INDEX(Composições!A:J,MATCH(Orçamentária!A216,Composições!A:A,0),8),2,0)</f>
        <v>23.982749999999999</v>
      </c>
      <c r="F216" s="137">
        <f t="shared" ca="1" si="9"/>
        <v>0</v>
      </c>
      <c r="G216" s="138" t="e">
        <f>IF(A216&lt;&gt;"",IF(AND(#REF!="Padrão",$H$4=#REF!),BDI!$B$17,IF(AND(#REF!="Padrão",$H$4=#REF!),BDI!#REF!,IF(AND(#REF!="Diferenciado",$H$4=#REF!),BDI!$E$17,IF(AND(#REF!="Diferenciado",$H$4=#REF!),BDI!#REF!,IF(#REF!="ZERO",0))))),"")</f>
        <v>#REF!</v>
      </c>
      <c r="H216" s="139" t="e">
        <f t="shared" ca="1" si="10"/>
        <v>#REF!</v>
      </c>
      <c r="I216" s="137" t="e">
        <f t="shared" ca="1" si="11"/>
        <v>#REF!</v>
      </c>
      <c r="J216" s="117"/>
    </row>
    <row r="217" spans="1:10" hidden="1" x14ac:dyDescent="0.25">
      <c r="A217" s="114" t="s">
        <v>300</v>
      </c>
      <c r="B217" s="115" t="s">
        <v>5499</v>
      </c>
      <c r="C217" s="116" t="s">
        <v>16</v>
      </c>
      <c r="D217" s="116">
        <v>0</v>
      </c>
      <c r="E217" s="136">
        <f ca="1">OFFSET(INDEX(Composições!A:J,MATCH(Orçamentária!A217,Composições!A:A,0),8),2,0)</f>
        <v>23.982749999999999</v>
      </c>
      <c r="F217" s="137">
        <f t="shared" ca="1" si="9"/>
        <v>0</v>
      </c>
      <c r="G217" s="138" t="e">
        <f>IF(A217&lt;&gt;"",IF(AND(#REF!="Padrão",$H$4=#REF!),BDI!$B$17,IF(AND(#REF!="Padrão",$H$4=#REF!),BDI!#REF!,IF(AND(#REF!="Diferenciado",$H$4=#REF!),BDI!$E$17,IF(AND(#REF!="Diferenciado",$H$4=#REF!),BDI!#REF!,IF(#REF!="ZERO",0))))),"")</f>
        <v>#REF!</v>
      </c>
      <c r="H217" s="139" t="e">
        <f t="shared" ca="1" si="10"/>
        <v>#REF!</v>
      </c>
      <c r="I217" s="137" t="e">
        <f t="shared" ca="1" si="11"/>
        <v>#REF!</v>
      </c>
      <c r="J217" s="117"/>
    </row>
    <row r="218" spans="1:10" hidden="1" x14ac:dyDescent="0.25">
      <c r="A218" s="114" t="s">
        <v>301</v>
      </c>
      <c r="B218" s="115" t="s">
        <v>5500</v>
      </c>
      <c r="C218" s="116" t="s">
        <v>16</v>
      </c>
      <c r="D218" s="116">
        <v>0</v>
      </c>
      <c r="E218" s="136">
        <f ca="1">OFFSET(INDEX(Composições!A:J,MATCH(Orçamentária!A218,Composições!A:A,0),8),2,0)</f>
        <v>43.138770400000013</v>
      </c>
      <c r="F218" s="137">
        <f t="shared" ca="1" si="9"/>
        <v>0</v>
      </c>
      <c r="G218" s="138" t="e">
        <f>IF(A218&lt;&gt;"",IF(AND(#REF!="Padrão",$H$4=#REF!),BDI!$B$17,IF(AND(#REF!="Padrão",$H$4=#REF!),BDI!#REF!,IF(AND(#REF!="Diferenciado",$H$4=#REF!),BDI!$E$17,IF(AND(#REF!="Diferenciado",$H$4=#REF!),BDI!#REF!,IF(#REF!="ZERO",0))))),"")</f>
        <v>#REF!</v>
      </c>
      <c r="H218" s="139" t="e">
        <f t="shared" ca="1" si="10"/>
        <v>#REF!</v>
      </c>
      <c r="I218" s="137" t="e">
        <f t="shared" ca="1" si="11"/>
        <v>#REF!</v>
      </c>
      <c r="J218" s="117"/>
    </row>
    <row r="219" spans="1:10" hidden="1" x14ac:dyDescent="0.25">
      <c r="A219" s="114" t="s">
        <v>302</v>
      </c>
      <c r="B219" s="115" t="s">
        <v>5437</v>
      </c>
      <c r="C219" s="116" t="s">
        <v>16</v>
      </c>
      <c r="D219" s="116">
        <v>0</v>
      </c>
      <c r="E219" s="136">
        <f ca="1">OFFSET(INDEX(Composições!A:J,MATCH(Orçamentária!A219,Composições!A:A,0),8),2,0)</f>
        <v>50.998492800000001</v>
      </c>
      <c r="F219" s="137">
        <f t="shared" ca="1" si="9"/>
        <v>0</v>
      </c>
      <c r="G219" s="138" t="e">
        <f>IF(A219&lt;&gt;"",IF(AND(#REF!="Padrão",$H$4=#REF!),BDI!$B$17,IF(AND(#REF!="Padrão",$H$4=#REF!),BDI!#REF!,IF(AND(#REF!="Diferenciado",$H$4=#REF!),BDI!$E$17,IF(AND(#REF!="Diferenciado",$H$4=#REF!),BDI!#REF!,IF(#REF!="ZERO",0))))),"")</f>
        <v>#REF!</v>
      </c>
      <c r="H219" s="139" t="e">
        <f t="shared" ca="1" si="10"/>
        <v>#REF!</v>
      </c>
      <c r="I219" s="137" t="e">
        <f t="shared" ca="1" si="11"/>
        <v>#REF!</v>
      </c>
      <c r="J219" s="117"/>
    </row>
    <row r="220" spans="1:10" hidden="1" x14ac:dyDescent="0.25">
      <c r="A220" s="114" t="s">
        <v>303</v>
      </c>
      <c r="B220" s="115" t="s">
        <v>1475</v>
      </c>
      <c r="C220" s="116" t="s">
        <v>16</v>
      </c>
      <c r="D220" s="116">
        <v>0</v>
      </c>
      <c r="E220" s="136">
        <f ca="1">OFFSET(INDEX(Composições!A:J,MATCH(Orçamentária!A220,Composições!A:A,0),8),2,0)</f>
        <v>269.63761175000002</v>
      </c>
      <c r="F220" s="137">
        <f t="shared" ca="1" si="9"/>
        <v>0</v>
      </c>
      <c r="G220" s="138" t="e">
        <f>IF(A220&lt;&gt;"",IF(AND(#REF!="Padrão",$H$4=#REF!),BDI!$B$17,IF(AND(#REF!="Padrão",$H$4=#REF!),BDI!#REF!,IF(AND(#REF!="Diferenciado",$H$4=#REF!),BDI!$E$17,IF(AND(#REF!="Diferenciado",$H$4=#REF!),BDI!#REF!,IF(#REF!="ZERO",0))))),"")</f>
        <v>#REF!</v>
      </c>
      <c r="H220" s="139" t="e">
        <f t="shared" ca="1" si="10"/>
        <v>#REF!</v>
      </c>
      <c r="I220" s="137" t="e">
        <f t="shared" ca="1" si="11"/>
        <v>#REF!</v>
      </c>
      <c r="J220" s="117"/>
    </row>
    <row r="221" spans="1:10" hidden="1" x14ac:dyDescent="0.25">
      <c r="A221" s="114" t="s">
        <v>304</v>
      </c>
      <c r="B221" s="115" t="s">
        <v>1476</v>
      </c>
      <c r="C221" s="116" t="s">
        <v>16</v>
      </c>
      <c r="D221" s="116">
        <v>0</v>
      </c>
      <c r="E221" s="136">
        <f ca="1">OFFSET(INDEX(Composições!A:J,MATCH(Orçamentária!A221,Composições!A:A,0),8),2,0)</f>
        <v>14.331509999999998</v>
      </c>
      <c r="F221" s="137">
        <f t="shared" ca="1" si="9"/>
        <v>0</v>
      </c>
      <c r="G221" s="138" t="e">
        <f>IF(A221&lt;&gt;"",IF(AND(#REF!="Padrão",$H$4=#REF!),BDI!$B$17,IF(AND(#REF!="Padrão",$H$4=#REF!),BDI!#REF!,IF(AND(#REF!="Diferenciado",$H$4=#REF!),BDI!$E$17,IF(AND(#REF!="Diferenciado",$H$4=#REF!),BDI!#REF!,IF(#REF!="ZERO",0))))),"")</f>
        <v>#REF!</v>
      </c>
      <c r="H221" s="139" t="e">
        <f t="shared" ca="1" si="10"/>
        <v>#REF!</v>
      </c>
      <c r="I221" s="137" t="e">
        <f t="shared" ca="1" si="11"/>
        <v>#REF!</v>
      </c>
      <c r="J221" s="117"/>
    </row>
    <row r="222" spans="1:10" hidden="1" x14ac:dyDescent="0.25">
      <c r="A222" s="114" t="s">
        <v>306</v>
      </c>
      <c r="B222" s="115" t="s">
        <v>7574</v>
      </c>
      <c r="C222" s="116" t="s">
        <v>16</v>
      </c>
      <c r="D222" s="116">
        <v>0</v>
      </c>
      <c r="E222" s="136">
        <f ca="1">OFFSET(INDEX(Composições!A:J,MATCH(Orçamentária!A222,Composições!A:A,0),8),2,0)</f>
        <v>51.262</v>
      </c>
      <c r="F222" s="137">
        <f t="shared" ca="1" si="9"/>
        <v>0</v>
      </c>
      <c r="G222" s="138" t="e">
        <f>IF(A222&lt;&gt;"",IF(AND(#REF!="Padrão",$H$4=#REF!),BDI!$B$17,IF(AND(#REF!="Padrão",$H$4=#REF!),BDI!#REF!,IF(AND(#REF!="Diferenciado",$H$4=#REF!),BDI!$E$17,IF(AND(#REF!="Diferenciado",$H$4=#REF!),BDI!#REF!,IF(#REF!="ZERO",0))))),"")</f>
        <v>#REF!</v>
      </c>
      <c r="H222" s="139" t="e">
        <f t="shared" ca="1" si="10"/>
        <v>#REF!</v>
      </c>
      <c r="I222" s="137" t="e">
        <f t="shared" ca="1" si="11"/>
        <v>#REF!</v>
      </c>
      <c r="J222" s="117"/>
    </row>
    <row r="223" spans="1:10" hidden="1" x14ac:dyDescent="0.25">
      <c r="A223" s="114" t="s">
        <v>308</v>
      </c>
      <c r="B223" s="115" t="s">
        <v>7575</v>
      </c>
      <c r="C223" s="116" t="s">
        <v>16</v>
      </c>
      <c r="D223" s="116">
        <v>0</v>
      </c>
      <c r="E223" s="136">
        <f ca="1">OFFSET(INDEX(Composições!A:J,MATCH(Orçamentária!A223,Composições!A:A,0),8),2,0)</f>
        <v>51.262</v>
      </c>
      <c r="F223" s="137">
        <f t="shared" ca="1" si="9"/>
        <v>0</v>
      </c>
      <c r="G223" s="138" t="e">
        <f>IF(A223&lt;&gt;"",IF(AND(#REF!="Padrão",$H$4=#REF!),BDI!$B$17,IF(AND(#REF!="Padrão",$H$4=#REF!),BDI!#REF!,IF(AND(#REF!="Diferenciado",$H$4=#REF!),BDI!$E$17,IF(AND(#REF!="Diferenciado",$H$4=#REF!),BDI!#REF!,IF(#REF!="ZERO",0))))),"")</f>
        <v>#REF!</v>
      </c>
      <c r="H223" s="139" t="e">
        <f t="shared" ca="1" si="10"/>
        <v>#REF!</v>
      </c>
      <c r="I223" s="137" t="e">
        <f t="shared" ca="1" si="11"/>
        <v>#REF!</v>
      </c>
      <c r="J223" s="117"/>
    </row>
    <row r="224" spans="1:10" hidden="1" x14ac:dyDescent="0.25">
      <c r="A224" s="114" t="s">
        <v>310</v>
      </c>
      <c r="B224" s="115" t="s">
        <v>7576</v>
      </c>
      <c r="C224" s="116" t="s">
        <v>16</v>
      </c>
      <c r="D224" s="116">
        <v>0</v>
      </c>
      <c r="E224" s="136">
        <f ca="1">OFFSET(INDEX(Composições!A:J,MATCH(Orçamentária!A224,Composições!A:A,0),8),2,0)</f>
        <v>51.262</v>
      </c>
      <c r="F224" s="137">
        <f t="shared" ca="1" si="9"/>
        <v>0</v>
      </c>
      <c r="G224" s="138" t="e">
        <f>IF(A224&lt;&gt;"",IF(AND(#REF!="Padrão",$H$4=#REF!),BDI!$B$17,IF(AND(#REF!="Padrão",$H$4=#REF!),BDI!#REF!,IF(AND(#REF!="Diferenciado",$H$4=#REF!),BDI!$E$17,IF(AND(#REF!="Diferenciado",$H$4=#REF!),BDI!#REF!,IF(#REF!="ZERO",0))))),"")</f>
        <v>#REF!</v>
      </c>
      <c r="H224" s="139" t="e">
        <f t="shared" ca="1" si="10"/>
        <v>#REF!</v>
      </c>
      <c r="I224" s="137" t="e">
        <f t="shared" ca="1" si="11"/>
        <v>#REF!</v>
      </c>
      <c r="J224" s="117"/>
    </row>
    <row r="225" spans="1:10" hidden="1" x14ac:dyDescent="0.25">
      <c r="A225" s="114" t="s">
        <v>312</v>
      </c>
      <c r="B225" s="115" t="s">
        <v>7577</v>
      </c>
      <c r="C225" s="116" t="s">
        <v>16</v>
      </c>
      <c r="D225" s="116">
        <v>0</v>
      </c>
      <c r="E225" s="136">
        <f ca="1">OFFSET(INDEX(Composições!A:J,MATCH(Orçamentária!A225,Composições!A:A,0),8),2,0)</f>
        <v>51.261999999999993</v>
      </c>
      <c r="F225" s="137">
        <f t="shared" ca="1" si="9"/>
        <v>0</v>
      </c>
      <c r="G225" s="138" t="e">
        <f>IF(A225&lt;&gt;"",IF(AND(#REF!="Padrão",$H$4=#REF!),BDI!$B$17,IF(AND(#REF!="Padrão",$H$4=#REF!),BDI!#REF!,IF(AND(#REF!="Diferenciado",$H$4=#REF!),BDI!$E$17,IF(AND(#REF!="Diferenciado",$H$4=#REF!),BDI!#REF!,IF(#REF!="ZERO",0))))),"")</f>
        <v>#REF!</v>
      </c>
      <c r="H225" s="139" t="e">
        <f t="shared" ca="1" si="10"/>
        <v>#REF!</v>
      </c>
      <c r="I225" s="137" t="e">
        <f t="shared" ca="1" si="11"/>
        <v>#REF!</v>
      </c>
      <c r="J225" s="117"/>
    </row>
    <row r="226" spans="1:10" hidden="1" x14ac:dyDescent="0.25">
      <c r="A226" s="114" t="s">
        <v>314</v>
      </c>
      <c r="B226" s="115" t="s">
        <v>1477</v>
      </c>
      <c r="C226" s="116" t="s">
        <v>16</v>
      </c>
      <c r="D226" s="116">
        <v>0</v>
      </c>
      <c r="E226" s="136">
        <f ca="1">OFFSET(INDEX(Composições!A:J,MATCH(Orçamentária!A226,Composições!A:A,0),8),2,0)</f>
        <v>50.201165399999994</v>
      </c>
      <c r="F226" s="137">
        <f t="shared" ca="1" si="9"/>
        <v>0</v>
      </c>
      <c r="G226" s="138" t="e">
        <f>IF(A226&lt;&gt;"",IF(AND(#REF!="Padrão",$H$4=#REF!),BDI!$B$17,IF(AND(#REF!="Padrão",$H$4=#REF!),BDI!#REF!,IF(AND(#REF!="Diferenciado",$H$4=#REF!),BDI!$E$17,IF(AND(#REF!="Diferenciado",$H$4=#REF!),BDI!#REF!,IF(#REF!="ZERO",0))))),"")</f>
        <v>#REF!</v>
      </c>
      <c r="H226" s="139" t="e">
        <f t="shared" ca="1" si="10"/>
        <v>#REF!</v>
      </c>
      <c r="I226" s="137" t="e">
        <f t="shared" ca="1" si="11"/>
        <v>#REF!</v>
      </c>
      <c r="J226" s="117"/>
    </row>
    <row r="227" spans="1:10" hidden="1" x14ac:dyDescent="0.25">
      <c r="A227" s="114" t="s">
        <v>316</v>
      </c>
      <c r="B227" s="115" t="s">
        <v>1478</v>
      </c>
      <c r="C227" s="116" t="s">
        <v>16</v>
      </c>
      <c r="D227" s="116">
        <v>0</v>
      </c>
      <c r="E227" s="136">
        <f ca="1">OFFSET(INDEX(Composições!A:J,MATCH(Orçamentária!A227,Composições!A:A,0),8),2,0)</f>
        <v>160.19842589999999</v>
      </c>
      <c r="F227" s="137">
        <f t="shared" ca="1" si="9"/>
        <v>0</v>
      </c>
      <c r="G227" s="138" t="e">
        <f>IF(A227&lt;&gt;"",IF(AND(#REF!="Padrão",$H$4=#REF!),BDI!$B$17,IF(AND(#REF!="Padrão",$H$4=#REF!),BDI!#REF!,IF(AND(#REF!="Diferenciado",$H$4=#REF!),BDI!$E$17,IF(AND(#REF!="Diferenciado",$H$4=#REF!),BDI!#REF!,IF(#REF!="ZERO",0))))),"")</f>
        <v>#REF!</v>
      </c>
      <c r="H227" s="139" t="e">
        <f t="shared" ca="1" si="10"/>
        <v>#REF!</v>
      </c>
      <c r="I227" s="137" t="e">
        <f t="shared" ca="1" si="11"/>
        <v>#REF!</v>
      </c>
      <c r="J227" s="117"/>
    </row>
    <row r="228" spans="1:10" hidden="1" x14ac:dyDescent="0.25">
      <c r="A228" s="114" t="s">
        <v>318</v>
      </c>
      <c r="B228" s="115" t="s">
        <v>5438</v>
      </c>
      <c r="C228" s="116" t="s">
        <v>16</v>
      </c>
      <c r="D228" s="116">
        <v>0</v>
      </c>
      <c r="E228" s="136">
        <f ca="1">OFFSET(INDEX(Composições!A:J,MATCH(Orçamentária!A228,Composições!A:A,0),8),2,0)</f>
        <v>10.488461699999998</v>
      </c>
      <c r="F228" s="137">
        <f t="shared" ca="1" si="9"/>
        <v>0</v>
      </c>
      <c r="G228" s="138" t="e">
        <f>IF(A228&lt;&gt;"",IF(AND(#REF!="Padrão",$H$4=#REF!),BDI!$B$17,IF(AND(#REF!="Padrão",$H$4=#REF!),BDI!#REF!,IF(AND(#REF!="Diferenciado",$H$4=#REF!),BDI!$E$17,IF(AND(#REF!="Diferenciado",$H$4=#REF!),BDI!#REF!,IF(#REF!="ZERO",0))))),"")</f>
        <v>#REF!</v>
      </c>
      <c r="H228" s="139" t="e">
        <f t="shared" ca="1" si="10"/>
        <v>#REF!</v>
      </c>
      <c r="I228" s="137" t="e">
        <f t="shared" ca="1" si="11"/>
        <v>#REF!</v>
      </c>
      <c r="J228" s="117"/>
    </row>
    <row r="229" spans="1:10" hidden="1" x14ac:dyDescent="0.25">
      <c r="A229" s="114" t="s">
        <v>320</v>
      </c>
      <c r="B229" s="115" t="s">
        <v>5439</v>
      </c>
      <c r="C229" s="116" t="s">
        <v>16</v>
      </c>
      <c r="D229" s="116">
        <v>0</v>
      </c>
      <c r="E229" s="136">
        <f ca="1">OFFSET(INDEX(Composições!A:J,MATCH(Orçamentária!A229,Composições!A:A,0),8),2,0)</f>
        <v>10.488461699999998</v>
      </c>
      <c r="F229" s="137">
        <f t="shared" ca="1" si="9"/>
        <v>0</v>
      </c>
      <c r="G229" s="138" t="e">
        <f>IF(A229&lt;&gt;"",IF(AND(#REF!="Padrão",$H$4=#REF!),BDI!$B$17,IF(AND(#REF!="Padrão",$H$4=#REF!),BDI!#REF!,IF(AND(#REF!="Diferenciado",$H$4=#REF!),BDI!$E$17,IF(AND(#REF!="Diferenciado",$H$4=#REF!),BDI!#REF!,IF(#REF!="ZERO",0))))),"")</f>
        <v>#REF!</v>
      </c>
      <c r="H229" s="139" t="e">
        <f t="shared" ca="1" si="10"/>
        <v>#REF!</v>
      </c>
      <c r="I229" s="137" t="e">
        <f t="shared" ca="1" si="11"/>
        <v>#REF!</v>
      </c>
      <c r="J229" s="117"/>
    </row>
    <row r="230" spans="1:10" hidden="1" x14ac:dyDescent="0.25">
      <c r="A230" s="114" t="s">
        <v>322</v>
      </c>
      <c r="B230" s="115" t="s">
        <v>5440</v>
      </c>
      <c r="C230" s="116" t="s">
        <v>16</v>
      </c>
      <c r="D230" s="116">
        <v>0</v>
      </c>
      <c r="E230" s="136">
        <f ca="1">OFFSET(INDEX(Composições!A:J,MATCH(Orçamentária!A230,Composições!A:A,0),8),2,0)</f>
        <v>10.488461699999998</v>
      </c>
      <c r="F230" s="137">
        <f t="shared" ca="1" si="9"/>
        <v>0</v>
      </c>
      <c r="G230" s="138" t="e">
        <f>IF(A230&lt;&gt;"",IF(AND(#REF!="Padrão",$H$4=#REF!),BDI!$B$17,IF(AND(#REF!="Padrão",$H$4=#REF!),BDI!#REF!,IF(AND(#REF!="Diferenciado",$H$4=#REF!),BDI!$E$17,IF(AND(#REF!="Diferenciado",$H$4=#REF!),BDI!#REF!,IF(#REF!="ZERO",0))))),"")</f>
        <v>#REF!</v>
      </c>
      <c r="H230" s="139" t="e">
        <f t="shared" ca="1" si="10"/>
        <v>#REF!</v>
      </c>
      <c r="I230" s="137" t="e">
        <f t="shared" ca="1" si="11"/>
        <v>#REF!</v>
      </c>
      <c r="J230" s="117"/>
    </row>
    <row r="231" spans="1:10" hidden="1" x14ac:dyDescent="0.25">
      <c r="A231" s="114" t="s">
        <v>324</v>
      </c>
      <c r="B231" s="115" t="s">
        <v>5441</v>
      </c>
      <c r="C231" s="116" t="s">
        <v>16</v>
      </c>
      <c r="D231" s="116">
        <v>0</v>
      </c>
      <c r="E231" s="136">
        <f ca="1">OFFSET(INDEX(Composições!A:J,MATCH(Orçamentária!A231,Composições!A:A,0),8),2,0)</f>
        <v>20.974243449999996</v>
      </c>
      <c r="F231" s="137">
        <f t="shared" ca="1" si="9"/>
        <v>0</v>
      </c>
      <c r="G231" s="138" t="e">
        <f>IF(A231&lt;&gt;"",IF(AND(#REF!="Padrão",$H$4=#REF!),BDI!$B$17,IF(AND(#REF!="Padrão",$H$4=#REF!),BDI!#REF!,IF(AND(#REF!="Diferenciado",$H$4=#REF!),BDI!$E$17,IF(AND(#REF!="Diferenciado",$H$4=#REF!),BDI!#REF!,IF(#REF!="ZERO",0))))),"")</f>
        <v>#REF!</v>
      </c>
      <c r="H231" s="139" t="e">
        <f t="shared" ca="1" si="10"/>
        <v>#REF!</v>
      </c>
      <c r="I231" s="137" t="e">
        <f t="shared" ca="1" si="11"/>
        <v>#REF!</v>
      </c>
      <c r="J231" s="117"/>
    </row>
    <row r="232" spans="1:10" hidden="1" x14ac:dyDescent="0.25">
      <c r="A232" s="114" t="s">
        <v>326</v>
      </c>
      <c r="B232" s="115" t="s">
        <v>7578</v>
      </c>
      <c r="C232" s="116" t="s">
        <v>16</v>
      </c>
      <c r="D232" s="116">
        <v>0</v>
      </c>
      <c r="E232" s="136">
        <f ca="1">OFFSET(INDEX(Composições!A:J,MATCH(Orçamentária!A232,Composições!A:A,0),8),2,0)</f>
        <v>11.087574741029648</v>
      </c>
      <c r="F232" s="137">
        <f t="shared" ca="1" si="9"/>
        <v>0</v>
      </c>
      <c r="G232" s="138" t="e">
        <f>IF(A232&lt;&gt;"",IF(AND(#REF!="Padrão",$H$4=#REF!),BDI!$B$17,IF(AND(#REF!="Padrão",$H$4=#REF!),BDI!#REF!,IF(AND(#REF!="Diferenciado",$H$4=#REF!),BDI!$E$17,IF(AND(#REF!="Diferenciado",$H$4=#REF!),BDI!#REF!,IF(#REF!="ZERO",0))))),"")</f>
        <v>#REF!</v>
      </c>
      <c r="H232" s="139" t="e">
        <f t="shared" ca="1" si="10"/>
        <v>#REF!</v>
      </c>
      <c r="I232" s="137" t="e">
        <f t="shared" ca="1" si="11"/>
        <v>#REF!</v>
      </c>
      <c r="J232" s="117"/>
    </row>
    <row r="233" spans="1:10" hidden="1" x14ac:dyDescent="0.25">
      <c r="A233" s="114" t="s">
        <v>327</v>
      </c>
      <c r="B233" s="115" t="s">
        <v>7579</v>
      </c>
      <c r="C233" s="116" t="s">
        <v>16</v>
      </c>
      <c r="D233" s="116">
        <v>0</v>
      </c>
      <c r="E233" s="136">
        <f ca="1">OFFSET(INDEX(Composições!A:J,MATCH(Orçamentária!A233,Composições!A:A,0),8),2,0)</f>
        <v>7.165754999999999</v>
      </c>
      <c r="F233" s="137">
        <f t="shared" ca="1" si="9"/>
        <v>0</v>
      </c>
      <c r="G233" s="138" t="e">
        <f>IF(A233&lt;&gt;"",IF(AND(#REF!="Padrão",$H$4=#REF!),BDI!$B$17,IF(AND(#REF!="Padrão",$H$4=#REF!),BDI!#REF!,IF(AND(#REF!="Diferenciado",$H$4=#REF!),BDI!$E$17,IF(AND(#REF!="Diferenciado",$H$4=#REF!),BDI!#REF!,IF(#REF!="ZERO",0))))),"")</f>
        <v>#REF!</v>
      </c>
      <c r="H233" s="139" t="e">
        <f t="shared" ca="1" si="10"/>
        <v>#REF!</v>
      </c>
      <c r="I233" s="137" t="e">
        <f t="shared" ca="1" si="11"/>
        <v>#REF!</v>
      </c>
      <c r="J233" s="117"/>
    </row>
    <row r="234" spans="1:10" hidden="1" x14ac:dyDescent="0.25">
      <c r="A234" s="114" t="s">
        <v>329</v>
      </c>
      <c r="B234" s="115" t="s">
        <v>7580</v>
      </c>
      <c r="C234" s="116" t="s">
        <v>16</v>
      </c>
      <c r="D234" s="116">
        <v>0</v>
      </c>
      <c r="E234" s="136">
        <f ca="1">OFFSET(INDEX(Composições!A:J,MATCH(Orçamentária!A234,Composições!A:A,0),8),2,0)</f>
        <v>15.554313654706199</v>
      </c>
      <c r="F234" s="137">
        <f t="shared" ca="1" si="9"/>
        <v>0</v>
      </c>
      <c r="G234" s="138" t="e">
        <f>IF(A234&lt;&gt;"",IF(AND(#REF!="Padrão",$H$4=#REF!),BDI!$B$17,IF(AND(#REF!="Padrão",$H$4=#REF!),BDI!#REF!,IF(AND(#REF!="Diferenciado",$H$4=#REF!),BDI!$E$17,IF(AND(#REF!="Diferenciado",$H$4=#REF!),BDI!#REF!,IF(#REF!="ZERO",0))))),"")</f>
        <v>#REF!</v>
      </c>
      <c r="H234" s="139" t="e">
        <f t="shared" ca="1" si="10"/>
        <v>#REF!</v>
      </c>
      <c r="I234" s="137" t="e">
        <f t="shared" ca="1" si="11"/>
        <v>#REF!</v>
      </c>
      <c r="J234" s="117"/>
    </row>
    <row r="235" spans="1:10" hidden="1" x14ac:dyDescent="0.25">
      <c r="A235" s="114" t="s">
        <v>330</v>
      </c>
      <c r="B235" s="115" t="s">
        <v>7581</v>
      </c>
      <c r="C235" s="116" t="s">
        <v>16</v>
      </c>
      <c r="D235" s="116">
        <v>0</v>
      </c>
      <c r="E235" s="136">
        <f ca="1">OFFSET(INDEX(Composições!A:J,MATCH(Orçamentária!A235,Composições!A:A,0),8),2,0)</f>
        <v>8.2035540000000005</v>
      </c>
      <c r="F235" s="137">
        <f t="shared" ca="1" si="9"/>
        <v>0</v>
      </c>
      <c r="G235" s="138" t="e">
        <f>IF(A235&lt;&gt;"",IF(AND(#REF!="Padrão",$H$4=#REF!),BDI!$B$17,IF(AND(#REF!="Padrão",$H$4=#REF!),BDI!#REF!,IF(AND(#REF!="Diferenciado",$H$4=#REF!),BDI!$E$17,IF(AND(#REF!="Diferenciado",$H$4=#REF!),BDI!#REF!,IF(#REF!="ZERO",0))))),"")</f>
        <v>#REF!</v>
      </c>
      <c r="H235" s="139" t="e">
        <f t="shared" ca="1" si="10"/>
        <v>#REF!</v>
      </c>
      <c r="I235" s="137" t="e">
        <f t="shared" ca="1" si="11"/>
        <v>#REF!</v>
      </c>
      <c r="J235" s="117"/>
    </row>
    <row r="236" spans="1:10" hidden="1" x14ac:dyDescent="0.25">
      <c r="A236" s="114" t="s">
        <v>332</v>
      </c>
      <c r="B236" s="115" t="s">
        <v>7582</v>
      </c>
      <c r="C236" s="116" t="s">
        <v>16</v>
      </c>
      <c r="D236" s="116">
        <v>0</v>
      </c>
      <c r="E236" s="136">
        <f ca="1">OFFSET(INDEX(Composições!A:J,MATCH(Orçamentária!A236,Composições!A:A,0),8),2,0)</f>
        <v>17.098973999999998</v>
      </c>
      <c r="F236" s="137">
        <f t="shared" ca="1" si="9"/>
        <v>0</v>
      </c>
      <c r="G236" s="138" t="e">
        <f>IF(A236&lt;&gt;"",IF(AND(#REF!="Padrão",$H$4=#REF!),BDI!$B$17,IF(AND(#REF!="Padrão",$H$4=#REF!),BDI!#REF!,IF(AND(#REF!="Diferenciado",$H$4=#REF!),BDI!$E$17,IF(AND(#REF!="Diferenciado",$H$4=#REF!),BDI!#REF!,IF(#REF!="ZERO",0))))),"")</f>
        <v>#REF!</v>
      </c>
      <c r="H236" s="139" t="e">
        <f t="shared" ca="1" si="10"/>
        <v>#REF!</v>
      </c>
      <c r="I236" s="137" t="e">
        <f t="shared" ca="1" si="11"/>
        <v>#REF!</v>
      </c>
      <c r="J236" s="117"/>
    </row>
    <row r="237" spans="1:10" hidden="1" x14ac:dyDescent="0.25">
      <c r="A237" s="114" t="s">
        <v>334</v>
      </c>
      <c r="B237" s="115" t="s">
        <v>7583</v>
      </c>
      <c r="C237" s="116" t="s">
        <v>16</v>
      </c>
      <c r="D237" s="116">
        <v>0</v>
      </c>
      <c r="E237" s="136">
        <f ca="1">OFFSET(INDEX(Composições!A:J,MATCH(Orçamentária!A237,Composições!A:A,0),8),2,0)</f>
        <v>17.098973999999998</v>
      </c>
      <c r="F237" s="137">
        <f t="shared" ca="1" si="9"/>
        <v>0</v>
      </c>
      <c r="G237" s="138" t="e">
        <f>IF(A237&lt;&gt;"",IF(AND(#REF!="Padrão",$H$4=#REF!),BDI!$B$17,IF(AND(#REF!="Padrão",$H$4=#REF!),BDI!#REF!,IF(AND(#REF!="Diferenciado",$H$4=#REF!),BDI!$E$17,IF(AND(#REF!="Diferenciado",$H$4=#REF!),BDI!#REF!,IF(#REF!="ZERO",0))))),"")</f>
        <v>#REF!</v>
      </c>
      <c r="H237" s="139" t="e">
        <f t="shared" ca="1" si="10"/>
        <v>#REF!</v>
      </c>
      <c r="I237" s="137" t="e">
        <f t="shared" ca="1" si="11"/>
        <v>#REF!</v>
      </c>
      <c r="J237" s="117"/>
    </row>
    <row r="238" spans="1:10" hidden="1" x14ac:dyDescent="0.25">
      <c r="A238" s="114" t="s">
        <v>336</v>
      </c>
      <c r="B238" s="115" t="s">
        <v>7584</v>
      </c>
      <c r="C238" s="116" t="s">
        <v>16</v>
      </c>
      <c r="D238" s="116">
        <v>0</v>
      </c>
      <c r="E238" s="136">
        <f ca="1">OFFSET(INDEX(Composições!A:J,MATCH(Orçamentária!A238,Composições!A:A,0),8),2,0)</f>
        <v>73.343932999999993</v>
      </c>
      <c r="F238" s="137">
        <f t="shared" ca="1" si="9"/>
        <v>0</v>
      </c>
      <c r="G238" s="138" t="e">
        <f>IF(A238&lt;&gt;"",IF(AND(#REF!="Padrão",$H$4=#REF!),BDI!$B$17,IF(AND(#REF!="Padrão",$H$4=#REF!),BDI!#REF!,IF(AND(#REF!="Diferenciado",$H$4=#REF!),BDI!$E$17,IF(AND(#REF!="Diferenciado",$H$4=#REF!),BDI!#REF!,IF(#REF!="ZERO",0))))),"")</f>
        <v>#REF!</v>
      </c>
      <c r="H238" s="139" t="e">
        <f t="shared" ca="1" si="10"/>
        <v>#REF!</v>
      </c>
      <c r="I238" s="137" t="e">
        <f t="shared" ca="1" si="11"/>
        <v>#REF!</v>
      </c>
      <c r="J238" s="117"/>
    </row>
    <row r="239" spans="1:10" hidden="1" x14ac:dyDescent="0.25">
      <c r="A239" s="114" t="s">
        <v>338</v>
      </c>
      <c r="B239" s="115" t="s">
        <v>1479</v>
      </c>
      <c r="C239" s="116" t="s">
        <v>16</v>
      </c>
      <c r="D239" s="116">
        <v>0</v>
      </c>
      <c r="E239" s="136">
        <f ca="1">OFFSET(INDEX(Composições!A:J,MATCH(Orçamentária!A239,Composições!A:A,0),8),2,0)</f>
        <v>17.098973999999998</v>
      </c>
      <c r="F239" s="137">
        <f t="shared" ca="1" si="9"/>
        <v>0</v>
      </c>
      <c r="G239" s="138" t="e">
        <f>IF(A239&lt;&gt;"",IF(AND(#REF!="Padrão",$H$4=#REF!),BDI!$B$17,IF(AND(#REF!="Padrão",$H$4=#REF!),BDI!#REF!,IF(AND(#REF!="Diferenciado",$H$4=#REF!),BDI!$E$17,IF(AND(#REF!="Diferenciado",$H$4=#REF!),BDI!#REF!,IF(#REF!="ZERO",0))))),"")</f>
        <v>#REF!</v>
      </c>
      <c r="H239" s="139" t="e">
        <f t="shared" ca="1" si="10"/>
        <v>#REF!</v>
      </c>
      <c r="I239" s="137" t="e">
        <f t="shared" ca="1" si="11"/>
        <v>#REF!</v>
      </c>
      <c r="J239" s="117"/>
    </row>
    <row r="240" spans="1:10" hidden="1" x14ac:dyDescent="0.25">
      <c r="A240" s="114" t="s">
        <v>340</v>
      </c>
      <c r="B240" s="115" t="s">
        <v>7585</v>
      </c>
      <c r="C240" s="116" t="s">
        <v>69</v>
      </c>
      <c r="D240" s="116">
        <v>0</v>
      </c>
      <c r="E240" s="136">
        <f ca="1">OFFSET(INDEX(Composições!A:J,MATCH(Orçamentária!A240,Composições!A:A,0),8),2,0)</f>
        <v>8.8954199999999997</v>
      </c>
      <c r="F240" s="137">
        <f t="shared" ca="1" si="9"/>
        <v>0</v>
      </c>
      <c r="G240" s="138" t="e">
        <f>IF(A240&lt;&gt;"",IF(AND(#REF!="Padrão",$H$4=#REF!),BDI!$B$17,IF(AND(#REF!="Padrão",$H$4=#REF!),BDI!#REF!,IF(AND(#REF!="Diferenciado",$H$4=#REF!),BDI!$E$17,IF(AND(#REF!="Diferenciado",$H$4=#REF!),BDI!#REF!,IF(#REF!="ZERO",0))))),"")</f>
        <v>#REF!</v>
      </c>
      <c r="H240" s="139" t="e">
        <f t="shared" ca="1" si="10"/>
        <v>#REF!</v>
      </c>
      <c r="I240" s="137" t="e">
        <f t="shared" ca="1" si="11"/>
        <v>#REF!</v>
      </c>
      <c r="J240" s="117"/>
    </row>
    <row r="241" spans="1:10" hidden="1" x14ac:dyDescent="0.25">
      <c r="A241" s="114" t="s">
        <v>342</v>
      </c>
      <c r="B241" s="115" t="s">
        <v>5501</v>
      </c>
      <c r="C241" s="116" t="s">
        <v>16</v>
      </c>
      <c r="D241" s="116">
        <v>0</v>
      </c>
      <c r="E241" s="136">
        <f ca="1">OFFSET(INDEX(Composições!A:J,MATCH(Orçamentária!A241,Composições!A:A,0),8),2,0)</f>
        <v>43.693131499999993</v>
      </c>
      <c r="F241" s="137">
        <f t="shared" ca="1" si="9"/>
        <v>0</v>
      </c>
      <c r="G241" s="138" t="e">
        <f>IF(A241&lt;&gt;"",IF(AND(#REF!="Padrão",$H$4=#REF!),BDI!$B$17,IF(AND(#REF!="Padrão",$H$4=#REF!),BDI!#REF!,IF(AND(#REF!="Diferenciado",$H$4=#REF!),BDI!$E$17,IF(AND(#REF!="Diferenciado",$H$4=#REF!),BDI!#REF!,IF(#REF!="ZERO",0))))),"")</f>
        <v>#REF!</v>
      </c>
      <c r="H241" s="139" t="e">
        <f t="shared" ca="1" si="10"/>
        <v>#REF!</v>
      </c>
      <c r="I241" s="137" t="e">
        <f t="shared" ca="1" si="11"/>
        <v>#REF!</v>
      </c>
      <c r="J241" s="117"/>
    </row>
    <row r="242" spans="1:10" hidden="1" x14ac:dyDescent="0.25">
      <c r="A242" s="114" t="s">
        <v>343</v>
      </c>
      <c r="B242" s="115" t="s">
        <v>7586</v>
      </c>
      <c r="C242" s="116" t="s">
        <v>69</v>
      </c>
      <c r="D242" s="116">
        <v>0</v>
      </c>
      <c r="E242" s="136">
        <f ca="1">OFFSET(INDEX(Composições!A:J,MATCH(Orçamentária!A242,Composições!A:A,0),8),2,0)</f>
        <v>36.2743763</v>
      </c>
      <c r="F242" s="137">
        <f t="shared" ca="1" si="9"/>
        <v>0</v>
      </c>
      <c r="G242" s="138" t="e">
        <f>IF(A242&lt;&gt;"",IF(AND(#REF!="Padrão",$H$4=#REF!),BDI!$B$17,IF(AND(#REF!="Padrão",$H$4=#REF!),BDI!#REF!,IF(AND(#REF!="Diferenciado",$H$4=#REF!),BDI!$E$17,IF(AND(#REF!="Diferenciado",$H$4=#REF!),BDI!#REF!,IF(#REF!="ZERO",0))))),"")</f>
        <v>#REF!</v>
      </c>
      <c r="H242" s="139" t="e">
        <f t="shared" ca="1" si="10"/>
        <v>#REF!</v>
      </c>
      <c r="I242" s="137" t="e">
        <f t="shared" ca="1" si="11"/>
        <v>#REF!</v>
      </c>
      <c r="J242" s="117"/>
    </row>
    <row r="243" spans="1:10" hidden="1" x14ac:dyDescent="0.25">
      <c r="A243" s="114" t="s">
        <v>354</v>
      </c>
      <c r="B243" s="115" t="s">
        <v>7587</v>
      </c>
      <c r="C243" s="116" t="s">
        <v>69</v>
      </c>
      <c r="D243" s="116">
        <v>0</v>
      </c>
      <c r="E243" s="136">
        <f ca="1">OFFSET(INDEX(Composições!A:J,MATCH(Orçamentária!A243,Composições!A:A,0),8),2,0)</f>
        <v>55.357228649999996</v>
      </c>
      <c r="F243" s="137">
        <f t="shared" ca="1" si="9"/>
        <v>0</v>
      </c>
      <c r="G243" s="138" t="e">
        <f>IF(A243&lt;&gt;"",IF(AND(#REF!="Padrão",$H$4=#REF!),BDI!$B$17,IF(AND(#REF!="Padrão",$H$4=#REF!),BDI!#REF!,IF(AND(#REF!="Diferenciado",$H$4=#REF!),BDI!$E$17,IF(AND(#REF!="Diferenciado",$H$4=#REF!),BDI!#REF!,IF(#REF!="ZERO",0))))),"")</f>
        <v>#REF!</v>
      </c>
      <c r="H243" s="139" t="e">
        <f t="shared" ca="1" si="10"/>
        <v>#REF!</v>
      </c>
      <c r="I243" s="137" t="e">
        <f t="shared" ca="1" si="11"/>
        <v>#REF!</v>
      </c>
      <c r="J243" s="117"/>
    </row>
    <row r="244" spans="1:10" hidden="1" x14ac:dyDescent="0.25">
      <c r="A244" s="114" t="s">
        <v>359</v>
      </c>
      <c r="B244" s="115" t="s">
        <v>7588</v>
      </c>
      <c r="C244" s="116" t="s">
        <v>69</v>
      </c>
      <c r="D244" s="116">
        <v>0</v>
      </c>
      <c r="E244" s="136">
        <f ca="1">OFFSET(INDEX(Composições!A:J,MATCH(Orçamentária!A244,Composições!A:A,0),8),2,0)</f>
        <v>49.778828649999994</v>
      </c>
      <c r="F244" s="137">
        <f t="shared" ca="1" si="9"/>
        <v>0</v>
      </c>
      <c r="G244" s="138" t="e">
        <f>IF(A244&lt;&gt;"",IF(AND(#REF!="Padrão",$H$4=#REF!),BDI!$B$17,IF(AND(#REF!="Padrão",$H$4=#REF!),BDI!#REF!,IF(AND(#REF!="Diferenciado",$H$4=#REF!),BDI!$E$17,IF(AND(#REF!="Diferenciado",$H$4=#REF!),BDI!#REF!,IF(#REF!="ZERO",0))))),"")</f>
        <v>#REF!</v>
      </c>
      <c r="H244" s="139" t="e">
        <f t="shared" ca="1" si="10"/>
        <v>#REF!</v>
      </c>
      <c r="I244" s="137" t="e">
        <f t="shared" ca="1" si="11"/>
        <v>#REF!</v>
      </c>
      <c r="J244" s="117"/>
    </row>
    <row r="245" spans="1:10" hidden="1" x14ac:dyDescent="0.25">
      <c r="A245" s="114" t="s">
        <v>362</v>
      </c>
      <c r="B245" s="115" t="s">
        <v>7589</v>
      </c>
      <c r="C245" s="116" t="s">
        <v>69</v>
      </c>
      <c r="D245" s="116">
        <v>0</v>
      </c>
      <c r="E245" s="136">
        <f ca="1">OFFSET(INDEX(Composições!A:J,MATCH(Orçamentária!A245,Composições!A:A,0),8),2,0)</f>
        <v>58.464678649999996</v>
      </c>
      <c r="F245" s="137">
        <f t="shared" ca="1" si="9"/>
        <v>0</v>
      </c>
      <c r="G245" s="138" t="e">
        <f>IF(A245&lt;&gt;"",IF(AND(#REF!="Padrão",$H$4=#REF!),BDI!$B$17,IF(AND(#REF!="Padrão",$H$4=#REF!),BDI!#REF!,IF(AND(#REF!="Diferenciado",$H$4=#REF!),BDI!$E$17,IF(AND(#REF!="Diferenciado",$H$4=#REF!),BDI!#REF!,IF(#REF!="ZERO",0))))),"")</f>
        <v>#REF!</v>
      </c>
      <c r="H245" s="139" t="e">
        <f t="shared" ca="1" si="10"/>
        <v>#REF!</v>
      </c>
      <c r="I245" s="137" t="e">
        <f t="shared" ca="1" si="11"/>
        <v>#REF!</v>
      </c>
      <c r="J245" s="117"/>
    </row>
    <row r="246" spans="1:10" hidden="1" x14ac:dyDescent="0.25">
      <c r="A246" s="114" t="s">
        <v>366</v>
      </c>
      <c r="B246" s="115" t="s">
        <v>7590</v>
      </c>
      <c r="C246" s="116" t="s">
        <v>69</v>
      </c>
      <c r="D246" s="116">
        <v>0</v>
      </c>
      <c r="E246" s="136">
        <f ca="1">OFFSET(INDEX(Composições!A:J,MATCH(Orçamentária!A246,Composições!A:A,0),8),2,0)</f>
        <v>52.249778649999996</v>
      </c>
      <c r="F246" s="137">
        <f t="shared" ca="1" si="9"/>
        <v>0</v>
      </c>
      <c r="G246" s="138" t="e">
        <f>IF(A246&lt;&gt;"",IF(AND(#REF!="Padrão",$H$4=#REF!),BDI!$B$17,IF(AND(#REF!="Padrão",$H$4=#REF!),BDI!#REF!,IF(AND(#REF!="Diferenciado",$H$4=#REF!),BDI!$E$17,IF(AND(#REF!="Diferenciado",$H$4=#REF!),BDI!#REF!,IF(#REF!="ZERO",0))))),"")</f>
        <v>#REF!</v>
      </c>
      <c r="H246" s="139" t="e">
        <f t="shared" ca="1" si="10"/>
        <v>#REF!</v>
      </c>
      <c r="I246" s="137" t="e">
        <f t="shared" ca="1" si="11"/>
        <v>#REF!</v>
      </c>
      <c r="J246" s="117"/>
    </row>
    <row r="247" spans="1:10" hidden="1" x14ac:dyDescent="0.25">
      <c r="A247" s="114" t="s">
        <v>369</v>
      </c>
      <c r="B247" s="115" t="s">
        <v>7591</v>
      </c>
      <c r="C247" s="116" t="s">
        <v>69</v>
      </c>
      <c r="D247" s="116">
        <v>0</v>
      </c>
      <c r="E247" s="136">
        <f ca="1">OFFSET(INDEX(Composições!A:J,MATCH(Orçamentária!A247,Composições!A:A,0),8),2,0)</f>
        <v>52.249778649999996</v>
      </c>
      <c r="F247" s="137">
        <f t="shared" ca="1" si="9"/>
        <v>0</v>
      </c>
      <c r="G247" s="138" t="e">
        <f>IF(A247&lt;&gt;"",IF(AND(#REF!="Padrão",$H$4=#REF!),BDI!$B$17,IF(AND(#REF!="Padrão",$H$4=#REF!),BDI!#REF!,IF(AND(#REF!="Diferenciado",$H$4=#REF!),BDI!$E$17,IF(AND(#REF!="Diferenciado",$H$4=#REF!),BDI!#REF!,IF(#REF!="ZERO",0))))),"")</f>
        <v>#REF!</v>
      </c>
      <c r="H247" s="139" t="e">
        <f t="shared" ca="1" si="10"/>
        <v>#REF!</v>
      </c>
      <c r="I247" s="137" t="e">
        <f t="shared" ca="1" si="11"/>
        <v>#REF!</v>
      </c>
      <c r="J247" s="117"/>
    </row>
    <row r="248" spans="1:10" hidden="1" x14ac:dyDescent="0.25">
      <c r="A248" s="114" t="s">
        <v>373</v>
      </c>
      <c r="B248" s="115" t="s">
        <v>7592</v>
      </c>
      <c r="C248" s="116" t="s">
        <v>69</v>
      </c>
      <c r="D248" s="116">
        <v>0</v>
      </c>
      <c r="E248" s="136">
        <f ca="1">OFFSET(INDEX(Composições!A:J,MATCH(Orçamentária!A248,Composições!A:A,0),8),2,0)</f>
        <v>36.2743763</v>
      </c>
      <c r="F248" s="137">
        <f t="shared" ca="1" si="9"/>
        <v>0</v>
      </c>
      <c r="G248" s="138" t="e">
        <f>IF(A248&lt;&gt;"",IF(AND(#REF!="Padrão",$H$4=#REF!),BDI!$B$17,IF(AND(#REF!="Padrão",$H$4=#REF!),BDI!#REF!,IF(AND(#REF!="Diferenciado",$H$4=#REF!),BDI!$E$17,IF(AND(#REF!="Diferenciado",$H$4=#REF!),BDI!#REF!,IF(#REF!="ZERO",0))))),"")</f>
        <v>#REF!</v>
      </c>
      <c r="H248" s="139" t="e">
        <f t="shared" ca="1" si="10"/>
        <v>#REF!</v>
      </c>
      <c r="I248" s="137" t="e">
        <f t="shared" ca="1" si="11"/>
        <v>#REF!</v>
      </c>
      <c r="J248" s="117"/>
    </row>
    <row r="249" spans="1:10" hidden="1" x14ac:dyDescent="0.25">
      <c r="A249" s="114" t="s">
        <v>377</v>
      </c>
      <c r="B249" s="115" t="s">
        <v>1480</v>
      </c>
      <c r="C249" s="116" t="s">
        <v>69</v>
      </c>
      <c r="D249" s="116">
        <v>0</v>
      </c>
      <c r="E249" s="136">
        <f ca="1">OFFSET(INDEX(Composições!A:J,MATCH(Orçamentária!A249,Composições!A:A,0),8),2,0)</f>
        <v>37.064250000000001</v>
      </c>
      <c r="F249" s="137">
        <f t="shared" ca="1" si="9"/>
        <v>0</v>
      </c>
      <c r="G249" s="138" t="e">
        <f>IF(A249&lt;&gt;"",IF(AND(#REF!="Padrão",$H$4=#REF!),BDI!$B$17,IF(AND(#REF!="Padrão",$H$4=#REF!),BDI!#REF!,IF(AND(#REF!="Diferenciado",$H$4=#REF!),BDI!$E$17,IF(AND(#REF!="Diferenciado",$H$4=#REF!),BDI!#REF!,IF(#REF!="ZERO",0))))),"")</f>
        <v>#REF!</v>
      </c>
      <c r="H249" s="139" t="e">
        <f t="shared" ca="1" si="10"/>
        <v>#REF!</v>
      </c>
      <c r="I249" s="137" t="e">
        <f t="shared" ca="1" si="11"/>
        <v>#REF!</v>
      </c>
      <c r="J249" s="117"/>
    </row>
    <row r="250" spans="1:10" x14ac:dyDescent="0.25">
      <c r="A250" s="189" t="s">
        <v>379</v>
      </c>
      <c r="B250" s="190" t="s">
        <v>1481</v>
      </c>
      <c r="C250" s="191" t="s">
        <v>69</v>
      </c>
      <c r="D250" s="191">
        <v>28</v>
      </c>
      <c r="E250" s="136">
        <f ca="1">OFFSET(INDEX(Composições!A:J,MATCH(Orçamentária!A250,Composições!A:A,0),8),2,0)</f>
        <v>62.131424999999993</v>
      </c>
      <c r="F250" s="137">
        <f t="shared" ca="1" si="9"/>
        <v>1739.6798999999999</v>
      </c>
      <c r="G250" s="138">
        <f>BDI!$B$17</f>
        <v>0.191</v>
      </c>
      <c r="H250" s="139">
        <f t="shared" ca="1" si="10"/>
        <v>74</v>
      </c>
      <c r="I250" s="137">
        <f t="shared" ca="1" si="11"/>
        <v>2072</v>
      </c>
      <c r="J250" s="117"/>
    </row>
    <row r="251" spans="1:10" x14ac:dyDescent="0.25">
      <c r="A251" s="189" t="s">
        <v>381</v>
      </c>
      <c r="B251" s="190" t="s">
        <v>1482</v>
      </c>
      <c r="C251" s="191" t="s">
        <v>69</v>
      </c>
      <c r="D251" s="191">
        <v>60</v>
      </c>
      <c r="E251" s="136">
        <f ca="1">OFFSET(INDEX(Composições!A:J,MATCH(Orçamentária!A251,Composições!A:A,0),8),2,0)</f>
        <v>38.993700000000004</v>
      </c>
      <c r="F251" s="137">
        <f t="shared" ca="1" si="9"/>
        <v>2339.6220000000003</v>
      </c>
      <c r="G251" s="138">
        <f>BDI!$B$17</f>
        <v>0.191</v>
      </c>
      <c r="H251" s="139">
        <f t="shared" ca="1" si="10"/>
        <v>46.44</v>
      </c>
      <c r="I251" s="137">
        <f t="shared" ca="1" si="11"/>
        <v>2786.4</v>
      </c>
      <c r="J251" s="117"/>
    </row>
    <row r="252" spans="1:10" hidden="1" x14ac:dyDescent="0.25">
      <c r="A252" s="114" t="s">
        <v>383</v>
      </c>
      <c r="B252" s="115" t="s">
        <v>1483</v>
      </c>
      <c r="C252" s="116" t="s">
        <v>69</v>
      </c>
      <c r="D252" s="116">
        <v>0</v>
      </c>
      <c r="E252" s="136">
        <f ca="1">OFFSET(INDEX(Composições!A:J,MATCH(Orçamentária!A252,Composições!A:A,0),8),2,0)</f>
        <v>37.064250000000001</v>
      </c>
      <c r="F252" s="137">
        <f t="shared" ca="1" si="9"/>
        <v>0</v>
      </c>
      <c r="G252" s="138" t="e">
        <f>IF(A252&lt;&gt;"",IF(AND(#REF!="Padrão",$H$4=#REF!),BDI!$B$17,IF(AND(#REF!="Padrão",$H$4=#REF!),BDI!#REF!,IF(AND(#REF!="Diferenciado",$H$4=#REF!),BDI!$E$17,IF(AND(#REF!="Diferenciado",$H$4=#REF!),BDI!#REF!,IF(#REF!="ZERO",0))))),"")</f>
        <v>#REF!</v>
      </c>
      <c r="H252" s="139" t="e">
        <f t="shared" ca="1" si="10"/>
        <v>#REF!</v>
      </c>
      <c r="I252" s="137" t="e">
        <f t="shared" ca="1" si="11"/>
        <v>#REF!</v>
      </c>
      <c r="J252" s="117"/>
    </row>
    <row r="253" spans="1:10" hidden="1" x14ac:dyDescent="0.25">
      <c r="A253" s="114" t="s">
        <v>386</v>
      </c>
      <c r="B253" s="115" t="s">
        <v>1484</v>
      </c>
      <c r="C253" s="116" t="s">
        <v>69</v>
      </c>
      <c r="D253" s="116">
        <v>0</v>
      </c>
      <c r="E253" s="136">
        <f ca="1">OFFSET(INDEX(Composições!A:J,MATCH(Orçamentária!A253,Composições!A:A,0),8),2,0)</f>
        <v>24.709499999999998</v>
      </c>
      <c r="F253" s="137">
        <f t="shared" ca="1" si="9"/>
        <v>0</v>
      </c>
      <c r="G253" s="138" t="e">
        <f>IF(A253&lt;&gt;"",IF(AND(#REF!="Padrão",$H$4=#REF!),BDI!$B$17,IF(AND(#REF!="Padrão",$H$4=#REF!),BDI!#REF!,IF(AND(#REF!="Diferenciado",$H$4=#REF!),BDI!$E$17,IF(AND(#REF!="Diferenciado",$H$4=#REF!),BDI!#REF!,IF(#REF!="ZERO",0))))),"")</f>
        <v>#REF!</v>
      </c>
      <c r="H253" s="139" t="e">
        <f t="shared" ca="1" si="10"/>
        <v>#REF!</v>
      </c>
      <c r="I253" s="137" t="e">
        <f t="shared" ca="1" si="11"/>
        <v>#REF!</v>
      </c>
      <c r="J253" s="117"/>
    </row>
    <row r="254" spans="1:10" x14ac:dyDescent="0.25">
      <c r="A254" s="189" t="s">
        <v>388</v>
      </c>
      <c r="B254" s="190" t="s">
        <v>7593</v>
      </c>
      <c r="C254" s="191" t="s">
        <v>69</v>
      </c>
      <c r="D254" s="191">
        <v>30</v>
      </c>
      <c r="E254" s="136">
        <f ca="1">OFFSET(INDEX(Composições!A:J,MATCH(Orçamentária!A254,Composições!A:A,0),8),2,0)</f>
        <v>16.956635500000001</v>
      </c>
      <c r="F254" s="137">
        <f t="shared" ca="1" si="9"/>
        <v>508.69906500000002</v>
      </c>
      <c r="G254" s="138">
        <f>BDI!$B$17</f>
        <v>0.191</v>
      </c>
      <c r="H254" s="139">
        <f t="shared" ca="1" si="10"/>
        <v>20.2</v>
      </c>
      <c r="I254" s="137">
        <f t="shared" ca="1" si="11"/>
        <v>606</v>
      </c>
      <c r="J254" s="117"/>
    </row>
    <row r="255" spans="1:10" hidden="1" x14ac:dyDescent="0.25">
      <c r="A255" s="114" t="s">
        <v>390</v>
      </c>
      <c r="B255" s="115" t="s">
        <v>7594</v>
      </c>
      <c r="C255" s="116" t="s">
        <v>69</v>
      </c>
      <c r="D255" s="116">
        <v>0</v>
      </c>
      <c r="E255" s="136">
        <f ca="1">OFFSET(INDEX(Composições!A:J,MATCH(Orçamentária!A255,Composições!A:A,0),8),2,0)</f>
        <v>11.401605500000002</v>
      </c>
      <c r="F255" s="137">
        <f t="shared" ca="1" si="9"/>
        <v>0</v>
      </c>
      <c r="G255" s="138" t="e">
        <f>IF(A255&lt;&gt;"",IF(AND(#REF!="Padrão",$H$4=#REF!),BDI!$B$17,IF(AND(#REF!="Padrão",$H$4=#REF!),BDI!#REF!,IF(AND(#REF!="Diferenciado",$H$4=#REF!),BDI!$E$17,IF(AND(#REF!="Diferenciado",$H$4=#REF!),BDI!#REF!,IF(#REF!="ZERO",0))))),"")</f>
        <v>#REF!</v>
      </c>
      <c r="H255" s="139" t="e">
        <f t="shared" ca="1" si="10"/>
        <v>#REF!</v>
      </c>
      <c r="I255" s="137" t="e">
        <f t="shared" ca="1" si="11"/>
        <v>#REF!</v>
      </c>
      <c r="J255" s="117"/>
    </row>
    <row r="256" spans="1:10" x14ac:dyDescent="0.25">
      <c r="A256" s="189" t="s">
        <v>391</v>
      </c>
      <c r="B256" s="190" t="s">
        <v>1485</v>
      </c>
      <c r="C256" s="191" t="s">
        <v>69</v>
      </c>
      <c r="D256" s="191">
        <v>28</v>
      </c>
      <c r="E256" s="136">
        <f ca="1">OFFSET(INDEX(Composições!A:J,MATCH(Orçamentária!A256,Composições!A:A,0),8),2,0)</f>
        <v>20.534668</v>
      </c>
      <c r="F256" s="137">
        <f t="shared" ca="1" si="9"/>
        <v>574.97070399999996</v>
      </c>
      <c r="G256" s="138">
        <f>BDI!$B$17</f>
        <v>0.191</v>
      </c>
      <c r="H256" s="139">
        <f t="shared" ca="1" si="10"/>
        <v>24.46</v>
      </c>
      <c r="I256" s="137">
        <f t="shared" ca="1" si="11"/>
        <v>684.88</v>
      </c>
      <c r="J256" s="117"/>
    </row>
    <row r="257" spans="1:10" hidden="1" x14ac:dyDescent="0.25">
      <c r="A257" s="114" t="s">
        <v>392</v>
      </c>
      <c r="B257" s="115" t="s">
        <v>1486</v>
      </c>
      <c r="C257" s="116" t="s">
        <v>69</v>
      </c>
      <c r="D257" s="116">
        <v>0</v>
      </c>
      <c r="E257" s="136">
        <f ca="1">OFFSET(INDEX(Composições!A:J,MATCH(Orçamentária!A257,Composições!A:A,0),8),2,0)</f>
        <v>15.926379499999999</v>
      </c>
      <c r="F257" s="137">
        <f t="shared" ca="1" si="9"/>
        <v>0</v>
      </c>
      <c r="G257" s="138" t="e">
        <f>IF(A257&lt;&gt;"",IF(AND(#REF!="Padrão",$H$4=#REF!),BDI!$B$17,IF(AND(#REF!="Padrão",$H$4=#REF!),BDI!#REF!,IF(AND(#REF!="Diferenciado",$H$4=#REF!),BDI!$E$17,IF(AND(#REF!="Diferenciado",$H$4=#REF!),BDI!#REF!,IF(#REF!="ZERO",0))))),"")</f>
        <v>#REF!</v>
      </c>
      <c r="H257" s="139" t="e">
        <f t="shared" ca="1" si="10"/>
        <v>#REF!</v>
      </c>
      <c r="I257" s="137" t="e">
        <f t="shared" ca="1" si="11"/>
        <v>#REF!</v>
      </c>
      <c r="J257" s="117"/>
    </row>
    <row r="258" spans="1:10" x14ac:dyDescent="0.25">
      <c r="A258" s="189" t="s">
        <v>393</v>
      </c>
      <c r="B258" s="190" t="s">
        <v>7595</v>
      </c>
      <c r="C258" s="191" t="s">
        <v>69</v>
      </c>
      <c r="D258" s="191">
        <v>110</v>
      </c>
      <c r="E258" s="136">
        <f ca="1">OFFSET(INDEX(Composições!A:J,MATCH(Orçamentária!A258,Composições!A:A,0),8),2,0)</f>
        <v>79.041202349999992</v>
      </c>
      <c r="F258" s="137">
        <f t="shared" ca="1" si="9"/>
        <v>8694.5322584999994</v>
      </c>
      <c r="G258" s="138">
        <f>BDI!$B$17</f>
        <v>0.191</v>
      </c>
      <c r="H258" s="139">
        <f t="shared" ca="1" si="10"/>
        <v>94.14</v>
      </c>
      <c r="I258" s="137">
        <f t="shared" ca="1" si="11"/>
        <v>10355.4</v>
      </c>
      <c r="J258" s="117"/>
    </row>
    <row r="259" spans="1:10" hidden="1" x14ac:dyDescent="0.25">
      <c r="A259" s="114" t="s">
        <v>398</v>
      </c>
      <c r="B259" s="115" t="s">
        <v>7596</v>
      </c>
      <c r="C259" s="116" t="s">
        <v>16</v>
      </c>
      <c r="D259" s="116">
        <v>0</v>
      </c>
      <c r="E259" s="136">
        <f ca="1">OFFSET(INDEX(Composições!A:J,MATCH(Orçamentária!A259,Composições!A:A,0),8),2,0)</f>
        <v>7.3419799999999995</v>
      </c>
      <c r="F259" s="137">
        <f t="shared" ca="1" si="9"/>
        <v>0</v>
      </c>
      <c r="G259" s="138" t="e">
        <f>IF(A259&lt;&gt;"",IF(AND(#REF!="Padrão",$H$4=#REF!),BDI!$B$17,IF(AND(#REF!="Padrão",$H$4=#REF!),BDI!#REF!,IF(AND(#REF!="Diferenciado",$H$4=#REF!),BDI!$E$17,IF(AND(#REF!="Diferenciado",$H$4=#REF!),BDI!#REF!,IF(#REF!="ZERO",0))))),"")</f>
        <v>#REF!</v>
      </c>
      <c r="H259" s="139" t="e">
        <f t="shared" ca="1" si="10"/>
        <v>#REF!</v>
      </c>
      <c r="I259" s="137" t="e">
        <f t="shared" ca="1" si="11"/>
        <v>#REF!</v>
      </c>
      <c r="J259" s="117"/>
    </row>
    <row r="260" spans="1:10" hidden="1" x14ac:dyDescent="0.25">
      <c r="A260" s="114" t="s">
        <v>399</v>
      </c>
      <c r="B260" s="115" t="s">
        <v>7597</v>
      </c>
      <c r="C260" s="116" t="s">
        <v>16</v>
      </c>
      <c r="D260" s="116">
        <v>0</v>
      </c>
      <c r="E260" s="136">
        <f ca="1">OFFSET(INDEX(Composições!A:J,MATCH(Orçamentária!A260,Composições!A:A,0),8),2,0)</f>
        <v>12.166839999999999</v>
      </c>
      <c r="F260" s="137">
        <f t="shared" ca="1" si="9"/>
        <v>0</v>
      </c>
      <c r="G260" s="138" t="e">
        <f>IF(A260&lt;&gt;"",IF(AND(#REF!="Padrão",$H$4=#REF!),BDI!$B$17,IF(AND(#REF!="Padrão",$H$4=#REF!),BDI!#REF!,IF(AND(#REF!="Diferenciado",$H$4=#REF!),BDI!$E$17,IF(AND(#REF!="Diferenciado",$H$4=#REF!),BDI!#REF!,IF(#REF!="ZERO",0))))),"")</f>
        <v>#REF!</v>
      </c>
      <c r="H260" s="139" t="e">
        <f t="shared" ca="1" si="10"/>
        <v>#REF!</v>
      </c>
      <c r="I260" s="137" t="e">
        <f t="shared" ca="1" si="11"/>
        <v>#REF!</v>
      </c>
      <c r="J260" s="117"/>
    </row>
    <row r="261" spans="1:10" hidden="1" x14ac:dyDescent="0.25">
      <c r="A261" s="114" t="s">
        <v>400</v>
      </c>
      <c r="B261" s="115" t="s">
        <v>401</v>
      </c>
      <c r="C261" s="116" t="s">
        <v>16</v>
      </c>
      <c r="D261" s="116">
        <v>0</v>
      </c>
      <c r="E261" s="136">
        <f ca="1">OFFSET(INDEX(Composições!A:J,MATCH(Orçamentária!A261,Composições!A:A,0),8),2,0)</f>
        <v>5.6308399999999992</v>
      </c>
      <c r="F261" s="137">
        <f t="shared" ca="1" si="9"/>
        <v>0</v>
      </c>
      <c r="G261" s="138" t="e">
        <f>IF(A261&lt;&gt;"",IF(AND(#REF!="Padrão",$H$4=#REF!),BDI!$B$17,IF(AND(#REF!="Padrão",$H$4=#REF!),BDI!#REF!,IF(AND(#REF!="Diferenciado",$H$4=#REF!),BDI!$E$17,IF(AND(#REF!="Diferenciado",$H$4=#REF!),BDI!#REF!,IF(#REF!="ZERO",0))))),"")</f>
        <v>#REF!</v>
      </c>
      <c r="H261" s="139" t="e">
        <f t="shared" ca="1" si="10"/>
        <v>#REF!</v>
      </c>
      <c r="I261" s="137" t="e">
        <f t="shared" ca="1" si="11"/>
        <v>#REF!</v>
      </c>
      <c r="J261" s="117"/>
    </row>
    <row r="262" spans="1:10" x14ac:dyDescent="0.25">
      <c r="A262" s="189" t="s">
        <v>402</v>
      </c>
      <c r="B262" s="190" t="s">
        <v>1487</v>
      </c>
      <c r="C262" s="191" t="s">
        <v>16</v>
      </c>
      <c r="D262" s="191">
        <v>31</v>
      </c>
      <c r="E262" s="136">
        <f ca="1">OFFSET(INDEX(Composições!A:J,MATCH(Orçamentária!A262,Composições!A:A,0),8),2,0)</f>
        <v>28.12285</v>
      </c>
      <c r="F262" s="137">
        <f t="shared" ca="1" si="9"/>
        <v>871.80835000000002</v>
      </c>
      <c r="G262" s="138">
        <f>BDI!$B$17</f>
        <v>0.191</v>
      </c>
      <c r="H262" s="139">
        <f t="shared" ca="1" si="10"/>
        <v>33.49</v>
      </c>
      <c r="I262" s="137">
        <f t="shared" ca="1" si="11"/>
        <v>1038.19</v>
      </c>
      <c r="J262" s="117"/>
    </row>
    <row r="263" spans="1:10" hidden="1" x14ac:dyDescent="0.25">
      <c r="A263" s="114" t="s">
        <v>405</v>
      </c>
      <c r="B263" s="115" t="s">
        <v>406</v>
      </c>
      <c r="C263" s="116" t="s">
        <v>16</v>
      </c>
      <c r="D263" s="116">
        <v>0</v>
      </c>
      <c r="E263" s="136">
        <f ca="1">OFFSET(INDEX(Composições!A:J,MATCH(Orçamentária!A263,Composições!A:A,0),8),2,0)</f>
        <v>2.7835000000000001</v>
      </c>
      <c r="F263" s="137">
        <f t="shared" ref="F263:F326" ca="1" si="12">IF(ISNUMBER(E263),D263*E263,"")</f>
        <v>0</v>
      </c>
      <c r="G263" s="138" t="e">
        <f>IF(A263&lt;&gt;"",IF(AND(#REF!="Padrão",$H$4=#REF!),BDI!$B$17,IF(AND(#REF!="Padrão",$H$4=#REF!),BDI!#REF!,IF(AND(#REF!="Diferenciado",$H$4=#REF!),BDI!$E$17,IF(AND(#REF!="Diferenciado",$H$4=#REF!),BDI!#REF!,IF(#REF!="ZERO",0))))),"")</f>
        <v>#REF!</v>
      </c>
      <c r="H263" s="139" t="e">
        <f t="shared" ref="H263:H326" ca="1" si="13">IF(ISNUMBER(E263),ROUND(E263*(1+G263),2),"")</f>
        <v>#REF!</v>
      </c>
      <c r="I263" s="137" t="e">
        <f t="shared" ref="I263:I326" ca="1" si="14">IF(ISNUMBER(E263),ROUND(H263*D263,2),"")</f>
        <v>#REF!</v>
      </c>
      <c r="J263" s="117"/>
    </row>
    <row r="264" spans="1:10" hidden="1" x14ac:dyDescent="0.25">
      <c r="A264" s="114" t="s">
        <v>407</v>
      </c>
      <c r="B264" s="115" t="s">
        <v>1488</v>
      </c>
      <c r="C264" s="116" t="s">
        <v>16</v>
      </c>
      <c r="D264" s="116">
        <v>0</v>
      </c>
      <c r="E264" s="136">
        <f ca="1">OFFSET(INDEX(Composições!A:J,MATCH(Orçamentária!A264,Composições!A:A,0),8),2,0)</f>
        <v>25.110551999999998</v>
      </c>
      <c r="F264" s="137">
        <f t="shared" ca="1" si="12"/>
        <v>0</v>
      </c>
      <c r="G264" s="138" t="e">
        <f>IF(A264&lt;&gt;"",IF(AND(#REF!="Padrão",$H$4=#REF!),BDI!$B$17,IF(AND(#REF!="Padrão",$H$4=#REF!),BDI!#REF!,IF(AND(#REF!="Diferenciado",$H$4=#REF!),BDI!$E$17,IF(AND(#REF!="Diferenciado",$H$4=#REF!),BDI!#REF!,IF(#REF!="ZERO",0))))),"")</f>
        <v>#REF!</v>
      </c>
      <c r="H264" s="139" t="e">
        <f t="shared" ca="1" si="13"/>
        <v>#REF!</v>
      </c>
      <c r="I264" s="137" t="e">
        <f t="shared" ca="1" si="14"/>
        <v>#REF!</v>
      </c>
      <c r="J264" s="117"/>
    </row>
    <row r="265" spans="1:10" hidden="1" x14ac:dyDescent="0.25">
      <c r="A265" s="114" t="s">
        <v>408</v>
      </c>
      <c r="B265" s="115" t="s">
        <v>1489</v>
      </c>
      <c r="C265" s="116" t="s">
        <v>16</v>
      </c>
      <c r="D265" s="116">
        <v>0</v>
      </c>
      <c r="E265" s="136">
        <f ca="1">OFFSET(INDEX(Composições!A:J,MATCH(Orçamentária!A265,Composições!A:A,0),8),2,0)</f>
        <v>18.709775</v>
      </c>
      <c r="F265" s="137">
        <f t="shared" ca="1" si="12"/>
        <v>0</v>
      </c>
      <c r="G265" s="138" t="e">
        <f>IF(A265&lt;&gt;"",IF(AND(#REF!="Padrão",$H$4=#REF!),BDI!$B$17,IF(AND(#REF!="Padrão",$H$4=#REF!),BDI!#REF!,IF(AND(#REF!="Diferenciado",$H$4=#REF!),BDI!$E$17,IF(AND(#REF!="Diferenciado",$H$4=#REF!),BDI!#REF!,IF(#REF!="ZERO",0))))),"")</f>
        <v>#REF!</v>
      </c>
      <c r="H265" s="139" t="e">
        <f t="shared" ca="1" si="13"/>
        <v>#REF!</v>
      </c>
      <c r="I265" s="137" t="e">
        <f t="shared" ca="1" si="14"/>
        <v>#REF!</v>
      </c>
      <c r="J265" s="117"/>
    </row>
    <row r="266" spans="1:10" x14ac:dyDescent="0.25">
      <c r="A266" s="189" t="s">
        <v>409</v>
      </c>
      <c r="B266" s="190" t="s">
        <v>410</v>
      </c>
      <c r="C266" s="191" t="s">
        <v>16</v>
      </c>
      <c r="D266" s="191">
        <v>21</v>
      </c>
      <c r="E266" s="136">
        <f ca="1">OFFSET(INDEX(Composições!A:J,MATCH(Orçamentária!A266,Composições!A:A,0),8),2,0)</f>
        <v>5.5335000000000001</v>
      </c>
      <c r="F266" s="137">
        <f t="shared" ca="1" si="12"/>
        <v>116.20350000000001</v>
      </c>
      <c r="G266" s="138">
        <f>BDI!$B$17</f>
        <v>0.191</v>
      </c>
      <c r="H266" s="139">
        <f t="shared" ca="1" si="13"/>
        <v>6.59</v>
      </c>
      <c r="I266" s="137">
        <f t="shared" ca="1" si="14"/>
        <v>138.38999999999999</v>
      </c>
      <c r="J266" s="117"/>
    </row>
    <row r="267" spans="1:10" hidden="1" x14ac:dyDescent="0.25">
      <c r="A267" s="114" t="s">
        <v>411</v>
      </c>
      <c r="B267" s="115" t="s">
        <v>412</v>
      </c>
      <c r="C267" s="116" t="s">
        <v>16</v>
      </c>
      <c r="D267" s="116">
        <v>0</v>
      </c>
      <c r="E267" s="136">
        <f ca="1">OFFSET(INDEX(Composições!A:J,MATCH(Orçamentária!A267,Composições!A:A,0),8),2,0)</f>
        <v>15.221052</v>
      </c>
      <c r="F267" s="137">
        <f t="shared" ca="1" si="12"/>
        <v>0</v>
      </c>
      <c r="G267" s="138" t="e">
        <f>IF(A267&lt;&gt;"",IF(AND(#REF!="Padrão",$H$4=#REF!),BDI!$B$17,IF(AND(#REF!="Padrão",$H$4=#REF!),BDI!#REF!,IF(AND(#REF!="Diferenciado",$H$4=#REF!),BDI!$E$17,IF(AND(#REF!="Diferenciado",$H$4=#REF!),BDI!#REF!,IF(#REF!="ZERO",0))))),"")</f>
        <v>#REF!</v>
      </c>
      <c r="H267" s="139" t="e">
        <f t="shared" ca="1" si="13"/>
        <v>#REF!</v>
      </c>
      <c r="I267" s="137" t="e">
        <f t="shared" ca="1" si="14"/>
        <v>#REF!</v>
      </c>
      <c r="J267" s="117"/>
    </row>
    <row r="268" spans="1:10" hidden="1" x14ac:dyDescent="0.25">
      <c r="A268" s="114" t="s">
        <v>413</v>
      </c>
      <c r="B268" s="115" t="s">
        <v>1490</v>
      </c>
      <c r="C268" s="116" t="s">
        <v>16</v>
      </c>
      <c r="D268" s="116">
        <v>0</v>
      </c>
      <c r="E268" s="136">
        <f ca="1">OFFSET(INDEX(Composições!A:J,MATCH(Orçamentária!A268,Composições!A:A,0),8),2,0)</f>
        <v>20.258465000000001</v>
      </c>
      <c r="F268" s="137">
        <f t="shared" ca="1" si="12"/>
        <v>0</v>
      </c>
      <c r="G268" s="138" t="e">
        <f>IF(A268&lt;&gt;"",IF(AND(#REF!="Padrão",$H$4=#REF!),BDI!$B$17,IF(AND(#REF!="Padrão",$H$4=#REF!),BDI!#REF!,IF(AND(#REF!="Diferenciado",$H$4=#REF!),BDI!$E$17,IF(AND(#REF!="Diferenciado",$H$4=#REF!),BDI!#REF!,IF(#REF!="ZERO",0))))),"")</f>
        <v>#REF!</v>
      </c>
      <c r="H268" s="139" t="e">
        <f t="shared" ca="1" si="13"/>
        <v>#REF!</v>
      </c>
      <c r="I268" s="137" t="e">
        <f t="shared" ca="1" si="14"/>
        <v>#REF!</v>
      </c>
      <c r="J268" s="117"/>
    </row>
    <row r="269" spans="1:10" hidden="1" x14ac:dyDescent="0.25">
      <c r="A269" s="114" t="s">
        <v>414</v>
      </c>
      <c r="B269" s="115" t="s">
        <v>1491</v>
      </c>
      <c r="C269" s="116" t="s">
        <v>16</v>
      </c>
      <c r="D269" s="116">
        <v>0</v>
      </c>
      <c r="E269" s="136">
        <f ca="1">OFFSET(INDEX(Composições!A:J,MATCH(Orçamentária!A269,Composições!A:A,0),8),2,0)</f>
        <v>22.671465000000001</v>
      </c>
      <c r="F269" s="137">
        <f t="shared" ca="1" si="12"/>
        <v>0</v>
      </c>
      <c r="G269" s="138" t="e">
        <f>IF(A269&lt;&gt;"",IF(AND(#REF!="Padrão",$H$4=#REF!),BDI!$B$17,IF(AND(#REF!="Padrão",$H$4=#REF!),BDI!#REF!,IF(AND(#REF!="Diferenciado",$H$4=#REF!),BDI!$E$17,IF(AND(#REF!="Diferenciado",$H$4=#REF!),BDI!#REF!,IF(#REF!="ZERO",0))))),"")</f>
        <v>#REF!</v>
      </c>
      <c r="H269" s="139" t="e">
        <f t="shared" ca="1" si="13"/>
        <v>#REF!</v>
      </c>
      <c r="I269" s="137" t="e">
        <f t="shared" ca="1" si="14"/>
        <v>#REF!</v>
      </c>
      <c r="J269" s="117"/>
    </row>
    <row r="270" spans="1:10" hidden="1" x14ac:dyDescent="0.25">
      <c r="A270" s="114" t="s">
        <v>415</v>
      </c>
      <c r="B270" s="115" t="s">
        <v>417</v>
      </c>
      <c r="C270" s="116" t="s">
        <v>16</v>
      </c>
      <c r="D270" s="116">
        <v>0</v>
      </c>
      <c r="E270" s="136">
        <f ca="1">OFFSET(INDEX(Composições!A:J,MATCH(Orçamentária!A270,Composições!A:A,0),8),2,0)</f>
        <v>8.6483249999999998</v>
      </c>
      <c r="F270" s="137">
        <f t="shared" ca="1" si="12"/>
        <v>0</v>
      </c>
      <c r="G270" s="138" t="e">
        <f>IF(A270&lt;&gt;"",IF(AND(#REF!="Padrão",$H$4=#REF!),BDI!$B$17,IF(AND(#REF!="Padrão",$H$4=#REF!),BDI!#REF!,IF(AND(#REF!="Diferenciado",$H$4=#REF!),BDI!$E$17,IF(AND(#REF!="Diferenciado",$H$4=#REF!),BDI!#REF!,IF(#REF!="ZERO",0))))),"")</f>
        <v>#REF!</v>
      </c>
      <c r="H270" s="139" t="e">
        <f t="shared" ca="1" si="13"/>
        <v>#REF!</v>
      </c>
      <c r="I270" s="137" t="e">
        <f t="shared" ca="1" si="14"/>
        <v>#REF!</v>
      </c>
      <c r="J270" s="117"/>
    </row>
    <row r="271" spans="1:10" hidden="1" x14ac:dyDescent="0.25">
      <c r="A271" s="114" t="s">
        <v>418</v>
      </c>
      <c r="B271" s="115" t="s">
        <v>7598</v>
      </c>
      <c r="C271" s="116" t="s">
        <v>16</v>
      </c>
      <c r="D271" s="116">
        <v>0</v>
      </c>
      <c r="E271" s="136">
        <f ca="1">OFFSET(INDEX(Composições!A:J,MATCH(Orçamentária!A271,Composições!A:A,0),8),2,0)</f>
        <v>2.1583999999999999</v>
      </c>
      <c r="F271" s="137">
        <f t="shared" ca="1" si="12"/>
        <v>0</v>
      </c>
      <c r="G271" s="138" t="e">
        <f>IF(A271&lt;&gt;"",IF(AND(#REF!="Padrão",$H$4=#REF!),BDI!$B$17,IF(AND(#REF!="Padrão",$H$4=#REF!),BDI!#REF!,IF(AND(#REF!="Diferenciado",$H$4=#REF!),BDI!$E$17,IF(AND(#REF!="Diferenciado",$H$4=#REF!),BDI!#REF!,IF(#REF!="ZERO",0))))),"")</f>
        <v>#REF!</v>
      </c>
      <c r="H271" s="139" t="e">
        <f t="shared" ca="1" si="13"/>
        <v>#REF!</v>
      </c>
      <c r="I271" s="137" t="e">
        <f t="shared" ca="1" si="14"/>
        <v>#REF!</v>
      </c>
      <c r="J271" s="117"/>
    </row>
    <row r="272" spans="1:10" hidden="1" x14ac:dyDescent="0.25">
      <c r="A272" s="114" t="s">
        <v>420</v>
      </c>
      <c r="B272" s="115" t="s">
        <v>7599</v>
      </c>
      <c r="C272" s="116" t="s">
        <v>16</v>
      </c>
      <c r="D272" s="116">
        <v>0</v>
      </c>
      <c r="E272" s="136">
        <f ca="1">OFFSET(INDEX(Composições!A:J,MATCH(Orçamentária!A272,Composições!A:A,0),8),2,0)</f>
        <v>2.1583999999999999</v>
      </c>
      <c r="F272" s="137">
        <f t="shared" ca="1" si="12"/>
        <v>0</v>
      </c>
      <c r="G272" s="138" t="e">
        <f>IF(A272&lt;&gt;"",IF(AND(#REF!="Padrão",$H$4=#REF!),BDI!$B$17,IF(AND(#REF!="Padrão",$H$4=#REF!),BDI!#REF!,IF(AND(#REF!="Diferenciado",$H$4=#REF!),BDI!$E$17,IF(AND(#REF!="Diferenciado",$H$4=#REF!),BDI!#REF!,IF(#REF!="ZERO",0))))),"")</f>
        <v>#REF!</v>
      </c>
      <c r="H272" s="139" t="e">
        <f t="shared" ca="1" si="13"/>
        <v>#REF!</v>
      </c>
      <c r="I272" s="137" t="e">
        <f t="shared" ca="1" si="14"/>
        <v>#REF!</v>
      </c>
      <c r="J272" s="117"/>
    </row>
    <row r="273" spans="1:10" hidden="1" x14ac:dyDescent="0.25">
      <c r="A273" s="114" t="s">
        <v>422</v>
      </c>
      <c r="B273" s="115" t="s">
        <v>1492</v>
      </c>
      <c r="C273" s="116" t="s">
        <v>16</v>
      </c>
      <c r="D273" s="116">
        <v>0</v>
      </c>
      <c r="E273" s="136">
        <f ca="1">OFFSET(INDEX(Composições!A:J,MATCH(Orçamentária!A273,Composições!A:A,0),8),2,0)</f>
        <v>3.2376</v>
      </c>
      <c r="F273" s="137">
        <f t="shared" ca="1" si="12"/>
        <v>0</v>
      </c>
      <c r="G273" s="138" t="e">
        <f>IF(A273&lt;&gt;"",IF(AND(#REF!="Padrão",$H$4=#REF!),BDI!$B$17,IF(AND(#REF!="Padrão",$H$4=#REF!),BDI!#REF!,IF(AND(#REF!="Diferenciado",$H$4=#REF!),BDI!$E$17,IF(AND(#REF!="Diferenciado",$H$4=#REF!),BDI!#REF!,IF(#REF!="ZERO",0))))),"")</f>
        <v>#REF!</v>
      </c>
      <c r="H273" s="139" t="e">
        <f t="shared" ca="1" si="13"/>
        <v>#REF!</v>
      </c>
      <c r="I273" s="137" t="e">
        <f t="shared" ca="1" si="14"/>
        <v>#REF!</v>
      </c>
      <c r="J273" s="117"/>
    </row>
    <row r="274" spans="1:10" hidden="1" x14ac:dyDescent="0.25">
      <c r="A274" s="114" t="s">
        <v>424</v>
      </c>
      <c r="B274" s="115" t="s">
        <v>1493</v>
      </c>
      <c r="C274" s="116" t="s">
        <v>16</v>
      </c>
      <c r="D274" s="116">
        <v>0</v>
      </c>
      <c r="E274" s="136">
        <f ca="1">OFFSET(INDEX(Composições!A:J,MATCH(Orçamentária!A274,Composições!A:A,0),8),2,0)</f>
        <v>7.4128500000000006</v>
      </c>
      <c r="F274" s="137">
        <f t="shared" ca="1" si="12"/>
        <v>0</v>
      </c>
      <c r="G274" s="138" t="e">
        <f>IF(A274&lt;&gt;"",IF(AND(#REF!="Padrão",$H$4=#REF!),BDI!$B$17,IF(AND(#REF!="Padrão",$H$4=#REF!),BDI!#REF!,IF(AND(#REF!="Diferenciado",$H$4=#REF!),BDI!$E$17,IF(AND(#REF!="Diferenciado",$H$4=#REF!),BDI!#REF!,IF(#REF!="ZERO",0))))),"")</f>
        <v>#REF!</v>
      </c>
      <c r="H274" s="139" t="e">
        <f t="shared" ca="1" si="13"/>
        <v>#REF!</v>
      </c>
      <c r="I274" s="137" t="e">
        <f t="shared" ca="1" si="14"/>
        <v>#REF!</v>
      </c>
      <c r="J274" s="117"/>
    </row>
    <row r="275" spans="1:10" hidden="1" x14ac:dyDescent="0.25">
      <c r="A275" s="114" t="s">
        <v>426</v>
      </c>
      <c r="B275" s="115" t="s">
        <v>1494</v>
      </c>
      <c r="C275" s="116" t="s">
        <v>16</v>
      </c>
      <c r="D275" s="116">
        <v>0</v>
      </c>
      <c r="E275" s="136">
        <f ca="1">OFFSET(INDEX(Composições!A:J,MATCH(Orçamentária!A275,Composições!A:A,0),8),2,0)</f>
        <v>21.431052000000001</v>
      </c>
      <c r="F275" s="137">
        <f t="shared" ca="1" si="12"/>
        <v>0</v>
      </c>
      <c r="G275" s="138" t="e">
        <f>IF(A275&lt;&gt;"",IF(AND(#REF!="Padrão",$H$4=#REF!),BDI!$B$17,IF(AND(#REF!="Padrão",$H$4=#REF!),BDI!#REF!,IF(AND(#REF!="Diferenciado",$H$4=#REF!),BDI!$E$17,IF(AND(#REF!="Diferenciado",$H$4=#REF!),BDI!#REF!,IF(#REF!="ZERO",0))))),"")</f>
        <v>#REF!</v>
      </c>
      <c r="H275" s="139" t="e">
        <f t="shared" ca="1" si="13"/>
        <v>#REF!</v>
      </c>
      <c r="I275" s="137" t="e">
        <f t="shared" ca="1" si="14"/>
        <v>#REF!</v>
      </c>
      <c r="J275" s="117"/>
    </row>
    <row r="276" spans="1:10" hidden="1" x14ac:dyDescent="0.25">
      <c r="A276" s="114" t="s">
        <v>427</v>
      </c>
      <c r="B276" s="115" t="s">
        <v>1495</v>
      </c>
      <c r="C276" s="116" t="s">
        <v>16</v>
      </c>
      <c r="D276" s="116">
        <v>0</v>
      </c>
      <c r="E276" s="136">
        <f ca="1">OFFSET(INDEX(Composições!A:J,MATCH(Orçamentária!A276,Composições!A:A,0),8),2,0)</f>
        <v>32.122350000000004</v>
      </c>
      <c r="F276" s="137">
        <f t="shared" ca="1" si="12"/>
        <v>0</v>
      </c>
      <c r="G276" s="138" t="e">
        <f>IF(A276&lt;&gt;"",IF(AND(#REF!="Padrão",$H$4=#REF!),BDI!$B$17,IF(AND(#REF!="Padrão",$H$4=#REF!),BDI!#REF!,IF(AND(#REF!="Diferenciado",$H$4=#REF!),BDI!$E$17,IF(AND(#REF!="Diferenciado",$H$4=#REF!),BDI!#REF!,IF(#REF!="ZERO",0))))),"")</f>
        <v>#REF!</v>
      </c>
      <c r="H276" s="139" t="e">
        <f t="shared" ca="1" si="13"/>
        <v>#REF!</v>
      </c>
      <c r="I276" s="137" t="e">
        <f t="shared" ca="1" si="14"/>
        <v>#REF!</v>
      </c>
      <c r="J276" s="117"/>
    </row>
    <row r="277" spans="1:10" hidden="1" x14ac:dyDescent="0.25">
      <c r="A277" s="114" t="s">
        <v>430</v>
      </c>
      <c r="B277" s="115" t="s">
        <v>1496</v>
      </c>
      <c r="C277" s="116" t="s">
        <v>16</v>
      </c>
      <c r="D277" s="116">
        <v>0</v>
      </c>
      <c r="E277" s="136">
        <f ca="1">OFFSET(INDEX(Composições!A:J,MATCH(Orçamentária!A277,Composições!A:A,0),8),2,0)</f>
        <v>6.6108656999999997</v>
      </c>
      <c r="F277" s="137">
        <f t="shared" ca="1" si="12"/>
        <v>0</v>
      </c>
      <c r="G277" s="138" t="e">
        <f>IF(A277&lt;&gt;"",IF(AND(#REF!="Padrão",$H$4=#REF!),BDI!$B$17,IF(AND(#REF!="Padrão",$H$4=#REF!),BDI!#REF!,IF(AND(#REF!="Diferenciado",$H$4=#REF!),BDI!$E$17,IF(AND(#REF!="Diferenciado",$H$4=#REF!),BDI!#REF!,IF(#REF!="ZERO",0))))),"")</f>
        <v>#REF!</v>
      </c>
      <c r="H277" s="139" t="e">
        <f t="shared" ca="1" si="13"/>
        <v>#REF!</v>
      </c>
      <c r="I277" s="137" t="e">
        <f t="shared" ca="1" si="14"/>
        <v>#REF!</v>
      </c>
      <c r="J277" s="117"/>
    </row>
    <row r="278" spans="1:10" hidden="1" x14ac:dyDescent="0.25">
      <c r="A278" s="114" t="s">
        <v>432</v>
      </c>
      <c r="B278" s="115" t="s">
        <v>1497</v>
      </c>
      <c r="C278" s="116" t="s">
        <v>16</v>
      </c>
      <c r="D278" s="116">
        <v>0</v>
      </c>
      <c r="E278" s="136">
        <f ca="1">OFFSET(INDEX(Composições!A:J,MATCH(Orçamentária!A278,Composições!A:A,0),8),2,0)</f>
        <v>13.078640500000002</v>
      </c>
      <c r="F278" s="137">
        <f t="shared" ca="1" si="12"/>
        <v>0</v>
      </c>
      <c r="G278" s="138" t="e">
        <f>IF(A278&lt;&gt;"",IF(AND(#REF!="Padrão",$H$4=#REF!),BDI!$B$17,IF(AND(#REF!="Padrão",$H$4=#REF!),BDI!#REF!,IF(AND(#REF!="Diferenciado",$H$4=#REF!),BDI!$E$17,IF(AND(#REF!="Diferenciado",$H$4=#REF!),BDI!#REF!,IF(#REF!="ZERO",0))))),"")</f>
        <v>#REF!</v>
      </c>
      <c r="H278" s="139" t="e">
        <f t="shared" ca="1" si="13"/>
        <v>#REF!</v>
      </c>
      <c r="I278" s="137" t="e">
        <f t="shared" ca="1" si="14"/>
        <v>#REF!</v>
      </c>
      <c r="J278" s="117"/>
    </row>
    <row r="279" spans="1:10" hidden="1" x14ac:dyDescent="0.25">
      <c r="A279" s="114" t="s">
        <v>436</v>
      </c>
      <c r="B279" s="115" t="s">
        <v>1498</v>
      </c>
      <c r="C279" s="116" t="s">
        <v>16</v>
      </c>
      <c r="D279" s="116">
        <v>0</v>
      </c>
      <c r="E279" s="136">
        <f ca="1">OFFSET(INDEX(Composições!A:J,MATCH(Orçamentária!A279,Composições!A:A,0),8),2,0)</f>
        <v>13.078640500000002</v>
      </c>
      <c r="F279" s="137">
        <f t="shared" ca="1" si="12"/>
        <v>0</v>
      </c>
      <c r="G279" s="138" t="e">
        <f>IF(A279&lt;&gt;"",IF(AND(#REF!="Padrão",$H$4=#REF!),BDI!$B$17,IF(AND(#REF!="Padrão",$H$4=#REF!),BDI!#REF!,IF(AND(#REF!="Diferenciado",$H$4=#REF!),BDI!$E$17,IF(AND(#REF!="Diferenciado",$H$4=#REF!),BDI!#REF!,IF(#REF!="ZERO",0))))),"")</f>
        <v>#REF!</v>
      </c>
      <c r="H279" s="139" t="e">
        <f t="shared" ca="1" si="13"/>
        <v>#REF!</v>
      </c>
      <c r="I279" s="137" t="e">
        <f t="shared" ca="1" si="14"/>
        <v>#REF!</v>
      </c>
      <c r="J279" s="117"/>
    </row>
    <row r="280" spans="1:10" hidden="1" x14ac:dyDescent="0.25">
      <c r="A280" s="114" t="s">
        <v>439</v>
      </c>
      <c r="B280" s="115" t="s">
        <v>1499</v>
      </c>
      <c r="C280" s="116" t="s">
        <v>16</v>
      </c>
      <c r="D280" s="116">
        <v>0</v>
      </c>
      <c r="E280" s="136">
        <f ca="1">OFFSET(INDEX(Composições!A:J,MATCH(Orçamentária!A280,Composições!A:A,0),8),2,0)</f>
        <v>15.262380800000001</v>
      </c>
      <c r="F280" s="137">
        <f t="shared" ca="1" si="12"/>
        <v>0</v>
      </c>
      <c r="G280" s="138" t="e">
        <f>IF(A280&lt;&gt;"",IF(AND(#REF!="Padrão",$H$4=#REF!),BDI!$B$17,IF(AND(#REF!="Padrão",$H$4=#REF!),BDI!#REF!,IF(AND(#REF!="Diferenciado",$H$4=#REF!),BDI!$E$17,IF(AND(#REF!="Diferenciado",$H$4=#REF!),BDI!#REF!,IF(#REF!="ZERO",0))))),"")</f>
        <v>#REF!</v>
      </c>
      <c r="H280" s="139" t="e">
        <f t="shared" ca="1" si="13"/>
        <v>#REF!</v>
      </c>
      <c r="I280" s="137" t="e">
        <f t="shared" ca="1" si="14"/>
        <v>#REF!</v>
      </c>
      <c r="J280" s="117"/>
    </row>
    <row r="281" spans="1:10" hidden="1" x14ac:dyDescent="0.25">
      <c r="A281" s="114" t="s">
        <v>441</v>
      </c>
      <c r="B281" s="115" t="s">
        <v>1500</v>
      </c>
      <c r="C281" s="116" t="s">
        <v>16</v>
      </c>
      <c r="D281" s="116">
        <v>0</v>
      </c>
      <c r="E281" s="136">
        <f ca="1">OFFSET(INDEX(Composições!A:J,MATCH(Orçamentária!A281,Composições!A:A,0),8),2,0)</f>
        <v>13.078640500000002</v>
      </c>
      <c r="F281" s="137">
        <f t="shared" ca="1" si="12"/>
        <v>0</v>
      </c>
      <c r="G281" s="138" t="e">
        <f>IF(A281&lt;&gt;"",IF(AND(#REF!="Padrão",$H$4=#REF!),BDI!$B$17,IF(AND(#REF!="Padrão",$H$4=#REF!),BDI!#REF!,IF(AND(#REF!="Diferenciado",$H$4=#REF!),BDI!$E$17,IF(AND(#REF!="Diferenciado",$H$4=#REF!),BDI!#REF!,IF(#REF!="ZERO",0))))),"")</f>
        <v>#REF!</v>
      </c>
      <c r="H281" s="139" t="e">
        <f t="shared" ca="1" si="13"/>
        <v>#REF!</v>
      </c>
      <c r="I281" s="137" t="e">
        <f t="shared" ca="1" si="14"/>
        <v>#REF!</v>
      </c>
      <c r="J281" s="117"/>
    </row>
    <row r="282" spans="1:10" hidden="1" x14ac:dyDescent="0.25">
      <c r="A282" s="114" t="s">
        <v>444</v>
      </c>
      <c r="B282" s="115" t="s">
        <v>1501</v>
      </c>
      <c r="C282" s="116" t="s">
        <v>16</v>
      </c>
      <c r="D282" s="116">
        <v>0</v>
      </c>
      <c r="E282" s="136">
        <f ca="1">OFFSET(INDEX(Composições!A:J,MATCH(Orçamentária!A282,Composições!A:A,0),8),2,0)</f>
        <v>15.262380800000001</v>
      </c>
      <c r="F282" s="137">
        <f t="shared" ca="1" si="12"/>
        <v>0</v>
      </c>
      <c r="G282" s="138" t="e">
        <f>IF(A282&lt;&gt;"",IF(AND(#REF!="Padrão",$H$4=#REF!),BDI!$B$17,IF(AND(#REF!="Padrão",$H$4=#REF!),BDI!#REF!,IF(AND(#REF!="Diferenciado",$H$4=#REF!),BDI!$E$17,IF(AND(#REF!="Diferenciado",$H$4=#REF!),BDI!#REF!,IF(#REF!="ZERO",0))))),"")</f>
        <v>#REF!</v>
      </c>
      <c r="H282" s="139" t="e">
        <f t="shared" ca="1" si="13"/>
        <v>#REF!</v>
      </c>
      <c r="I282" s="137" t="e">
        <f t="shared" ca="1" si="14"/>
        <v>#REF!</v>
      </c>
      <c r="J282" s="117"/>
    </row>
    <row r="283" spans="1:10" hidden="1" x14ac:dyDescent="0.25">
      <c r="A283" s="114" t="s">
        <v>446</v>
      </c>
      <c r="B283" s="115" t="s">
        <v>3494</v>
      </c>
      <c r="C283" s="116" t="s">
        <v>69</v>
      </c>
      <c r="D283" s="116">
        <v>0</v>
      </c>
      <c r="E283" s="136">
        <f ca="1">OFFSET(INDEX(Composições!A:J,MATCH(Orçamentária!A283,Composições!A:A,0),8),2,0)</f>
        <v>0.48391099999999998</v>
      </c>
      <c r="F283" s="137">
        <f t="shared" ca="1" si="12"/>
        <v>0</v>
      </c>
      <c r="G283" s="138" t="e">
        <f>IF(A283&lt;&gt;"",IF(AND(#REF!="Padrão",$H$4=#REF!),BDI!$B$17,IF(AND(#REF!="Padrão",$H$4=#REF!),BDI!#REF!,IF(AND(#REF!="Diferenciado",$H$4=#REF!),BDI!$E$17,IF(AND(#REF!="Diferenciado",$H$4=#REF!),BDI!#REF!,IF(#REF!="ZERO",0))))),"")</f>
        <v>#REF!</v>
      </c>
      <c r="H283" s="139" t="e">
        <f t="shared" ca="1" si="13"/>
        <v>#REF!</v>
      </c>
      <c r="I283" s="137" t="e">
        <f t="shared" ca="1" si="14"/>
        <v>#REF!</v>
      </c>
      <c r="J283" s="117"/>
    </row>
    <row r="284" spans="1:10" x14ac:dyDescent="0.25">
      <c r="A284" s="189" t="s">
        <v>448</v>
      </c>
      <c r="B284" s="190" t="s">
        <v>3495</v>
      </c>
      <c r="C284" s="191" t="s">
        <v>69</v>
      </c>
      <c r="D284" s="191">
        <v>500</v>
      </c>
      <c r="E284" s="136">
        <f ca="1">OFFSET(INDEX(Composições!A:J,MATCH(Orçamentária!A284,Composições!A:A,0),8),2,0)</f>
        <v>23.277640999999996</v>
      </c>
      <c r="F284" s="137">
        <f t="shared" ca="1" si="12"/>
        <v>11638.820499999998</v>
      </c>
      <c r="G284" s="138">
        <f>BDI!$B$17</f>
        <v>0.191</v>
      </c>
      <c r="H284" s="139">
        <f t="shared" ca="1" si="13"/>
        <v>27.72</v>
      </c>
      <c r="I284" s="137">
        <f t="shared" ca="1" si="14"/>
        <v>13860</v>
      </c>
      <c r="J284" s="117"/>
    </row>
    <row r="285" spans="1:10" x14ac:dyDescent="0.25">
      <c r="A285" s="189" t="s">
        <v>450</v>
      </c>
      <c r="B285" s="190" t="s">
        <v>1502</v>
      </c>
      <c r="C285" s="191" t="s">
        <v>69</v>
      </c>
      <c r="D285" s="191">
        <v>2200</v>
      </c>
      <c r="E285" s="136">
        <f ca="1">OFFSET(INDEX(Composições!A:J,MATCH(Orçamentária!A285,Composições!A:A,0),8),2,0)</f>
        <v>4.564195999999999</v>
      </c>
      <c r="F285" s="137">
        <f t="shared" ca="1" si="12"/>
        <v>10041.231199999998</v>
      </c>
      <c r="G285" s="138">
        <f>BDI!$B$17</f>
        <v>0.191</v>
      </c>
      <c r="H285" s="139">
        <f t="shared" ca="1" si="13"/>
        <v>5.44</v>
      </c>
      <c r="I285" s="137">
        <f t="shared" ca="1" si="14"/>
        <v>11968</v>
      </c>
      <c r="J285" s="117"/>
    </row>
    <row r="286" spans="1:10" x14ac:dyDescent="0.25">
      <c r="A286" s="189" t="s">
        <v>452</v>
      </c>
      <c r="B286" s="190" t="s">
        <v>1503</v>
      </c>
      <c r="C286" s="191" t="s">
        <v>69</v>
      </c>
      <c r="D286" s="191">
        <v>32</v>
      </c>
      <c r="E286" s="136">
        <f ca="1">OFFSET(INDEX(Composições!A:J,MATCH(Orçamentária!A286,Composições!A:A,0),8),2,0)</f>
        <v>12.470113999999997</v>
      </c>
      <c r="F286" s="137">
        <f t="shared" ca="1" si="12"/>
        <v>399.04364799999991</v>
      </c>
      <c r="G286" s="138">
        <f>BDI!$B$17</f>
        <v>0.191</v>
      </c>
      <c r="H286" s="139">
        <f t="shared" ca="1" si="13"/>
        <v>14.85</v>
      </c>
      <c r="I286" s="137">
        <f t="shared" ca="1" si="14"/>
        <v>475.2</v>
      </c>
      <c r="J286" s="117"/>
    </row>
    <row r="287" spans="1:10" hidden="1" x14ac:dyDescent="0.25">
      <c r="A287" s="114" t="s">
        <v>454</v>
      </c>
      <c r="B287" s="115" t="s">
        <v>1504</v>
      </c>
      <c r="C287" s="116" t="s">
        <v>69</v>
      </c>
      <c r="D287" s="116">
        <v>0</v>
      </c>
      <c r="E287" s="136">
        <f ca="1">OFFSET(INDEX(Composições!A:J,MATCH(Orçamentária!A287,Composições!A:A,0),8),2,0)</f>
        <v>2.0119860000000003</v>
      </c>
      <c r="F287" s="137">
        <f t="shared" ca="1" si="12"/>
        <v>0</v>
      </c>
      <c r="G287" s="138" t="e">
        <f>IF(A287&lt;&gt;"",IF(AND(#REF!="Padrão",$H$4=#REF!),BDI!$B$17,IF(AND(#REF!="Padrão",$H$4=#REF!),BDI!#REF!,IF(AND(#REF!="Diferenciado",$H$4=#REF!),BDI!$E$17,IF(AND(#REF!="Diferenciado",$H$4=#REF!),BDI!#REF!,IF(#REF!="ZERO",0))))),"")</f>
        <v>#REF!</v>
      </c>
      <c r="H287" s="139" t="e">
        <f t="shared" ca="1" si="13"/>
        <v>#REF!</v>
      </c>
      <c r="I287" s="137" t="e">
        <f t="shared" ca="1" si="14"/>
        <v>#REF!</v>
      </c>
      <c r="J287" s="117"/>
    </row>
    <row r="288" spans="1:10" x14ac:dyDescent="0.25">
      <c r="A288" s="189" t="s">
        <v>456</v>
      </c>
      <c r="B288" s="190" t="s">
        <v>1505</v>
      </c>
      <c r="C288" s="191" t="s">
        <v>69</v>
      </c>
      <c r="D288" s="191">
        <v>222</v>
      </c>
      <c r="E288" s="136">
        <f ca="1">OFFSET(INDEX(Composições!A:J,MATCH(Orçamentária!A288,Composições!A:A,0),8),2,0)</f>
        <v>11.513890999999999</v>
      </c>
      <c r="F288" s="137">
        <f t="shared" ca="1" si="12"/>
        <v>2556.0838019999997</v>
      </c>
      <c r="G288" s="138">
        <f>BDI!$B$17</f>
        <v>0.191</v>
      </c>
      <c r="H288" s="139">
        <f t="shared" ca="1" si="13"/>
        <v>13.71</v>
      </c>
      <c r="I288" s="137">
        <f t="shared" ca="1" si="14"/>
        <v>3043.62</v>
      </c>
      <c r="J288" s="117"/>
    </row>
    <row r="289" spans="1:10" x14ac:dyDescent="0.25">
      <c r="A289" s="189" t="s">
        <v>458</v>
      </c>
      <c r="B289" s="190" t="s">
        <v>1506</v>
      </c>
      <c r="C289" s="191" t="s">
        <v>69</v>
      </c>
      <c r="D289" s="191">
        <v>110</v>
      </c>
      <c r="E289" s="136">
        <f ca="1">OFFSET(INDEX(Composições!A:J,MATCH(Orçamentária!A289,Composições!A:A,0),8),2,0)</f>
        <v>9.280914000000001</v>
      </c>
      <c r="F289" s="137">
        <f t="shared" ca="1" si="12"/>
        <v>1020.9005400000001</v>
      </c>
      <c r="G289" s="138">
        <f>BDI!$B$17</f>
        <v>0.191</v>
      </c>
      <c r="H289" s="139">
        <f t="shared" ca="1" si="13"/>
        <v>11.05</v>
      </c>
      <c r="I289" s="137">
        <f t="shared" ca="1" si="14"/>
        <v>1215.5</v>
      </c>
      <c r="J289" s="117"/>
    </row>
    <row r="290" spans="1:10" x14ac:dyDescent="0.25">
      <c r="A290" s="189" t="s">
        <v>460</v>
      </c>
      <c r="B290" s="190" t="s">
        <v>1507</v>
      </c>
      <c r="C290" s="191" t="s">
        <v>16</v>
      </c>
      <c r="D290" s="191">
        <v>1</v>
      </c>
      <c r="E290" s="136">
        <f ca="1">OFFSET(INDEX(Composições!A:J,MATCH(Orçamentária!A290,Composições!A:A,0),8),2,0)</f>
        <v>8293.4176084402498</v>
      </c>
      <c r="F290" s="137">
        <f t="shared" ca="1" si="12"/>
        <v>8293.4176084402498</v>
      </c>
      <c r="G290" s="138">
        <f>BDI!$E$17</f>
        <v>0.11260000000000001</v>
      </c>
      <c r="H290" s="139">
        <f t="shared" ca="1" si="13"/>
        <v>9227.26</v>
      </c>
      <c r="I290" s="137">
        <f t="shared" ca="1" si="14"/>
        <v>9227.26</v>
      </c>
      <c r="J290" s="117"/>
    </row>
    <row r="291" spans="1:10" x14ac:dyDescent="0.25">
      <c r="A291" s="189" t="s">
        <v>1508</v>
      </c>
      <c r="B291" s="190" t="s">
        <v>5502</v>
      </c>
      <c r="C291" s="191" t="s">
        <v>16</v>
      </c>
      <c r="D291" s="191">
        <v>2</v>
      </c>
      <c r="E291" s="208">
        <v>13727.38</v>
      </c>
      <c r="F291" s="137">
        <f t="shared" si="12"/>
        <v>27454.76</v>
      </c>
      <c r="G291" s="138">
        <f>BDI!$E$17</f>
        <v>0.11260000000000001</v>
      </c>
      <c r="H291" s="139">
        <f t="shared" si="13"/>
        <v>15273.08</v>
      </c>
      <c r="I291" s="137">
        <f t="shared" si="14"/>
        <v>30546.16</v>
      </c>
      <c r="J291" s="117"/>
    </row>
    <row r="292" spans="1:10" hidden="1" x14ac:dyDescent="0.25">
      <c r="A292" s="114" t="s">
        <v>1509</v>
      </c>
      <c r="B292" s="115" t="s">
        <v>1510</v>
      </c>
      <c r="C292" s="116" t="s">
        <v>16</v>
      </c>
      <c r="D292" s="116">
        <v>0</v>
      </c>
      <c r="E292" s="136" t="s">
        <v>416</v>
      </c>
      <c r="F292" s="137" t="str">
        <f t="shared" si="12"/>
        <v/>
      </c>
      <c r="G292" s="138" t="e">
        <f>IF(A292&lt;&gt;"",IF(AND(#REF!="Padrão",$H$4=#REF!),BDI!$B$17,IF(AND(#REF!="Padrão",$H$4=#REF!),BDI!#REF!,IF(AND(#REF!="Diferenciado",$H$4=#REF!),BDI!$E$17,IF(AND(#REF!="Diferenciado",$H$4=#REF!),BDI!#REF!,IF(#REF!="ZERO",0))))),"")</f>
        <v>#REF!</v>
      </c>
      <c r="H292" s="139" t="str">
        <f t="shared" si="13"/>
        <v/>
      </c>
      <c r="I292" s="137" t="str">
        <f t="shared" si="14"/>
        <v/>
      </c>
      <c r="J292" s="117"/>
    </row>
    <row r="293" spans="1:10" hidden="1" x14ac:dyDescent="0.25">
      <c r="A293" s="114" t="s">
        <v>1511</v>
      </c>
      <c r="B293" s="115" t="s">
        <v>1512</v>
      </c>
      <c r="C293" s="116" t="s">
        <v>16</v>
      </c>
      <c r="D293" s="116">
        <v>0</v>
      </c>
      <c r="E293" s="136" t="s">
        <v>416</v>
      </c>
      <c r="F293" s="137" t="str">
        <f t="shared" si="12"/>
        <v/>
      </c>
      <c r="G293" s="138" t="e">
        <f>IF(A293&lt;&gt;"",IF(AND(#REF!="Padrão",$H$4=#REF!),BDI!$B$17,IF(AND(#REF!="Padrão",$H$4=#REF!),BDI!#REF!,IF(AND(#REF!="Diferenciado",$H$4=#REF!),BDI!$E$17,IF(AND(#REF!="Diferenciado",$H$4=#REF!),BDI!#REF!,IF(#REF!="ZERO",0))))),"")</f>
        <v>#REF!</v>
      </c>
      <c r="H293" s="139" t="str">
        <f t="shared" si="13"/>
        <v/>
      </c>
      <c r="I293" s="137" t="str">
        <f t="shared" si="14"/>
        <v/>
      </c>
      <c r="J293" s="117"/>
    </row>
    <row r="294" spans="1:10" hidden="1" x14ac:dyDescent="0.25">
      <c r="A294" s="114" t="s">
        <v>1513</v>
      </c>
      <c r="B294" s="115" t="s">
        <v>1514</v>
      </c>
      <c r="C294" s="116" t="s">
        <v>16</v>
      </c>
      <c r="D294" s="116">
        <v>0</v>
      </c>
      <c r="E294" s="136" t="s">
        <v>416</v>
      </c>
      <c r="F294" s="137" t="str">
        <f t="shared" si="12"/>
        <v/>
      </c>
      <c r="G294" s="138" t="e">
        <f>IF(A294&lt;&gt;"",IF(AND(#REF!="Padrão",$H$4=#REF!),BDI!$B$17,IF(AND(#REF!="Padrão",$H$4=#REF!),BDI!#REF!,IF(AND(#REF!="Diferenciado",$H$4=#REF!),BDI!$E$17,IF(AND(#REF!="Diferenciado",$H$4=#REF!),BDI!#REF!,IF(#REF!="ZERO",0))))),"")</f>
        <v>#REF!</v>
      </c>
      <c r="H294" s="139" t="str">
        <f t="shared" si="13"/>
        <v/>
      </c>
      <c r="I294" s="137" t="str">
        <f t="shared" si="14"/>
        <v/>
      </c>
      <c r="J294" s="117"/>
    </row>
    <row r="295" spans="1:10" hidden="1" x14ac:dyDescent="0.25">
      <c r="A295" s="114" t="s">
        <v>1515</v>
      </c>
      <c r="B295" s="115" t="s">
        <v>1516</v>
      </c>
      <c r="C295" s="116" t="s">
        <v>16</v>
      </c>
      <c r="D295" s="116">
        <v>0</v>
      </c>
      <c r="E295" s="136" t="s">
        <v>416</v>
      </c>
      <c r="F295" s="137" t="str">
        <f t="shared" si="12"/>
        <v/>
      </c>
      <c r="G295" s="138" t="e">
        <f>IF(A295&lt;&gt;"",IF(AND(#REF!="Padrão",$H$4=#REF!),BDI!$B$17,IF(AND(#REF!="Padrão",$H$4=#REF!),BDI!#REF!,IF(AND(#REF!="Diferenciado",$H$4=#REF!),BDI!$E$17,IF(AND(#REF!="Diferenciado",$H$4=#REF!),BDI!#REF!,IF(#REF!="ZERO",0))))),"")</f>
        <v>#REF!</v>
      </c>
      <c r="H295" s="139" t="str">
        <f t="shared" si="13"/>
        <v/>
      </c>
      <c r="I295" s="137" t="str">
        <f t="shared" si="14"/>
        <v/>
      </c>
      <c r="J295" s="117"/>
    </row>
    <row r="296" spans="1:10" x14ac:dyDescent="0.25">
      <c r="A296" s="189" t="s">
        <v>1517</v>
      </c>
      <c r="B296" s="190" t="s">
        <v>1518</v>
      </c>
      <c r="C296" s="191" t="s">
        <v>16</v>
      </c>
      <c r="D296" s="191">
        <v>10</v>
      </c>
      <c r="E296" s="208">
        <v>2368.46</v>
      </c>
      <c r="F296" s="137">
        <f t="shared" si="12"/>
        <v>23684.6</v>
      </c>
      <c r="G296" s="138">
        <f>BDI!$E$17</f>
        <v>0.11260000000000001</v>
      </c>
      <c r="H296" s="139">
        <f t="shared" si="13"/>
        <v>2635.15</v>
      </c>
      <c r="I296" s="137">
        <f t="shared" si="14"/>
        <v>26351.5</v>
      </c>
      <c r="J296" s="117"/>
    </row>
    <row r="297" spans="1:10" x14ac:dyDescent="0.25">
      <c r="A297" s="189" t="s">
        <v>1519</v>
      </c>
      <c r="B297" s="190" t="s">
        <v>1520</v>
      </c>
      <c r="C297" s="191" t="s">
        <v>16</v>
      </c>
      <c r="D297" s="191">
        <v>9</v>
      </c>
      <c r="E297" s="208">
        <v>4215.46</v>
      </c>
      <c r="F297" s="137">
        <f t="shared" si="12"/>
        <v>37939.14</v>
      </c>
      <c r="G297" s="138">
        <f>BDI!$E$17</f>
        <v>0.11260000000000001</v>
      </c>
      <c r="H297" s="139">
        <f t="shared" si="13"/>
        <v>4690.12</v>
      </c>
      <c r="I297" s="137">
        <f t="shared" si="14"/>
        <v>42211.08</v>
      </c>
      <c r="J297" s="117"/>
    </row>
    <row r="298" spans="1:10" hidden="1" x14ac:dyDescent="0.25">
      <c r="A298" s="114" t="s">
        <v>461</v>
      </c>
      <c r="B298" s="115" t="s">
        <v>1521</v>
      </c>
      <c r="C298" s="116" t="s">
        <v>16</v>
      </c>
      <c r="D298" s="116">
        <v>0</v>
      </c>
      <c r="E298" s="136">
        <f ca="1">OFFSET(INDEX(Composições!A:J,MATCH(Orçamentária!A298,Composições!A:A,0),8),2,0)</f>
        <v>104.69</v>
      </c>
      <c r="F298" s="137">
        <f t="shared" ca="1" si="12"/>
        <v>0</v>
      </c>
      <c r="G298" s="138" t="e">
        <f>IF(A298&lt;&gt;"",IF(AND(#REF!="Padrão",$H$4=#REF!),BDI!$B$17,IF(AND(#REF!="Padrão",$H$4=#REF!),BDI!#REF!,IF(AND(#REF!="Diferenciado",$H$4=#REF!),BDI!$E$17,IF(AND(#REF!="Diferenciado",$H$4=#REF!),BDI!#REF!,IF(#REF!="ZERO",0))))),"")</f>
        <v>#REF!</v>
      </c>
      <c r="H298" s="139" t="e">
        <f t="shared" ca="1" si="13"/>
        <v>#REF!</v>
      </c>
      <c r="I298" s="137" t="e">
        <f t="shared" ca="1" si="14"/>
        <v>#REF!</v>
      </c>
      <c r="J298" s="117"/>
    </row>
    <row r="299" spans="1:10" hidden="1" x14ac:dyDescent="0.25">
      <c r="A299" s="114" t="s">
        <v>463</v>
      </c>
      <c r="B299" s="115" t="s">
        <v>1522</v>
      </c>
      <c r="C299" s="116" t="s">
        <v>16</v>
      </c>
      <c r="D299" s="116">
        <v>0</v>
      </c>
      <c r="E299" s="136">
        <f ca="1">OFFSET(INDEX(Composições!A:J,MATCH(Orçamentária!A299,Composições!A:A,0),8),2,0)</f>
        <v>157.03499999999997</v>
      </c>
      <c r="F299" s="137">
        <f t="shared" ca="1" si="12"/>
        <v>0</v>
      </c>
      <c r="G299" s="138" t="e">
        <f>IF(A299&lt;&gt;"",IF(AND(#REF!="Padrão",$H$4=#REF!),BDI!$B$17,IF(AND(#REF!="Padrão",$H$4=#REF!),BDI!#REF!,IF(AND(#REF!="Diferenciado",$H$4=#REF!),BDI!$E$17,IF(AND(#REF!="Diferenciado",$H$4=#REF!),BDI!#REF!,IF(#REF!="ZERO",0))))),"")</f>
        <v>#REF!</v>
      </c>
      <c r="H299" s="139" t="e">
        <f t="shared" ca="1" si="13"/>
        <v>#REF!</v>
      </c>
      <c r="I299" s="137" t="e">
        <f t="shared" ca="1" si="14"/>
        <v>#REF!</v>
      </c>
      <c r="J299" s="117"/>
    </row>
    <row r="300" spans="1:10" hidden="1" x14ac:dyDescent="0.25">
      <c r="A300" s="114" t="s">
        <v>464</v>
      </c>
      <c r="B300" s="115" t="s">
        <v>1523</v>
      </c>
      <c r="C300" s="116" t="s">
        <v>16</v>
      </c>
      <c r="D300" s="116">
        <v>0</v>
      </c>
      <c r="E300" s="136">
        <f ca="1">OFFSET(INDEX(Composições!A:J,MATCH(Orçamentária!A300,Composições!A:A,0),8),2,0)</f>
        <v>49.418999999999997</v>
      </c>
      <c r="F300" s="137">
        <f t="shared" ca="1" si="12"/>
        <v>0</v>
      </c>
      <c r="G300" s="138" t="e">
        <f>IF(A300&lt;&gt;"",IF(AND(#REF!="Padrão",$H$4=#REF!),BDI!$B$17,IF(AND(#REF!="Padrão",$H$4=#REF!),BDI!#REF!,IF(AND(#REF!="Diferenciado",$H$4=#REF!),BDI!$E$17,IF(AND(#REF!="Diferenciado",$H$4=#REF!),BDI!#REF!,IF(#REF!="ZERO",0))))),"")</f>
        <v>#REF!</v>
      </c>
      <c r="H300" s="139" t="e">
        <f t="shared" ca="1" si="13"/>
        <v>#REF!</v>
      </c>
      <c r="I300" s="137" t="e">
        <f t="shared" ca="1" si="14"/>
        <v>#REF!</v>
      </c>
      <c r="J300" s="117"/>
    </row>
    <row r="301" spans="1:10" hidden="1" x14ac:dyDescent="0.25">
      <c r="A301" s="114" t="s">
        <v>466</v>
      </c>
      <c r="B301" s="115" t="s">
        <v>1524</v>
      </c>
      <c r="C301" s="116" t="s">
        <v>16</v>
      </c>
      <c r="D301" s="116">
        <v>0</v>
      </c>
      <c r="E301" s="136">
        <f ca="1">OFFSET(INDEX(Composições!A:J,MATCH(Orçamentária!A301,Composições!A:A,0),8),2,0)</f>
        <v>49.418999999999997</v>
      </c>
      <c r="F301" s="137">
        <f t="shared" ca="1" si="12"/>
        <v>0</v>
      </c>
      <c r="G301" s="138" t="e">
        <f>IF(A301&lt;&gt;"",IF(AND(#REF!="Padrão",$H$4=#REF!),BDI!$B$17,IF(AND(#REF!="Padrão",$H$4=#REF!),BDI!#REF!,IF(AND(#REF!="Diferenciado",$H$4=#REF!),BDI!$E$17,IF(AND(#REF!="Diferenciado",$H$4=#REF!),BDI!#REF!,IF(#REF!="ZERO",0))))),"")</f>
        <v>#REF!</v>
      </c>
      <c r="H301" s="139" t="e">
        <f t="shared" ca="1" si="13"/>
        <v>#REF!</v>
      </c>
      <c r="I301" s="137" t="e">
        <f t="shared" ca="1" si="14"/>
        <v>#REF!</v>
      </c>
      <c r="J301" s="117"/>
    </row>
    <row r="302" spans="1:10" hidden="1" x14ac:dyDescent="0.25">
      <c r="A302" s="114" t="s">
        <v>468</v>
      </c>
      <c r="B302" s="115" t="s">
        <v>1525</v>
      </c>
      <c r="C302" s="116" t="s">
        <v>70</v>
      </c>
      <c r="D302" s="116">
        <v>0</v>
      </c>
      <c r="E302" s="136">
        <f ca="1">OFFSET(INDEX(Composições!A:J,MATCH(Orçamentária!A302,Composições!A:A,0),8),2,0)</f>
        <v>285.52895999999998</v>
      </c>
      <c r="F302" s="137">
        <f t="shared" ca="1" si="12"/>
        <v>0</v>
      </c>
      <c r="G302" s="138" t="e">
        <f>IF(A302&lt;&gt;"",IF(AND(#REF!="Padrão",$H$4=#REF!),BDI!$B$17,IF(AND(#REF!="Padrão",$H$4=#REF!),BDI!#REF!,IF(AND(#REF!="Diferenciado",$H$4=#REF!),BDI!$E$17,IF(AND(#REF!="Diferenciado",$H$4=#REF!),BDI!#REF!,IF(#REF!="ZERO",0))))),"")</f>
        <v>#REF!</v>
      </c>
      <c r="H302" s="139" t="e">
        <f t="shared" ca="1" si="13"/>
        <v>#REF!</v>
      </c>
      <c r="I302" s="137" t="e">
        <f t="shared" ca="1" si="14"/>
        <v>#REF!</v>
      </c>
      <c r="J302" s="117"/>
    </row>
    <row r="303" spans="1:10" hidden="1" x14ac:dyDescent="0.25">
      <c r="A303" s="114" t="s">
        <v>471</v>
      </c>
      <c r="B303" s="115" t="s">
        <v>1526</v>
      </c>
      <c r="C303" s="116" t="s">
        <v>69</v>
      </c>
      <c r="D303" s="116">
        <v>0</v>
      </c>
      <c r="E303" s="136">
        <f ca="1">OFFSET(INDEX(Composições!A:J,MATCH(Orçamentária!A303,Composições!A:A,0),8),2,0)</f>
        <v>19.7638</v>
      </c>
      <c r="F303" s="137">
        <f t="shared" ca="1" si="12"/>
        <v>0</v>
      </c>
      <c r="G303" s="138" t="e">
        <f>IF(A303&lt;&gt;"",IF(AND(#REF!="Padrão",$H$4=#REF!),BDI!$B$17,IF(AND(#REF!="Padrão",$H$4=#REF!),BDI!#REF!,IF(AND(#REF!="Diferenciado",$H$4=#REF!),BDI!$E$17,IF(AND(#REF!="Diferenciado",$H$4=#REF!),BDI!#REF!,IF(#REF!="ZERO",0))))),"")</f>
        <v>#REF!</v>
      </c>
      <c r="H303" s="139" t="e">
        <f t="shared" ca="1" si="13"/>
        <v>#REF!</v>
      </c>
      <c r="I303" s="137" t="e">
        <f t="shared" ca="1" si="14"/>
        <v>#REF!</v>
      </c>
      <c r="J303" s="117"/>
    </row>
    <row r="304" spans="1:10" hidden="1" x14ac:dyDescent="0.25">
      <c r="A304" s="114" t="s">
        <v>473</v>
      </c>
      <c r="B304" s="115" t="s">
        <v>1527</v>
      </c>
      <c r="C304" s="116" t="s">
        <v>69</v>
      </c>
      <c r="D304" s="116">
        <v>0</v>
      </c>
      <c r="E304" s="136">
        <f ca="1">OFFSET(INDEX(Composições!A:J,MATCH(Orçamentária!A304,Composições!A:A,0),8),2,0)</f>
        <v>19.7638</v>
      </c>
      <c r="F304" s="137">
        <f t="shared" ca="1" si="12"/>
        <v>0</v>
      </c>
      <c r="G304" s="138" t="e">
        <f>IF(A304&lt;&gt;"",IF(AND(#REF!="Padrão",$H$4=#REF!),BDI!$B$17,IF(AND(#REF!="Padrão",$H$4=#REF!),BDI!#REF!,IF(AND(#REF!="Diferenciado",$H$4=#REF!),BDI!$E$17,IF(AND(#REF!="Diferenciado",$H$4=#REF!),BDI!#REF!,IF(#REF!="ZERO",0))))),"")</f>
        <v>#REF!</v>
      </c>
      <c r="H304" s="139" t="e">
        <f t="shared" ca="1" si="13"/>
        <v>#REF!</v>
      </c>
      <c r="I304" s="137" t="e">
        <f t="shared" ca="1" si="14"/>
        <v>#REF!</v>
      </c>
      <c r="J304" s="117"/>
    </row>
    <row r="305" spans="1:10" hidden="1" x14ac:dyDescent="0.25">
      <c r="A305" s="114" t="s">
        <v>475</v>
      </c>
      <c r="B305" s="115" t="s">
        <v>7937</v>
      </c>
      <c r="C305" s="116" t="s">
        <v>16</v>
      </c>
      <c r="D305" s="116">
        <v>0</v>
      </c>
      <c r="E305" s="136">
        <f ca="1">OFFSET(INDEX(Composições!A:J,MATCH(Orçamentária!A305,Composições!A:A,0),8),2,0)</f>
        <v>130.86249999999998</v>
      </c>
      <c r="F305" s="137">
        <f t="shared" ca="1" si="12"/>
        <v>0</v>
      </c>
      <c r="G305" s="138" t="e">
        <f>IF(A305&lt;&gt;"",IF(AND(#REF!="Padrão",$H$4=#REF!),BDI!$B$17,IF(AND(#REF!="Padrão",$H$4=#REF!),BDI!#REF!,IF(AND(#REF!="Diferenciado",$H$4=#REF!),BDI!$E$17,IF(AND(#REF!="Diferenciado",$H$4=#REF!),BDI!#REF!,IF(#REF!="ZERO",0))))),"")</f>
        <v>#REF!</v>
      </c>
      <c r="H305" s="139" t="e">
        <f t="shared" ca="1" si="13"/>
        <v>#REF!</v>
      </c>
      <c r="I305" s="137" t="e">
        <f t="shared" ca="1" si="14"/>
        <v>#REF!</v>
      </c>
      <c r="J305" s="117"/>
    </row>
    <row r="306" spans="1:10" hidden="1" x14ac:dyDescent="0.25">
      <c r="A306" s="114" t="s">
        <v>477</v>
      </c>
      <c r="B306" s="115" t="s">
        <v>7600</v>
      </c>
      <c r="C306" s="116" t="s">
        <v>16</v>
      </c>
      <c r="D306" s="116">
        <v>0</v>
      </c>
      <c r="E306" s="136">
        <f ca="1">OFFSET(INDEX(Composições!A:J,MATCH(Orçamentária!A306,Composições!A:A,0),8),2,0)</f>
        <v>130.86249999999998</v>
      </c>
      <c r="F306" s="137">
        <f t="shared" ca="1" si="12"/>
        <v>0</v>
      </c>
      <c r="G306" s="138" t="e">
        <f>IF(A306&lt;&gt;"",IF(AND(#REF!="Padrão",$H$4=#REF!),BDI!$B$17,IF(AND(#REF!="Padrão",$H$4=#REF!),BDI!#REF!,IF(AND(#REF!="Diferenciado",$H$4=#REF!),BDI!$E$17,IF(AND(#REF!="Diferenciado",$H$4=#REF!),BDI!#REF!,IF(#REF!="ZERO",0))))),"")</f>
        <v>#REF!</v>
      </c>
      <c r="H306" s="139" t="e">
        <f t="shared" ca="1" si="13"/>
        <v>#REF!</v>
      </c>
      <c r="I306" s="137" t="e">
        <f t="shared" ca="1" si="14"/>
        <v>#REF!</v>
      </c>
      <c r="J306" s="117"/>
    </row>
    <row r="307" spans="1:10" hidden="1" x14ac:dyDescent="0.25">
      <c r="A307" s="114" t="s">
        <v>479</v>
      </c>
      <c r="B307" s="115" t="s">
        <v>7601</v>
      </c>
      <c r="C307" s="116" t="s">
        <v>16</v>
      </c>
      <c r="D307" s="116">
        <v>0</v>
      </c>
      <c r="E307" s="136">
        <f ca="1">OFFSET(INDEX(Composições!A:J,MATCH(Orçamentária!A307,Composições!A:A,0),8),2,0)</f>
        <v>130.86249999999998</v>
      </c>
      <c r="F307" s="137">
        <f t="shared" ca="1" si="12"/>
        <v>0</v>
      </c>
      <c r="G307" s="138" t="e">
        <f>IF(A307&lt;&gt;"",IF(AND(#REF!="Padrão",$H$4=#REF!),BDI!$B$17,IF(AND(#REF!="Padrão",$H$4=#REF!),BDI!#REF!,IF(AND(#REF!="Diferenciado",$H$4=#REF!),BDI!$E$17,IF(AND(#REF!="Diferenciado",$H$4=#REF!),BDI!#REF!,IF(#REF!="ZERO",0))))),"")</f>
        <v>#REF!</v>
      </c>
      <c r="H307" s="139" t="e">
        <f t="shared" ca="1" si="13"/>
        <v>#REF!</v>
      </c>
      <c r="I307" s="137" t="e">
        <f t="shared" ca="1" si="14"/>
        <v>#REF!</v>
      </c>
      <c r="J307" s="117"/>
    </row>
    <row r="308" spans="1:10" hidden="1" x14ac:dyDescent="0.25">
      <c r="A308" s="114" t="s">
        <v>481</v>
      </c>
      <c r="B308" s="115" t="s">
        <v>7602</v>
      </c>
      <c r="C308" s="116" t="s">
        <v>16</v>
      </c>
      <c r="D308" s="116">
        <v>0</v>
      </c>
      <c r="E308" s="136">
        <f ca="1">OFFSET(INDEX(Composições!A:J,MATCH(Orçamentária!A308,Composições!A:A,0),8),2,0)</f>
        <v>130.86249999999998</v>
      </c>
      <c r="F308" s="137">
        <f t="shared" ca="1" si="12"/>
        <v>0</v>
      </c>
      <c r="G308" s="138" t="e">
        <f>IF(A308&lt;&gt;"",IF(AND(#REF!="Padrão",$H$4=#REF!),BDI!$B$17,IF(AND(#REF!="Padrão",$H$4=#REF!),BDI!#REF!,IF(AND(#REF!="Diferenciado",$H$4=#REF!),BDI!$E$17,IF(AND(#REF!="Diferenciado",$H$4=#REF!),BDI!#REF!,IF(#REF!="ZERO",0))))),"")</f>
        <v>#REF!</v>
      </c>
      <c r="H308" s="139" t="e">
        <f t="shared" ca="1" si="13"/>
        <v>#REF!</v>
      </c>
      <c r="I308" s="137" t="e">
        <f t="shared" ca="1" si="14"/>
        <v>#REF!</v>
      </c>
      <c r="J308" s="117"/>
    </row>
    <row r="309" spans="1:10" hidden="1" x14ac:dyDescent="0.25">
      <c r="A309" s="114" t="s">
        <v>483</v>
      </c>
      <c r="B309" s="115" t="s">
        <v>7603</v>
      </c>
      <c r="C309" s="116" t="s">
        <v>16</v>
      </c>
      <c r="D309" s="116">
        <v>0</v>
      </c>
      <c r="E309" s="136">
        <f ca="1">OFFSET(INDEX(Composições!A:J,MATCH(Orçamentária!A309,Composições!A:A,0),8),2,0)</f>
        <v>130.86249999999998</v>
      </c>
      <c r="F309" s="137">
        <f t="shared" ca="1" si="12"/>
        <v>0</v>
      </c>
      <c r="G309" s="138" t="e">
        <f>IF(A309&lt;&gt;"",IF(AND(#REF!="Padrão",$H$4=#REF!),BDI!$B$17,IF(AND(#REF!="Padrão",$H$4=#REF!),BDI!#REF!,IF(AND(#REF!="Diferenciado",$H$4=#REF!),BDI!$E$17,IF(AND(#REF!="Diferenciado",$H$4=#REF!),BDI!#REF!,IF(#REF!="ZERO",0))))),"")</f>
        <v>#REF!</v>
      </c>
      <c r="H309" s="139" t="e">
        <f t="shared" ca="1" si="13"/>
        <v>#REF!</v>
      </c>
      <c r="I309" s="137" t="e">
        <f t="shared" ca="1" si="14"/>
        <v>#REF!</v>
      </c>
      <c r="J309" s="117"/>
    </row>
    <row r="310" spans="1:10" hidden="1" x14ac:dyDescent="0.25">
      <c r="A310" s="114" t="s">
        <v>485</v>
      </c>
      <c r="B310" s="115" t="s">
        <v>7604</v>
      </c>
      <c r="C310" s="116" t="s">
        <v>16</v>
      </c>
      <c r="D310" s="116">
        <v>0</v>
      </c>
      <c r="E310" s="136">
        <f ca="1">OFFSET(INDEX(Composições!A:J,MATCH(Orçamentária!A310,Composições!A:A,0),8),2,0)</f>
        <v>130.86249999999998</v>
      </c>
      <c r="F310" s="137">
        <f t="shared" ca="1" si="12"/>
        <v>0</v>
      </c>
      <c r="G310" s="138" t="e">
        <f>IF(A310&lt;&gt;"",IF(AND(#REF!="Padrão",$H$4=#REF!),BDI!$B$17,IF(AND(#REF!="Padrão",$H$4=#REF!),BDI!#REF!,IF(AND(#REF!="Diferenciado",$H$4=#REF!),BDI!$E$17,IF(AND(#REF!="Diferenciado",$H$4=#REF!),BDI!#REF!,IF(#REF!="ZERO",0))))),"")</f>
        <v>#REF!</v>
      </c>
      <c r="H310" s="139" t="e">
        <f t="shared" ca="1" si="13"/>
        <v>#REF!</v>
      </c>
      <c r="I310" s="137" t="e">
        <f t="shared" ca="1" si="14"/>
        <v>#REF!</v>
      </c>
      <c r="J310" s="117"/>
    </row>
    <row r="311" spans="1:10" hidden="1" x14ac:dyDescent="0.25">
      <c r="A311" s="114" t="s">
        <v>487</v>
      </c>
      <c r="B311" s="115" t="s">
        <v>7605</v>
      </c>
      <c r="C311" s="116" t="s">
        <v>16</v>
      </c>
      <c r="D311" s="116">
        <v>0</v>
      </c>
      <c r="E311" s="136">
        <f ca="1">OFFSET(INDEX(Composições!A:J,MATCH(Orçamentária!A311,Composições!A:A,0),8),2,0)</f>
        <v>130.86249999999998</v>
      </c>
      <c r="F311" s="137">
        <f t="shared" ca="1" si="12"/>
        <v>0</v>
      </c>
      <c r="G311" s="138" t="e">
        <f>IF(A311&lt;&gt;"",IF(AND(#REF!="Padrão",$H$4=#REF!),BDI!$B$17,IF(AND(#REF!="Padrão",$H$4=#REF!),BDI!#REF!,IF(AND(#REF!="Diferenciado",$H$4=#REF!),BDI!$E$17,IF(AND(#REF!="Diferenciado",$H$4=#REF!),BDI!#REF!,IF(#REF!="ZERO",0))))),"")</f>
        <v>#REF!</v>
      </c>
      <c r="H311" s="139" t="e">
        <f t="shared" ca="1" si="13"/>
        <v>#REF!</v>
      </c>
      <c r="I311" s="137" t="e">
        <f t="shared" ca="1" si="14"/>
        <v>#REF!</v>
      </c>
      <c r="J311" s="117"/>
    </row>
    <row r="312" spans="1:10" hidden="1" x14ac:dyDescent="0.25">
      <c r="A312" s="114" t="s">
        <v>489</v>
      </c>
      <c r="B312" s="115" t="s">
        <v>7606</v>
      </c>
      <c r="C312" s="116" t="s">
        <v>16</v>
      </c>
      <c r="D312" s="116">
        <v>0</v>
      </c>
      <c r="E312" s="136">
        <f ca="1">OFFSET(INDEX(Composições!A:J,MATCH(Orçamentária!A312,Composições!A:A,0),8),2,0)</f>
        <v>130.86249999999998</v>
      </c>
      <c r="F312" s="137">
        <f t="shared" ca="1" si="12"/>
        <v>0</v>
      </c>
      <c r="G312" s="138" t="e">
        <f>IF(A312&lt;&gt;"",IF(AND(#REF!="Padrão",$H$4=#REF!),BDI!$B$17,IF(AND(#REF!="Padrão",$H$4=#REF!),BDI!#REF!,IF(AND(#REF!="Diferenciado",$H$4=#REF!),BDI!$E$17,IF(AND(#REF!="Diferenciado",$H$4=#REF!),BDI!#REF!,IF(#REF!="ZERO",0))))),"")</f>
        <v>#REF!</v>
      </c>
      <c r="H312" s="139" t="e">
        <f t="shared" ca="1" si="13"/>
        <v>#REF!</v>
      </c>
      <c r="I312" s="137" t="e">
        <f t="shared" ca="1" si="14"/>
        <v>#REF!</v>
      </c>
      <c r="J312" s="117"/>
    </row>
    <row r="313" spans="1:10" hidden="1" x14ac:dyDescent="0.25">
      <c r="A313" s="114" t="s">
        <v>491</v>
      </c>
      <c r="B313" s="115" t="s">
        <v>7607</v>
      </c>
      <c r="C313" s="116" t="s">
        <v>16</v>
      </c>
      <c r="D313" s="116">
        <v>0</v>
      </c>
      <c r="E313" s="136">
        <f ca="1">OFFSET(INDEX(Composições!A:J,MATCH(Orçamentária!A313,Composições!A:A,0),8),2,0)</f>
        <v>183.20749999999998</v>
      </c>
      <c r="F313" s="137">
        <f t="shared" ca="1" si="12"/>
        <v>0</v>
      </c>
      <c r="G313" s="138" t="e">
        <f>IF(A313&lt;&gt;"",IF(AND(#REF!="Padrão",$H$4=#REF!),BDI!$B$17,IF(AND(#REF!="Padrão",$H$4=#REF!),BDI!#REF!,IF(AND(#REF!="Diferenciado",$H$4=#REF!),BDI!$E$17,IF(AND(#REF!="Diferenciado",$H$4=#REF!),BDI!#REF!,IF(#REF!="ZERO",0))))),"")</f>
        <v>#REF!</v>
      </c>
      <c r="H313" s="139" t="e">
        <f t="shared" ca="1" si="13"/>
        <v>#REF!</v>
      </c>
      <c r="I313" s="137" t="e">
        <f t="shared" ca="1" si="14"/>
        <v>#REF!</v>
      </c>
      <c r="J313" s="117"/>
    </row>
    <row r="314" spans="1:10" hidden="1" x14ac:dyDescent="0.25">
      <c r="A314" s="114" t="s">
        <v>493</v>
      </c>
      <c r="B314" s="115" t="s">
        <v>7608</v>
      </c>
      <c r="C314" s="116" t="s">
        <v>16</v>
      </c>
      <c r="D314" s="116">
        <v>0</v>
      </c>
      <c r="E314" s="136">
        <f ca="1">OFFSET(INDEX(Composições!A:J,MATCH(Orçamentária!A314,Composições!A:A,0),8),2,0)</f>
        <v>183.20749999999998</v>
      </c>
      <c r="F314" s="137">
        <f t="shared" ca="1" si="12"/>
        <v>0</v>
      </c>
      <c r="G314" s="138" t="e">
        <f>IF(A314&lt;&gt;"",IF(AND(#REF!="Padrão",$H$4=#REF!),BDI!$B$17,IF(AND(#REF!="Padrão",$H$4=#REF!),BDI!#REF!,IF(AND(#REF!="Diferenciado",$H$4=#REF!),BDI!$E$17,IF(AND(#REF!="Diferenciado",$H$4=#REF!),BDI!#REF!,IF(#REF!="ZERO",0))))),"")</f>
        <v>#REF!</v>
      </c>
      <c r="H314" s="139" t="e">
        <f t="shared" ca="1" si="13"/>
        <v>#REF!</v>
      </c>
      <c r="I314" s="137" t="e">
        <f t="shared" ca="1" si="14"/>
        <v>#REF!</v>
      </c>
      <c r="J314" s="117"/>
    </row>
    <row r="315" spans="1:10" hidden="1" x14ac:dyDescent="0.25">
      <c r="A315" s="114" t="s">
        <v>495</v>
      </c>
      <c r="B315" s="115" t="s">
        <v>1528</v>
      </c>
      <c r="C315" s="116" t="s">
        <v>16</v>
      </c>
      <c r="D315" s="116">
        <v>0</v>
      </c>
      <c r="E315" s="136">
        <f ca="1">OFFSET(INDEX(Composições!A:J,MATCH(Orçamentária!A315,Composições!A:A,0),8),2,0)</f>
        <v>130.86249999999998</v>
      </c>
      <c r="F315" s="137">
        <f t="shared" ca="1" si="12"/>
        <v>0</v>
      </c>
      <c r="G315" s="138" t="e">
        <f>IF(A315&lt;&gt;"",IF(AND(#REF!="Padrão",$H$4=#REF!),BDI!$B$17,IF(AND(#REF!="Padrão",$H$4=#REF!),BDI!#REF!,IF(AND(#REF!="Diferenciado",$H$4=#REF!),BDI!$E$17,IF(AND(#REF!="Diferenciado",$H$4=#REF!),BDI!#REF!,IF(#REF!="ZERO",0))))),"")</f>
        <v>#REF!</v>
      </c>
      <c r="H315" s="139" t="e">
        <f t="shared" ca="1" si="13"/>
        <v>#REF!</v>
      </c>
      <c r="I315" s="137" t="e">
        <f t="shared" ca="1" si="14"/>
        <v>#REF!</v>
      </c>
      <c r="J315" s="117"/>
    </row>
    <row r="316" spans="1:10" hidden="1" x14ac:dyDescent="0.25">
      <c r="A316" s="114" t="s">
        <v>496</v>
      </c>
      <c r="B316" s="115" t="s">
        <v>1529</v>
      </c>
      <c r="C316" s="116" t="s">
        <v>16</v>
      </c>
      <c r="D316" s="116">
        <v>0</v>
      </c>
      <c r="E316" s="136">
        <f ca="1">OFFSET(INDEX(Composições!A:J,MATCH(Orçamentária!A316,Composições!A:A,0),8),2,0)</f>
        <v>49.418999999999997</v>
      </c>
      <c r="F316" s="137">
        <f t="shared" ca="1" si="12"/>
        <v>0</v>
      </c>
      <c r="G316" s="138" t="e">
        <f>IF(A316&lt;&gt;"",IF(AND(#REF!="Padrão",$H$4=#REF!),BDI!$B$17,IF(AND(#REF!="Padrão",$H$4=#REF!),BDI!#REF!,IF(AND(#REF!="Diferenciado",$H$4=#REF!),BDI!$E$17,IF(AND(#REF!="Diferenciado",$H$4=#REF!),BDI!#REF!,IF(#REF!="ZERO",0))))),"")</f>
        <v>#REF!</v>
      </c>
      <c r="H316" s="139" t="e">
        <f t="shared" ca="1" si="13"/>
        <v>#REF!</v>
      </c>
      <c r="I316" s="137" t="e">
        <f t="shared" ca="1" si="14"/>
        <v>#REF!</v>
      </c>
      <c r="J316" s="117"/>
    </row>
    <row r="317" spans="1:10" hidden="1" x14ac:dyDescent="0.25">
      <c r="A317" s="114" t="s">
        <v>497</v>
      </c>
      <c r="B317" s="115" t="s">
        <v>1530</v>
      </c>
      <c r="C317" s="116" t="s">
        <v>16</v>
      </c>
      <c r="D317" s="116">
        <v>0</v>
      </c>
      <c r="E317" s="136">
        <f ca="1">OFFSET(INDEX(Composições!A:J,MATCH(Orçamentária!A317,Composições!A:A,0),8),2,0)</f>
        <v>35.076374999999999</v>
      </c>
      <c r="F317" s="137">
        <f t="shared" ca="1" si="12"/>
        <v>0</v>
      </c>
      <c r="G317" s="138" t="e">
        <f>IF(A317&lt;&gt;"",IF(AND(#REF!="Padrão",$H$4=#REF!),BDI!$B$17,IF(AND(#REF!="Padrão",$H$4=#REF!),BDI!#REF!,IF(AND(#REF!="Diferenciado",$H$4=#REF!),BDI!$E$17,IF(AND(#REF!="Diferenciado",$H$4=#REF!),BDI!#REF!,IF(#REF!="ZERO",0))))),"")</f>
        <v>#REF!</v>
      </c>
      <c r="H317" s="139" t="e">
        <f t="shared" ca="1" si="13"/>
        <v>#REF!</v>
      </c>
      <c r="I317" s="137" t="e">
        <f t="shared" ca="1" si="14"/>
        <v>#REF!</v>
      </c>
      <c r="J317" s="117"/>
    </row>
    <row r="318" spans="1:10" hidden="1" x14ac:dyDescent="0.25">
      <c r="A318" s="114" t="s">
        <v>498</v>
      </c>
      <c r="B318" s="115" t="s">
        <v>1531</v>
      </c>
      <c r="C318" s="116" t="s">
        <v>16</v>
      </c>
      <c r="D318" s="116">
        <v>0</v>
      </c>
      <c r="E318" s="136">
        <f ca="1">OFFSET(INDEX(Composições!A:J,MATCH(Orçamentária!A318,Composições!A:A,0),8),2,0)</f>
        <v>23.982749999999999</v>
      </c>
      <c r="F318" s="137">
        <f t="shared" ca="1" si="12"/>
        <v>0</v>
      </c>
      <c r="G318" s="138" t="e">
        <f>IF(A318&lt;&gt;"",IF(AND(#REF!="Padrão",$H$4=#REF!),BDI!$B$17,IF(AND(#REF!="Padrão",$H$4=#REF!),BDI!#REF!,IF(AND(#REF!="Diferenciado",$H$4=#REF!),BDI!$E$17,IF(AND(#REF!="Diferenciado",$H$4=#REF!),BDI!#REF!,IF(#REF!="ZERO",0))))),"")</f>
        <v>#REF!</v>
      </c>
      <c r="H318" s="139" t="e">
        <f t="shared" ca="1" si="13"/>
        <v>#REF!</v>
      </c>
      <c r="I318" s="137" t="e">
        <f t="shared" ca="1" si="14"/>
        <v>#REF!</v>
      </c>
      <c r="J318" s="117"/>
    </row>
    <row r="319" spans="1:10" hidden="1" x14ac:dyDescent="0.25">
      <c r="A319" s="114" t="s">
        <v>500</v>
      </c>
      <c r="B319" s="115" t="s">
        <v>1532</v>
      </c>
      <c r="C319" s="116" t="s">
        <v>69</v>
      </c>
      <c r="D319" s="116">
        <v>0</v>
      </c>
      <c r="E319" s="136">
        <f ca="1">OFFSET(INDEX(Composições!A:J,MATCH(Orçamentária!A319,Composições!A:A,0),8),2,0)</f>
        <v>1.15805</v>
      </c>
      <c r="F319" s="137">
        <f t="shared" ca="1" si="12"/>
        <v>0</v>
      </c>
      <c r="G319" s="138" t="e">
        <f>IF(A319&lt;&gt;"",IF(AND(#REF!="Padrão",$H$4=#REF!),BDI!$B$17,IF(AND(#REF!="Padrão",$H$4=#REF!),BDI!#REF!,IF(AND(#REF!="Diferenciado",$H$4=#REF!),BDI!$E$17,IF(AND(#REF!="Diferenciado",$H$4=#REF!),BDI!#REF!,IF(#REF!="ZERO",0))))),"")</f>
        <v>#REF!</v>
      </c>
      <c r="H319" s="139" t="e">
        <f t="shared" ca="1" si="13"/>
        <v>#REF!</v>
      </c>
      <c r="I319" s="137" t="e">
        <f t="shared" ca="1" si="14"/>
        <v>#REF!</v>
      </c>
      <c r="J319" s="117"/>
    </row>
    <row r="320" spans="1:10" x14ac:dyDescent="0.25">
      <c r="A320" s="189" t="s">
        <v>502</v>
      </c>
      <c r="B320" s="190" t="s">
        <v>1533</v>
      </c>
      <c r="C320" s="191" t="s">
        <v>69</v>
      </c>
      <c r="D320" s="191">
        <v>890</v>
      </c>
      <c r="E320" s="136">
        <f ca="1">OFFSET(INDEX(Composições!A:J,MATCH(Orçamentária!A320,Composições!A:A,0),8),2,0)</f>
        <v>1.7780499999999999</v>
      </c>
      <c r="F320" s="137">
        <f t="shared" ca="1" si="12"/>
        <v>1582.4644999999998</v>
      </c>
      <c r="G320" s="138">
        <f>BDI!$B$17</f>
        <v>0.191</v>
      </c>
      <c r="H320" s="139">
        <f t="shared" ca="1" si="13"/>
        <v>2.12</v>
      </c>
      <c r="I320" s="137">
        <f t="shared" ca="1" si="14"/>
        <v>1886.8</v>
      </c>
      <c r="J320" s="117"/>
    </row>
    <row r="321" spans="1:10" hidden="1" x14ac:dyDescent="0.25">
      <c r="A321" s="114" t="s">
        <v>504</v>
      </c>
      <c r="B321" s="115" t="s">
        <v>1534</v>
      </c>
      <c r="C321" s="116" t="s">
        <v>69</v>
      </c>
      <c r="D321" s="116">
        <v>0</v>
      </c>
      <c r="E321" s="136">
        <f ca="1">OFFSET(INDEX(Composições!A:J,MATCH(Orçamentária!A321,Composições!A:A,0),8),2,0)</f>
        <v>1.15805</v>
      </c>
      <c r="F321" s="137">
        <f t="shared" ca="1" si="12"/>
        <v>0</v>
      </c>
      <c r="G321" s="138" t="e">
        <f>IF(A321&lt;&gt;"",IF(AND(#REF!="Padrão",$H$4=#REF!),BDI!$B$17,IF(AND(#REF!="Padrão",$H$4=#REF!),BDI!#REF!,IF(AND(#REF!="Diferenciado",$H$4=#REF!),BDI!$E$17,IF(AND(#REF!="Diferenciado",$H$4=#REF!),BDI!#REF!,IF(#REF!="ZERO",0))))),"")</f>
        <v>#REF!</v>
      </c>
      <c r="H321" s="139" t="e">
        <f t="shared" ca="1" si="13"/>
        <v>#REF!</v>
      </c>
      <c r="I321" s="137" t="e">
        <f t="shared" ca="1" si="14"/>
        <v>#REF!</v>
      </c>
      <c r="J321" s="117"/>
    </row>
    <row r="322" spans="1:10" x14ac:dyDescent="0.25">
      <c r="A322" s="189" t="s">
        <v>506</v>
      </c>
      <c r="B322" s="190" t="s">
        <v>1535</v>
      </c>
      <c r="C322" s="191" t="s">
        <v>16</v>
      </c>
      <c r="D322" s="191">
        <v>21</v>
      </c>
      <c r="E322" s="136">
        <f ca="1">OFFSET(INDEX(Composições!A:J,MATCH(Orçamentária!A322,Composições!A:A,0),8),2,0)</f>
        <v>167.29275000000001</v>
      </c>
      <c r="F322" s="137">
        <f t="shared" ca="1" si="12"/>
        <v>3513.1477500000001</v>
      </c>
      <c r="G322" s="138">
        <f>BDI!$B$17</f>
        <v>0.191</v>
      </c>
      <c r="H322" s="139">
        <f t="shared" ca="1" si="13"/>
        <v>199.25</v>
      </c>
      <c r="I322" s="137">
        <f t="shared" ca="1" si="14"/>
        <v>4184.25</v>
      </c>
      <c r="J322" s="117"/>
    </row>
    <row r="323" spans="1:10" x14ac:dyDescent="0.25">
      <c r="A323" s="189" t="s">
        <v>508</v>
      </c>
      <c r="B323" s="190" t="s">
        <v>509</v>
      </c>
      <c r="C323" s="191" t="s">
        <v>16</v>
      </c>
      <c r="D323" s="191">
        <v>21</v>
      </c>
      <c r="E323" s="136">
        <f ca="1">OFFSET(INDEX(Composições!A:J,MATCH(Orçamentária!A323,Composições!A:A,0),8),2,0)</f>
        <v>147.26275000000001</v>
      </c>
      <c r="F323" s="137">
        <f t="shared" ca="1" si="12"/>
        <v>3092.5177500000004</v>
      </c>
      <c r="G323" s="138">
        <f>BDI!$B$17</f>
        <v>0.191</v>
      </c>
      <c r="H323" s="139">
        <f t="shared" ca="1" si="13"/>
        <v>175.39</v>
      </c>
      <c r="I323" s="137">
        <f t="shared" ca="1" si="14"/>
        <v>3683.19</v>
      </c>
      <c r="J323" s="117"/>
    </row>
    <row r="324" spans="1:10" hidden="1" x14ac:dyDescent="0.25">
      <c r="A324" s="114" t="s">
        <v>510</v>
      </c>
      <c r="B324" s="115" t="s">
        <v>1536</v>
      </c>
      <c r="C324" s="116" t="s">
        <v>16</v>
      </c>
      <c r="D324" s="116">
        <v>0</v>
      </c>
      <c r="E324" s="136">
        <f ca="1">OFFSET(INDEX(Composições!A:J,MATCH(Orçamentária!A324,Composições!A:A,0),8),2,0)</f>
        <v>7.3193785499999997</v>
      </c>
      <c r="F324" s="137">
        <f t="shared" ca="1" si="12"/>
        <v>0</v>
      </c>
      <c r="G324" s="138" t="e">
        <f>IF(A324&lt;&gt;"",IF(AND(#REF!="Padrão",$H$4=#REF!),BDI!$B$17,IF(AND(#REF!="Padrão",$H$4=#REF!),BDI!#REF!,IF(AND(#REF!="Diferenciado",$H$4=#REF!),BDI!$E$17,IF(AND(#REF!="Diferenciado",$H$4=#REF!),BDI!#REF!,IF(#REF!="ZERO",0))))),"")</f>
        <v>#REF!</v>
      </c>
      <c r="H324" s="139" t="e">
        <f t="shared" ca="1" si="13"/>
        <v>#REF!</v>
      </c>
      <c r="I324" s="137" t="e">
        <f t="shared" ca="1" si="14"/>
        <v>#REF!</v>
      </c>
      <c r="J324" s="117"/>
    </row>
    <row r="325" spans="1:10" hidden="1" x14ac:dyDescent="0.25">
      <c r="A325" s="114" t="s">
        <v>512</v>
      </c>
      <c r="B325" s="115" t="s">
        <v>1537</v>
      </c>
      <c r="C325" s="116" t="s">
        <v>16</v>
      </c>
      <c r="D325" s="116">
        <v>0</v>
      </c>
      <c r="E325" s="136">
        <f ca="1">OFFSET(INDEX(Composições!A:J,MATCH(Orçamentária!A325,Composições!A:A,0),8),2,0)</f>
        <v>5.4435950000000002</v>
      </c>
      <c r="F325" s="137">
        <f t="shared" ca="1" si="12"/>
        <v>0</v>
      </c>
      <c r="G325" s="138" t="e">
        <f>IF(A325&lt;&gt;"",IF(AND(#REF!="Padrão",$H$4=#REF!),BDI!$B$17,IF(AND(#REF!="Padrão",$H$4=#REF!),BDI!#REF!,IF(AND(#REF!="Diferenciado",$H$4=#REF!),BDI!$E$17,IF(AND(#REF!="Diferenciado",$H$4=#REF!),BDI!#REF!,IF(#REF!="ZERO",0))))),"")</f>
        <v>#REF!</v>
      </c>
      <c r="H325" s="139" t="e">
        <f t="shared" ca="1" si="13"/>
        <v>#REF!</v>
      </c>
      <c r="I325" s="137" t="e">
        <f t="shared" ca="1" si="14"/>
        <v>#REF!</v>
      </c>
      <c r="J325" s="117"/>
    </row>
    <row r="326" spans="1:10" hidden="1" x14ac:dyDescent="0.25">
      <c r="A326" s="114" t="s">
        <v>514</v>
      </c>
      <c r="B326" s="115" t="s">
        <v>1538</v>
      </c>
      <c r="C326" s="116" t="s">
        <v>16</v>
      </c>
      <c r="D326" s="116">
        <v>0</v>
      </c>
      <c r="E326" s="136">
        <f ca="1">OFFSET(INDEX(Composições!A:J,MATCH(Orçamentária!A326,Composições!A:A,0),8),2,0)</f>
        <v>7.3193785499999997</v>
      </c>
      <c r="F326" s="137">
        <f t="shared" ca="1" si="12"/>
        <v>0</v>
      </c>
      <c r="G326" s="138" t="e">
        <f>IF(A326&lt;&gt;"",IF(AND(#REF!="Padrão",$H$4=#REF!),BDI!$B$17,IF(AND(#REF!="Padrão",$H$4=#REF!),BDI!#REF!,IF(AND(#REF!="Diferenciado",$H$4=#REF!),BDI!$E$17,IF(AND(#REF!="Diferenciado",$H$4=#REF!),BDI!#REF!,IF(#REF!="ZERO",0))))),"")</f>
        <v>#REF!</v>
      </c>
      <c r="H326" s="139" t="e">
        <f t="shared" ca="1" si="13"/>
        <v>#REF!</v>
      </c>
      <c r="I326" s="137" t="e">
        <f t="shared" ca="1" si="14"/>
        <v>#REF!</v>
      </c>
      <c r="J326" s="117"/>
    </row>
    <row r="327" spans="1:10" hidden="1" x14ac:dyDescent="0.25">
      <c r="A327" s="114" t="s">
        <v>517</v>
      </c>
      <c r="B327" s="115" t="s">
        <v>1539</v>
      </c>
      <c r="C327" s="116" t="s">
        <v>16</v>
      </c>
      <c r="D327" s="116">
        <v>0</v>
      </c>
      <c r="E327" s="136">
        <f ca="1">OFFSET(INDEX(Composições!A:J,MATCH(Orçamentária!A327,Composições!A:A,0),8),2,0)</f>
        <v>5.4435950000000002</v>
      </c>
      <c r="F327" s="137">
        <f t="shared" ref="F327:F390" ca="1" si="15">IF(ISNUMBER(E327),D327*E327,"")</f>
        <v>0</v>
      </c>
      <c r="G327" s="138" t="e">
        <f>IF(A327&lt;&gt;"",IF(AND(#REF!="Padrão",$H$4=#REF!),BDI!$B$17,IF(AND(#REF!="Padrão",$H$4=#REF!),BDI!#REF!,IF(AND(#REF!="Diferenciado",$H$4=#REF!),BDI!$E$17,IF(AND(#REF!="Diferenciado",$H$4=#REF!),BDI!#REF!,IF(#REF!="ZERO",0))))),"")</f>
        <v>#REF!</v>
      </c>
      <c r="H327" s="139" t="e">
        <f t="shared" ref="H327:H390" ca="1" si="16">IF(ISNUMBER(E327),ROUND(E327*(1+G327),2),"")</f>
        <v>#REF!</v>
      </c>
      <c r="I327" s="137" t="e">
        <f t="shared" ref="I327:I390" ca="1" si="17">IF(ISNUMBER(E327),ROUND(H327*D327,2),"")</f>
        <v>#REF!</v>
      </c>
      <c r="J327" s="117"/>
    </row>
    <row r="328" spans="1:10" hidden="1" x14ac:dyDescent="0.25">
      <c r="A328" s="114" t="s">
        <v>519</v>
      </c>
      <c r="B328" s="115" t="s">
        <v>1540</v>
      </c>
      <c r="C328" s="116" t="s">
        <v>16</v>
      </c>
      <c r="D328" s="116">
        <v>0</v>
      </c>
      <c r="E328" s="136">
        <f ca="1">OFFSET(INDEX(Composições!A:J,MATCH(Orçamentária!A328,Composições!A:A,0),8),2,0)</f>
        <v>162.37565965000002</v>
      </c>
      <c r="F328" s="137">
        <f t="shared" ca="1" si="15"/>
        <v>0</v>
      </c>
      <c r="G328" s="138" t="e">
        <f>IF(A328&lt;&gt;"",IF(AND(#REF!="Padrão",$H$4=#REF!),BDI!$B$17,IF(AND(#REF!="Padrão",$H$4=#REF!),BDI!#REF!,IF(AND(#REF!="Diferenciado",$H$4=#REF!),BDI!$E$17,IF(AND(#REF!="Diferenciado",$H$4=#REF!),BDI!#REF!,IF(#REF!="ZERO",0))))),"")</f>
        <v>#REF!</v>
      </c>
      <c r="H328" s="139" t="e">
        <f t="shared" ca="1" si="16"/>
        <v>#REF!</v>
      </c>
      <c r="I328" s="137" t="e">
        <f t="shared" ca="1" si="17"/>
        <v>#REF!</v>
      </c>
      <c r="J328" s="117"/>
    </row>
    <row r="329" spans="1:10" hidden="1" x14ac:dyDescent="0.25">
      <c r="A329" s="114" t="s">
        <v>521</v>
      </c>
      <c r="B329" s="115" t="s">
        <v>1541</v>
      </c>
      <c r="C329" s="116" t="s">
        <v>16</v>
      </c>
      <c r="D329" s="116">
        <v>0</v>
      </c>
      <c r="E329" s="136">
        <f ca="1">OFFSET(INDEX(Composições!A:J,MATCH(Orçamentária!A329,Composições!A:A,0),8),2,0)</f>
        <v>133.97592074999997</v>
      </c>
      <c r="F329" s="137">
        <f t="shared" ca="1" si="15"/>
        <v>0</v>
      </c>
      <c r="G329" s="138" t="e">
        <f>IF(A329&lt;&gt;"",IF(AND(#REF!="Padrão",$H$4=#REF!),BDI!$B$17,IF(AND(#REF!="Padrão",$H$4=#REF!),BDI!#REF!,IF(AND(#REF!="Diferenciado",$H$4=#REF!),BDI!$E$17,IF(AND(#REF!="Diferenciado",$H$4=#REF!),BDI!#REF!,IF(#REF!="ZERO",0))))),"")</f>
        <v>#REF!</v>
      </c>
      <c r="H329" s="139" t="e">
        <f t="shared" ca="1" si="16"/>
        <v>#REF!</v>
      </c>
      <c r="I329" s="137" t="e">
        <f t="shared" ca="1" si="17"/>
        <v>#REF!</v>
      </c>
      <c r="J329" s="117"/>
    </row>
    <row r="330" spans="1:10" hidden="1" x14ac:dyDescent="0.25">
      <c r="A330" s="114" t="s">
        <v>523</v>
      </c>
      <c r="B330" s="115" t="s">
        <v>1542</v>
      </c>
      <c r="C330" s="116" t="s">
        <v>16</v>
      </c>
      <c r="D330" s="116">
        <v>0</v>
      </c>
      <c r="E330" s="136">
        <f ca="1">OFFSET(INDEX(Composições!A:J,MATCH(Orçamentária!A330,Composições!A:A,0),8),2,0)</f>
        <v>90.539378549999981</v>
      </c>
      <c r="F330" s="137">
        <f t="shared" ca="1" si="15"/>
        <v>0</v>
      </c>
      <c r="G330" s="138" t="e">
        <f>IF(A330&lt;&gt;"",IF(AND(#REF!="Padrão",$H$4=#REF!),BDI!$B$17,IF(AND(#REF!="Padrão",$H$4=#REF!),BDI!#REF!,IF(AND(#REF!="Diferenciado",$H$4=#REF!),BDI!$E$17,IF(AND(#REF!="Diferenciado",$H$4=#REF!),BDI!#REF!,IF(#REF!="ZERO",0))))),"")</f>
        <v>#REF!</v>
      </c>
      <c r="H330" s="139" t="e">
        <f t="shared" ca="1" si="16"/>
        <v>#REF!</v>
      </c>
      <c r="I330" s="137" t="e">
        <f t="shared" ca="1" si="17"/>
        <v>#REF!</v>
      </c>
      <c r="J330" s="117"/>
    </row>
    <row r="331" spans="1:10" hidden="1" x14ac:dyDescent="0.25">
      <c r="A331" s="114" t="s">
        <v>524</v>
      </c>
      <c r="B331" s="115" t="s">
        <v>1543</v>
      </c>
      <c r="C331" s="116" t="s">
        <v>16</v>
      </c>
      <c r="D331" s="116">
        <v>0</v>
      </c>
      <c r="E331" s="136">
        <f ca="1">OFFSET(INDEX(Composições!A:J,MATCH(Orçamentária!A331,Composições!A:A,0),8),2,0)</f>
        <v>67.089095</v>
      </c>
      <c r="F331" s="137">
        <f t="shared" ca="1" si="15"/>
        <v>0</v>
      </c>
      <c r="G331" s="138" t="e">
        <f>IF(A331&lt;&gt;"",IF(AND(#REF!="Padrão",$H$4=#REF!),BDI!$B$17,IF(AND(#REF!="Padrão",$H$4=#REF!),BDI!#REF!,IF(AND(#REF!="Diferenciado",$H$4=#REF!),BDI!$E$17,IF(AND(#REF!="Diferenciado",$H$4=#REF!),BDI!#REF!,IF(#REF!="ZERO",0))))),"")</f>
        <v>#REF!</v>
      </c>
      <c r="H331" s="139" t="e">
        <f t="shared" ca="1" si="16"/>
        <v>#REF!</v>
      </c>
      <c r="I331" s="137" t="e">
        <f t="shared" ca="1" si="17"/>
        <v>#REF!</v>
      </c>
      <c r="J331" s="117"/>
    </row>
    <row r="332" spans="1:10" hidden="1" x14ac:dyDescent="0.25">
      <c r="A332" s="114" t="s">
        <v>525</v>
      </c>
      <c r="B332" s="115" t="s">
        <v>1544</v>
      </c>
      <c r="C332" s="116" t="s">
        <v>70</v>
      </c>
      <c r="D332" s="116">
        <v>0</v>
      </c>
      <c r="E332" s="136">
        <f ca="1">OFFSET(INDEX(Composições!A:J,MATCH(Orçamentária!A332,Composições!A:A,0),8),2,0)</f>
        <v>4.7965499999999999</v>
      </c>
      <c r="F332" s="137">
        <f t="shared" ca="1" si="15"/>
        <v>0</v>
      </c>
      <c r="G332" s="138" t="e">
        <f>IF(A332&lt;&gt;"",IF(AND(#REF!="Padrão",$H$4=#REF!),BDI!$B$17,IF(AND(#REF!="Padrão",$H$4=#REF!),BDI!#REF!,IF(AND(#REF!="Diferenciado",$H$4=#REF!),BDI!$E$17,IF(AND(#REF!="Diferenciado",$H$4=#REF!),BDI!#REF!,IF(#REF!="ZERO",0))))),"")</f>
        <v>#REF!</v>
      </c>
      <c r="H332" s="139" t="e">
        <f t="shared" ca="1" si="16"/>
        <v>#REF!</v>
      </c>
      <c r="I332" s="137" t="e">
        <f t="shared" ca="1" si="17"/>
        <v>#REF!</v>
      </c>
      <c r="J332" s="117"/>
    </row>
    <row r="333" spans="1:10" hidden="1" x14ac:dyDescent="0.25">
      <c r="A333" s="114" t="s">
        <v>527</v>
      </c>
      <c r="B333" s="115" t="s">
        <v>1545</v>
      </c>
      <c r="C333" s="116" t="s">
        <v>69</v>
      </c>
      <c r="D333" s="116">
        <v>0</v>
      </c>
      <c r="E333" s="136">
        <f ca="1">OFFSET(INDEX(Composições!A:J,MATCH(Orçamentária!A333,Composições!A:A,0),8),2,0)</f>
        <v>0.92093759999999991</v>
      </c>
      <c r="F333" s="137">
        <f t="shared" ca="1" si="15"/>
        <v>0</v>
      </c>
      <c r="G333" s="138" t="e">
        <f>IF(A333&lt;&gt;"",IF(AND(#REF!="Padrão",$H$4=#REF!),BDI!$B$17,IF(AND(#REF!="Padrão",$H$4=#REF!),BDI!#REF!,IF(AND(#REF!="Diferenciado",$H$4=#REF!),BDI!$E$17,IF(AND(#REF!="Diferenciado",$H$4=#REF!),BDI!#REF!,IF(#REF!="ZERO",0))))),"")</f>
        <v>#REF!</v>
      </c>
      <c r="H333" s="139" t="e">
        <f t="shared" ca="1" si="16"/>
        <v>#REF!</v>
      </c>
      <c r="I333" s="137" t="e">
        <f t="shared" ca="1" si="17"/>
        <v>#REF!</v>
      </c>
      <c r="J333" s="117"/>
    </row>
    <row r="334" spans="1:10" x14ac:dyDescent="0.25">
      <c r="A334" s="189" t="s">
        <v>530</v>
      </c>
      <c r="B334" s="190" t="s">
        <v>1546</v>
      </c>
      <c r="C334" s="191" t="s">
        <v>69</v>
      </c>
      <c r="D334" s="191">
        <v>105</v>
      </c>
      <c r="E334" s="136">
        <f ca="1">OFFSET(INDEX(Composições!A:J,MATCH(Orçamentária!A334,Composições!A:A,0),8),2,0)</f>
        <v>9.7102836499999974</v>
      </c>
      <c r="F334" s="137">
        <f t="shared" ca="1" si="15"/>
        <v>1019.5797832499998</v>
      </c>
      <c r="G334" s="138">
        <f>BDI!$B$17</f>
        <v>0.191</v>
      </c>
      <c r="H334" s="139">
        <f t="shared" ca="1" si="16"/>
        <v>11.56</v>
      </c>
      <c r="I334" s="137">
        <f t="shared" ca="1" si="17"/>
        <v>1213.8</v>
      </c>
      <c r="J334" s="117"/>
    </row>
    <row r="335" spans="1:10" x14ac:dyDescent="0.25">
      <c r="A335" s="189" t="s">
        <v>532</v>
      </c>
      <c r="B335" s="190" t="s">
        <v>1547</v>
      </c>
      <c r="C335" s="191" t="s">
        <v>69</v>
      </c>
      <c r="D335" s="191">
        <v>105</v>
      </c>
      <c r="E335" s="136">
        <f ca="1">OFFSET(INDEX(Composições!A:J,MATCH(Orçamentária!A335,Composições!A:A,0),8),2,0)</f>
        <v>8.1103927999999978</v>
      </c>
      <c r="F335" s="137">
        <f t="shared" ca="1" si="15"/>
        <v>851.59124399999973</v>
      </c>
      <c r="G335" s="138">
        <f>BDI!$B$17</f>
        <v>0.191</v>
      </c>
      <c r="H335" s="139">
        <f t="shared" ca="1" si="16"/>
        <v>9.66</v>
      </c>
      <c r="I335" s="137">
        <f t="shared" ca="1" si="17"/>
        <v>1014.3</v>
      </c>
      <c r="J335" s="117"/>
    </row>
    <row r="336" spans="1:10" hidden="1" x14ac:dyDescent="0.25">
      <c r="A336" s="114" t="s">
        <v>534</v>
      </c>
      <c r="B336" s="115" t="s">
        <v>1548</v>
      </c>
      <c r="C336" s="116" t="s">
        <v>69</v>
      </c>
      <c r="D336" s="116">
        <v>0</v>
      </c>
      <c r="E336" s="136">
        <f ca="1">OFFSET(INDEX(Composições!A:J,MATCH(Orçamentária!A336,Composições!A:A,0),8),2,0)</f>
        <v>18.984196600000001</v>
      </c>
      <c r="F336" s="137">
        <f t="shared" ca="1" si="15"/>
        <v>0</v>
      </c>
      <c r="G336" s="138" t="e">
        <f>IF(A336&lt;&gt;"",IF(AND(#REF!="Padrão",$H$4=#REF!),BDI!$B$17,IF(AND(#REF!="Padrão",$H$4=#REF!),BDI!#REF!,IF(AND(#REF!="Diferenciado",$H$4=#REF!),BDI!$E$17,IF(AND(#REF!="Diferenciado",$H$4=#REF!),BDI!#REF!,IF(#REF!="ZERO",0))))),"")</f>
        <v>#REF!</v>
      </c>
      <c r="H336" s="139" t="e">
        <f t="shared" ca="1" si="16"/>
        <v>#REF!</v>
      </c>
      <c r="I336" s="137" t="e">
        <f t="shared" ca="1" si="17"/>
        <v>#REF!</v>
      </c>
      <c r="J336" s="117"/>
    </row>
    <row r="337" spans="1:10" x14ac:dyDescent="0.25">
      <c r="A337" s="189" t="s">
        <v>536</v>
      </c>
      <c r="B337" s="190" t="s">
        <v>1549</v>
      </c>
      <c r="C337" s="191" t="s">
        <v>69</v>
      </c>
      <c r="D337" s="191">
        <v>118</v>
      </c>
      <c r="E337" s="136">
        <f ca="1">OFFSET(INDEX(Composições!A:J,MATCH(Orçamentária!A337,Composições!A:A,0),8),2,0)</f>
        <v>9.5097710499999994</v>
      </c>
      <c r="F337" s="137">
        <f t="shared" ca="1" si="15"/>
        <v>1122.1529839</v>
      </c>
      <c r="G337" s="138">
        <f>BDI!$B$17</f>
        <v>0.191</v>
      </c>
      <c r="H337" s="139">
        <f t="shared" ca="1" si="16"/>
        <v>11.33</v>
      </c>
      <c r="I337" s="137">
        <f t="shared" ca="1" si="17"/>
        <v>1336.94</v>
      </c>
      <c r="J337" s="117"/>
    </row>
    <row r="338" spans="1:10" x14ac:dyDescent="0.25">
      <c r="A338" s="189" t="s">
        <v>538</v>
      </c>
      <c r="B338" s="190" t="s">
        <v>1550</v>
      </c>
      <c r="C338" s="191" t="s">
        <v>69</v>
      </c>
      <c r="D338" s="191">
        <v>107</v>
      </c>
      <c r="E338" s="136">
        <f ca="1">OFFSET(INDEX(Composições!A:J,MATCH(Orçamentária!A338,Composições!A:A,0),8),2,0)</f>
        <v>12.132615599999998</v>
      </c>
      <c r="F338" s="137">
        <f t="shared" ca="1" si="15"/>
        <v>1298.1898691999997</v>
      </c>
      <c r="G338" s="138">
        <f>BDI!$B$17</f>
        <v>0.191</v>
      </c>
      <c r="H338" s="139">
        <f t="shared" ca="1" si="16"/>
        <v>14.45</v>
      </c>
      <c r="I338" s="137">
        <f t="shared" ca="1" si="17"/>
        <v>1546.15</v>
      </c>
      <c r="J338" s="117"/>
    </row>
    <row r="339" spans="1:10" x14ac:dyDescent="0.25">
      <c r="A339" s="189" t="s">
        <v>540</v>
      </c>
      <c r="B339" s="190" t="s">
        <v>1551</v>
      </c>
      <c r="C339" s="191" t="s">
        <v>69</v>
      </c>
      <c r="D339" s="191">
        <v>10</v>
      </c>
      <c r="E339" s="136">
        <f ca="1">OFFSET(INDEX(Composições!A:J,MATCH(Orçamentária!A339,Composições!A:A,0),8),2,0)</f>
        <v>17.146216600000002</v>
      </c>
      <c r="F339" s="137">
        <f t="shared" ca="1" si="15"/>
        <v>171.46216600000002</v>
      </c>
      <c r="G339" s="138">
        <f>BDI!$B$17</f>
        <v>0.191</v>
      </c>
      <c r="H339" s="139">
        <f t="shared" ca="1" si="16"/>
        <v>20.420000000000002</v>
      </c>
      <c r="I339" s="137">
        <f t="shared" ca="1" si="17"/>
        <v>204.2</v>
      </c>
      <c r="J339" s="117"/>
    </row>
    <row r="340" spans="1:10" hidden="1" x14ac:dyDescent="0.25">
      <c r="A340" s="114" t="s">
        <v>542</v>
      </c>
      <c r="B340" s="115" t="s">
        <v>1552</v>
      </c>
      <c r="C340" s="116" t="s">
        <v>69</v>
      </c>
      <c r="D340" s="116">
        <v>0</v>
      </c>
      <c r="E340" s="136">
        <f ca="1">OFFSET(INDEX(Composições!A:J,MATCH(Orçamentária!A340,Composições!A:A,0),8),2,0)</f>
        <v>0.92093759999999991</v>
      </c>
      <c r="F340" s="137">
        <f t="shared" ca="1" si="15"/>
        <v>0</v>
      </c>
      <c r="G340" s="138" t="e">
        <f>IF(A340&lt;&gt;"",IF(AND(#REF!="Padrão",$H$4=#REF!),BDI!$B$17,IF(AND(#REF!="Padrão",$H$4=#REF!),BDI!#REF!,IF(AND(#REF!="Diferenciado",$H$4=#REF!),BDI!$E$17,IF(AND(#REF!="Diferenciado",$H$4=#REF!),BDI!#REF!,IF(#REF!="ZERO",0))))),"")</f>
        <v>#REF!</v>
      </c>
      <c r="H340" s="139" t="e">
        <f t="shared" ca="1" si="16"/>
        <v>#REF!</v>
      </c>
      <c r="I340" s="137" t="e">
        <f t="shared" ca="1" si="17"/>
        <v>#REF!</v>
      </c>
      <c r="J340" s="117"/>
    </row>
    <row r="341" spans="1:10" hidden="1" x14ac:dyDescent="0.25">
      <c r="A341" s="114" t="s">
        <v>544</v>
      </c>
      <c r="B341" s="115" t="s">
        <v>1553</v>
      </c>
      <c r="C341" s="116" t="s">
        <v>69</v>
      </c>
      <c r="D341" s="116">
        <v>0</v>
      </c>
      <c r="E341" s="136">
        <f ca="1">OFFSET(INDEX(Composições!A:J,MATCH(Orçamentária!A341,Composições!A:A,0),8),2,0)</f>
        <v>0.92093759999999991</v>
      </c>
      <c r="F341" s="137">
        <f t="shared" ca="1" si="15"/>
        <v>0</v>
      </c>
      <c r="G341" s="138" t="e">
        <f>IF(A341&lt;&gt;"",IF(AND(#REF!="Padrão",$H$4=#REF!),BDI!$B$17,IF(AND(#REF!="Padrão",$H$4=#REF!),BDI!#REF!,IF(AND(#REF!="Diferenciado",$H$4=#REF!),BDI!$E$17,IF(AND(#REF!="Diferenciado",$H$4=#REF!),BDI!#REF!,IF(#REF!="ZERO",0))))),"")</f>
        <v>#REF!</v>
      </c>
      <c r="H341" s="139" t="e">
        <f t="shared" ca="1" si="16"/>
        <v>#REF!</v>
      </c>
      <c r="I341" s="137" t="e">
        <f t="shared" ca="1" si="17"/>
        <v>#REF!</v>
      </c>
      <c r="J341" s="117"/>
    </row>
    <row r="342" spans="1:10" hidden="1" x14ac:dyDescent="0.25">
      <c r="A342" s="114" t="s">
        <v>546</v>
      </c>
      <c r="B342" s="115" t="s">
        <v>5503</v>
      </c>
      <c r="C342" s="116" t="s">
        <v>69</v>
      </c>
      <c r="D342" s="116">
        <v>0</v>
      </c>
      <c r="E342" s="136">
        <f ca="1">OFFSET(INDEX(Composições!A:J,MATCH(Orçamentária!A342,Composições!A:A,0),8),2,0)</f>
        <v>0.92093759999999991</v>
      </c>
      <c r="F342" s="137">
        <f t="shared" ca="1" si="15"/>
        <v>0</v>
      </c>
      <c r="G342" s="138" t="e">
        <f>IF(A342&lt;&gt;"",IF(AND(#REF!="Padrão",$H$4=#REF!),BDI!$B$17,IF(AND(#REF!="Padrão",$H$4=#REF!),BDI!#REF!,IF(AND(#REF!="Diferenciado",$H$4=#REF!),BDI!$E$17,IF(AND(#REF!="Diferenciado",$H$4=#REF!),BDI!#REF!,IF(#REF!="ZERO",0))))),"")</f>
        <v>#REF!</v>
      </c>
      <c r="H342" s="139" t="e">
        <f t="shared" ca="1" si="16"/>
        <v>#REF!</v>
      </c>
      <c r="I342" s="137" t="e">
        <f t="shared" ca="1" si="17"/>
        <v>#REF!</v>
      </c>
      <c r="J342" s="117"/>
    </row>
    <row r="343" spans="1:10" hidden="1" x14ac:dyDescent="0.25">
      <c r="A343" s="114" t="s">
        <v>548</v>
      </c>
      <c r="B343" s="115" t="s">
        <v>5504</v>
      </c>
      <c r="C343" s="116" t="s">
        <v>69</v>
      </c>
      <c r="D343" s="116">
        <v>0</v>
      </c>
      <c r="E343" s="136">
        <f ca="1">OFFSET(INDEX(Composições!A:J,MATCH(Orçamentária!A343,Composições!A:A,0),8),2,0)</f>
        <v>0.92093759999999991</v>
      </c>
      <c r="F343" s="137">
        <f t="shared" ca="1" si="15"/>
        <v>0</v>
      </c>
      <c r="G343" s="138" t="e">
        <f>IF(A343&lt;&gt;"",IF(AND(#REF!="Padrão",$H$4=#REF!),BDI!$B$17,IF(AND(#REF!="Padrão",$H$4=#REF!),BDI!#REF!,IF(AND(#REF!="Diferenciado",$H$4=#REF!),BDI!$E$17,IF(AND(#REF!="Diferenciado",$H$4=#REF!),BDI!#REF!,IF(#REF!="ZERO",0))))),"")</f>
        <v>#REF!</v>
      </c>
      <c r="H343" s="139" t="e">
        <f t="shared" ca="1" si="16"/>
        <v>#REF!</v>
      </c>
      <c r="I343" s="137" t="e">
        <f t="shared" ca="1" si="17"/>
        <v>#REF!</v>
      </c>
      <c r="J343" s="117"/>
    </row>
    <row r="344" spans="1:10" hidden="1" x14ac:dyDescent="0.25">
      <c r="A344" s="114" t="s">
        <v>550</v>
      </c>
      <c r="B344" s="115" t="s">
        <v>1554</v>
      </c>
      <c r="C344" s="116" t="s">
        <v>70</v>
      </c>
      <c r="D344" s="116">
        <v>0</v>
      </c>
      <c r="E344" s="136">
        <f ca="1">OFFSET(INDEX(Composições!A:J,MATCH(Orçamentária!A344,Composições!A:A,0),8),2,0)</f>
        <v>9.5930999999999997</v>
      </c>
      <c r="F344" s="137">
        <f t="shared" ca="1" si="15"/>
        <v>0</v>
      </c>
      <c r="G344" s="138" t="e">
        <f>IF(A344&lt;&gt;"",IF(AND(#REF!="Padrão",$H$4=#REF!),BDI!$B$17,IF(AND(#REF!="Padrão",$H$4=#REF!),BDI!#REF!,IF(AND(#REF!="Diferenciado",$H$4=#REF!),BDI!$E$17,IF(AND(#REF!="Diferenciado",$H$4=#REF!),BDI!#REF!,IF(#REF!="ZERO",0))))),"")</f>
        <v>#REF!</v>
      </c>
      <c r="H344" s="139" t="e">
        <f t="shared" ca="1" si="16"/>
        <v>#REF!</v>
      </c>
      <c r="I344" s="137" t="e">
        <f t="shared" ca="1" si="17"/>
        <v>#REF!</v>
      </c>
      <c r="J344" s="117"/>
    </row>
    <row r="345" spans="1:10" hidden="1" x14ac:dyDescent="0.25">
      <c r="A345" s="114" t="s">
        <v>552</v>
      </c>
      <c r="B345" s="115" t="s">
        <v>1555</v>
      </c>
      <c r="C345" s="116" t="s">
        <v>69</v>
      </c>
      <c r="D345" s="116">
        <v>0</v>
      </c>
      <c r="E345" s="136">
        <f ca="1">OFFSET(INDEX(Composições!A:J,MATCH(Orçamentária!A345,Composições!A:A,0),8),2,0)</f>
        <v>61.394196499999993</v>
      </c>
      <c r="F345" s="137">
        <f t="shared" ca="1" si="15"/>
        <v>0</v>
      </c>
      <c r="G345" s="138" t="e">
        <f>IF(A345&lt;&gt;"",IF(AND(#REF!="Padrão",$H$4=#REF!),BDI!$B$17,IF(AND(#REF!="Padrão",$H$4=#REF!),BDI!#REF!,IF(AND(#REF!="Diferenciado",$H$4=#REF!),BDI!$E$17,IF(AND(#REF!="Diferenciado",$H$4=#REF!),BDI!#REF!,IF(#REF!="ZERO",0))))),"")</f>
        <v>#REF!</v>
      </c>
      <c r="H345" s="139" t="e">
        <f t="shared" ca="1" si="16"/>
        <v>#REF!</v>
      </c>
      <c r="I345" s="137" t="e">
        <f t="shared" ca="1" si="17"/>
        <v>#REF!</v>
      </c>
      <c r="J345" s="117"/>
    </row>
    <row r="346" spans="1:10" hidden="1" x14ac:dyDescent="0.25">
      <c r="A346" s="114" t="s">
        <v>554</v>
      </c>
      <c r="B346" s="115" t="s">
        <v>1556</v>
      </c>
      <c r="C346" s="116" t="s">
        <v>69</v>
      </c>
      <c r="D346" s="116">
        <v>0</v>
      </c>
      <c r="E346" s="136">
        <f ca="1">OFFSET(INDEX(Composições!A:J,MATCH(Orçamentária!A346,Composições!A:A,0),8),2,0)</f>
        <v>56.679935499999999</v>
      </c>
      <c r="F346" s="137">
        <f t="shared" ca="1" si="15"/>
        <v>0</v>
      </c>
      <c r="G346" s="138" t="e">
        <f>IF(A346&lt;&gt;"",IF(AND(#REF!="Padrão",$H$4=#REF!),BDI!$B$17,IF(AND(#REF!="Padrão",$H$4=#REF!),BDI!#REF!,IF(AND(#REF!="Diferenciado",$H$4=#REF!),BDI!$E$17,IF(AND(#REF!="Diferenciado",$H$4=#REF!),BDI!#REF!,IF(#REF!="ZERO",0))))),"")</f>
        <v>#REF!</v>
      </c>
      <c r="H346" s="139" t="e">
        <f t="shared" ca="1" si="16"/>
        <v>#REF!</v>
      </c>
      <c r="I346" s="137" t="e">
        <f t="shared" ca="1" si="17"/>
        <v>#REF!</v>
      </c>
      <c r="J346" s="117"/>
    </row>
    <row r="347" spans="1:10" hidden="1" x14ac:dyDescent="0.25">
      <c r="A347" s="114" t="s">
        <v>555</v>
      </c>
      <c r="B347" s="115" t="s">
        <v>1557</v>
      </c>
      <c r="C347" s="116" t="s">
        <v>69</v>
      </c>
      <c r="D347" s="116">
        <v>0</v>
      </c>
      <c r="E347" s="136">
        <f ca="1">OFFSET(INDEX(Composições!A:J,MATCH(Orçamentária!A347,Composições!A:A,0),8),2,0)</f>
        <v>46.699957499999996</v>
      </c>
      <c r="F347" s="137">
        <f t="shared" ca="1" si="15"/>
        <v>0</v>
      </c>
      <c r="G347" s="138" t="e">
        <f>IF(A347&lt;&gt;"",IF(AND(#REF!="Padrão",$H$4=#REF!),BDI!$B$17,IF(AND(#REF!="Padrão",$H$4=#REF!),BDI!#REF!,IF(AND(#REF!="Diferenciado",$H$4=#REF!),BDI!$E$17,IF(AND(#REF!="Diferenciado",$H$4=#REF!),BDI!#REF!,IF(#REF!="ZERO",0))))),"")</f>
        <v>#REF!</v>
      </c>
      <c r="H347" s="139" t="e">
        <f t="shared" ca="1" si="16"/>
        <v>#REF!</v>
      </c>
      <c r="I347" s="137" t="e">
        <f t="shared" ca="1" si="17"/>
        <v>#REF!</v>
      </c>
      <c r="J347" s="117"/>
    </row>
    <row r="348" spans="1:10" hidden="1" x14ac:dyDescent="0.25">
      <c r="A348" s="114" t="s">
        <v>556</v>
      </c>
      <c r="B348" s="115" t="s">
        <v>1558</v>
      </c>
      <c r="C348" s="116" t="s">
        <v>69</v>
      </c>
      <c r="D348" s="116">
        <v>0</v>
      </c>
      <c r="E348" s="136">
        <f ca="1">OFFSET(INDEX(Composições!A:J,MATCH(Orçamentária!A348,Composições!A:A,0),8),2,0)</f>
        <v>43.077483999999998</v>
      </c>
      <c r="F348" s="137">
        <f t="shared" ca="1" si="15"/>
        <v>0</v>
      </c>
      <c r="G348" s="138" t="e">
        <f>IF(A348&lt;&gt;"",IF(AND(#REF!="Padrão",$H$4=#REF!),BDI!$B$17,IF(AND(#REF!="Padrão",$H$4=#REF!),BDI!#REF!,IF(AND(#REF!="Diferenciado",$H$4=#REF!),BDI!$E$17,IF(AND(#REF!="Diferenciado",$H$4=#REF!),BDI!#REF!,IF(#REF!="ZERO",0))))),"")</f>
        <v>#REF!</v>
      </c>
      <c r="H348" s="139" t="e">
        <f t="shared" ca="1" si="16"/>
        <v>#REF!</v>
      </c>
      <c r="I348" s="137" t="e">
        <f t="shared" ca="1" si="17"/>
        <v>#REF!</v>
      </c>
      <c r="J348" s="117"/>
    </row>
    <row r="349" spans="1:10" x14ac:dyDescent="0.25">
      <c r="A349" s="189" t="s">
        <v>558</v>
      </c>
      <c r="B349" s="190" t="s">
        <v>1559</v>
      </c>
      <c r="C349" s="191" t="s">
        <v>69</v>
      </c>
      <c r="D349" s="191">
        <v>105</v>
      </c>
      <c r="E349" s="136">
        <f ca="1">OFFSET(INDEX(Composições!A:J,MATCH(Orçamentária!A349,Composições!A:A,0),8),2,0)</f>
        <v>45.923262199999989</v>
      </c>
      <c r="F349" s="137">
        <f t="shared" ca="1" si="15"/>
        <v>4821.9425309999988</v>
      </c>
      <c r="G349" s="138">
        <f>BDI!$B$17</f>
        <v>0.191</v>
      </c>
      <c r="H349" s="139">
        <f t="shared" ca="1" si="16"/>
        <v>54.69</v>
      </c>
      <c r="I349" s="137">
        <f t="shared" ca="1" si="17"/>
        <v>5742.45</v>
      </c>
      <c r="J349" s="117"/>
    </row>
    <row r="350" spans="1:10" x14ac:dyDescent="0.25">
      <c r="A350" s="189" t="s">
        <v>559</v>
      </c>
      <c r="B350" s="190" t="s">
        <v>1560</v>
      </c>
      <c r="C350" s="191" t="s">
        <v>69</v>
      </c>
      <c r="D350" s="191">
        <v>105</v>
      </c>
      <c r="E350" s="136">
        <f ca="1">OFFSET(INDEX(Composições!A:J,MATCH(Orçamentária!A350,Composições!A:A,0),8),2,0)</f>
        <v>22.776519799999999</v>
      </c>
      <c r="F350" s="137">
        <f t="shared" ca="1" si="15"/>
        <v>2391.5345790000001</v>
      </c>
      <c r="G350" s="138">
        <f>BDI!$B$17</f>
        <v>0.191</v>
      </c>
      <c r="H350" s="139">
        <f t="shared" ca="1" si="16"/>
        <v>27.13</v>
      </c>
      <c r="I350" s="137">
        <f t="shared" ca="1" si="17"/>
        <v>2848.65</v>
      </c>
      <c r="J350" s="117"/>
    </row>
    <row r="351" spans="1:10" hidden="1" x14ac:dyDescent="0.25">
      <c r="A351" s="114" t="s">
        <v>560</v>
      </c>
      <c r="B351" s="115" t="s">
        <v>1561</v>
      </c>
      <c r="C351" s="116" t="s">
        <v>69</v>
      </c>
      <c r="D351" s="116">
        <v>0</v>
      </c>
      <c r="E351" s="136">
        <f ca="1">OFFSET(INDEX(Composições!A:J,MATCH(Orçamentária!A351,Composições!A:A,0),8),2,0)</f>
        <v>68.150716200000005</v>
      </c>
      <c r="F351" s="137">
        <f t="shared" ca="1" si="15"/>
        <v>0</v>
      </c>
      <c r="G351" s="138" t="e">
        <f>IF(A351&lt;&gt;"",IF(AND(#REF!="Padrão",$H$4=#REF!),BDI!$B$17,IF(AND(#REF!="Padrão",$H$4=#REF!),BDI!#REF!,IF(AND(#REF!="Diferenciado",$H$4=#REF!),BDI!$E$17,IF(AND(#REF!="Diferenciado",$H$4=#REF!),BDI!#REF!,IF(#REF!="ZERO",0))))),"")</f>
        <v>#REF!</v>
      </c>
      <c r="H351" s="139" t="e">
        <f t="shared" ca="1" si="16"/>
        <v>#REF!</v>
      </c>
      <c r="I351" s="137" t="e">
        <f t="shared" ca="1" si="17"/>
        <v>#REF!</v>
      </c>
      <c r="J351" s="117"/>
    </row>
    <row r="352" spans="1:10" x14ac:dyDescent="0.25">
      <c r="A352" s="189" t="s">
        <v>561</v>
      </c>
      <c r="B352" s="190" t="s">
        <v>1562</v>
      </c>
      <c r="C352" s="191" t="s">
        <v>69</v>
      </c>
      <c r="D352" s="191">
        <v>118</v>
      </c>
      <c r="E352" s="136">
        <f ca="1">OFFSET(INDEX(Composições!A:J,MATCH(Orçamentária!A352,Composições!A:A,0),8),2,0)</f>
        <v>34.2648242</v>
      </c>
      <c r="F352" s="137">
        <f t="shared" ca="1" si="15"/>
        <v>4043.2492555999997</v>
      </c>
      <c r="G352" s="138">
        <f>BDI!$B$17</f>
        <v>0.191</v>
      </c>
      <c r="H352" s="139">
        <f t="shared" ca="1" si="16"/>
        <v>40.81</v>
      </c>
      <c r="I352" s="137">
        <f t="shared" ca="1" si="17"/>
        <v>4815.58</v>
      </c>
      <c r="J352" s="117"/>
    </row>
    <row r="353" spans="1:10" x14ac:dyDescent="0.25">
      <c r="A353" s="189" t="s">
        <v>562</v>
      </c>
      <c r="B353" s="190" t="s">
        <v>1563</v>
      </c>
      <c r="C353" s="191" t="s">
        <v>69</v>
      </c>
      <c r="D353" s="191">
        <v>107</v>
      </c>
      <c r="E353" s="136">
        <f ca="1">OFFSET(INDEX(Composições!A:J,MATCH(Orçamentária!A353,Composições!A:A,0),8),2,0)</f>
        <v>56.723586099999984</v>
      </c>
      <c r="F353" s="137">
        <f t="shared" ca="1" si="15"/>
        <v>6069.4237126999988</v>
      </c>
      <c r="G353" s="138">
        <f>BDI!$B$17</f>
        <v>0.191</v>
      </c>
      <c r="H353" s="139">
        <f t="shared" ca="1" si="16"/>
        <v>67.56</v>
      </c>
      <c r="I353" s="137">
        <f t="shared" ca="1" si="17"/>
        <v>7228.92</v>
      </c>
      <c r="J353" s="117"/>
    </row>
    <row r="354" spans="1:10" x14ac:dyDescent="0.25">
      <c r="A354" s="189" t="s">
        <v>563</v>
      </c>
      <c r="B354" s="190" t="s">
        <v>1564</v>
      </c>
      <c r="C354" s="191" t="s">
        <v>69</v>
      </c>
      <c r="D354" s="191">
        <v>10</v>
      </c>
      <c r="E354" s="136">
        <f ca="1">OFFSET(INDEX(Composições!A:J,MATCH(Orçamentária!A354,Composições!A:A,0),8),2,0)</f>
        <v>50.55409989999999</v>
      </c>
      <c r="F354" s="137">
        <f t="shared" ca="1" si="15"/>
        <v>505.54099899999989</v>
      </c>
      <c r="G354" s="138">
        <f>BDI!$B$17</f>
        <v>0.191</v>
      </c>
      <c r="H354" s="139">
        <f t="shared" ca="1" si="16"/>
        <v>60.21</v>
      </c>
      <c r="I354" s="137">
        <f t="shared" ca="1" si="17"/>
        <v>602.1</v>
      </c>
      <c r="J354" s="117"/>
    </row>
    <row r="355" spans="1:10" hidden="1" x14ac:dyDescent="0.25">
      <c r="A355" s="114" t="s">
        <v>565</v>
      </c>
      <c r="B355" s="115" t="s">
        <v>1565</v>
      </c>
      <c r="C355" s="116" t="s">
        <v>69</v>
      </c>
      <c r="D355" s="116">
        <v>0</v>
      </c>
      <c r="E355" s="136">
        <f ca="1">OFFSET(INDEX(Composições!A:J,MATCH(Orçamentária!A355,Composições!A:A,0),8),2,0)</f>
        <v>2.1488543999999998</v>
      </c>
      <c r="F355" s="137">
        <f t="shared" ca="1" si="15"/>
        <v>0</v>
      </c>
      <c r="G355" s="138" t="e">
        <f>IF(A355&lt;&gt;"",IF(AND(#REF!="Padrão",$H$4=#REF!),BDI!$B$17,IF(AND(#REF!="Padrão",$H$4=#REF!),BDI!#REF!,IF(AND(#REF!="Diferenciado",$H$4=#REF!),BDI!$E$17,IF(AND(#REF!="Diferenciado",$H$4=#REF!),BDI!#REF!,IF(#REF!="ZERO",0))))),"")</f>
        <v>#REF!</v>
      </c>
      <c r="H355" s="139" t="e">
        <f t="shared" ca="1" si="16"/>
        <v>#REF!</v>
      </c>
      <c r="I355" s="137" t="e">
        <f t="shared" ca="1" si="17"/>
        <v>#REF!</v>
      </c>
      <c r="J355" s="117"/>
    </row>
    <row r="356" spans="1:10" x14ac:dyDescent="0.25">
      <c r="A356" s="189" t="s">
        <v>567</v>
      </c>
      <c r="B356" s="190" t="s">
        <v>1566</v>
      </c>
      <c r="C356" s="191" t="s">
        <v>69</v>
      </c>
      <c r="D356" s="191">
        <v>1</v>
      </c>
      <c r="E356" s="136">
        <f ca="1">OFFSET(INDEX(Composições!A:J,MATCH(Orçamentária!A356,Composições!A:A,0),8),2,0)</f>
        <v>63.601205149999991</v>
      </c>
      <c r="F356" s="137">
        <f t="shared" ca="1" si="15"/>
        <v>63.601205149999991</v>
      </c>
      <c r="G356" s="138">
        <f>BDI!$B$17</f>
        <v>0.191</v>
      </c>
      <c r="H356" s="139">
        <f t="shared" ca="1" si="16"/>
        <v>75.75</v>
      </c>
      <c r="I356" s="137">
        <f t="shared" ca="1" si="17"/>
        <v>75.75</v>
      </c>
      <c r="J356" s="117"/>
    </row>
    <row r="357" spans="1:10" hidden="1" x14ac:dyDescent="0.25">
      <c r="A357" s="114" t="s">
        <v>1567</v>
      </c>
      <c r="B357" s="115" t="s">
        <v>1568</v>
      </c>
      <c r="C357" s="116" t="s">
        <v>70</v>
      </c>
      <c r="D357" s="116">
        <v>0</v>
      </c>
      <c r="E357" s="136" t="s">
        <v>416</v>
      </c>
      <c r="F357" s="137" t="str">
        <f t="shared" si="15"/>
        <v/>
      </c>
      <c r="G357" s="138" t="e">
        <f>IF(A357&lt;&gt;"",IF(AND(#REF!="Padrão",$H$4=#REF!),BDI!$B$17,IF(AND(#REF!="Padrão",$H$4=#REF!),BDI!#REF!,IF(AND(#REF!="Diferenciado",$H$4=#REF!),BDI!$E$17,IF(AND(#REF!="Diferenciado",$H$4=#REF!),BDI!#REF!,IF(#REF!="ZERO",0))))),"")</f>
        <v>#REF!</v>
      </c>
      <c r="H357" s="139" t="str">
        <f t="shared" si="16"/>
        <v/>
      </c>
      <c r="I357" s="137" t="str">
        <f t="shared" si="17"/>
        <v/>
      </c>
      <c r="J357" s="119"/>
    </row>
    <row r="358" spans="1:10" hidden="1" x14ac:dyDescent="0.25">
      <c r="A358" s="114" t="s">
        <v>1569</v>
      </c>
      <c r="B358" s="115" t="s">
        <v>5442</v>
      </c>
      <c r="C358" s="116" t="s">
        <v>70</v>
      </c>
      <c r="D358" s="116">
        <v>0</v>
      </c>
      <c r="E358" s="136" t="s">
        <v>416</v>
      </c>
      <c r="F358" s="137" t="str">
        <f t="shared" si="15"/>
        <v/>
      </c>
      <c r="G358" s="138" t="e">
        <f>IF(A358&lt;&gt;"",IF(AND(#REF!="Padrão",$H$4=#REF!),BDI!$B$17,IF(AND(#REF!="Padrão",$H$4=#REF!),BDI!#REF!,IF(AND(#REF!="Diferenciado",$H$4=#REF!),BDI!$E$17,IF(AND(#REF!="Diferenciado",$H$4=#REF!),BDI!#REF!,IF(#REF!="ZERO",0))))),"")</f>
        <v>#REF!</v>
      </c>
      <c r="H358" s="139" t="str">
        <f t="shared" si="16"/>
        <v/>
      </c>
      <c r="I358" s="137" t="str">
        <f t="shared" si="17"/>
        <v/>
      </c>
      <c r="J358" s="119"/>
    </row>
    <row r="359" spans="1:10" hidden="1" x14ac:dyDescent="0.25">
      <c r="A359" s="114" t="s">
        <v>569</v>
      </c>
      <c r="B359" s="115" t="s">
        <v>1570</v>
      </c>
      <c r="C359" s="116" t="s">
        <v>70</v>
      </c>
      <c r="D359" s="116">
        <v>0</v>
      </c>
      <c r="E359" s="136">
        <f ca="1">OFFSET(INDEX(Composições!A:J,MATCH(Orçamentária!A359,Composições!A:A,0),8),2,0)</f>
        <v>112.98824999999999</v>
      </c>
      <c r="F359" s="137">
        <f t="shared" ca="1" si="15"/>
        <v>0</v>
      </c>
      <c r="G359" s="138" t="e">
        <f>IF(A359&lt;&gt;"",IF(AND(#REF!="Padrão",$H$4=#REF!),BDI!$B$17,IF(AND(#REF!="Padrão",$H$4=#REF!),BDI!#REF!,IF(AND(#REF!="Diferenciado",$H$4=#REF!),BDI!$E$17,IF(AND(#REF!="Diferenciado",$H$4=#REF!),BDI!#REF!,IF(#REF!="ZERO",0))))),"")</f>
        <v>#REF!</v>
      </c>
      <c r="H359" s="139" t="e">
        <f t="shared" ca="1" si="16"/>
        <v>#REF!</v>
      </c>
      <c r="I359" s="137" t="e">
        <f t="shared" ca="1" si="17"/>
        <v>#REF!</v>
      </c>
      <c r="J359" s="117"/>
    </row>
    <row r="360" spans="1:10" hidden="1" x14ac:dyDescent="0.25">
      <c r="A360" s="114" t="s">
        <v>570</v>
      </c>
      <c r="B360" s="115" t="s">
        <v>1571</v>
      </c>
      <c r="C360" s="116" t="s">
        <v>70</v>
      </c>
      <c r="D360" s="116">
        <v>0</v>
      </c>
      <c r="E360" s="136">
        <f ca="1">OFFSET(INDEX(Composições!A:J,MATCH(Orçamentária!A360,Composições!A:A,0),8),2,0)</f>
        <v>215.441475</v>
      </c>
      <c r="F360" s="137">
        <f t="shared" ca="1" si="15"/>
        <v>0</v>
      </c>
      <c r="G360" s="138" t="e">
        <f>IF(A360&lt;&gt;"",IF(AND(#REF!="Padrão",$H$4=#REF!),BDI!$B$17,IF(AND(#REF!="Padrão",$H$4=#REF!),BDI!#REF!,IF(AND(#REF!="Diferenciado",$H$4=#REF!),BDI!$E$17,IF(AND(#REF!="Diferenciado",$H$4=#REF!),BDI!#REF!,IF(#REF!="ZERO",0))))),"")</f>
        <v>#REF!</v>
      </c>
      <c r="H360" s="139" t="e">
        <f t="shared" ca="1" si="16"/>
        <v>#REF!</v>
      </c>
      <c r="I360" s="137" t="e">
        <f t="shared" ca="1" si="17"/>
        <v>#REF!</v>
      </c>
      <c r="J360" s="119"/>
    </row>
    <row r="361" spans="1:10" hidden="1" x14ac:dyDescent="0.25">
      <c r="A361" s="114" t="s">
        <v>571</v>
      </c>
      <c r="B361" s="115" t="s">
        <v>5742</v>
      </c>
      <c r="C361" s="116" t="s">
        <v>70</v>
      </c>
      <c r="D361" s="116">
        <v>0</v>
      </c>
      <c r="E361" s="136">
        <f ca="1">OFFSET(INDEX(Composições!A:J,MATCH(Orçamentária!A361,Composições!A:A,0),8),2,0)</f>
        <v>233.8596</v>
      </c>
      <c r="F361" s="137">
        <f t="shared" ca="1" si="15"/>
        <v>0</v>
      </c>
      <c r="G361" s="138" t="e">
        <f>IF(A361&lt;&gt;"",IF(AND(#REF!="Padrão",$H$4=#REF!),BDI!$B$17,IF(AND(#REF!="Padrão",$H$4=#REF!),BDI!#REF!,IF(AND(#REF!="Diferenciado",$H$4=#REF!),BDI!$E$17,IF(AND(#REF!="Diferenciado",$H$4=#REF!),BDI!#REF!,IF(#REF!="ZERO",0))))),"")</f>
        <v>#REF!</v>
      </c>
      <c r="H361" s="139" t="e">
        <f t="shared" ca="1" si="16"/>
        <v>#REF!</v>
      </c>
      <c r="I361" s="137" t="e">
        <f t="shared" ca="1" si="17"/>
        <v>#REF!</v>
      </c>
      <c r="J361" s="119"/>
    </row>
    <row r="362" spans="1:10" hidden="1" x14ac:dyDescent="0.25">
      <c r="A362" s="114" t="s">
        <v>572</v>
      </c>
      <c r="B362" s="115" t="s">
        <v>5411</v>
      </c>
      <c r="C362" s="116" t="s">
        <v>70</v>
      </c>
      <c r="D362" s="116">
        <v>0</v>
      </c>
      <c r="E362" s="136">
        <f ca="1">OFFSET(INDEX(Composições!A:J,MATCH(Orçamentária!A362,Composições!A:A,0),8),2,0)</f>
        <v>179.0598</v>
      </c>
      <c r="F362" s="137">
        <f t="shared" ca="1" si="15"/>
        <v>0</v>
      </c>
      <c r="G362" s="138" t="e">
        <f>IF(A362&lt;&gt;"",IF(AND(#REF!="Padrão",$H$4=#REF!),BDI!$B$17,IF(AND(#REF!="Padrão",$H$4=#REF!),BDI!#REF!,IF(AND(#REF!="Diferenciado",$H$4=#REF!),BDI!$E$17,IF(AND(#REF!="Diferenciado",$H$4=#REF!),BDI!#REF!,IF(#REF!="ZERO",0))))),"")</f>
        <v>#REF!</v>
      </c>
      <c r="H362" s="139" t="e">
        <f t="shared" ca="1" si="16"/>
        <v>#REF!</v>
      </c>
      <c r="I362" s="137" t="e">
        <f t="shared" ca="1" si="17"/>
        <v>#REF!</v>
      </c>
      <c r="J362" s="119"/>
    </row>
    <row r="363" spans="1:10" hidden="1" x14ac:dyDescent="0.25">
      <c r="A363" s="114" t="s">
        <v>573</v>
      </c>
      <c r="B363" s="115" t="s">
        <v>1572</v>
      </c>
      <c r="C363" s="116" t="s">
        <v>16</v>
      </c>
      <c r="D363" s="116">
        <v>0</v>
      </c>
      <c r="E363" s="136">
        <f ca="1">OFFSET(INDEX(Composições!A:J,MATCH(Orçamentária!A363,Composições!A:A,0),8),2,0)</f>
        <v>46.768500000000003</v>
      </c>
      <c r="F363" s="137">
        <f t="shared" ca="1" si="15"/>
        <v>0</v>
      </c>
      <c r="G363" s="138" t="e">
        <f>IF(A363&lt;&gt;"",IF(AND(#REF!="Padrão",$H$4=#REF!),BDI!$B$17,IF(AND(#REF!="Padrão",$H$4=#REF!),BDI!#REF!,IF(AND(#REF!="Diferenciado",$H$4=#REF!),BDI!$E$17,IF(AND(#REF!="Diferenciado",$H$4=#REF!),BDI!#REF!,IF(#REF!="ZERO",0))))),"")</f>
        <v>#REF!</v>
      </c>
      <c r="H363" s="139" t="e">
        <f t="shared" ca="1" si="16"/>
        <v>#REF!</v>
      </c>
      <c r="I363" s="137" t="e">
        <f t="shared" ca="1" si="17"/>
        <v>#REF!</v>
      </c>
      <c r="J363" s="119"/>
    </row>
    <row r="364" spans="1:10" hidden="1" x14ac:dyDescent="0.25">
      <c r="A364" s="114" t="s">
        <v>575</v>
      </c>
      <c r="B364" s="115" t="s">
        <v>3086</v>
      </c>
      <c r="C364" s="116" t="s">
        <v>16</v>
      </c>
      <c r="D364" s="116">
        <v>0</v>
      </c>
      <c r="E364" s="136">
        <f ca="1">OFFSET(INDEX(Composições!A:J,MATCH(Orçamentária!A364,Composições!A:A,0),8),2,0)</f>
        <v>322.13263004999999</v>
      </c>
      <c r="F364" s="137">
        <f t="shared" ca="1" si="15"/>
        <v>0</v>
      </c>
      <c r="G364" s="138" t="e">
        <f>IF(A364&lt;&gt;"",IF(AND(#REF!="Padrão",$H$4=#REF!),BDI!$B$17,IF(AND(#REF!="Padrão",$H$4=#REF!),BDI!#REF!,IF(AND(#REF!="Diferenciado",$H$4=#REF!),BDI!$E$17,IF(AND(#REF!="Diferenciado",$H$4=#REF!),BDI!#REF!,IF(#REF!="ZERO",0))))),"")</f>
        <v>#REF!</v>
      </c>
      <c r="H364" s="139" t="e">
        <f t="shared" ca="1" si="16"/>
        <v>#REF!</v>
      </c>
      <c r="I364" s="137" t="e">
        <f t="shared" ca="1" si="17"/>
        <v>#REF!</v>
      </c>
      <c r="J364" s="117"/>
    </row>
    <row r="365" spans="1:10" hidden="1" x14ac:dyDescent="0.25">
      <c r="A365" s="114" t="s">
        <v>577</v>
      </c>
      <c r="B365" s="115" t="s">
        <v>1573</v>
      </c>
      <c r="C365" s="116" t="s">
        <v>70</v>
      </c>
      <c r="D365" s="116">
        <v>0</v>
      </c>
      <c r="E365" s="136">
        <f ca="1">OFFSET(INDEX(Composições!A:J,MATCH(Orçamentária!A365,Composições!A:A,0),8),2,0)</f>
        <v>13.697099999999999</v>
      </c>
      <c r="F365" s="137">
        <f t="shared" ca="1" si="15"/>
        <v>0</v>
      </c>
      <c r="G365" s="138" t="e">
        <f>IF(A365&lt;&gt;"",IF(AND(#REF!="Padrão",$H$4=#REF!),BDI!$B$17,IF(AND(#REF!="Padrão",$H$4=#REF!),BDI!#REF!,IF(AND(#REF!="Diferenciado",$H$4=#REF!),BDI!$E$17,IF(AND(#REF!="Diferenciado",$H$4=#REF!),BDI!#REF!,IF(#REF!="ZERO",0))))),"")</f>
        <v>#REF!</v>
      </c>
      <c r="H365" s="139" t="e">
        <f t="shared" ca="1" si="16"/>
        <v>#REF!</v>
      </c>
      <c r="I365" s="137" t="e">
        <f t="shared" ca="1" si="17"/>
        <v>#REF!</v>
      </c>
      <c r="J365" s="117"/>
    </row>
    <row r="366" spans="1:10" hidden="1" x14ac:dyDescent="0.25">
      <c r="A366" s="114" t="s">
        <v>579</v>
      </c>
      <c r="B366" s="115" t="s">
        <v>7609</v>
      </c>
      <c r="C366" s="116" t="s">
        <v>16</v>
      </c>
      <c r="D366" s="116">
        <v>0</v>
      </c>
      <c r="E366" s="136">
        <f ca="1">OFFSET(INDEX(Composições!A:J,MATCH(Orçamentária!A366,Composições!A:A,0),8),2,0)</f>
        <v>313.32890880000002</v>
      </c>
      <c r="F366" s="137">
        <f t="shared" ca="1" si="15"/>
        <v>0</v>
      </c>
      <c r="G366" s="138" t="e">
        <f>IF(A366&lt;&gt;"",IF(AND(#REF!="Padrão",$H$4=#REF!),BDI!$B$17,IF(AND(#REF!="Padrão",$H$4=#REF!),BDI!#REF!,IF(AND(#REF!="Diferenciado",$H$4=#REF!),BDI!$E$17,IF(AND(#REF!="Diferenciado",$H$4=#REF!),BDI!#REF!,IF(#REF!="ZERO",0))))),"")</f>
        <v>#REF!</v>
      </c>
      <c r="H366" s="139" t="e">
        <f t="shared" ca="1" si="16"/>
        <v>#REF!</v>
      </c>
      <c r="I366" s="137" t="e">
        <f t="shared" ca="1" si="17"/>
        <v>#REF!</v>
      </c>
      <c r="J366" s="117"/>
    </row>
    <row r="367" spans="1:10" hidden="1" x14ac:dyDescent="0.25">
      <c r="A367" s="114" t="s">
        <v>585</v>
      </c>
      <c r="B367" s="115" t="s">
        <v>7610</v>
      </c>
      <c r="C367" s="116" t="s">
        <v>16</v>
      </c>
      <c r="D367" s="116">
        <v>0</v>
      </c>
      <c r="E367" s="136">
        <f ca="1">OFFSET(INDEX(Composições!A:J,MATCH(Orçamentária!A367,Composições!A:A,0),8),2,0)</f>
        <v>328.07031244999996</v>
      </c>
      <c r="F367" s="137">
        <f t="shared" ca="1" si="15"/>
        <v>0</v>
      </c>
      <c r="G367" s="138" t="e">
        <f>IF(A367&lt;&gt;"",IF(AND(#REF!="Padrão",$H$4=#REF!),BDI!$B$17,IF(AND(#REF!="Padrão",$H$4=#REF!),BDI!#REF!,IF(AND(#REF!="Diferenciado",$H$4=#REF!),BDI!$E$17,IF(AND(#REF!="Diferenciado",$H$4=#REF!),BDI!#REF!,IF(#REF!="ZERO",0))))),"")</f>
        <v>#REF!</v>
      </c>
      <c r="H367" s="139" t="e">
        <f t="shared" ca="1" si="16"/>
        <v>#REF!</v>
      </c>
      <c r="I367" s="137" t="e">
        <f t="shared" ca="1" si="17"/>
        <v>#REF!</v>
      </c>
      <c r="J367" s="117"/>
    </row>
    <row r="368" spans="1:10" hidden="1" x14ac:dyDescent="0.25">
      <c r="A368" s="114" t="s">
        <v>586</v>
      </c>
      <c r="B368" s="115" t="s">
        <v>7611</v>
      </c>
      <c r="C368" s="116" t="s">
        <v>16</v>
      </c>
      <c r="D368" s="116">
        <v>0</v>
      </c>
      <c r="E368" s="136">
        <f ca="1">OFFSET(INDEX(Composições!A:J,MATCH(Orçamentária!A368,Composições!A:A,0),8),2,0)</f>
        <v>394.89358224999995</v>
      </c>
      <c r="F368" s="137">
        <f t="shared" ca="1" si="15"/>
        <v>0</v>
      </c>
      <c r="G368" s="138" t="e">
        <f>IF(A368&lt;&gt;"",IF(AND(#REF!="Padrão",$H$4=#REF!),BDI!$B$17,IF(AND(#REF!="Padrão",$H$4=#REF!),BDI!#REF!,IF(AND(#REF!="Diferenciado",$H$4=#REF!),BDI!$E$17,IF(AND(#REF!="Diferenciado",$H$4=#REF!),BDI!#REF!,IF(#REF!="ZERO",0))))),"")</f>
        <v>#REF!</v>
      </c>
      <c r="H368" s="139" t="e">
        <f t="shared" ca="1" si="16"/>
        <v>#REF!</v>
      </c>
      <c r="I368" s="137" t="e">
        <f t="shared" ca="1" si="17"/>
        <v>#REF!</v>
      </c>
      <c r="J368" s="117"/>
    </row>
    <row r="369" spans="1:10" hidden="1" x14ac:dyDescent="0.25">
      <c r="A369" s="114" t="s">
        <v>587</v>
      </c>
      <c r="B369" s="115" t="s">
        <v>7612</v>
      </c>
      <c r="C369" s="116" t="s">
        <v>16</v>
      </c>
      <c r="D369" s="116">
        <v>0</v>
      </c>
      <c r="E369" s="136">
        <f ca="1">OFFSET(INDEX(Composições!A:J,MATCH(Orçamentária!A369,Composições!A:A,0),8),2,0)</f>
        <v>447.88485204999995</v>
      </c>
      <c r="F369" s="137">
        <f t="shared" ca="1" si="15"/>
        <v>0</v>
      </c>
      <c r="G369" s="138" t="e">
        <f>IF(A369&lt;&gt;"",IF(AND(#REF!="Padrão",$H$4=#REF!),BDI!$B$17,IF(AND(#REF!="Padrão",$H$4=#REF!),BDI!#REF!,IF(AND(#REF!="Diferenciado",$H$4=#REF!),BDI!$E$17,IF(AND(#REF!="Diferenciado",$H$4=#REF!),BDI!#REF!,IF(#REF!="ZERO",0))))),"")</f>
        <v>#REF!</v>
      </c>
      <c r="H369" s="139" t="e">
        <f t="shared" ca="1" si="16"/>
        <v>#REF!</v>
      </c>
      <c r="I369" s="137" t="e">
        <f t="shared" ca="1" si="17"/>
        <v>#REF!</v>
      </c>
      <c r="J369" s="117"/>
    </row>
    <row r="370" spans="1:10" hidden="1" x14ac:dyDescent="0.25">
      <c r="A370" s="114" t="s">
        <v>588</v>
      </c>
      <c r="B370" s="115" t="s">
        <v>7613</v>
      </c>
      <c r="C370" s="116" t="s">
        <v>16</v>
      </c>
      <c r="D370" s="116">
        <v>0</v>
      </c>
      <c r="E370" s="136">
        <f ca="1">OFFSET(INDEX(Composições!A:J,MATCH(Orçamentária!A370,Composições!A:A,0),8),2,0)</f>
        <v>479.37404985000001</v>
      </c>
      <c r="F370" s="137">
        <f t="shared" ca="1" si="15"/>
        <v>0</v>
      </c>
      <c r="G370" s="138" t="e">
        <f>IF(A370&lt;&gt;"",IF(AND(#REF!="Padrão",$H$4=#REF!),BDI!$B$17,IF(AND(#REF!="Padrão",$H$4=#REF!),BDI!#REF!,IF(AND(#REF!="Diferenciado",$H$4=#REF!),BDI!$E$17,IF(AND(#REF!="Diferenciado",$H$4=#REF!),BDI!#REF!,IF(#REF!="ZERO",0))))),"")</f>
        <v>#REF!</v>
      </c>
      <c r="H370" s="139" t="e">
        <f t="shared" ca="1" si="16"/>
        <v>#REF!</v>
      </c>
      <c r="I370" s="137" t="e">
        <f t="shared" ca="1" si="17"/>
        <v>#REF!</v>
      </c>
      <c r="J370" s="117"/>
    </row>
    <row r="371" spans="1:10" hidden="1" x14ac:dyDescent="0.25">
      <c r="A371" s="114" t="s">
        <v>589</v>
      </c>
      <c r="B371" s="115" t="s">
        <v>1574</v>
      </c>
      <c r="C371" s="116" t="s">
        <v>16</v>
      </c>
      <c r="D371" s="116">
        <v>0</v>
      </c>
      <c r="E371" s="136">
        <f ca="1">OFFSET(INDEX(Composições!A:J,MATCH(Orçamentária!A371,Composições!A:A,0),8),2,0)</f>
        <v>98.792523499999987</v>
      </c>
      <c r="F371" s="137">
        <f t="shared" ca="1" si="15"/>
        <v>0</v>
      </c>
      <c r="G371" s="138" t="e">
        <f>IF(A371&lt;&gt;"",IF(AND(#REF!="Padrão",$H$4=#REF!),BDI!$B$17,IF(AND(#REF!="Padrão",$H$4=#REF!),BDI!#REF!,IF(AND(#REF!="Diferenciado",$H$4=#REF!),BDI!$E$17,IF(AND(#REF!="Diferenciado",$H$4=#REF!),BDI!#REF!,IF(#REF!="ZERO",0))))),"")</f>
        <v>#REF!</v>
      </c>
      <c r="H371" s="139" t="e">
        <f t="shared" ca="1" si="16"/>
        <v>#REF!</v>
      </c>
      <c r="I371" s="137" t="e">
        <f t="shared" ca="1" si="17"/>
        <v>#REF!</v>
      </c>
      <c r="J371" s="117"/>
    </row>
    <row r="372" spans="1:10" hidden="1" x14ac:dyDescent="0.25">
      <c r="A372" s="114" t="s">
        <v>590</v>
      </c>
      <c r="B372" s="115" t="s">
        <v>1575</v>
      </c>
      <c r="C372" s="116" t="s">
        <v>16</v>
      </c>
      <c r="D372" s="116">
        <v>0</v>
      </c>
      <c r="E372" s="136">
        <f ca="1">OFFSET(INDEX(Composições!A:J,MATCH(Orçamentária!A372,Composições!A:A,0),8),2,0)</f>
        <v>71.879944999999992</v>
      </c>
      <c r="F372" s="137">
        <f t="shared" ca="1" si="15"/>
        <v>0</v>
      </c>
      <c r="G372" s="138" t="e">
        <f>IF(A372&lt;&gt;"",IF(AND(#REF!="Padrão",$H$4=#REF!),BDI!$B$17,IF(AND(#REF!="Padrão",$H$4=#REF!),BDI!#REF!,IF(AND(#REF!="Diferenciado",$H$4=#REF!),BDI!$E$17,IF(AND(#REF!="Diferenciado",$H$4=#REF!),BDI!#REF!,IF(#REF!="ZERO",0))))),"")</f>
        <v>#REF!</v>
      </c>
      <c r="H372" s="139" t="e">
        <f t="shared" ca="1" si="16"/>
        <v>#REF!</v>
      </c>
      <c r="I372" s="137" t="e">
        <f t="shared" ca="1" si="17"/>
        <v>#REF!</v>
      </c>
      <c r="J372" s="117"/>
    </row>
    <row r="373" spans="1:10" hidden="1" x14ac:dyDescent="0.25">
      <c r="A373" s="114" t="s">
        <v>592</v>
      </c>
      <c r="B373" s="115" t="s">
        <v>1576</v>
      </c>
      <c r="C373" s="116" t="s">
        <v>16</v>
      </c>
      <c r="D373" s="116">
        <v>0</v>
      </c>
      <c r="E373" s="136">
        <f ca="1">OFFSET(INDEX(Composições!A:J,MATCH(Orçamentária!A373,Composições!A:A,0),8),2,0)</f>
        <v>63.199794999999995</v>
      </c>
      <c r="F373" s="137">
        <f t="shared" ca="1" si="15"/>
        <v>0</v>
      </c>
      <c r="G373" s="138" t="e">
        <f>IF(A373&lt;&gt;"",IF(AND(#REF!="Padrão",$H$4=#REF!),BDI!$B$17,IF(AND(#REF!="Padrão",$H$4=#REF!),BDI!#REF!,IF(AND(#REF!="Diferenciado",$H$4=#REF!),BDI!$E$17,IF(AND(#REF!="Diferenciado",$H$4=#REF!),BDI!#REF!,IF(#REF!="ZERO",0))))),"")</f>
        <v>#REF!</v>
      </c>
      <c r="H373" s="139" t="e">
        <f t="shared" ca="1" si="16"/>
        <v>#REF!</v>
      </c>
      <c r="I373" s="137" t="e">
        <f t="shared" ca="1" si="17"/>
        <v>#REF!</v>
      </c>
      <c r="J373" s="117"/>
    </row>
    <row r="374" spans="1:10" hidden="1" x14ac:dyDescent="0.25">
      <c r="A374" s="114" t="s">
        <v>593</v>
      </c>
      <c r="B374" s="115" t="s">
        <v>1577</v>
      </c>
      <c r="C374" s="116" t="s">
        <v>16</v>
      </c>
      <c r="D374" s="116">
        <v>0</v>
      </c>
      <c r="E374" s="136">
        <f ca="1">OFFSET(INDEX(Composições!A:J,MATCH(Orçamentária!A374,Composições!A:A,0),8),2,0)</f>
        <v>27.498433999999996</v>
      </c>
      <c r="F374" s="137">
        <f t="shared" ca="1" si="15"/>
        <v>0</v>
      </c>
      <c r="G374" s="138" t="e">
        <f>IF(A374&lt;&gt;"",IF(AND(#REF!="Padrão",$H$4=#REF!),BDI!$B$17,IF(AND(#REF!="Padrão",$H$4=#REF!),BDI!#REF!,IF(AND(#REF!="Diferenciado",$H$4=#REF!),BDI!$E$17,IF(AND(#REF!="Diferenciado",$H$4=#REF!),BDI!#REF!,IF(#REF!="ZERO",0))))),"")</f>
        <v>#REF!</v>
      </c>
      <c r="H374" s="139" t="e">
        <f t="shared" ca="1" si="16"/>
        <v>#REF!</v>
      </c>
      <c r="I374" s="137" t="e">
        <f t="shared" ca="1" si="17"/>
        <v>#REF!</v>
      </c>
      <c r="J374" s="117"/>
    </row>
    <row r="375" spans="1:10" hidden="1" x14ac:dyDescent="0.25">
      <c r="A375" s="114" t="s">
        <v>595</v>
      </c>
      <c r="B375" s="115" t="s">
        <v>1578</v>
      </c>
      <c r="C375" s="116" t="s">
        <v>16</v>
      </c>
      <c r="D375" s="116">
        <v>0</v>
      </c>
      <c r="E375" s="136">
        <f ca="1">OFFSET(INDEX(Composições!A:J,MATCH(Orçamentária!A375,Composições!A:A,0),8),2,0)</f>
        <v>35.910427499999997</v>
      </c>
      <c r="F375" s="137">
        <f t="shared" ca="1" si="15"/>
        <v>0</v>
      </c>
      <c r="G375" s="138" t="e">
        <f>IF(A375&lt;&gt;"",IF(AND(#REF!="Padrão",$H$4=#REF!),BDI!$B$17,IF(AND(#REF!="Padrão",$H$4=#REF!),BDI!#REF!,IF(AND(#REF!="Diferenciado",$H$4=#REF!),BDI!$E$17,IF(AND(#REF!="Diferenciado",$H$4=#REF!),BDI!#REF!,IF(#REF!="ZERO",0))))),"")</f>
        <v>#REF!</v>
      </c>
      <c r="H375" s="139" t="e">
        <f t="shared" ca="1" si="16"/>
        <v>#REF!</v>
      </c>
      <c r="I375" s="137" t="e">
        <f t="shared" ca="1" si="17"/>
        <v>#REF!</v>
      </c>
      <c r="J375" s="117"/>
    </row>
    <row r="376" spans="1:10" hidden="1" x14ac:dyDescent="0.25">
      <c r="A376" s="114" t="s">
        <v>597</v>
      </c>
      <c r="B376" s="115" t="s">
        <v>1579</v>
      </c>
      <c r="C376" s="116" t="s">
        <v>16</v>
      </c>
      <c r="D376" s="116">
        <v>0</v>
      </c>
      <c r="E376" s="136">
        <f ca="1">OFFSET(INDEX(Composições!A:J,MATCH(Orçamentária!A376,Composições!A:A,0),8),2,0)</f>
        <v>35.910427499999997</v>
      </c>
      <c r="F376" s="137">
        <f t="shared" ca="1" si="15"/>
        <v>0</v>
      </c>
      <c r="G376" s="138" t="e">
        <f>IF(A376&lt;&gt;"",IF(AND(#REF!="Padrão",$H$4=#REF!),BDI!$B$17,IF(AND(#REF!="Padrão",$H$4=#REF!),BDI!#REF!,IF(AND(#REF!="Diferenciado",$H$4=#REF!),BDI!$E$17,IF(AND(#REF!="Diferenciado",$H$4=#REF!),BDI!#REF!,IF(#REF!="ZERO",0))))),"")</f>
        <v>#REF!</v>
      </c>
      <c r="H376" s="139" t="e">
        <f t="shared" ca="1" si="16"/>
        <v>#REF!</v>
      </c>
      <c r="I376" s="137" t="e">
        <f t="shared" ca="1" si="17"/>
        <v>#REF!</v>
      </c>
      <c r="J376" s="117"/>
    </row>
    <row r="377" spans="1:10" hidden="1" x14ac:dyDescent="0.25">
      <c r="A377" s="114" t="s">
        <v>599</v>
      </c>
      <c r="B377" s="115" t="s">
        <v>1580</v>
      </c>
      <c r="C377" s="116" t="s">
        <v>16</v>
      </c>
      <c r="D377" s="116">
        <v>0</v>
      </c>
      <c r="E377" s="136">
        <f ca="1">OFFSET(INDEX(Composições!A:J,MATCH(Orçamentária!A377,Composições!A:A,0),8),2,0)</f>
        <v>35.910427499999997</v>
      </c>
      <c r="F377" s="137">
        <f t="shared" ca="1" si="15"/>
        <v>0</v>
      </c>
      <c r="G377" s="138" t="e">
        <f>IF(A377&lt;&gt;"",IF(AND(#REF!="Padrão",$H$4=#REF!),BDI!$B$17,IF(AND(#REF!="Padrão",$H$4=#REF!),BDI!#REF!,IF(AND(#REF!="Diferenciado",$H$4=#REF!),BDI!$E$17,IF(AND(#REF!="Diferenciado",$H$4=#REF!),BDI!#REF!,IF(#REF!="ZERO",0))))),"")</f>
        <v>#REF!</v>
      </c>
      <c r="H377" s="139" t="e">
        <f t="shared" ca="1" si="16"/>
        <v>#REF!</v>
      </c>
      <c r="I377" s="137" t="e">
        <f t="shared" ca="1" si="17"/>
        <v>#REF!</v>
      </c>
      <c r="J377" s="117"/>
    </row>
    <row r="378" spans="1:10" hidden="1" x14ac:dyDescent="0.25">
      <c r="A378" s="114" t="s">
        <v>600</v>
      </c>
      <c r="B378" s="115" t="s">
        <v>1581</v>
      </c>
      <c r="C378" s="116" t="s">
        <v>16</v>
      </c>
      <c r="D378" s="116">
        <v>0</v>
      </c>
      <c r="E378" s="136">
        <f ca="1">OFFSET(INDEX(Composições!A:J,MATCH(Orçamentária!A378,Composições!A:A,0),8),2,0)</f>
        <v>25.4315</v>
      </c>
      <c r="F378" s="137">
        <f t="shared" ca="1" si="15"/>
        <v>0</v>
      </c>
      <c r="G378" s="138" t="e">
        <f>IF(A378&lt;&gt;"",IF(AND(#REF!="Padrão",$H$4=#REF!),BDI!$B$17,IF(AND(#REF!="Padrão",$H$4=#REF!),BDI!#REF!,IF(AND(#REF!="Diferenciado",$H$4=#REF!),BDI!$E$17,IF(AND(#REF!="Diferenciado",$H$4=#REF!),BDI!#REF!,IF(#REF!="ZERO",0))))),"")</f>
        <v>#REF!</v>
      </c>
      <c r="H378" s="139" t="e">
        <f t="shared" ca="1" si="16"/>
        <v>#REF!</v>
      </c>
      <c r="I378" s="137" t="e">
        <f t="shared" ca="1" si="17"/>
        <v>#REF!</v>
      </c>
      <c r="J378" s="117"/>
    </row>
    <row r="379" spans="1:10" hidden="1" x14ac:dyDescent="0.25">
      <c r="A379" s="114" t="s">
        <v>602</v>
      </c>
      <c r="B379" s="115" t="s">
        <v>1582</v>
      </c>
      <c r="C379" s="116" t="s">
        <v>16</v>
      </c>
      <c r="D379" s="116">
        <v>0</v>
      </c>
      <c r="E379" s="136">
        <f ca="1">OFFSET(INDEX(Composições!A:J,MATCH(Orçamentária!A379,Composições!A:A,0),8),2,0)</f>
        <v>12.71575</v>
      </c>
      <c r="F379" s="137">
        <f t="shared" ca="1" si="15"/>
        <v>0</v>
      </c>
      <c r="G379" s="138" t="e">
        <f>IF(A379&lt;&gt;"",IF(AND(#REF!="Padrão",$H$4=#REF!),BDI!$B$17,IF(AND(#REF!="Padrão",$H$4=#REF!),BDI!#REF!,IF(AND(#REF!="Diferenciado",$H$4=#REF!),BDI!$E$17,IF(AND(#REF!="Diferenciado",$H$4=#REF!),BDI!#REF!,IF(#REF!="ZERO",0))))),"")</f>
        <v>#REF!</v>
      </c>
      <c r="H379" s="139" t="e">
        <f t="shared" ca="1" si="16"/>
        <v>#REF!</v>
      </c>
      <c r="I379" s="137" t="e">
        <f t="shared" ca="1" si="17"/>
        <v>#REF!</v>
      </c>
      <c r="J379" s="117"/>
    </row>
    <row r="380" spans="1:10" hidden="1" x14ac:dyDescent="0.25">
      <c r="A380" s="114" t="s">
        <v>604</v>
      </c>
      <c r="B380" s="115" t="s">
        <v>1583</v>
      </c>
      <c r="C380" s="116" t="s">
        <v>69</v>
      </c>
      <c r="D380" s="116">
        <v>0</v>
      </c>
      <c r="E380" s="136">
        <f ca="1">OFFSET(INDEX(Composições!A:J,MATCH(Orçamentária!A380,Composições!A:A,0),8),2,0)</f>
        <v>0.1383732</v>
      </c>
      <c r="F380" s="137">
        <f t="shared" ca="1" si="15"/>
        <v>0</v>
      </c>
      <c r="G380" s="138" t="e">
        <f>IF(A380&lt;&gt;"",IF(AND(#REF!="Padrão",$H$4=#REF!),BDI!$B$17,IF(AND(#REF!="Padrão",$H$4=#REF!),BDI!#REF!,IF(AND(#REF!="Diferenciado",$H$4=#REF!),BDI!$E$17,IF(AND(#REF!="Diferenciado",$H$4=#REF!),BDI!#REF!,IF(#REF!="ZERO",0))))),"")</f>
        <v>#REF!</v>
      </c>
      <c r="H380" s="139" t="e">
        <f t="shared" ca="1" si="16"/>
        <v>#REF!</v>
      </c>
      <c r="I380" s="137" t="e">
        <f t="shared" ca="1" si="17"/>
        <v>#REF!</v>
      </c>
      <c r="J380" s="117"/>
    </row>
    <row r="381" spans="1:10" hidden="1" x14ac:dyDescent="0.25">
      <c r="A381" s="114" t="s">
        <v>606</v>
      </c>
      <c r="B381" s="115" t="s">
        <v>1584</v>
      </c>
      <c r="C381" s="116" t="s">
        <v>16</v>
      </c>
      <c r="D381" s="116">
        <v>0</v>
      </c>
      <c r="E381" s="136">
        <f ca="1">OFFSET(INDEX(Composições!A:J,MATCH(Orçamentária!A381,Composições!A:A,0),8),2,0)</f>
        <v>20.3803956</v>
      </c>
      <c r="F381" s="137">
        <f t="shared" ca="1" si="15"/>
        <v>0</v>
      </c>
      <c r="G381" s="138" t="e">
        <f>IF(A381&lt;&gt;"",IF(AND(#REF!="Padrão",$H$4=#REF!),BDI!$B$17,IF(AND(#REF!="Padrão",$H$4=#REF!),BDI!#REF!,IF(AND(#REF!="Diferenciado",$H$4=#REF!),BDI!$E$17,IF(AND(#REF!="Diferenciado",$H$4=#REF!),BDI!#REF!,IF(#REF!="ZERO",0))))),"")</f>
        <v>#REF!</v>
      </c>
      <c r="H381" s="139" t="e">
        <f t="shared" ca="1" si="16"/>
        <v>#REF!</v>
      </c>
      <c r="I381" s="137" t="e">
        <f t="shared" ca="1" si="17"/>
        <v>#REF!</v>
      </c>
      <c r="J381" s="117"/>
    </row>
    <row r="382" spans="1:10" hidden="1" x14ac:dyDescent="0.25">
      <c r="A382" s="114" t="s">
        <v>610</v>
      </c>
      <c r="B382" s="115" t="s">
        <v>1585</v>
      </c>
      <c r="C382" s="116" t="s">
        <v>16</v>
      </c>
      <c r="D382" s="116">
        <v>0</v>
      </c>
      <c r="E382" s="136">
        <f ca="1">OFFSET(INDEX(Composições!A:J,MATCH(Orçamentária!A382,Composições!A:A,0),8),2,0)</f>
        <v>306.4323933</v>
      </c>
      <c r="F382" s="137">
        <f t="shared" ca="1" si="15"/>
        <v>0</v>
      </c>
      <c r="G382" s="138" t="e">
        <f>IF(A382&lt;&gt;"",IF(AND(#REF!="Padrão",$H$4=#REF!),BDI!$B$17,IF(AND(#REF!="Padrão",$H$4=#REF!),BDI!#REF!,IF(AND(#REF!="Diferenciado",$H$4=#REF!),BDI!$E$17,IF(AND(#REF!="Diferenciado",$H$4=#REF!),BDI!#REF!,IF(#REF!="ZERO",0))))),"")</f>
        <v>#REF!</v>
      </c>
      <c r="H382" s="139" t="e">
        <f t="shared" ca="1" si="16"/>
        <v>#REF!</v>
      </c>
      <c r="I382" s="137" t="e">
        <f t="shared" ca="1" si="17"/>
        <v>#REF!</v>
      </c>
      <c r="J382" s="117"/>
    </row>
    <row r="383" spans="1:10" hidden="1" x14ac:dyDescent="0.25">
      <c r="A383" s="114" t="s">
        <v>612</v>
      </c>
      <c r="B383" s="115" t="s">
        <v>1586</v>
      </c>
      <c r="C383" s="116" t="s">
        <v>69</v>
      </c>
      <c r="D383" s="116">
        <v>0</v>
      </c>
      <c r="E383" s="136">
        <f ca="1">OFFSET(INDEX(Composições!A:J,MATCH(Orçamentária!A383,Composições!A:A,0),8),2,0)</f>
        <v>4.4944329000000005</v>
      </c>
      <c r="F383" s="137">
        <f t="shared" ca="1" si="15"/>
        <v>0</v>
      </c>
      <c r="G383" s="138" t="e">
        <f>IF(A383&lt;&gt;"",IF(AND(#REF!="Padrão",$H$4=#REF!),BDI!$B$17,IF(AND(#REF!="Padrão",$H$4=#REF!),BDI!#REF!,IF(AND(#REF!="Diferenciado",$H$4=#REF!),BDI!$E$17,IF(AND(#REF!="Diferenciado",$H$4=#REF!),BDI!#REF!,IF(#REF!="ZERO",0))))),"")</f>
        <v>#REF!</v>
      </c>
      <c r="H383" s="139" t="e">
        <f t="shared" ca="1" si="16"/>
        <v>#REF!</v>
      </c>
      <c r="I383" s="137" t="e">
        <f t="shared" ca="1" si="17"/>
        <v>#REF!</v>
      </c>
      <c r="J383" s="117"/>
    </row>
    <row r="384" spans="1:10" hidden="1" x14ac:dyDescent="0.25">
      <c r="A384" s="114" t="s">
        <v>614</v>
      </c>
      <c r="B384" s="115" t="s">
        <v>1587</v>
      </c>
      <c r="C384" s="116" t="s">
        <v>16</v>
      </c>
      <c r="D384" s="116">
        <v>0</v>
      </c>
      <c r="E384" s="136">
        <f ca="1">OFFSET(INDEX(Composições!A:J,MATCH(Orçamentária!A384,Composições!A:A,0),8),2,0)</f>
        <v>45.767697799999993</v>
      </c>
      <c r="F384" s="137">
        <f t="shared" ca="1" si="15"/>
        <v>0</v>
      </c>
      <c r="G384" s="138" t="e">
        <f>IF(A384&lt;&gt;"",IF(AND(#REF!="Padrão",$H$4=#REF!),BDI!$B$17,IF(AND(#REF!="Padrão",$H$4=#REF!),BDI!#REF!,IF(AND(#REF!="Diferenciado",$H$4=#REF!),BDI!$E$17,IF(AND(#REF!="Diferenciado",$H$4=#REF!),BDI!#REF!,IF(#REF!="ZERO",0))))),"")</f>
        <v>#REF!</v>
      </c>
      <c r="H384" s="139" t="e">
        <f t="shared" ca="1" si="16"/>
        <v>#REF!</v>
      </c>
      <c r="I384" s="137" t="e">
        <f t="shared" ca="1" si="17"/>
        <v>#REF!</v>
      </c>
      <c r="J384" s="117"/>
    </row>
    <row r="385" spans="1:10" hidden="1" x14ac:dyDescent="0.25">
      <c r="A385" s="114" t="s">
        <v>616</v>
      </c>
      <c r="B385" s="115" t="s">
        <v>7614</v>
      </c>
      <c r="C385" s="116" t="s">
        <v>16</v>
      </c>
      <c r="D385" s="116">
        <v>0</v>
      </c>
      <c r="E385" s="136">
        <f ca="1">OFFSET(INDEX(Composições!A:J,MATCH(Orçamentária!A385,Composições!A:A,0),8),2,0)</f>
        <v>183.20749999999998</v>
      </c>
      <c r="F385" s="137">
        <f t="shared" ca="1" si="15"/>
        <v>0</v>
      </c>
      <c r="G385" s="138" t="e">
        <f>IF(A385&lt;&gt;"",IF(AND(#REF!="Padrão",$H$4=#REF!),BDI!$B$17,IF(AND(#REF!="Padrão",$H$4=#REF!),BDI!#REF!,IF(AND(#REF!="Diferenciado",$H$4=#REF!),BDI!$E$17,IF(AND(#REF!="Diferenciado",$H$4=#REF!),BDI!#REF!,IF(#REF!="ZERO",0))))),"")</f>
        <v>#REF!</v>
      </c>
      <c r="H385" s="139" t="e">
        <f t="shared" ca="1" si="16"/>
        <v>#REF!</v>
      </c>
      <c r="I385" s="137" t="e">
        <f t="shared" ca="1" si="17"/>
        <v>#REF!</v>
      </c>
      <c r="J385" s="117"/>
    </row>
    <row r="386" spans="1:10" hidden="1" x14ac:dyDescent="0.25">
      <c r="A386" s="114" t="s">
        <v>1588</v>
      </c>
      <c r="B386" s="115" t="s">
        <v>1589</v>
      </c>
      <c r="C386" s="116" t="s">
        <v>5413</v>
      </c>
      <c r="D386" s="116">
        <v>0</v>
      </c>
      <c r="E386" s="136" t="s">
        <v>416</v>
      </c>
      <c r="F386" s="137" t="str">
        <f t="shared" si="15"/>
        <v/>
      </c>
      <c r="G386" s="138" t="e">
        <f>IF(A386&lt;&gt;"",IF(AND(#REF!="Padrão",$H$4=#REF!),BDI!$B$17,IF(AND(#REF!="Padrão",$H$4=#REF!),BDI!#REF!,IF(AND(#REF!="Diferenciado",$H$4=#REF!),BDI!$E$17,IF(AND(#REF!="Diferenciado",$H$4=#REF!),BDI!#REF!,IF(#REF!="ZERO",0))))),"")</f>
        <v>#REF!</v>
      </c>
      <c r="H386" s="139" t="str">
        <f t="shared" si="16"/>
        <v/>
      </c>
      <c r="I386" s="137" t="str">
        <f t="shared" si="17"/>
        <v/>
      </c>
      <c r="J386" s="117"/>
    </row>
    <row r="387" spans="1:10" hidden="1" x14ac:dyDescent="0.25">
      <c r="A387" s="114" t="s">
        <v>1590</v>
      </c>
      <c r="B387" s="115" t="s">
        <v>1591</v>
      </c>
      <c r="C387" s="116" t="s">
        <v>75</v>
      </c>
      <c r="D387" s="116">
        <v>0</v>
      </c>
      <c r="E387" s="136" t="s">
        <v>416</v>
      </c>
      <c r="F387" s="137" t="str">
        <f t="shared" si="15"/>
        <v/>
      </c>
      <c r="G387" s="138" t="e">
        <f>IF(A387&lt;&gt;"",IF(AND(#REF!="Padrão",$H$4=#REF!),BDI!$B$17,IF(AND(#REF!="Padrão",$H$4=#REF!),BDI!#REF!,IF(AND(#REF!="Diferenciado",$H$4=#REF!),BDI!$E$17,IF(AND(#REF!="Diferenciado",$H$4=#REF!),BDI!#REF!,IF(#REF!="ZERO",0))))),"")</f>
        <v>#REF!</v>
      </c>
      <c r="H387" s="139" t="str">
        <f t="shared" si="16"/>
        <v/>
      </c>
      <c r="I387" s="137" t="str">
        <f t="shared" si="17"/>
        <v/>
      </c>
      <c r="J387" s="117"/>
    </row>
    <row r="388" spans="1:10" hidden="1" x14ac:dyDescent="0.25">
      <c r="A388" s="114" t="s">
        <v>1592</v>
      </c>
      <c r="B388" s="115" t="s">
        <v>1593</v>
      </c>
      <c r="C388" s="116" t="s">
        <v>5412</v>
      </c>
      <c r="D388" s="116">
        <v>0</v>
      </c>
      <c r="E388" s="136" t="s">
        <v>416</v>
      </c>
      <c r="F388" s="137" t="str">
        <f t="shared" si="15"/>
        <v/>
      </c>
      <c r="G388" s="138" t="e">
        <f>IF(A388&lt;&gt;"",IF(AND(#REF!="Padrão",$H$4=#REF!),BDI!$B$17,IF(AND(#REF!="Padrão",$H$4=#REF!),BDI!#REF!,IF(AND(#REF!="Diferenciado",$H$4=#REF!),BDI!$E$17,IF(AND(#REF!="Diferenciado",$H$4=#REF!),BDI!#REF!,IF(#REF!="ZERO",0))))),"")</f>
        <v>#REF!</v>
      </c>
      <c r="H388" s="139" t="str">
        <f t="shared" si="16"/>
        <v/>
      </c>
      <c r="I388" s="137" t="str">
        <f t="shared" si="17"/>
        <v/>
      </c>
      <c r="J388" s="117"/>
    </row>
    <row r="389" spans="1:10" hidden="1" x14ac:dyDescent="0.25">
      <c r="A389" s="114" t="s">
        <v>1594</v>
      </c>
      <c r="B389" s="115" t="s">
        <v>1595</v>
      </c>
      <c r="C389" s="116" t="s">
        <v>28</v>
      </c>
      <c r="D389" s="116">
        <v>0</v>
      </c>
      <c r="E389" s="136" t="s">
        <v>416</v>
      </c>
      <c r="F389" s="137" t="str">
        <f t="shared" si="15"/>
        <v/>
      </c>
      <c r="G389" s="138" t="e">
        <f>IF(A389&lt;&gt;"",IF(AND(#REF!="Padrão",$H$4=#REF!),BDI!$B$17,IF(AND(#REF!="Padrão",$H$4=#REF!),BDI!#REF!,IF(AND(#REF!="Diferenciado",$H$4=#REF!),BDI!$E$17,IF(AND(#REF!="Diferenciado",$H$4=#REF!),BDI!#REF!,IF(#REF!="ZERO",0))))),"")</f>
        <v>#REF!</v>
      </c>
      <c r="H389" s="139" t="str">
        <f t="shared" si="16"/>
        <v/>
      </c>
      <c r="I389" s="137" t="str">
        <f t="shared" si="17"/>
        <v/>
      </c>
      <c r="J389" s="117"/>
    </row>
    <row r="390" spans="1:10" hidden="1" x14ac:dyDescent="0.25">
      <c r="A390" s="114" t="s">
        <v>1596</v>
      </c>
      <c r="B390" s="115" t="s">
        <v>1597</v>
      </c>
      <c r="C390" s="116" t="s">
        <v>28</v>
      </c>
      <c r="D390" s="116">
        <v>0</v>
      </c>
      <c r="E390" s="136" t="s">
        <v>416</v>
      </c>
      <c r="F390" s="137" t="str">
        <f t="shared" si="15"/>
        <v/>
      </c>
      <c r="G390" s="138" t="e">
        <f>IF(A390&lt;&gt;"",IF(AND(#REF!="Padrão",$H$4=#REF!),BDI!$B$17,IF(AND(#REF!="Padrão",$H$4=#REF!),BDI!#REF!,IF(AND(#REF!="Diferenciado",$H$4=#REF!),BDI!$E$17,IF(AND(#REF!="Diferenciado",$H$4=#REF!),BDI!#REF!,IF(#REF!="ZERO",0))))),"")</f>
        <v>#REF!</v>
      </c>
      <c r="H390" s="139" t="str">
        <f t="shared" si="16"/>
        <v/>
      </c>
      <c r="I390" s="137" t="str">
        <f t="shared" si="17"/>
        <v/>
      </c>
      <c r="J390" s="117"/>
    </row>
    <row r="391" spans="1:10" hidden="1" x14ac:dyDescent="0.25">
      <c r="A391" s="114" t="s">
        <v>1598</v>
      </c>
      <c r="B391" s="115" t="s">
        <v>1599</v>
      </c>
      <c r="C391" s="116" t="s">
        <v>1600</v>
      </c>
      <c r="D391" s="116">
        <v>0</v>
      </c>
      <c r="E391" s="136" t="s">
        <v>416</v>
      </c>
      <c r="F391" s="137" t="str">
        <f t="shared" ref="F391:F454" si="18">IF(ISNUMBER(E391),D391*E391,"")</f>
        <v/>
      </c>
      <c r="G391" s="138" t="e">
        <f>IF(A391&lt;&gt;"",IF(AND(#REF!="Padrão",$H$4=#REF!),BDI!$B$17,IF(AND(#REF!="Padrão",$H$4=#REF!),BDI!#REF!,IF(AND(#REF!="Diferenciado",$H$4=#REF!),BDI!$E$17,IF(AND(#REF!="Diferenciado",$H$4=#REF!),BDI!#REF!,IF(#REF!="ZERO",0))))),"")</f>
        <v>#REF!</v>
      </c>
      <c r="H391" s="139" t="str">
        <f t="shared" ref="H391:H454" si="19">IF(ISNUMBER(E391),ROUND(E391*(1+G391),2),"")</f>
        <v/>
      </c>
      <c r="I391" s="137" t="str">
        <f t="shared" ref="I391:I454" si="20">IF(ISNUMBER(E391),ROUND(H391*D391,2),"")</f>
        <v/>
      </c>
      <c r="J391" s="117"/>
    </row>
    <row r="392" spans="1:10" hidden="1" x14ac:dyDescent="0.25">
      <c r="A392" s="114" t="s">
        <v>1601</v>
      </c>
      <c r="B392" s="115" t="s">
        <v>1602</v>
      </c>
      <c r="C392" s="116" t="s">
        <v>75</v>
      </c>
      <c r="D392" s="116">
        <v>0</v>
      </c>
      <c r="E392" s="136" t="s">
        <v>416</v>
      </c>
      <c r="F392" s="137" t="str">
        <f t="shared" si="18"/>
        <v/>
      </c>
      <c r="G392" s="138" t="e">
        <f>IF(A392&lt;&gt;"",IF(AND(#REF!="Padrão",$H$4=#REF!),BDI!$B$17,IF(AND(#REF!="Padrão",$H$4=#REF!),BDI!#REF!,IF(AND(#REF!="Diferenciado",$H$4=#REF!),BDI!$E$17,IF(AND(#REF!="Diferenciado",$H$4=#REF!),BDI!#REF!,IF(#REF!="ZERO",0))))),"")</f>
        <v>#REF!</v>
      </c>
      <c r="H392" s="139" t="str">
        <f t="shared" si="19"/>
        <v/>
      </c>
      <c r="I392" s="137" t="str">
        <f t="shared" si="20"/>
        <v/>
      </c>
      <c r="J392" s="117"/>
    </row>
    <row r="393" spans="1:10" hidden="1" x14ac:dyDescent="0.25">
      <c r="A393" s="114" t="s">
        <v>1603</v>
      </c>
      <c r="B393" s="115" t="s">
        <v>1604</v>
      </c>
      <c r="C393" s="116" t="s">
        <v>669</v>
      </c>
      <c r="D393" s="116">
        <v>0</v>
      </c>
      <c r="E393" s="136" t="s">
        <v>416</v>
      </c>
      <c r="F393" s="137" t="str">
        <f t="shared" si="18"/>
        <v/>
      </c>
      <c r="G393" s="138" t="e">
        <f>IF(A393&lt;&gt;"",IF(AND(#REF!="Padrão",$H$4=#REF!),BDI!$B$17,IF(AND(#REF!="Padrão",$H$4=#REF!),BDI!#REF!,IF(AND(#REF!="Diferenciado",$H$4=#REF!),BDI!$E$17,IF(AND(#REF!="Diferenciado",$H$4=#REF!),BDI!#REF!,IF(#REF!="ZERO",0))))),"")</f>
        <v>#REF!</v>
      </c>
      <c r="H393" s="139" t="str">
        <f t="shared" si="19"/>
        <v/>
      </c>
      <c r="I393" s="137" t="str">
        <f t="shared" si="20"/>
        <v/>
      </c>
      <c r="J393" s="117"/>
    </row>
    <row r="394" spans="1:10" hidden="1" x14ac:dyDescent="0.25">
      <c r="A394" s="114" t="s">
        <v>1605</v>
      </c>
      <c r="B394" s="115" t="s">
        <v>1606</v>
      </c>
      <c r="C394" s="116" t="s">
        <v>28</v>
      </c>
      <c r="D394" s="116">
        <v>0</v>
      </c>
      <c r="E394" s="136" t="s">
        <v>416</v>
      </c>
      <c r="F394" s="137" t="str">
        <f t="shared" si="18"/>
        <v/>
      </c>
      <c r="G394" s="138" t="e">
        <f>IF(A394&lt;&gt;"",IF(AND(#REF!="Padrão",$H$4=#REF!),BDI!$B$17,IF(AND(#REF!="Padrão",$H$4=#REF!),BDI!#REF!,IF(AND(#REF!="Diferenciado",$H$4=#REF!),BDI!$E$17,IF(AND(#REF!="Diferenciado",$H$4=#REF!),BDI!#REF!,IF(#REF!="ZERO",0))))),"")</f>
        <v>#REF!</v>
      </c>
      <c r="H394" s="139" t="str">
        <f t="shared" si="19"/>
        <v/>
      </c>
      <c r="I394" s="137" t="str">
        <f t="shared" si="20"/>
        <v/>
      </c>
      <c r="J394" s="117"/>
    </row>
    <row r="395" spans="1:10" hidden="1" x14ac:dyDescent="0.25">
      <c r="A395" s="114" t="s">
        <v>1607</v>
      </c>
      <c r="B395" s="115" t="s">
        <v>1608</v>
      </c>
      <c r="C395" s="116" t="s">
        <v>69</v>
      </c>
      <c r="D395" s="116">
        <v>0</v>
      </c>
      <c r="E395" s="136" t="s">
        <v>416</v>
      </c>
      <c r="F395" s="137" t="str">
        <f t="shared" si="18"/>
        <v/>
      </c>
      <c r="G395" s="138" t="e">
        <f>IF(A395&lt;&gt;"",IF(AND(#REF!="Padrão",$H$4=#REF!),BDI!$B$17,IF(AND(#REF!="Padrão",$H$4=#REF!),BDI!#REF!,IF(AND(#REF!="Diferenciado",$H$4=#REF!),BDI!$E$17,IF(AND(#REF!="Diferenciado",$H$4=#REF!),BDI!#REF!,IF(#REF!="ZERO",0))))),"")</f>
        <v>#REF!</v>
      </c>
      <c r="H395" s="139" t="str">
        <f t="shared" si="19"/>
        <v/>
      </c>
      <c r="I395" s="137" t="str">
        <f t="shared" si="20"/>
        <v/>
      </c>
      <c r="J395" s="117"/>
    </row>
    <row r="396" spans="1:10" hidden="1" x14ac:dyDescent="0.25">
      <c r="A396" s="114" t="s">
        <v>1609</v>
      </c>
      <c r="B396" s="115" t="s">
        <v>1610</v>
      </c>
      <c r="C396" s="116" t="s">
        <v>69</v>
      </c>
      <c r="D396" s="116">
        <v>0</v>
      </c>
      <c r="E396" s="136" t="s">
        <v>416</v>
      </c>
      <c r="F396" s="137" t="str">
        <f t="shared" si="18"/>
        <v/>
      </c>
      <c r="G396" s="138" t="e">
        <f>IF(A396&lt;&gt;"",IF(AND(#REF!="Padrão",$H$4=#REF!),BDI!$B$17,IF(AND(#REF!="Padrão",$H$4=#REF!),BDI!#REF!,IF(AND(#REF!="Diferenciado",$H$4=#REF!),BDI!$E$17,IF(AND(#REF!="Diferenciado",$H$4=#REF!),BDI!#REF!,IF(#REF!="ZERO",0))))),"")</f>
        <v>#REF!</v>
      </c>
      <c r="H396" s="139" t="str">
        <f t="shared" si="19"/>
        <v/>
      </c>
      <c r="I396" s="137" t="str">
        <f t="shared" si="20"/>
        <v/>
      </c>
      <c r="J396" s="117"/>
    </row>
    <row r="397" spans="1:10" hidden="1" x14ac:dyDescent="0.25">
      <c r="A397" s="114" t="s">
        <v>1611</v>
      </c>
      <c r="B397" s="115" t="s">
        <v>1612</v>
      </c>
      <c r="C397" s="116" t="s">
        <v>69</v>
      </c>
      <c r="D397" s="116">
        <v>0</v>
      </c>
      <c r="E397" s="136" t="s">
        <v>416</v>
      </c>
      <c r="F397" s="137" t="str">
        <f t="shared" si="18"/>
        <v/>
      </c>
      <c r="G397" s="138" t="e">
        <f>IF(A397&lt;&gt;"",IF(AND(#REF!="Padrão",$H$4=#REF!),BDI!$B$17,IF(AND(#REF!="Padrão",$H$4=#REF!),BDI!#REF!,IF(AND(#REF!="Diferenciado",$H$4=#REF!),BDI!$E$17,IF(AND(#REF!="Diferenciado",$H$4=#REF!),BDI!#REF!,IF(#REF!="ZERO",0))))),"")</f>
        <v>#REF!</v>
      </c>
      <c r="H397" s="139" t="str">
        <f t="shared" si="19"/>
        <v/>
      </c>
      <c r="I397" s="137" t="str">
        <f t="shared" si="20"/>
        <v/>
      </c>
      <c r="J397" s="117"/>
    </row>
    <row r="398" spans="1:10" hidden="1" x14ac:dyDescent="0.25">
      <c r="A398" s="114" t="s">
        <v>1613</v>
      </c>
      <c r="B398" s="115" t="s">
        <v>1614</v>
      </c>
      <c r="C398" s="116" t="s">
        <v>69</v>
      </c>
      <c r="D398" s="116">
        <v>0</v>
      </c>
      <c r="E398" s="136" t="s">
        <v>416</v>
      </c>
      <c r="F398" s="137" t="str">
        <f t="shared" si="18"/>
        <v/>
      </c>
      <c r="G398" s="138" t="e">
        <f>IF(A398&lt;&gt;"",IF(AND(#REF!="Padrão",$H$4=#REF!),BDI!$B$17,IF(AND(#REF!="Padrão",$H$4=#REF!),BDI!#REF!,IF(AND(#REF!="Diferenciado",$H$4=#REF!),BDI!$E$17,IF(AND(#REF!="Diferenciado",$H$4=#REF!),BDI!#REF!,IF(#REF!="ZERO",0))))),"")</f>
        <v>#REF!</v>
      </c>
      <c r="H398" s="139" t="str">
        <f t="shared" si="19"/>
        <v/>
      </c>
      <c r="I398" s="137" t="str">
        <f t="shared" si="20"/>
        <v/>
      </c>
      <c r="J398" s="117"/>
    </row>
    <row r="399" spans="1:10" hidden="1" x14ac:dyDescent="0.25">
      <c r="A399" s="114" t="s">
        <v>1615</v>
      </c>
      <c r="B399" s="115" t="s">
        <v>7615</v>
      </c>
      <c r="C399" s="116" t="s">
        <v>16</v>
      </c>
      <c r="D399" s="116">
        <v>0</v>
      </c>
      <c r="E399" s="136" t="s">
        <v>416</v>
      </c>
      <c r="F399" s="137" t="str">
        <f t="shared" si="18"/>
        <v/>
      </c>
      <c r="G399" s="138" t="e">
        <f>IF(A399&lt;&gt;"",IF(AND(#REF!="Padrão",$H$4=#REF!),BDI!$B$17,IF(AND(#REF!="Padrão",$H$4=#REF!),BDI!#REF!,IF(AND(#REF!="Diferenciado",$H$4=#REF!),BDI!$E$17,IF(AND(#REF!="Diferenciado",$H$4=#REF!),BDI!#REF!,IF(#REF!="ZERO",0))))),"")</f>
        <v>#REF!</v>
      </c>
      <c r="H399" s="139" t="str">
        <f t="shared" si="19"/>
        <v/>
      </c>
      <c r="I399" s="137" t="str">
        <f t="shared" si="20"/>
        <v/>
      </c>
      <c r="J399" s="117"/>
    </row>
    <row r="400" spans="1:10" hidden="1" x14ac:dyDescent="0.25">
      <c r="A400" s="114" t="s">
        <v>1616</v>
      </c>
      <c r="B400" s="115" t="s">
        <v>1617</v>
      </c>
      <c r="C400" s="116" t="s">
        <v>16</v>
      </c>
      <c r="D400" s="116">
        <v>0</v>
      </c>
      <c r="E400" s="136" t="s">
        <v>416</v>
      </c>
      <c r="F400" s="137" t="str">
        <f t="shared" si="18"/>
        <v/>
      </c>
      <c r="G400" s="138" t="e">
        <f>IF(A400&lt;&gt;"",IF(AND(#REF!="Padrão",$H$4=#REF!),BDI!$B$17,IF(AND(#REF!="Padrão",$H$4=#REF!),BDI!#REF!,IF(AND(#REF!="Diferenciado",$H$4=#REF!),BDI!$E$17,IF(AND(#REF!="Diferenciado",$H$4=#REF!),BDI!#REF!,IF(#REF!="ZERO",0))))),"")</f>
        <v>#REF!</v>
      </c>
      <c r="H400" s="139" t="str">
        <f t="shared" si="19"/>
        <v/>
      </c>
      <c r="I400" s="137" t="str">
        <f t="shared" si="20"/>
        <v/>
      </c>
      <c r="J400" s="117"/>
    </row>
    <row r="401" spans="1:10" hidden="1" x14ac:dyDescent="0.25">
      <c r="A401" s="114" t="s">
        <v>1618</v>
      </c>
      <c r="B401" s="115" t="s">
        <v>1619</v>
      </c>
      <c r="C401" s="116" t="s">
        <v>16</v>
      </c>
      <c r="D401" s="116">
        <v>0</v>
      </c>
      <c r="E401" s="136" t="s">
        <v>416</v>
      </c>
      <c r="F401" s="137" t="str">
        <f t="shared" si="18"/>
        <v/>
      </c>
      <c r="G401" s="138" t="e">
        <f>IF(A401&lt;&gt;"",IF(AND(#REF!="Padrão",$H$4=#REF!),BDI!$B$17,IF(AND(#REF!="Padrão",$H$4=#REF!),BDI!#REF!,IF(AND(#REF!="Diferenciado",$H$4=#REF!),BDI!$E$17,IF(AND(#REF!="Diferenciado",$H$4=#REF!),BDI!#REF!,IF(#REF!="ZERO",0))))),"")</f>
        <v>#REF!</v>
      </c>
      <c r="H401" s="139" t="str">
        <f t="shared" si="19"/>
        <v/>
      </c>
      <c r="I401" s="137" t="str">
        <f t="shared" si="20"/>
        <v/>
      </c>
      <c r="J401" s="117"/>
    </row>
    <row r="402" spans="1:10" hidden="1" x14ac:dyDescent="0.25">
      <c r="A402" s="114" t="s">
        <v>1620</v>
      </c>
      <c r="B402" s="115" t="s">
        <v>1621</v>
      </c>
      <c r="C402" s="116" t="s">
        <v>16</v>
      </c>
      <c r="D402" s="116">
        <v>0</v>
      </c>
      <c r="E402" s="136" t="s">
        <v>416</v>
      </c>
      <c r="F402" s="137" t="str">
        <f t="shared" si="18"/>
        <v/>
      </c>
      <c r="G402" s="138" t="e">
        <f>IF(A402&lt;&gt;"",IF(AND(#REF!="Padrão",$H$4=#REF!),BDI!$B$17,IF(AND(#REF!="Padrão",$H$4=#REF!),BDI!#REF!,IF(AND(#REF!="Diferenciado",$H$4=#REF!),BDI!$E$17,IF(AND(#REF!="Diferenciado",$H$4=#REF!),BDI!#REF!,IF(#REF!="ZERO",0))))),"")</f>
        <v>#REF!</v>
      </c>
      <c r="H402" s="139" t="str">
        <f t="shared" si="19"/>
        <v/>
      </c>
      <c r="I402" s="137" t="str">
        <f t="shared" si="20"/>
        <v/>
      </c>
      <c r="J402" s="117"/>
    </row>
    <row r="403" spans="1:10" hidden="1" x14ac:dyDescent="0.25">
      <c r="A403" s="114" t="s">
        <v>1622</v>
      </c>
      <c r="B403" s="115" t="s">
        <v>1623</v>
      </c>
      <c r="C403" s="116" t="s">
        <v>69</v>
      </c>
      <c r="D403" s="116">
        <v>0</v>
      </c>
      <c r="E403" s="136" t="s">
        <v>416</v>
      </c>
      <c r="F403" s="137" t="str">
        <f t="shared" si="18"/>
        <v/>
      </c>
      <c r="G403" s="138" t="e">
        <f>IF(A403&lt;&gt;"",IF(AND(#REF!="Padrão",$H$4=#REF!),BDI!$B$17,IF(AND(#REF!="Padrão",$H$4=#REF!),BDI!#REF!,IF(AND(#REF!="Diferenciado",$H$4=#REF!),BDI!$E$17,IF(AND(#REF!="Diferenciado",$H$4=#REF!),BDI!#REF!,IF(#REF!="ZERO",0))))),"")</f>
        <v>#REF!</v>
      </c>
      <c r="H403" s="139" t="str">
        <f t="shared" si="19"/>
        <v/>
      </c>
      <c r="I403" s="137" t="str">
        <f t="shared" si="20"/>
        <v/>
      </c>
      <c r="J403" s="117"/>
    </row>
    <row r="404" spans="1:10" hidden="1" x14ac:dyDescent="0.25">
      <c r="A404" s="114" t="s">
        <v>1624</v>
      </c>
      <c r="B404" s="115" t="s">
        <v>1625</v>
      </c>
      <c r="C404" s="116" t="s">
        <v>69</v>
      </c>
      <c r="D404" s="116">
        <v>0</v>
      </c>
      <c r="E404" s="136" t="s">
        <v>416</v>
      </c>
      <c r="F404" s="137" t="str">
        <f t="shared" si="18"/>
        <v/>
      </c>
      <c r="G404" s="138" t="e">
        <f>IF(A404&lt;&gt;"",IF(AND(#REF!="Padrão",$H$4=#REF!),BDI!$B$17,IF(AND(#REF!="Padrão",$H$4=#REF!),BDI!#REF!,IF(AND(#REF!="Diferenciado",$H$4=#REF!),BDI!$E$17,IF(AND(#REF!="Diferenciado",$H$4=#REF!),BDI!#REF!,IF(#REF!="ZERO",0))))),"")</f>
        <v>#REF!</v>
      </c>
      <c r="H404" s="139" t="str">
        <f t="shared" si="19"/>
        <v/>
      </c>
      <c r="I404" s="137" t="str">
        <f t="shared" si="20"/>
        <v/>
      </c>
      <c r="J404" s="117"/>
    </row>
    <row r="405" spans="1:10" hidden="1" x14ac:dyDescent="0.25">
      <c r="A405" s="114" t="s">
        <v>1626</v>
      </c>
      <c r="B405" s="115" t="s">
        <v>1627</v>
      </c>
      <c r="C405" s="116" t="s">
        <v>16</v>
      </c>
      <c r="D405" s="116">
        <v>0</v>
      </c>
      <c r="E405" s="136" t="s">
        <v>416</v>
      </c>
      <c r="F405" s="137" t="str">
        <f t="shared" si="18"/>
        <v/>
      </c>
      <c r="G405" s="138" t="e">
        <f>IF(A405&lt;&gt;"",IF(AND(#REF!="Padrão",$H$4=#REF!),BDI!$B$17,IF(AND(#REF!="Padrão",$H$4=#REF!),BDI!#REF!,IF(AND(#REF!="Diferenciado",$H$4=#REF!),BDI!$E$17,IF(AND(#REF!="Diferenciado",$H$4=#REF!),BDI!#REF!,IF(#REF!="ZERO",0))))),"")</f>
        <v>#REF!</v>
      </c>
      <c r="H405" s="139" t="str">
        <f t="shared" si="19"/>
        <v/>
      </c>
      <c r="I405" s="137" t="str">
        <f t="shared" si="20"/>
        <v/>
      </c>
      <c r="J405" s="117"/>
    </row>
    <row r="406" spans="1:10" hidden="1" x14ac:dyDescent="0.25">
      <c r="A406" s="114" t="s">
        <v>1628</v>
      </c>
      <c r="B406" s="115" t="s">
        <v>1629</v>
      </c>
      <c r="C406" s="116" t="s">
        <v>69</v>
      </c>
      <c r="D406" s="116">
        <v>0</v>
      </c>
      <c r="E406" s="136" t="s">
        <v>416</v>
      </c>
      <c r="F406" s="137" t="str">
        <f t="shared" si="18"/>
        <v/>
      </c>
      <c r="G406" s="138" t="e">
        <f>IF(A406&lt;&gt;"",IF(AND(#REF!="Padrão",$H$4=#REF!),BDI!$B$17,IF(AND(#REF!="Padrão",$H$4=#REF!),BDI!#REF!,IF(AND(#REF!="Diferenciado",$H$4=#REF!),BDI!$E$17,IF(AND(#REF!="Diferenciado",$H$4=#REF!),BDI!#REF!,IF(#REF!="ZERO",0))))),"")</f>
        <v>#REF!</v>
      </c>
      <c r="H406" s="139" t="str">
        <f t="shared" si="19"/>
        <v/>
      </c>
      <c r="I406" s="137" t="str">
        <f t="shared" si="20"/>
        <v/>
      </c>
      <c r="J406" s="117"/>
    </row>
    <row r="407" spans="1:10" hidden="1" x14ac:dyDescent="0.25">
      <c r="A407" s="114" t="s">
        <v>1630</v>
      </c>
      <c r="B407" s="115" t="s">
        <v>1631</v>
      </c>
      <c r="C407" s="116" t="s">
        <v>16</v>
      </c>
      <c r="D407" s="116">
        <v>0</v>
      </c>
      <c r="E407" s="136" t="s">
        <v>416</v>
      </c>
      <c r="F407" s="137" t="str">
        <f t="shared" si="18"/>
        <v/>
      </c>
      <c r="G407" s="138" t="e">
        <f>IF(A407&lt;&gt;"",IF(AND(#REF!="Padrão",$H$4=#REF!),BDI!$B$17,IF(AND(#REF!="Padrão",$H$4=#REF!),BDI!#REF!,IF(AND(#REF!="Diferenciado",$H$4=#REF!),BDI!$E$17,IF(AND(#REF!="Diferenciado",$H$4=#REF!),BDI!#REF!,IF(#REF!="ZERO",0))))),"")</f>
        <v>#REF!</v>
      </c>
      <c r="H407" s="139" t="str">
        <f t="shared" si="19"/>
        <v/>
      </c>
      <c r="I407" s="137" t="str">
        <f t="shared" si="20"/>
        <v/>
      </c>
      <c r="J407" s="117"/>
    </row>
    <row r="408" spans="1:10" hidden="1" x14ac:dyDescent="0.25">
      <c r="A408" s="114" t="s">
        <v>1632</v>
      </c>
      <c r="B408" s="115" t="s">
        <v>1633</v>
      </c>
      <c r="C408" s="116" t="s">
        <v>16</v>
      </c>
      <c r="D408" s="116">
        <v>0</v>
      </c>
      <c r="E408" s="136" t="s">
        <v>416</v>
      </c>
      <c r="F408" s="137" t="str">
        <f t="shared" si="18"/>
        <v/>
      </c>
      <c r="G408" s="138" t="e">
        <f>IF(A408&lt;&gt;"",IF(AND(#REF!="Padrão",$H$4=#REF!),BDI!$B$17,IF(AND(#REF!="Padrão",$H$4=#REF!),BDI!#REF!,IF(AND(#REF!="Diferenciado",$H$4=#REF!),BDI!$E$17,IF(AND(#REF!="Diferenciado",$H$4=#REF!),BDI!#REF!,IF(#REF!="ZERO",0))))),"")</f>
        <v>#REF!</v>
      </c>
      <c r="H408" s="139" t="str">
        <f t="shared" si="19"/>
        <v/>
      </c>
      <c r="I408" s="137" t="str">
        <f t="shared" si="20"/>
        <v/>
      </c>
      <c r="J408" s="117"/>
    </row>
    <row r="409" spans="1:10" hidden="1" x14ac:dyDescent="0.25">
      <c r="A409" s="114" t="s">
        <v>1634</v>
      </c>
      <c r="B409" s="115" t="s">
        <v>1635</v>
      </c>
      <c r="C409" s="116" t="s">
        <v>16</v>
      </c>
      <c r="D409" s="116">
        <v>0</v>
      </c>
      <c r="E409" s="136" t="s">
        <v>416</v>
      </c>
      <c r="F409" s="137" t="str">
        <f t="shared" si="18"/>
        <v/>
      </c>
      <c r="G409" s="138" t="e">
        <f>IF(A409&lt;&gt;"",IF(AND(#REF!="Padrão",$H$4=#REF!),BDI!$B$17,IF(AND(#REF!="Padrão",$H$4=#REF!),BDI!#REF!,IF(AND(#REF!="Diferenciado",$H$4=#REF!),BDI!$E$17,IF(AND(#REF!="Diferenciado",$H$4=#REF!),BDI!#REF!,IF(#REF!="ZERO",0))))),"")</f>
        <v>#REF!</v>
      </c>
      <c r="H409" s="139" t="str">
        <f t="shared" si="19"/>
        <v/>
      </c>
      <c r="I409" s="137" t="str">
        <f t="shared" si="20"/>
        <v/>
      </c>
      <c r="J409" s="117"/>
    </row>
    <row r="410" spans="1:10" hidden="1" x14ac:dyDescent="0.25">
      <c r="A410" s="114" t="s">
        <v>1636</v>
      </c>
      <c r="B410" s="115" t="s">
        <v>1637</v>
      </c>
      <c r="C410" s="116" t="s">
        <v>16</v>
      </c>
      <c r="D410" s="116">
        <v>0</v>
      </c>
      <c r="E410" s="136">
        <f ca="1">OFFSET(INDEX(Composições!A:J,MATCH(Orçamentária!A410,Composições!A:A,0),8),2,0)</f>
        <v>26.419499999999999</v>
      </c>
      <c r="F410" s="137">
        <f t="shared" ca="1" si="18"/>
        <v>0</v>
      </c>
      <c r="G410" s="138" t="e">
        <f>IF(A410&lt;&gt;"",IF(AND(#REF!="Padrão",$H$4=#REF!),BDI!$B$17,IF(AND(#REF!="Padrão",$H$4=#REF!),BDI!#REF!,IF(AND(#REF!="Diferenciado",$H$4=#REF!),BDI!$E$17,IF(AND(#REF!="Diferenciado",$H$4=#REF!),BDI!#REF!,IF(#REF!="ZERO",0))))),"")</f>
        <v>#REF!</v>
      </c>
      <c r="H410" s="139" t="e">
        <f t="shared" ca="1" si="19"/>
        <v>#REF!</v>
      </c>
      <c r="I410" s="137" t="e">
        <f t="shared" ca="1" si="20"/>
        <v>#REF!</v>
      </c>
      <c r="J410" s="117"/>
    </row>
    <row r="411" spans="1:10" hidden="1" x14ac:dyDescent="0.25">
      <c r="A411" s="114" t="s">
        <v>1638</v>
      </c>
      <c r="B411" s="115" t="s">
        <v>1639</v>
      </c>
      <c r="C411" s="116" t="s">
        <v>16</v>
      </c>
      <c r="D411" s="116">
        <v>0</v>
      </c>
      <c r="E411" s="136" t="s">
        <v>416</v>
      </c>
      <c r="F411" s="137" t="str">
        <f t="shared" si="18"/>
        <v/>
      </c>
      <c r="G411" s="138" t="e">
        <f>IF(A411&lt;&gt;"",IF(AND(#REF!="Padrão",$H$4=#REF!),BDI!$B$17,IF(AND(#REF!="Padrão",$H$4=#REF!),BDI!#REF!,IF(AND(#REF!="Diferenciado",$H$4=#REF!),BDI!$E$17,IF(AND(#REF!="Diferenciado",$H$4=#REF!),BDI!#REF!,IF(#REF!="ZERO",0))))),"")</f>
        <v>#REF!</v>
      </c>
      <c r="H411" s="139" t="str">
        <f t="shared" si="19"/>
        <v/>
      </c>
      <c r="I411" s="137" t="str">
        <f t="shared" si="20"/>
        <v/>
      </c>
      <c r="J411" s="117"/>
    </row>
    <row r="412" spans="1:10" hidden="1" x14ac:dyDescent="0.25">
      <c r="A412" s="114" t="s">
        <v>1640</v>
      </c>
      <c r="B412" s="115" t="s">
        <v>1641</v>
      </c>
      <c r="C412" s="116" t="s">
        <v>16</v>
      </c>
      <c r="D412" s="116">
        <v>0</v>
      </c>
      <c r="E412" s="136">
        <f ca="1">OFFSET(INDEX(Composições!A:J,MATCH(Orçamentária!A412,Composições!A:A,0),8),2,0)</f>
        <v>60.324999999999996</v>
      </c>
      <c r="F412" s="137">
        <f t="shared" ca="1" si="18"/>
        <v>0</v>
      </c>
      <c r="G412" s="138" t="e">
        <f>IF(A412&lt;&gt;"",IF(AND(#REF!="Padrão",$H$4=#REF!),BDI!$B$17,IF(AND(#REF!="Padrão",$H$4=#REF!),BDI!#REF!,IF(AND(#REF!="Diferenciado",$H$4=#REF!),BDI!$E$17,IF(AND(#REF!="Diferenciado",$H$4=#REF!),BDI!#REF!,IF(#REF!="ZERO",0))))),"")</f>
        <v>#REF!</v>
      </c>
      <c r="H412" s="139" t="e">
        <f t="shared" ca="1" si="19"/>
        <v>#REF!</v>
      </c>
      <c r="I412" s="137" t="e">
        <f t="shared" ca="1" si="20"/>
        <v>#REF!</v>
      </c>
      <c r="J412" s="117"/>
    </row>
    <row r="413" spans="1:10" hidden="1" x14ac:dyDescent="0.25">
      <c r="A413" s="114" t="s">
        <v>618</v>
      </c>
      <c r="B413" s="115" t="s">
        <v>1642</v>
      </c>
      <c r="C413" s="116" t="s">
        <v>16</v>
      </c>
      <c r="D413" s="116">
        <v>0</v>
      </c>
      <c r="E413" s="136">
        <f ca="1">OFFSET(INDEX(Composições!A:J,MATCH(Orçamentária!A413,Composições!A:A,0),8),2,0)</f>
        <v>78.403499999999994</v>
      </c>
      <c r="F413" s="137">
        <f t="shared" ca="1" si="18"/>
        <v>0</v>
      </c>
      <c r="G413" s="138" t="e">
        <f>IF(A413&lt;&gt;"",IF(AND(#REF!="Padrão",$H$4=#REF!),BDI!$B$17,IF(AND(#REF!="Padrão",$H$4=#REF!),BDI!#REF!,IF(AND(#REF!="Diferenciado",$H$4=#REF!),BDI!$E$17,IF(AND(#REF!="Diferenciado",$H$4=#REF!),BDI!#REF!,IF(#REF!="ZERO",0))))),"")</f>
        <v>#REF!</v>
      </c>
      <c r="H413" s="139" t="e">
        <f t="shared" ca="1" si="19"/>
        <v>#REF!</v>
      </c>
      <c r="I413" s="137" t="e">
        <f t="shared" ca="1" si="20"/>
        <v>#REF!</v>
      </c>
      <c r="J413" s="117"/>
    </row>
    <row r="414" spans="1:10" hidden="1" x14ac:dyDescent="0.25">
      <c r="A414" s="114" t="s">
        <v>1643</v>
      </c>
      <c r="B414" s="115" t="s">
        <v>1644</v>
      </c>
      <c r="C414" s="116" t="s">
        <v>16</v>
      </c>
      <c r="D414" s="116">
        <v>0</v>
      </c>
      <c r="E414" s="136">
        <f ca="1">OFFSET(INDEX(Composições!A:J,MATCH(Orçamentária!A414,Composições!A:A,0),8),2,0)</f>
        <v>47.433499999999995</v>
      </c>
      <c r="F414" s="137">
        <f t="shared" ca="1" si="18"/>
        <v>0</v>
      </c>
      <c r="G414" s="138" t="e">
        <f>IF(A414&lt;&gt;"",IF(AND(#REF!="Padrão",$H$4=#REF!),BDI!$B$17,IF(AND(#REF!="Padrão",$H$4=#REF!),BDI!#REF!,IF(AND(#REF!="Diferenciado",$H$4=#REF!),BDI!$E$17,IF(AND(#REF!="Diferenciado",$H$4=#REF!),BDI!#REF!,IF(#REF!="ZERO",0))))),"")</f>
        <v>#REF!</v>
      </c>
      <c r="H414" s="139" t="e">
        <f t="shared" ca="1" si="19"/>
        <v>#REF!</v>
      </c>
      <c r="I414" s="137" t="e">
        <f t="shared" ca="1" si="20"/>
        <v>#REF!</v>
      </c>
      <c r="J414" s="117"/>
    </row>
    <row r="415" spans="1:10" hidden="1" x14ac:dyDescent="0.25">
      <c r="A415" s="114" t="s">
        <v>1645</v>
      </c>
      <c r="B415" s="115" t="s">
        <v>1646</v>
      </c>
      <c r="C415" s="116" t="s">
        <v>16</v>
      </c>
      <c r="D415" s="116">
        <v>0</v>
      </c>
      <c r="E415" s="136" t="s">
        <v>416</v>
      </c>
      <c r="F415" s="137" t="str">
        <f t="shared" si="18"/>
        <v/>
      </c>
      <c r="G415" s="138" t="e">
        <f>IF(A415&lt;&gt;"",IF(AND(#REF!="Padrão",$H$4=#REF!),BDI!$B$17,IF(AND(#REF!="Padrão",$H$4=#REF!),BDI!#REF!,IF(AND(#REF!="Diferenciado",$H$4=#REF!),BDI!$E$17,IF(AND(#REF!="Diferenciado",$H$4=#REF!),BDI!#REF!,IF(#REF!="ZERO",0))))),"")</f>
        <v>#REF!</v>
      </c>
      <c r="H415" s="139" t="str">
        <f t="shared" si="19"/>
        <v/>
      </c>
      <c r="I415" s="137" t="str">
        <f t="shared" si="20"/>
        <v/>
      </c>
      <c r="J415" s="117"/>
    </row>
    <row r="416" spans="1:10" hidden="1" x14ac:dyDescent="0.25">
      <c r="A416" s="114" t="s">
        <v>1647</v>
      </c>
      <c r="B416" s="115" t="s">
        <v>1648</v>
      </c>
      <c r="C416" s="116" t="s">
        <v>16</v>
      </c>
      <c r="D416" s="116">
        <v>0</v>
      </c>
      <c r="E416" s="136">
        <f ca="1">OFFSET(INDEX(Composições!A:J,MATCH(Orçamentária!A416,Composições!A:A,0),8),2,0)</f>
        <v>43.282000000000004</v>
      </c>
      <c r="F416" s="137">
        <f t="shared" ca="1" si="18"/>
        <v>0</v>
      </c>
      <c r="G416" s="138" t="e">
        <f>IF(A416&lt;&gt;"",IF(AND(#REF!="Padrão",$H$4=#REF!),BDI!$B$17,IF(AND(#REF!="Padrão",$H$4=#REF!),BDI!#REF!,IF(AND(#REF!="Diferenciado",$H$4=#REF!),BDI!$E$17,IF(AND(#REF!="Diferenciado",$H$4=#REF!),BDI!#REF!,IF(#REF!="ZERO",0))))),"")</f>
        <v>#REF!</v>
      </c>
      <c r="H416" s="139" t="e">
        <f t="shared" ca="1" si="19"/>
        <v>#REF!</v>
      </c>
      <c r="I416" s="137" t="e">
        <f t="shared" ca="1" si="20"/>
        <v>#REF!</v>
      </c>
      <c r="J416" s="117"/>
    </row>
    <row r="417" spans="1:10" hidden="1" x14ac:dyDescent="0.25">
      <c r="A417" s="114" t="s">
        <v>1649</v>
      </c>
      <c r="B417" s="115" t="s">
        <v>1650</v>
      </c>
      <c r="C417" s="116" t="s">
        <v>16</v>
      </c>
      <c r="D417" s="116">
        <v>0</v>
      </c>
      <c r="E417" s="136" t="s">
        <v>416</v>
      </c>
      <c r="F417" s="137" t="str">
        <f t="shared" si="18"/>
        <v/>
      </c>
      <c r="G417" s="138" t="e">
        <f>IF(A417&lt;&gt;"",IF(AND(#REF!="Padrão",$H$4=#REF!),BDI!$B$17,IF(AND(#REF!="Padrão",$H$4=#REF!),BDI!#REF!,IF(AND(#REF!="Diferenciado",$H$4=#REF!),BDI!$E$17,IF(AND(#REF!="Diferenciado",$H$4=#REF!),BDI!#REF!,IF(#REF!="ZERO",0))))),"")</f>
        <v>#REF!</v>
      </c>
      <c r="H417" s="139" t="str">
        <f t="shared" si="19"/>
        <v/>
      </c>
      <c r="I417" s="137" t="str">
        <f t="shared" si="20"/>
        <v/>
      </c>
      <c r="J417" s="117"/>
    </row>
    <row r="418" spans="1:10" hidden="1" x14ac:dyDescent="0.25">
      <c r="A418" s="114" t="s">
        <v>1651</v>
      </c>
      <c r="B418" s="115" t="s">
        <v>1652</v>
      </c>
      <c r="C418" s="116" t="s">
        <v>16</v>
      </c>
      <c r="D418" s="116">
        <v>0</v>
      </c>
      <c r="E418" s="136" t="s">
        <v>416</v>
      </c>
      <c r="F418" s="137" t="str">
        <f t="shared" si="18"/>
        <v/>
      </c>
      <c r="G418" s="138" t="e">
        <f>IF(A418&lt;&gt;"",IF(AND(#REF!="Padrão",$H$4=#REF!),BDI!$B$17,IF(AND(#REF!="Padrão",$H$4=#REF!),BDI!#REF!,IF(AND(#REF!="Diferenciado",$H$4=#REF!),BDI!$E$17,IF(AND(#REF!="Diferenciado",$H$4=#REF!),BDI!#REF!,IF(#REF!="ZERO",0))))),"")</f>
        <v>#REF!</v>
      </c>
      <c r="H418" s="139" t="str">
        <f t="shared" si="19"/>
        <v/>
      </c>
      <c r="I418" s="137" t="str">
        <f t="shared" si="20"/>
        <v/>
      </c>
      <c r="J418" s="117"/>
    </row>
    <row r="419" spans="1:10" hidden="1" x14ac:dyDescent="0.25">
      <c r="A419" s="114" t="s">
        <v>1653</v>
      </c>
      <c r="B419" s="115" t="s">
        <v>1654</v>
      </c>
      <c r="C419" s="116" t="s">
        <v>16</v>
      </c>
      <c r="D419" s="116">
        <v>0</v>
      </c>
      <c r="E419" s="136">
        <f ca="1">OFFSET(INDEX(Composições!A:J,MATCH(Orçamentária!A419,Composições!A:A,0),8),2,0)</f>
        <v>11.912999999999998</v>
      </c>
      <c r="F419" s="137">
        <f t="shared" ca="1" si="18"/>
        <v>0</v>
      </c>
      <c r="G419" s="138" t="e">
        <f>IF(A419&lt;&gt;"",IF(AND(#REF!="Padrão",$H$4=#REF!),BDI!$B$17,IF(AND(#REF!="Padrão",$H$4=#REF!),BDI!#REF!,IF(AND(#REF!="Diferenciado",$H$4=#REF!),BDI!$E$17,IF(AND(#REF!="Diferenciado",$H$4=#REF!),BDI!#REF!,IF(#REF!="ZERO",0))))),"")</f>
        <v>#REF!</v>
      </c>
      <c r="H419" s="139" t="e">
        <f t="shared" ca="1" si="19"/>
        <v>#REF!</v>
      </c>
      <c r="I419" s="137" t="e">
        <f t="shared" ca="1" si="20"/>
        <v>#REF!</v>
      </c>
      <c r="J419" s="117"/>
    </row>
    <row r="420" spans="1:10" hidden="1" x14ac:dyDescent="0.25">
      <c r="A420" s="114" t="s">
        <v>1655</v>
      </c>
      <c r="B420" s="115" t="s">
        <v>1656</v>
      </c>
      <c r="C420" s="116" t="s">
        <v>16</v>
      </c>
      <c r="D420" s="116">
        <v>0</v>
      </c>
      <c r="E420" s="136">
        <f ca="1">OFFSET(INDEX(Composições!A:J,MATCH(Orçamentária!A420,Composições!A:A,0),8),2,0)</f>
        <v>11.912999999999998</v>
      </c>
      <c r="F420" s="137">
        <f t="shared" ca="1" si="18"/>
        <v>0</v>
      </c>
      <c r="G420" s="138" t="e">
        <f>IF(A420&lt;&gt;"",IF(AND(#REF!="Padrão",$H$4=#REF!),BDI!$B$17,IF(AND(#REF!="Padrão",$H$4=#REF!),BDI!#REF!,IF(AND(#REF!="Diferenciado",$H$4=#REF!),BDI!$E$17,IF(AND(#REF!="Diferenciado",$H$4=#REF!),BDI!#REF!,IF(#REF!="ZERO",0))))),"")</f>
        <v>#REF!</v>
      </c>
      <c r="H420" s="139" t="e">
        <f t="shared" ca="1" si="19"/>
        <v>#REF!</v>
      </c>
      <c r="I420" s="137" t="e">
        <f t="shared" ca="1" si="20"/>
        <v>#REF!</v>
      </c>
      <c r="J420" s="117"/>
    </row>
    <row r="421" spans="1:10" hidden="1" x14ac:dyDescent="0.25">
      <c r="A421" s="114" t="s">
        <v>1657</v>
      </c>
      <c r="B421" s="115" t="s">
        <v>1658</v>
      </c>
      <c r="C421" s="116" t="s">
        <v>16</v>
      </c>
      <c r="D421" s="116">
        <v>0</v>
      </c>
      <c r="E421" s="136">
        <f ca="1">OFFSET(INDEX(Composições!A:J,MATCH(Orçamentária!A421,Composições!A:A,0),8),2,0)</f>
        <v>11.912999999999998</v>
      </c>
      <c r="F421" s="137">
        <f t="shared" ca="1" si="18"/>
        <v>0</v>
      </c>
      <c r="G421" s="138" t="e">
        <f>IF(A421&lt;&gt;"",IF(AND(#REF!="Padrão",$H$4=#REF!),BDI!$B$17,IF(AND(#REF!="Padrão",$H$4=#REF!),BDI!#REF!,IF(AND(#REF!="Diferenciado",$H$4=#REF!),BDI!$E$17,IF(AND(#REF!="Diferenciado",$H$4=#REF!),BDI!#REF!,IF(#REF!="ZERO",0))))),"")</f>
        <v>#REF!</v>
      </c>
      <c r="H421" s="139" t="e">
        <f t="shared" ca="1" si="19"/>
        <v>#REF!</v>
      </c>
      <c r="I421" s="137" t="e">
        <f t="shared" ca="1" si="20"/>
        <v>#REF!</v>
      </c>
      <c r="J421" s="117"/>
    </row>
    <row r="422" spans="1:10" hidden="1" x14ac:dyDescent="0.25">
      <c r="A422" s="114" t="s">
        <v>1659</v>
      </c>
      <c r="B422" s="115" t="s">
        <v>1660</v>
      </c>
      <c r="C422" s="116" t="s">
        <v>16</v>
      </c>
      <c r="D422" s="116">
        <v>0</v>
      </c>
      <c r="E422" s="136" t="s">
        <v>416</v>
      </c>
      <c r="F422" s="137" t="str">
        <f t="shared" si="18"/>
        <v/>
      </c>
      <c r="G422" s="138" t="e">
        <f>IF(A422&lt;&gt;"",IF(AND(#REF!="Padrão",$H$4=#REF!),BDI!$B$17,IF(AND(#REF!="Padrão",$H$4=#REF!),BDI!#REF!,IF(AND(#REF!="Diferenciado",$H$4=#REF!),BDI!$E$17,IF(AND(#REF!="Diferenciado",$H$4=#REF!),BDI!#REF!,IF(#REF!="ZERO",0))))),"")</f>
        <v>#REF!</v>
      </c>
      <c r="H422" s="139" t="str">
        <f t="shared" si="19"/>
        <v/>
      </c>
      <c r="I422" s="137" t="str">
        <f t="shared" si="20"/>
        <v/>
      </c>
      <c r="J422" s="117"/>
    </row>
    <row r="423" spans="1:10" hidden="1" x14ac:dyDescent="0.25">
      <c r="A423" s="114" t="s">
        <v>1661</v>
      </c>
      <c r="B423" s="115" t="s">
        <v>1662</v>
      </c>
      <c r="C423" s="116" t="s">
        <v>16</v>
      </c>
      <c r="D423" s="116">
        <v>0</v>
      </c>
      <c r="E423" s="136" t="s">
        <v>416</v>
      </c>
      <c r="F423" s="137" t="str">
        <f t="shared" si="18"/>
        <v/>
      </c>
      <c r="G423" s="138" t="e">
        <f>IF(A423&lt;&gt;"",IF(AND(#REF!="Padrão",$H$4=#REF!),BDI!$B$17,IF(AND(#REF!="Padrão",$H$4=#REF!),BDI!#REF!,IF(AND(#REF!="Diferenciado",$H$4=#REF!),BDI!$E$17,IF(AND(#REF!="Diferenciado",$H$4=#REF!),BDI!#REF!,IF(#REF!="ZERO",0))))),"")</f>
        <v>#REF!</v>
      </c>
      <c r="H423" s="139" t="str">
        <f t="shared" si="19"/>
        <v/>
      </c>
      <c r="I423" s="137" t="str">
        <f t="shared" si="20"/>
        <v/>
      </c>
      <c r="J423" s="117"/>
    </row>
    <row r="424" spans="1:10" hidden="1" x14ac:dyDescent="0.25">
      <c r="A424" s="114" t="s">
        <v>1663</v>
      </c>
      <c r="B424" s="115" t="s">
        <v>1664</v>
      </c>
      <c r="C424" s="116" t="s">
        <v>16</v>
      </c>
      <c r="D424" s="116">
        <v>0</v>
      </c>
      <c r="E424" s="136" t="s">
        <v>416</v>
      </c>
      <c r="F424" s="137" t="str">
        <f t="shared" si="18"/>
        <v/>
      </c>
      <c r="G424" s="138" t="e">
        <f>IF(A424&lt;&gt;"",IF(AND(#REF!="Padrão",$H$4=#REF!),BDI!$B$17,IF(AND(#REF!="Padrão",$H$4=#REF!),BDI!#REF!,IF(AND(#REF!="Diferenciado",$H$4=#REF!),BDI!$E$17,IF(AND(#REF!="Diferenciado",$H$4=#REF!),BDI!#REF!,IF(#REF!="ZERO",0))))),"")</f>
        <v>#REF!</v>
      </c>
      <c r="H424" s="139" t="str">
        <f t="shared" si="19"/>
        <v/>
      </c>
      <c r="I424" s="137" t="str">
        <f t="shared" si="20"/>
        <v/>
      </c>
      <c r="J424" s="117"/>
    </row>
    <row r="425" spans="1:10" hidden="1" x14ac:dyDescent="0.25">
      <c r="A425" s="114" t="s">
        <v>1665</v>
      </c>
      <c r="B425" s="115" t="s">
        <v>1666</v>
      </c>
      <c r="C425" s="116" t="s">
        <v>16</v>
      </c>
      <c r="D425" s="116">
        <v>0</v>
      </c>
      <c r="E425" s="136" t="s">
        <v>416</v>
      </c>
      <c r="F425" s="137" t="str">
        <f t="shared" si="18"/>
        <v/>
      </c>
      <c r="G425" s="138" t="e">
        <f>IF(A425&lt;&gt;"",IF(AND(#REF!="Padrão",$H$4=#REF!),BDI!$B$17,IF(AND(#REF!="Padrão",$H$4=#REF!),BDI!#REF!,IF(AND(#REF!="Diferenciado",$H$4=#REF!),BDI!$E$17,IF(AND(#REF!="Diferenciado",$H$4=#REF!),BDI!#REF!,IF(#REF!="ZERO",0))))),"")</f>
        <v>#REF!</v>
      </c>
      <c r="H425" s="139" t="str">
        <f t="shared" si="19"/>
        <v/>
      </c>
      <c r="I425" s="137" t="str">
        <f t="shared" si="20"/>
        <v/>
      </c>
      <c r="J425" s="117"/>
    </row>
    <row r="426" spans="1:10" hidden="1" x14ac:dyDescent="0.25">
      <c r="A426" s="114" t="s">
        <v>1667</v>
      </c>
      <c r="B426" s="115" t="s">
        <v>1668</v>
      </c>
      <c r="C426" s="116" t="s">
        <v>16</v>
      </c>
      <c r="D426" s="116">
        <v>0</v>
      </c>
      <c r="E426" s="136" t="s">
        <v>416</v>
      </c>
      <c r="F426" s="137" t="str">
        <f t="shared" si="18"/>
        <v/>
      </c>
      <c r="G426" s="138" t="e">
        <f>IF(A426&lt;&gt;"",IF(AND(#REF!="Padrão",$H$4=#REF!),BDI!$B$17,IF(AND(#REF!="Padrão",$H$4=#REF!),BDI!#REF!,IF(AND(#REF!="Diferenciado",$H$4=#REF!),BDI!$E$17,IF(AND(#REF!="Diferenciado",$H$4=#REF!),BDI!#REF!,IF(#REF!="ZERO",0))))),"")</f>
        <v>#REF!</v>
      </c>
      <c r="H426" s="139" t="str">
        <f t="shared" si="19"/>
        <v/>
      </c>
      <c r="I426" s="137" t="str">
        <f t="shared" si="20"/>
        <v/>
      </c>
      <c r="J426" s="117"/>
    </row>
    <row r="427" spans="1:10" hidden="1" x14ac:dyDescent="0.25">
      <c r="A427" s="114" t="s">
        <v>1669</v>
      </c>
      <c r="B427" s="115" t="s">
        <v>1670</v>
      </c>
      <c r="C427" s="116" t="s">
        <v>16</v>
      </c>
      <c r="D427" s="116">
        <v>0</v>
      </c>
      <c r="E427" s="136" t="s">
        <v>416</v>
      </c>
      <c r="F427" s="137" t="str">
        <f t="shared" si="18"/>
        <v/>
      </c>
      <c r="G427" s="138" t="e">
        <f>IF(A427&lt;&gt;"",IF(AND(#REF!="Padrão",$H$4=#REF!),BDI!$B$17,IF(AND(#REF!="Padrão",$H$4=#REF!),BDI!#REF!,IF(AND(#REF!="Diferenciado",$H$4=#REF!),BDI!$E$17,IF(AND(#REF!="Diferenciado",$H$4=#REF!),BDI!#REF!,IF(#REF!="ZERO",0))))),"")</f>
        <v>#REF!</v>
      </c>
      <c r="H427" s="139" t="str">
        <f t="shared" si="19"/>
        <v/>
      </c>
      <c r="I427" s="137" t="str">
        <f t="shared" si="20"/>
        <v/>
      </c>
      <c r="J427" s="117"/>
    </row>
    <row r="428" spans="1:10" hidden="1" x14ac:dyDescent="0.25">
      <c r="A428" s="114" t="s">
        <v>1671</v>
      </c>
      <c r="B428" s="115" t="s">
        <v>1672</v>
      </c>
      <c r="C428" s="116" t="s">
        <v>16</v>
      </c>
      <c r="D428" s="116">
        <v>0</v>
      </c>
      <c r="E428" s="136" t="s">
        <v>416</v>
      </c>
      <c r="F428" s="137" t="str">
        <f t="shared" si="18"/>
        <v/>
      </c>
      <c r="G428" s="138" t="e">
        <f>IF(A428&lt;&gt;"",IF(AND(#REF!="Padrão",$H$4=#REF!),BDI!$B$17,IF(AND(#REF!="Padrão",$H$4=#REF!),BDI!#REF!,IF(AND(#REF!="Diferenciado",$H$4=#REF!),BDI!$E$17,IF(AND(#REF!="Diferenciado",$H$4=#REF!),BDI!#REF!,IF(#REF!="ZERO",0))))),"")</f>
        <v>#REF!</v>
      </c>
      <c r="H428" s="139" t="str">
        <f t="shared" si="19"/>
        <v/>
      </c>
      <c r="I428" s="137" t="str">
        <f t="shared" si="20"/>
        <v/>
      </c>
      <c r="J428" s="117"/>
    </row>
    <row r="429" spans="1:10" hidden="1" x14ac:dyDescent="0.25">
      <c r="A429" s="114" t="s">
        <v>1673</v>
      </c>
      <c r="B429" s="115" t="s">
        <v>1674</v>
      </c>
      <c r="C429" s="116" t="s">
        <v>16</v>
      </c>
      <c r="D429" s="116">
        <v>0</v>
      </c>
      <c r="E429" s="136" t="s">
        <v>416</v>
      </c>
      <c r="F429" s="137" t="str">
        <f t="shared" si="18"/>
        <v/>
      </c>
      <c r="G429" s="138" t="e">
        <f>IF(A429&lt;&gt;"",IF(AND(#REF!="Padrão",$H$4=#REF!),BDI!$B$17,IF(AND(#REF!="Padrão",$H$4=#REF!),BDI!#REF!,IF(AND(#REF!="Diferenciado",$H$4=#REF!),BDI!$E$17,IF(AND(#REF!="Diferenciado",$H$4=#REF!),BDI!#REF!,IF(#REF!="ZERO",0))))),"")</f>
        <v>#REF!</v>
      </c>
      <c r="H429" s="139" t="str">
        <f t="shared" si="19"/>
        <v/>
      </c>
      <c r="I429" s="137" t="str">
        <f t="shared" si="20"/>
        <v/>
      </c>
      <c r="J429" s="117"/>
    </row>
    <row r="430" spans="1:10" hidden="1" x14ac:dyDescent="0.25">
      <c r="A430" s="114" t="s">
        <v>1675</v>
      </c>
      <c r="B430" s="115" t="s">
        <v>1676</v>
      </c>
      <c r="C430" s="116" t="s">
        <v>16</v>
      </c>
      <c r="D430" s="116">
        <v>0</v>
      </c>
      <c r="E430" s="136" t="s">
        <v>416</v>
      </c>
      <c r="F430" s="137" t="str">
        <f t="shared" si="18"/>
        <v/>
      </c>
      <c r="G430" s="138" t="e">
        <f>IF(A430&lt;&gt;"",IF(AND(#REF!="Padrão",$H$4=#REF!),BDI!$B$17,IF(AND(#REF!="Padrão",$H$4=#REF!),BDI!#REF!,IF(AND(#REF!="Diferenciado",$H$4=#REF!),BDI!$E$17,IF(AND(#REF!="Diferenciado",$H$4=#REF!),BDI!#REF!,IF(#REF!="ZERO",0))))),"")</f>
        <v>#REF!</v>
      </c>
      <c r="H430" s="139" t="str">
        <f t="shared" si="19"/>
        <v/>
      </c>
      <c r="I430" s="137" t="str">
        <f t="shared" si="20"/>
        <v/>
      </c>
      <c r="J430" s="117"/>
    </row>
    <row r="431" spans="1:10" hidden="1" x14ac:dyDescent="0.25">
      <c r="A431" s="114" t="s">
        <v>1677</v>
      </c>
      <c r="B431" s="115" t="s">
        <v>1678</v>
      </c>
      <c r="C431" s="116" t="s">
        <v>16</v>
      </c>
      <c r="D431" s="116">
        <v>0</v>
      </c>
      <c r="E431" s="136" t="s">
        <v>416</v>
      </c>
      <c r="F431" s="137" t="str">
        <f t="shared" si="18"/>
        <v/>
      </c>
      <c r="G431" s="138" t="e">
        <f>IF(A431&lt;&gt;"",IF(AND(#REF!="Padrão",$H$4=#REF!),BDI!$B$17,IF(AND(#REF!="Padrão",$H$4=#REF!),BDI!#REF!,IF(AND(#REF!="Diferenciado",$H$4=#REF!),BDI!$E$17,IF(AND(#REF!="Diferenciado",$H$4=#REF!),BDI!#REF!,IF(#REF!="ZERO",0))))),"")</f>
        <v>#REF!</v>
      </c>
      <c r="H431" s="139" t="str">
        <f t="shared" si="19"/>
        <v/>
      </c>
      <c r="I431" s="137" t="str">
        <f t="shared" si="20"/>
        <v/>
      </c>
      <c r="J431" s="117"/>
    </row>
    <row r="432" spans="1:10" hidden="1" x14ac:dyDescent="0.25">
      <c r="A432" s="114" t="s">
        <v>1679</v>
      </c>
      <c r="B432" s="115" t="s">
        <v>7616</v>
      </c>
      <c r="C432" s="116" t="s">
        <v>16</v>
      </c>
      <c r="D432" s="116">
        <v>0</v>
      </c>
      <c r="E432" s="136" t="s">
        <v>416</v>
      </c>
      <c r="F432" s="137" t="str">
        <f t="shared" si="18"/>
        <v/>
      </c>
      <c r="G432" s="138" t="e">
        <f>IF(A432&lt;&gt;"",IF(AND(#REF!="Padrão",$H$4=#REF!),BDI!$B$17,IF(AND(#REF!="Padrão",$H$4=#REF!),BDI!#REF!,IF(AND(#REF!="Diferenciado",$H$4=#REF!),BDI!$E$17,IF(AND(#REF!="Diferenciado",$H$4=#REF!),BDI!#REF!,IF(#REF!="ZERO",0))))),"")</f>
        <v>#REF!</v>
      </c>
      <c r="H432" s="139" t="str">
        <f t="shared" si="19"/>
        <v/>
      </c>
      <c r="I432" s="137" t="str">
        <f t="shared" si="20"/>
        <v/>
      </c>
      <c r="J432" s="117"/>
    </row>
    <row r="433" spans="1:10" hidden="1" x14ac:dyDescent="0.25">
      <c r="A433" s="114" t="s">
        <v>1680</v>
      </c>
      <c r="B433" s="115" t="s">
        <v>7617</v>
      </c>
      <c r="C433" s="116" t="s">
        <v>16</v>
      </c>
      <c r="D433" s="116">
        <v>0</v>
      </c>
      <c r="E433" s="136" t="s">
        <v>416</v>
      </c>
      <c r="F433" s="137" t="str">
        <f t="shared" si="18"/>
        <v/>
      </c>
      <c r="G433" s="138" t="e">
        <f>IF(A433&lt;&gt;"",IF(AND(#REF!="Padrão",$H$4=#REF!),BDI!$B$17,IF(AND(#REF!="Padrão",$H$4=#REF!),BDI!#REF!,IF(AND(#REF!="Diferenciado",$H$4=#REF!),BDI!$E$17,IF(AND(#REF!="Diferenciado",$H$4=#REF!),BDI!#REF!,IF(#REF!="ZERO",0))))),"")</f>
        <v>#REF!</v>
      </c>
      <c r="H433" s="139" t="str">
        <f t="shared" si="19"/>
        <v/>
      </c>
      <c r="I433" s="137" t="str">
        <f t="shared" si="20"/>
        <v/>
      </c>
      <c r="J433" s="117"/>
    </row>
    <row r="434" spans="1:10" hidden="1" x14ac:dyDescent="0.25">
      <c r="A434" s="114" t="s">
        <v>1681</v>
      </c>
      <c r="B434" s="115" t="s">
        <v>1682</v>
      </c>
      <c r="C434" s="116" t="s">
        <v>1683</v>
      </c>
      <c r="D434" s="116">
        <v>0</v>
      </c>
      <c r="E434" s="136" t="s">
        <v>416</v>
      </c>
      <c r="F434" s="137" t="str">
        <f t="shared" si="18"/>
        <v/>
      </c>
      <c r="G434" s="138" t="e">
        <f>IF(A434&lt;&gt;"",IF(AND(#REF!="Padrão",$H$4=#REF!),BDI!$B$17,IF(AND(#REF!="Padrão",$H$4=#REF!),BDI!#REF!,IF(AND(#REF!="Diferenciado",$H$4=#REF!),BDI!$E$17,IF(AND(#REF!="Diferenciado",$H$4=#REF!),BDI!#REF!,IF(#REF!="ZERO",0))))),"")</f>
        <v>#REF!</v>
      </c>
      <c r="H434" s="139" t="str">
        <f t="shared" si="19"/>
        <v/>
      </c>
      <c r="I434" s="137" t="str">
        <f t="shared" si="20"/>
        <v/>
      </c>
      <c r="J434" s="117"/>
    </row>
    <row r="435" spans="1:10" hidden="1" x14ac:dyDescent="0.25">
      <c r="A435" s="114" t="s">
        <v>1684</v>
      </c>
      <c r="B435" s="115" t="s">
        <v>1685</v>
      </c>
      <c r="C435" s="116" t="s">
        <v>1683</v>
      </c>
      <c r="D435" s="116">
        <v>0</v>
      </c>
      <c r="E435" s="136" t="s">
        <v>416</v>
      </c>
      <c r="F435" s="137" t="str">
        <f t="shared" si="18"/>
        <v/>
      </c>
      <c r="G435" s="138" t="e">
        <f>IF(A435&lt;&gt;"",IF(AND(#REF!="Padrão",$H$4=#REF!),BDI!$B$17,IF(AND(#REF!="Padrão",$H$4=#REF!),BDI!#REF!,IF(AND(#REF!="Diferenciado",$H$4=#REF!),BDI!$E$17,IF(AND(#REF!="Diferenciado",$H$4=#REF!),BDI!#REF!,IF(#REF!="ZERO",0))))),"")</f>
        <v>#REF!</v>
      </c>
      <c r="H435" s="139" t="str">
        <f t="shared" si="19"/>
        <v/>
      </c>
      <c r="I435" s="137" t="str">
        <f t="shared" si="20"/>
        <v/>
      </c>
      <c r="J435" s="117"/>
    </row>
    <row r="436" spans="1:10" hidden="1" x14ac:dyDescent="0.25">
      <c r="A436" s="114" t="s">
        <v>1686</v>
      </c>
      <c r="B436" s="115" t="s">
        <v>1687</v>
      </c>
      <c r="C436" s="116" t="s">
        <v>1683</v>
      </c>
      <c r="D436" s="116">
        <v>0</v>
      </c>
      <c r="E436" s="136" t="s">
        <v>416</v>
      </c>
      <c r="F436" s="137" t="str">
        <f t="shared" si="18"/>
        <v/>
      </c>
      <c r="G436" s="138" t="e">
        <f>IF(A436&lt;&gt;"",IF(AND(#REF!="Padrão",$H$4=#REF!),BDI!$B$17,IF(AND(#REF!="Padrão",$H$4=#REF!),BDI!#REF!,IF(AND(#REF!="Diferenciado",$H$4=#REF!),BDI!$E$17,IF(AND(#REF!="Diferenciado",$H$4=#REF!),BDI!#REF!,IF(#REF!="ZERO",0))))),"")</f>
        <v>#REF!</v>
      </c>
      <c r="H436" s="139" t="str">
        <f t="shared" si="19"/>
        <v/>
      </c>
      <c r="I436" s="137" t="str">
        <f t="shared" si="20"/>
        <v/>
      </c>
      <c r="J436" s="117"/>
    </row>
    <row r="437" spans="1:10" hidden="1" x14ac:dyDescent="0.25">
      <c r="A437" s="114" t="s">
        <v>1688</v>
      </c>
      <c r="B437" s="115" t="s">
        <v>1689</v>
      </c>
      <c r="C437" s="116" t="s">
        <v>1683</v>
      </c>
      <c r="D437" s="116">
        <v>0</v>
      </c>
      <c r="E437" s="136" t="s">
        <v>416</v>
      </c>
      <c r="F437" s="137" t="str">
        <f t="shared" si="18"/>
        <v/>
      </c>
      <c r="G437" s="138" t="e">
        <f>IF(A437&lt;&gt;"",IF(AND(#REF!="Padrão",$H$4=#REF!),BDI!$B$17,IF(AND(#REF!="Padrão",$H$4=#REF!),BDI!#REF!,IF(AND(#REF!="Diferenciado",$H$4=#REF!),BDI!$E$17,IF(AND(#REF!="Diferenciado",$H$4=#REF!),BDI!#REF!,IF(#REF!="ZERO",0))))),"")</f>
        <v>#REF!</v>
      </c>
      <c r="H437" s="139" t="str">
        <f t="shared" si="19"/>
        <v/>
      </c>
      <c r="I437" s="137" t="str">
        <f t="shared" si="20"/>
        <v/>
      </c>
      <c r="J437" s="117"/>
    </row>
    <row r="438" spans="1:10" hidden="1" x14ac:dyDescent="0.25">
      <c r="A438" s="114" t="s">
        <v>1690</v>
      </c>
      <c r="B438" s="115" t="s">
        <v>1691</v>
      </c>
      <c r="C438" s="116" t="s">
        <v>1683</v>
      </c>
      <c r="D438" s="116">
        <v>0</v>
      </c>
      <c r="E438" s="136" t="s">
        <v>416</v>
      </c>
      <c r="F438" s="137" t="str">
        <f t="shared" si="18"/>
        <v/>
      </c>
      <c r="G438" s="138" t="e">
        <f>IF(A438&lt;&gt;"",IF(AND(#REF!="Padrão",$H$4=#REF!),BDI!$B$17,IF(AND(#REF!="Padrão",$H$4=#REF!),BDI!#REF!,IF(AND(#REF!="Diferenciado",$H$4=#REF!),BDI!$E$17,IF(AND(#REF!="Diferenciado",$H$4=#REF!),BDI!#REF!,IF(#REF!="ZERO",0))))),"")</f>
        <v>#REF!</v>
      </c>
      <c r="H438" s="139" t="str">
        <f t="shared" si="19"/>
        <v/>
      </c>
      <c r="I438" s="137" t="str">
        <f t="shared" si="20"/>
        <v/>
      </c>
      <c r="J438" s="117"/>
    </row>
    <row r="439" spans="1:10" hidden="1" x14ac:dyDescent="0.25">
      <c r="A439" s="114" t="s">
        <v>1692</v>
      </c>
      <c r="B439" s="115" t="s">
        <v>1693</v>
      </c>
      <c r="C439" s="116" t="s">
        <v>1683</v>
      </c>
      <c r="D439" s="116">
        <v>0</v>
      </c>
      <c r="E439" s="136" t="s">
        <v>416</v>
      </c>
      <c r="F439" s="137" t="str">
        <f t="shared" si="18"/>
        <v/>
      </c>
      <c r="G439" s="138" t="e">
        <f>IF(A439&lt;&gt;"",IF(AND(#REF!="Padrão",$H$4=#REF!),BDI!$B$17,IF(AND(#REF!="Padrão",$H$4=#REF!),BDI!#REF!,IF(AND(#REF!="Diferenciado",$H$4=#REF!),BDI!$E$17,IF(AND(#REF!="Diferenciado",$H$4=#REF!),BDI!#REF!,IF(#REF!="ZERO",0))))),"")</f>
        <v>#REF!</v>
      </c>
      <c r="H439" s="139" t="str">
        <f t="shared" si="19"/>
        <v/>
      </c>
      <c r="I439" s="137" t="str">
        <f t="shared" si="20"/>
        <v/>
      </c>
      <c r="J439" s="117"/>
    </row>
    <row r="440" spans="1:10" hidden="1" x14ac:dyDescent="0.25">
      <c r="A440" s="114" t="s">
        <v>1694</v>
      </c>
      <c r="B440" s="115" t="s">
        <v>1695</v>
      </c>
      <c r="C440" s="116" t="s">
        <v>16</v>
      </c>
      <c r="D440" s="116">
        <v>0</v>
      </c>
      <c r="E440" s="136" t="s">
        <v>416</v>
      </c>
      <c r="F440" s="137" t="str">
        <f t="shared" si="18"/>
        <v/>
      </c>
      <c r="G440" s="138" t="e">
        <f>IF(A440&lt;&gt;"",IF(AND(#REF!="Padrão",$H$4=#REF!),BDI!$B$17,IF(AND(#REF!="Padrão",$H$4=#REF!),BDI!#REF!,IF(AND(#REF!="Diferenciado",$H$4=#REF!),BDI!$E$17,IF(AND(#REF!="Diferenciado",$H$4=#REF!),BDI!#REF!,IF(#REF!="ZERO",0))))),"")</f>
        <v>#REF!</v>
      </c>
      <c r="H440" s="139" t="str">
        <f t="shared" si="19"/>
        <v/>
      </c>
      <c r="I440" s="137" t="str">
        <f t="shared" si="20"/>
        <v/>
      </c>
      <c r="J440" s="117"/>
    </row>
    <row r="441" spans="1:10" hidden="1" x14ac:dyDescent="0.25">
      <c r="A441" s="114" t="s">
        <v>1696</v>
      </c>
      <c r="B441" s="115" t="s">
        <v>1697</v>
      </c>
      <c r="C441" s="116" t="s">
        <v>16</v>
      </c>
      <c r="D441" s="116">
        <v>0</v>
      </c>
      <c r="E441" s="136" t="s">
        <v>416</v>
      </c>
      <c r="F441" s="137" t="str">
        <f t="shared" si="18"/>
        <v/>
      </c>
      <c r="G441" s="138" t="e">
        <f>IF(A441&lt;&gt;"",IF(AND(#REF!="Padrão",$H$4=#REF!),BDI!$B$17,IF(AND(#REF!="Padrão",$H$4=#REF!),BDI!#REF!,IF(AND(#REF!="Diferenciado",$H$4=#REF!),BDI!$E$17,IF(AND(#REF!="Diferenciado",$H$4=#REF!),BDI!#REF!,IF(#REF!="ZERO",0))))),"")</f>
        <v>#REF!</v>
      </c>
      <c r="H441" s="139" t="str">
        <f t="shared" si="19"/>
        <v/>
      </c>
      <c r="I441" s="137" t="str">
        <f t="shared" si="20"/>
        <v/>
      </c>
      <c r="J441" s="117"/>
    </row>
    <row r="442" spans="1:10" hidden="1" x14ac:dyDescent="0.25">
      <c r="A442" s="114" t="s">
        <v>1698</v>
      </c>
      <c r="B442" s="115" t="s">
        <v>1699</v>
      </c>
      <c r="C442" s="116" t="s">
        <v>16</v>
      </c>
      <c r="D442" s="116">
        <v>0</v>
      </c>
      <c r="E442" s="136" t="s">
        <v>416</v>
      </c>
      <c r="F442" s="137" t="str">
        <f t="shared" si="18"/>
        <v/>
      </c>
      <c r="G442" s="138" t="e">
        <f>IF(A442&lt;&gt;"",IF(AND(#REF!="Padrão",$H$4=#REF!),BDI!$B$17,IF(AND(#REF!="Padrão",$H$4=#REF!),BDI!#REF!,IF(AND(#REF!="Diferenciado",$H$4=#REF!),BDI!$E$17,IF(AND(#REF!="Diferenciado",$H$4=#REF!),BDI!#REF!,IF(#REF!="ZERO",0))))),"")</f>
        <v>#REF!</v>
      </c>
      <c r="H442" s="139" t="str">
        <f t="shared" si="19"/>
        <v/>
      </c>
      <c r="I442" s="137" t="str">
        <f t="shared" si="20"/>
        <v/>
      </c>
      <c r="J442" s="117"/>
    </row>
    <row r="443" spans="1:10" hidden="1" x14ac:dyDescent="0.25">
      <c r="A443" s="114" t="s">
        <v>1700</v>
      </c>
      <c r="B443" s="115" t="s">
        <v>1701</v>
      </c>
      <c r="C443" s="116" t="s">
        <v>16</v>
      </c>
      <c r="D443" s="116">
        <v>0</v>
      </c>
      <c r="E443" s="136" t="s">
        <v>416</v>
      </c>
      <c r="F443" s="137" t="str">
        <f t="shared" si="18"/>
        <v/>
      </c>
      <c r="G443" s="138" t="e">
        <f>IF(A443&lt;&gt;"",IF(AND(#REF!="Padrão",$H$4=#REF!),BDI!$B$17,IF(AND(#REF!="Padrão",$H$4=#REF!),BDI!#REF!,IF(AND(#REF!="Diferenciado",$H$4=#REF!),BDI!$E$17,IF(AND(#REF!="Diferenciado",$H$4=#REF!),BDI!#REF!,IF(#REF!="ZERO",0))))),"")</f>
        <v>#REF!</v>
      </c>
      <c r="H443" s="139" t="str">
        <f t="shared" si="19"/>
        <v/>
      </c>
      <c r="I443" s="137" t="str">
        <f t="shared" si="20"/>
        <v/>
      </c>
      <c r="J443" s="117"/>
    </row>
    <row r="444" spans="1:10" hidden="1" x14ac:dyDescent="0.25">
      <c r="A444" s="114" t="s">
        <v>1702</v>
      </c>
      <c r="B444" s="115" t="s">
        <v>1703</v>
      </c>
      <c r="C444" s="116" t="s">
        <v>16</v>
      </c>
      <c r="D444" s="116">
        <v>0</v>
      </c>
      <c r="E444" s="136" t="s">
        <v>416</v>
      </c>
      <c r="F444" s="137" t="str">
        <f t="shared" si="18"/>
        <v/>
      </c>
      <c r="G444" s="138" t="e">
        <f>IF(A444&lt;&gt;"",IF(AND(#REF!="Padrão",$H$4=#REF!),BDI!$B$17,IF(AND(#REF!="Padrão",$H$4=#REF!),BDI!#REF!,IF(AND(#REF!="Diferenciado",$H$4=#REF!),BDI!$E$17,IF(AND(#REF!="Diferenciado",$H$4=#REF!),BDI!#REF!,IF(#REF!="ZERO",0))))),"")</f>
        <v>#REF!</v>
      </c>
      <c r="H444" s="139" t="str">
        <f t="shared" si="19"/>
        <v/>
      </c>
      <c r="I444" s="137" t="str">
        <f t="shared" si="20"/>
        <v/>
      </c>
      <c r="J444" s="117"/>
    </row>
    <row r="445" spans="1:10" hidden="1" x14ac:dyDescent="0.25">
      <c r="A445" s="114" t="s">
        <v>1704</v>
      </c>
      <c r="B445" s="115" t="s">
        <v>1705</v>
      </c>
      <c r="C445" s="116" t="s">
        <v>16</v>
      </c>
      <c r="D445" s="116">
        <v>0</v>
      </c>
      <c r="E445" s="136" t="s">
        <v>416</v>
      </c>
      <c r="F445" s="137" t="str">
        <f t="shared" si="18"/>
        <v/>
      </c>
      <c r="G445" s="138" t="e">
        <f>IF(A445&lt;&gt;"",IF(AND(#REF!="Padrão",$H$4=#REF!),BDI!$B$17,IF(AND(#REF!="Padrão",$H$4=#REF!),BDI!#REF!,IF(AND(#REF!="Diferenciado",$H$4=#REF!),BDI!$E$17,IF(AND(#REF!="Diferenciado",$H$4=#REF!),BDI!#REF!,IF(#REF!="ZERO",0))))),"")</f>
        <v>#REF!</v>
      </c>
      <c r="H445" s="139" t="str">
        <f t="shared" si="19"/>
        <v/>
      </c>
      <c r="I445" s="137" t="str">
        <f t="shared" si="20"/>
        <v/>
      </c>
      <c r="J445" s="117"/>
    </row>
    <row r="446" spans="1:10" hidden="1" x14ac:dyDescent="0.25">
      <c r="A446" s="114" t="s">
        <v>1706</v>
      </c>
      <c r="B446" s="115" t="s">
        <v>1707</v>
      </c>
      <c r="C446" s="116" t="s">
        <v>16</v>
      </c>
      <c r="D446" s="116">
        <v>0</v>
      </c>
      <c r="E446" s="136" t="s">
        <v>416</v>
      </c>
      <c r="F446" s="137" t="str">
        <f t="shared" si="18"/>
        <v/>
      </c>
      <c r="G446" s="138" t="e">
        <f>IF(A446&lt;&gt;"",IF(AND(#REF!="Padrão",$H$4=#REF!),BDI!$B$17,IF(AND(#REF!="Padrão",$H$4=#REF!),BDI!#REF!,IF(AND(#REF!="Diferenciado",$H$4=#REF!),BDI!$E$17,IF(AND(#REF!="Diferenciado",$H$4=#REF!),BDI!#REF!,IF(#REF!="ZERO",0))))),"")</f>
        <v>#REF!</v>
      </c>
      <c r="H446" s="139" t="str">
        <f t="shared" si="19"/>
        <v/>
      </c>
      <c r="I446" s="137" t="str">
        <f t="shared" si="20"/>
        <v/>
      </c>
      <c r="J446" s="117"/>
    </row>
    <row r="447" spans="1:10" hidden="1" x14ac:dyDescent="0.25">
      <c r="A447" s="114" t="s">
        <v>1708</v>
      </c>
      <c r="B447" s="115" t="s">
        <v>1709</v>
      </c>
      <c r="C447" s="116" t="s">
        <v>16</v>
      </c>
      <c r="D447" s="116">
        <v>0</v>
      </c>
      <c r="E447" s="136" t="s">
        <v>416</v>
      </c>
      <c r="F447" s="137" t="str">
        <f t="shared" si="18"/>
        <v/>
      </c>
      <c r="G447" s="138" t="e">
        <f>IF(A447&lt;&gt;"",IF(AND(#REF!="Padrão",$H$4=#REF!),BDI!$B$17,IF(AND(#REF!="Padrão",$H$4=#REF!),BDI!#REF!,IF(AND(#REF!="Diferenciado",$H$4=#REF!),BDI!$E$17,IF(AND(#REF!="Diferenciado",$H$4=#REF!),BDI!#REF!,IF(#REF!="ZERO",0))))),"")</f>
        <v>#REF!</v>
      </c>
      <c r="H447" s="139" t="str">
        <f t="shared" si="19"/>
        <v/>
      </c>
      <c r="I447" s="137" t="str">
        <f t="shared" si="20"/>
        <v/>
      </c>
      <c r="J447" s="117"/>
    </row>
    <row r="448" spans="1:10" hidden="1" x14ac:dyDescent="0.25">
      <c r="A448" s="114" t="s">
        <v>1710</v>
      </c>
      <c r="B448" s="115" t="s">
        <v>7618</v>
      </c>
      <c r="C448" s="116" t="s">
        <v>16</v>
      </c>
      <c r="D448" s="116">
        <v>0</v>
      </c>
      <c r="E448" s="136">
        <f ca="1">OFFSET(INDEX(Composições!A:J,MATCH(Orçamentária!A448,Composições!A:A,0),8),2,0)</f>
        <v>19.170999999999999</v>
      </c>
      <c r="F448" s="137">
        <f t="shared" ca="1" si="18"/>
        <v>0</v>
      </c>
      <c r="G448" s="138" t="e">
        <f>IF(A448&lt;&gt;"",IF(AND(#REF!="Padrão",$H$4=#REF!),BDI!$B$17,IF(AND(#REF!="Padrão",$H$4=#REF!),BDI!#REF!,IF(AND(#REF!="Diferenciado",$H$4=#REF!),BDI!$E$17,IF(AND(#REF!="Diferenciado",$H$4=#REF!),BDI!#REF!,IF(#REF!="ZERO",0))))),"")</f>
        <v>#REF!</v>
      </c>
      <c r="H448" s="139" t="e">
        <f t="shared" ca="1" si="19"/>
        <v>#REF!</v>
      </c>
      <c r="I448" s="137" t="e">
        <f t="shared" ca="1" si="20"/>
        <v>#REF!</v>
      </c>
      <c r="J448" s="117"/>
    </row>
    <row r="449" spans="1:10" hidden="1" x14ac:dyDescent="0.25">
      <c r="A449" s="114" t="s">
        <v>1711</v>
      </c>
      <c r="B449" s="115" t="s">
        <v>7619</v>
      </c>
      <c r="C449" s="116" t="s">
        <v>16</v>
      </c>
      <c r="D449" s="116">
        <v>0</v>
      </c>
      <c r="E449" s="136" t="s">
        <v>416</v>
      </c>
      <c r="F449" s="137" t="str">
        <f t="shared" si="18"/>
        <v/>
      </c>
      <c r="G449" s="138" t="e">
        <f>IF(A449&lt;&gt;"",IF(AND(#REF!="Padrão",$H$4=#REF!),BDI!$B$17,IF(AND(#REF!="Padrão",$H$4=#REF!),BDI!#REF!,IF(AND(#REF!="Diferenciado",$H$4=#REF!),BDI!$E$17,IF(AND(#REF!="Diferenciado",$H$4=#REF!),BDI!#REF!,IF(#REF!="ZERO",0))))),"")</f>
        <v>#REF!</v>
      </c>
      <c r="H449" s="139" t="str">
        <f t="shared" si="19"/>
        <v/>
      </c>
      <c r="I449" s="137" t="str">
        <f t="shared" si="20"/>
        <v/>
      </c>
      <c r="J449" s="117"/>
    </row>
    <row r="450" spans="1:10" hidden="1" x14ac:dyDescent="0.25">
      <c r="A450" s="114" t="s">
        <v>1712</v>
      </c>
      <c r="B450" s="115" t="s">
        <v>7620</v>
      </c>
      <c r="C450" s="116" t="s">
        <v>16</v>
      </c>
      <c r="D450" s="116">
        <v>0</v>
      </c>
      <c r="E450" s="136" t="s">
        <v>416</v>
      </c>
      <c r="F450" s="137" t="str">
        <f t="shared" si="18"/>
        <v/>
      </c>
      <c r="G450" s="138" t="e">
        <f>IF(A450&lt;&gt;"",IF(AND(#REF!="Padrão",$H$4=#REF!),BDI!$B$17,IF(AND(#REF!="Padrão",$H$4=#REF!),BDI!#REF!,IF(AND(#REF!="Diferenciado",$H$4=#REF!),BDI!$E$17,IF(AND(#REF!="Diferenciado",$H$4=#REF!),BDI!#REF!,IF(#REF!="ZERO",0))))),"")</f>
        <v>#REF!</v>
      </c>
      <c r="H450" s="139" t="str">
        <f t="shared" si="19"/>
        <v/>
      </c>
      <c r="I450" s="137" t="str">
        <f t="shared" si="20"/>
        <v/>
      </c>
      <c r="J450" s="117"/>
    </row>
    <row r="451" spans="1:10" hidden="1" x14ac:dyDescent="0.25">
      <c r="A451" s="114" t="s">
        <v>1713</v>
      </c>
      <c r="B451" s="115" t="s">
        <v>1714</v>
      </c>
      <c r="C451" s="116" t="s">
        <v>16</v>
      </c>
      <c r="D451" s="116">
        <v>0</v>
      </c>
      <c r="E451" s="136" t="s">
        <v>416</v>
      </c>
      <c r="F451" s="137" t="str">
        <f t="shared" si="18"/>
        <v/>
      </c>
      <c r="G451" s="138" t="e">
        <f>IF(A451&lt;&gt;"",IF(AND(#REF!="Padrão",$H$4=#REF!),BDI!$B$17,IF(AND(#REF!="Padrão",$H$4=#REF!),BDI!#REF!,IF(AND(#REF!="Diferenciado",$H$4=#REF!),BDI!$E$17,IF(AND(#REF!="Diferenciado",$H$4=#REF!),BDI!#REF!,IF(#REF!="ZERO",0))))),"")</f>
        <v>#REF!</v>
      </c>
      <c r="H451" s="139" t="str">
        <f t="shared" si="19"/>
        <v/>
      </c>
      <c r="I451" s="137" t="str">
        <f t="shared" si="20"/>
        <v/>
      </c>
      <c r="J451" s="117"/>
    </row>
    <row r="452" spans="1:10" hidden="1" x14ac:dyDescent="0.25">
      <c r="A452" s="114" t="s">
        <v>1715</v>
      </c>
      <c r="B452" s="115" t="s">
        <v>1716</v>
      </c>
      <c r="C452" s="116" t="s">
        <v>16</v>
      </c>
      <c r="D452" s="116">
        <v>0</v>
      </c>
      <c r="E452" s="136" t="s">
        <v>416</v>
      </c>
      <c r="F452" s="137" t="str">
        <f t="shared" si="18"/>
        <v/>
      </c>
      <c r="G452" s="138" t="e">
        <f>IF(A452&lt;&gt;"",IF(AND(#REF!="Padrão",$H$4=#REF!),BDI!$B$17,IF(AND(#REF!="Padrão",$H$4=#REF!),BDI!#REF!,IF(AND(#REF!="Diferenciado",$H$4=#REF!),BDI!$E$17,IF(AND(#REF!="Diferenciado",$H$4=#REF!),BDI!#REF!,IF(#REF!="ZERO",0))))),"")</f>
        <v>#REF!</v>
      </c>
      <c r="H452" s="139" t="str">
        <f t="shared" si="19"/>
        <v/>
      </c>
      <c r="I452" s="137" t="str">
        <f t="shared" si="20"/>
        <v/>
      </c>
      <c r="J452" s="117"/>
    </row>
    <row r="453" spans="1:10" hidden="1" x14ac:dyDescent="0.25">
      <c r="A453" s="114" t="s">
        <v>1717</v>
      </c>
      <c r="B453" s="115" t="s">
        <v>1718</v>
      </c>
      <c r="C453" s="116" t="s">
        <v>16</v>
      </c>
      <c r="D453" s="116">
        <v>0</v>
      </c>
      <c r="E453" s="136" t="s">
        <v>416</v>
      </c>
      <c r="F453" s="137" t="str">
        <f t="shared" si="18"/>
        <v/>
      </c>
      <c r="G453" s="138" t="e">
        <f>IF(A453&lt;&gt;"",IF(AND(#REF!="Padrão",$H$4=#REF!),BDI!$B$17,IF(AND(#REF!="Padrão",$H$4=#REF!),BDI!#REF!,IF(AND(#REF!="Diferenciado",$H$4=#REF!),BDI!$E$17,IF(AND(#REF!="Diferenciado",$H$4=#REF!),BDI!#REF!,IF(#REF!="ZERO",0))))),"")</f>
        <v>#REF!</v>
      </c>
      <c r="H453" s="139" t="str">
        <f t="shared" si="19"/>
        <v/>
      </c>
      <c r="I453" s="137" t="str">
        <f t="shared" si="20"/>
        <v/>
      </c>
      <c r="J453" s="117"/>
    </row>
    <row r="454" spans="1:10" hidden="1" x14ac:dyDescent="0.25">
      <c r="A454" s="114" t="s">
        <v>1719</v>
      </c>
      <c r="B454" s="115" t="s">
        <v>1720</v>
      </c>
      <c r="C454" s="116" t="s">
        <v>16</v>
      </c>
      <c r="D454" s="116">
        <v>0</v>
      </c>
      <c r="E454" s="136" t="s">
        <v>416</v>
      </c>
      <c r="F454" s="137" t="str">
        <f t="shared" si="18"/>
        <v/>
      </c>
      <c r="G454" s="138" t="e">
        <f>IF(A454&lt;&gt;"",IF(AND(#REF!="Padrão",$H$4=#REF!),BDI!$B$17,IF(AND(#REF!="Padrão",$H$4=#REF!),BDI!#REF!,IF(AND(#REF!="Diferenciado",$H$4=#REF!),BDI!$E$17,IF(AND(#REF!="Diferenciado",$H$4=#REF!),BDI!#REF!,IF(#REF!="ZERO",0))))),"")</f>
        <v>#REF!</v>
      </c>
      <c r="H454" s="139" t="str">
        <f t="shared" si="19"/>
        <v/>
      </c>
      <c r="I454" s="137" t="str">
        <f t="shared" si="20"/>
        <v/>
      </c>
      <c r="J454" s="117"/>
    </row>
    <row r="455" spans="1:10" hidden="1" x14ac:dyDescent="0.25">
      <c r="A455" s="114" t="s">
        <v>1721</v>
      </c>
      <c r="B455" s="115" t="s">
        <v>1722</v>
      </c>
      <c r="C455" s="116" t="s">
        <v>16</v>
      </c>
      <c r="D455" s="116">
        <v>0</v>
      </c>
      <c r="E455" s="136" t="s">
        <v>416</v>
      </c>
      <c r="F455" s="137" t="str">
        <f t="shared" ref="F455:F518" si="21">IF(ISNUMBER(E455),D455*E455,"")</f>
        <v/>
      </c>
      <c r="G455" s="138" t="e">
        <f>IF(A455&lt;&gt;"",IF(AND(#REF!="Padrão",$H$4=#REF!),BDI!$B$17,IF(AND(#REF!="Padrão",$H$4=#REF!),BDI!#REF!,IF(AND(#REF!="Diferenciado",$H$4=#REF!),BDI!$E$17,IF(AND(#REF!="Diferenciado",$H$4=#REF!),BDI!#REF!,IF(#REF!="ZERO",0))))),"")</f>
        <v>#REF!</v>
      </c>
      <c r="H455" s="139" t="str">
        <f t="shared" ref="H455:H518" si="22">IF(ISNUMBER(E455),ROUND(E455*(1+G455),2),"")</f>
        <v/>
      </c>
      <c r="I455" s="137" t="str">
        <f t="shared" ref="I455:I518" si="23">IF(ISNUMBER(E455),ROUND(H455*D455,2),"")</f>
        <v/>
      </c>
      <c r="J455" s="117"/>
    </row>
    <row r="456" spans="1:10" hidden="1" x14ac:dyDescent="0.25">
      <c r="A456" s="114" t="s">
        <v>1723</v>
      </c>
      <c r="B456" s="115" t="s">
        <v>1724</v>
      </c>
      <c r="C456" s="116" t="s">
        <v>16</v>
      </c>
      <c r="D456" s="116">
        <v>0</v>
      </c>
      <c r="E456" s="136" t="s">
        <v>416</v>
      </c>
      <c r="F456" s="137" t="str">
        <f t="shared" si="21"/>
        <v/>
      </c>
      <c r="G456" s="138" t="e">
        <f>IF(A456&lt;&gt;"",IF(AND(#REF!="Padrão",$H$4=#REF!),BDI!$B$17,IF(AND(#REF!="Padrão",$H$4=#REF!),BDI!#REF!,IF(AND(#REF!="Diferenciado",$H$4=#REF!),BDI!$E$17,IF(AND(#REF!="Diferenciado",$H$4=#REF!),BDI!#REF!,IF(#REF!="ZERO",0))))),"")</f>
        <v>#REF!</v>
      </c>
      <c r="H456" s="139" t="str">
        <f t="shared" si="22"/>
        <v/>
      </c>
      <c r="I456" s="137" t="str">
        <f t="shared" si="23"/>
        <v/>
      </c>
      <c r="J456" s="117"/>
    </row>
    <row r="457" spans="1:10" hidden="1" x14ac:dyDescent="0.25">
      <c r="A457" s="114" t="s">
        <v>1725</v>
      </c>
      <c r="B457" s="115" t="s">
        <v>1726</v>
      </c>
      <c r="C457" s="116" t="s">
        <v>16</v>
      </c>
      <c r="D457" s="116">
        <v>0</v>
      </c>
      <c r="E457" s="136" t="s">
        <v>416</v>
      </c>
      <c r="F457" s="137" t="str">
        <f t="shared" si="21"/>
        <v/>
      </c>
      <c r="G457" s="138" t="e">
        <f>IF(A457&lt;&gt;"",IF(AND(#REF!="Padrão",$H$4=#REF!),BDI!$B$17,IF(AND(#REF!="Padrão",$H$4=#REF!),BDI!#REF!,IF(AND(#REF!="Diferenciado",$H$4=#REF!),BDI!$E$17,IF(AND(#REF!="Diferenciado",$H$4=#REF!),BDI!#REF!,IF(#REF!="ZERO",0))))),"")</f>
        <v>#REF!</v>
      </c>
      <c r="H457" s="139" t="str">
        <f t="shared" si="22"/>
        <v/>
      </c>
      <c r="I457" s="137" t="str">
        <f t="shared" si="23"/>
        <v/>
      </c>
      <c r="J457" s="117"/>
    </row>
    <row r="458" spans="1:10" hidden="1" x14ac:dyDescent="0.25">
      <c r="A458" s="114" t="s">
        <v>1727</v>
      </c>
      <c r="B458" s="115" t="s">
        <v>1728</v>
      </c>
      <c r="C458" s="116" t="s">
        <v>16</v>
      </c>
      <c r="D458" s="116">
        <v>0</v>
      </c>
      <c r="E458" s="136" t="s">
        <v>416</v>
      </c>
      <c r="F458" s="137" t="str">
        <f t="shared" si="21"/>
        <v/>
      </c>
      <c r="G458" s="138" t="e">
        <f>IF(A458&lt;&gt;"",IF(AND(#REF!="Padrão",$H$4=#REF!),BDI!$B$17,IF(AND(#REF!="Padrão",$H$4=#REF!),BDI!#REF!,IF(AND(#REF!="Diferenciado",$H$4=#REF!),BDI!$E$17,IF(AND(#REF!="Diferenciado",$H$4=#REF!),BDI!#REF!,IF(#REF!="ZERO",0))))),"")</f>
        <v>#REF!</v>
      </c>
      <c r="H458" s="139" t="str">
        <f t="shared" si="22"/>
        <v/>
      </c>
      <c r="I458" s="137" t="str">
        <f t="shared" si="23"/>
        <v/>
      </c>
      <c r="J458" s="117"/>
    </row>
    <row r="459" spans="1:10" hidden="1" x14ac:dyDescent="0.25">
      <c r="A459" s="114" t="s">
        <v>1729</v>
      </c>
      <c r="B459" s="115" t="s">
        <v>1730</v>
      </c>
      <c r="C459" s="116" t="s">
        <v>16</v>
      </c>
      <c r="D459" s="116">
        <v>0</v>
      </c>
      <c r="E459" s="136" t="s">
        <v>416</v>
      </c>
      <c r="F459" s="137" t="str">
        <f t="shared" si="21"/>
        <v/>
      </c>
      <c r="G459" s="138" t="e">
        <f>IF(A459&lt;&gt;"",IF(AND(#REF!="Padrão",$H$4=#REF!),BDI!$B$17,IF(AND(#REF!="Padrão",$H$4=#REF!),BDI!#REF!,IF(AND(#REF!="Diferenciado",$H$4=#REF!),BDI!$E$17,IF(AND(#REF!="Diferenciado",$H$4=#REF!),BDI!#REF!,IF(#REF!="ZERO",0))))),"")</f>
        <v>#REF!</v>
      </c>
      <c r="H459" s="139" t="str">
        <f t="shared" si="22"/>
        <v/>
      </c>
      <c r="I459" s="137" t="str">
        <f t="shared" si="23"/>
        <v/>
      </c>
      <c r="J459" s="117"/>
    </row>
    <row r="460" spans="1:10" hidden="1" x14ac:dyDescent="0.25">
      <c r="A460" s="114" t="s">
        <v>1731</v>
      </c>
      <c r="B460" s="115" t="s">
        <v>1732</v>
      </c>
      <c r="C460" s="116" t="s">
        <v>16</v>
      </c>
      <c r="D460" s="116">
        <v>0</v>
      </c>
      <c r="E460" s="136" t="s">
        <v>416</v>
      </c>
      <c r="F460" s="137" t="str">
        <f t="shared" si="21"/>
        <v/>
      </c>
      <c r="G460" s="138" t="e">
        <f>IF(A460&lt;&gt;"",IF(AND(#REF!="Padrão",$H$4=#REF!),BDI!$B$17,IF(AND(#REF!="Padrão",$H$4=#REF!),BDI!#REF!,IF(AND(#REF!="Diferenciado",$H$4=#REF!),BDI!$E$17,IF(AND(#REF!="Diferenciado",$H$4=#REF!),BDI!#REF!,IF(#REF!="ZERO",0))))),"")</f>
        <v>#REF!</v>
      </c>
      <c r="H460" s="139" t="str">
        <f t="shared" si="22"/>
        <v/>
      </c>
      <c r="I460" s="137" t="str">
        <f t="shared" si="23"/>
        <v/>
      </c>
      <c r="J460" s="117"/>
    </row>
    <row r="461" spans="1:10" ht="25.5" hidden="1" x14ac:dyDescent="0.25">
      <c r="A461" s="114" t="s">
        <v>1733</v>
      </c>
      <c r="B461" s="115" t="s">
        <v>1734</v>
      </c>
      <c r="C461" s="116" t="s">
        <v>16</v>
      </c>
      <c r="D461" s="116">
        <v>0</v>
      </c>
      <c r="E461" s="136" t="s">
        <v>416</v>
      </c>
      <c r="F461" s="137" t="str">
        <f t="shared" si="21"/>
        <v/>
      </c>
      <c r="G461" s="138" t="e">
        <f>IF(A461&lt;&gt;"",IF(AND(#REF!="Padrão",$H$4=#REF!),BDI!$B$17,IF(AND(#REF!="Padrão",$H$4=#REF!),BDI!#REF!,IF(AND(#REF!="Diferenciado",$H$4=#REF!),BDI!$E$17,IF(AND(#REF!="Diferenciado",$H$4=#REF!),BDI!#REF!,IF(#REF!="ZERO",0))))),"")</f>
        <v>#REF!</v>
      </c>
      <c r="H461" s="139" t="str">
        <f t="shared" si="22"/>
        <v/>
      </c>
      <c r="I461" s="137" t="str">
        <f t="shared" si="23"/>
        <v/>
      </c>
      <c r="J461" s="117"/>
    </row>
    <row r="462" spans="1:10" ht="25.5" hidden="1" x14ac:dyDescent="0.25">
      <c r="A462" s="114" t="s">
        <v>1735</v>
      </c>
      <c r="B462" s="115" t="s">
        <v>1736</v>
      </c>
      <c r="C462" s="116" t="s">
        <v>16</v>
      </c>
      <c r="D462" s="116">
        <v>0</v>
      </c>
      <c r="E462" s="136" t="s">
        <v>416</v>
      </c>
      <c r="F462" s="137" t="str">
        <f t="shared" si="21"/>
        <v/>
      </c>
      <c r="G462" s="138" t="e">
        <f>IF(A462&lt;&gt;"",IF(AND(#REF!="Padrão",$H$4=#REF!),BDI!$B$17,IF(AND(#REF!="Padrão",$H$4=#REF!),BDI!#REF!,IF(AND(#REF!="Diferenciado",$H$4=#REF!),BDI!$E$17,IF(AND(#REF!="Diferenciado",$H$4=#REF!),BDI!#REF!,IF(#REF!="ZERO",0))))),"")</f>
        <v>#REF!</v>
      </c>
      <c r="H462" s="139" t="str">
        <f t="shared" si="22"/>
        <v/>
      </c>
      <c r="I462" s="137" t="str">
        <f t="shared" si="23"/>
        <v/>
      </c>
      <c r="J462" s="117"/>
    </row>
    <row r="463" spans="1:10" hidden="1" x14ac:dyDescent="0.25">
      <c r="A463" s="114" t="s">
        <v>1737</v>
      </c>
      <c r="B463" s="115" t="s">
        <v>1738</v>
      </c>
      <c r="C463" s="116" t="s">
        <v>16</v>
      </c>
      <c r="D463" s="116">
        <v>0</v>
      </c>
      <c r="E463" s="136" t="s">
        <v>416</v>
      </c>
      <c r="F463" s="137" t="str">
        <f t="shared" si="21"/>
        <v/>
      </c>
      <c r="G463" s="138" t="e">
        <f>IF(A463&lt;&gt;"",IF(AND(#REF!="Padrão",$H$4=#REF!),BDI!$B$17,IF(AND(#REF!="Padrão",$H$4=#REF!),BDI!#REF!,IF(AND(#REF!="Diferenciado",$H$4=#REF!),BDI!$E$17,IF(AND(#REF!="Diferenciado",$H$4=#REF!),BDI!#REF!,IF(#REF!="ZERO",0))))),"")</f>
        <v>#REF!</v>
      </c>
      <c r="H463" s="139" t="str">
        <f t="shared" si="22"/>
        <v/>
      </c>
      <c r="I463" s="137" t="str">
        <f t="shared" si="23"/>
        <v/>
      </c>
      <c r="J463" s="117"/>
    </row>
    <row r="464" spans="1:10" hidden="1" x14ac:dyDescent="0.25">
      <c r="A464" s="114" t="s">
        <v>1739</v>
      </c>
      <c r="B464" s="115" t="s">
        <v>1740</v>
      </c>
      <c r="C464" s="116" t="s">
        <v>16</v>
      </c>
      <c r="D464" s="116">
        <v>0</v>
      </c>
      <c r="E464" s="136" t="s">
        <v>416</v>
      </c>
      <c r="F464" s="137" t="str">
        <f t="shared" si="21"/>
        <v/>
      </c>
      <c r="G464" s="138" t="e">
        <f>IF(A464&lt;&gt;"",IF(AND(#REF!="Padrão",$H$4=#REF!),BDI!$B$17,IF(AND(#REF!="Padrão",$H$4=#REF!),BDI!#REF!,IF(AND(#REF!="Diferenciado",$H$4=#REF!),BDI!$E$17,IF(AND(#REF!="Diferenciado",$H$4=#REF!),BDI!#REF!,IF(#REF!="ZERO",0))))),"")</f>
        <v>#REF!</v>
      </c>
      <c r="H464" s="139" t="str">
        <f t="shared" si="22"/>
        <v/>
      </c>
      <c r="I464" s="137" t="str">
        <f t="shared" si="23"/>
        <v/>
      </c>
      <c r="J464" s="117"/>
    </row>
    <row r="465" spans="1:10" hidden="1" x14ac:dyDescent="0.25">
      <c r="A465" s="114" t="s">
        <v>1741</v>
      </c>
      <c r="B465" s="115" t="s">
        <v>1742</v>
      </c>
      <c r="C465" s="116" t="s">
        <v>16</v>
      </c>
      <c r="D465" s="116">
        <v>0</v>
      </c>
      <c r="E465" s="136" t="s">
        <v>416</v>
      </c>
      <c r="F465" s="137" t="str">
        <f t="shared" si="21"/>
        <v/>
      </c>
      <c r="G465" s="138" t="e">
        <f>IF(A465&lt;&gt;"",IF(AND(#REF!="Padrão",$H$4=#REF!),BDI!$B$17,IF(AND(#REF!="Padrão",$H$4=#REF!),BDI!#REF!,IF(AND(#REF!="Diferenciado",$H$4=#REF!),BDI!$E$17,IF(AND(#REF!="Diferenciado",$H$4=#REF!),BDI!#REF!,IF(#REF!="ZERO",0))))),"")</f>
        <v>#REF!</v>
      </c>
      <c r="H465" s="139" t="str">
        <f t="shared" si="22"/>
        <v/>
      </c>
      <c r="I465" s="137" t="str">
        <f t="shared" si="23"/>
        <v/>
      </c>
      <c r="J465" s="117"/>
    </row>
    <row r="466" spans="1:10" hidden="1" x14ac:dyDescent="0.25">
      <c r="A466" s="114" t="s">
        <v>1743</v>
      </c>
      <c r="B466" s="115" t="s">
        <v>7621</v>
      </c>
      <c r="C466" s="116" t="s">
        <v>16</v>
      </c>
      <c r="D466" s="116">
        <v>0</v>
      </c>
      <c r="E466" s="136" t="s">
        <v>416</v>
      </c>
      <c r="F466" s="137" t="str">
        <f t="shared" si="21"/>
        <v/>
      </c>
      <c r="G466" s="138" t="e">
        <f>IF(A466&lt;&gt;"",IF(AND(#REF!="Padrão",$H$4=#REF!),BDI!$B$17,IF(AND(#REF!="Padrão",$H$4=#REF!),BDI!#REF!,IF(AND(#REF!="Diferenciado",$H$4=#REF!),BDI!$E$17,IF(AND(#REF!="Diferenciado",$H$4=#REF!),BDI!#REF!,IF(#REF!="ZERO",0))))),"")</f>
        <v>#REF!</v>
      </c>
      <c r="H466" s="139" t="str">
        <f t="shared" si="22"/>
        <v/>
      </c>
      <c r="I466" s="137" t="str">
        <f t="shared" si="23"/>
        <v/>
      </c>
      <c r="J466" s="117"/>
    </row>
    <row r="467" spans="1:10" hidden="1" x14ac:dyDescent="0.25">
      <c r="A467" s="114" t="s">
        <v>1744</v>
      </c>
      <c r="B467" s="115" t="s">
        <v>1745</v>
      </c>
      <c r="C467" s="116" t="s">
        <v>16</v>
      </c>
      <c r="D467" s="116">
        <v>0</v>
      </c>
      <c r="E467" s="136" t="s">
        <v>416</v>
      </c>
      <c r="F467" s="137" t="str">
        <f t="shared" si="21"/>
        <v/>
      </c>
      <c r="G467" s="138" t="e">
        <f>IF(A467&lt;&gt;"",IF(AND(#REF!="Padrão",$H$4=#REF!),BDI!$B$17,IF(AND(#REF!="Padrão",$H$4=#REF!),BDI!#REF!,IF(AND(#REF!="Diferenciado",$H$4=#REF!),BDI!$E$17,IF(AND(#REF!="Diferenciado",$H$4=#REF!),BDI!#REF!,IF(#REF!="ZERO",0))))),"")</f>
        <v>#REF!</v>
      </c>
      <c r="H467" s="139" t="str">
        <f t="shared" si="22"/>
        <v/>
      </c>
      <c r="I467" s="137" t="str">
        <f t="shared" si="23"/>
        <v/>
      </c>
      <c r="J467" s="117"/>
    </row>
    <row r="468" spans="1:10" hidden="1" x14ac:dyDescent="0.25">
      <c r="A468" s="114" t="s">
        <v>1746</v>
      </c>
      <c r="B468" s="115" t="s">
        <v>1747</v>
      </c>
      <c r="C468" s="116" t="s">
        <v>16</v>
      </c>
      <c r="D468" s="116">
        <v>0</v>
      </c>
      <c r="E468" s="136" t="s">
        <v>416</v>
      </c>
      <c r="F468" s="137" t="str">
        <f t="shared" si="21"/>
        <v/>
      </c>
      <c r="G468" s="138" t="e">
        <f>IF(A468&lt;&gt;"",IF(AND(#REF!="Padrão",$H$4=#REF!),BDI!$B$17,IF(AND(#REF!="Padrão",$H$4=#REF!),BDI!#REF!,IF(AND(#REF!="Diferenciado",$H$4=#REF!),BDI!$E$17,IF(AND(#REF!="Diferenciado",$H$4=#REF!),BDI!#REF!,IF(#REF!="ZERO",0))))),"")</f>
        <v>#REF!</v>
      </c>
      <c r="H468" s="139" t="str">
        <f t="shared" si="22"/>
        <v/>
      </c>
      <c r="I468" s="137" t="str">
        <f t="shared" si="23"/>
        <v/>
      </c>
      <c r="J468" s="117"/>
    </row>
    <row r="469" spans="1:10" hidden="1" x14ac:dyDescent="0.25">
      <c r="A469" s="114" t="s">
        <v>1748</v>
      </c>
      <c r="B469" s="115" t="s">
        <v>1749</v>
      </c>
      <c r="C469" s="116" t="s">
        <v>16</v>
      </c>
      <c r="D469" s="116">
        <v>0</v>
      </c>
      <c r="E469" s="136" t="s">
        <v>416</v>
      </c>
      <c r="F469" s="137" t="str">
        <f t="shared" si="21"/>
        <v/>
      </c>
      <c r="G469" s="138" t="e">
        <f>IF(A469&lt;&gt;"",IF(AND(#REF!="Padrão",$H$4=#REF!),BDI!$B$17,IF(AND(#REF!="Padrão",$H$4=#REF!),BDI!#REF!,IF(AND(#REF!="Diferenciado",$H$4=#REF!),BDI!$E$17,IF(AND(#REF!="Diferenciado",$H$4=#REF!),BDI!#REF!,IF(#REF!="ZERO",0))))),"")</f>
        <v>#REF!</v>
      </c>
      <c r="H469" s="139" t="str">
        <f t="shared" si="22"/>
        <v/>
      </c>
      <c r="I469" s="137" t="str">
        <f t="shared" si="23"/>
        <v/>
      </c>
      <c r="J469" s="117"/>
    </row>
    <row r="470" spans="1:10" hidden="1" x14ac:dyDescent="0.25">
      <c r="A470" s="114" t="s">
        <v>1750</v>
      </c>
      <c r="B470" s="115" t="s">
        <v>1751</v>
      </c>
      <c r="C470" s="116" t="s">
        <v>16</v>
      </c>
      <c r="D470" s="116">
        <v>0</v>
      </c>
      <c r="E470" s="136" t="s">
        <v>416</v>
      </c>
      <c r="F470" s="137" t="str">
        <f t="shared" si="21"/>
        <v/>
      </c>
      <c r="G470" s="138" t="e">
        <f>IF(A470&lt;&gt;"",IF(AND(#REF!="Padrão",$H$4=#REF!),BDI!$B$17,IF(AND(#REF!="Padrão",$H$4=#REF!),BDI!#REF!,IF(AND(#REF!="Diferenciado",$H$4=#REF!),BDI!$E$17,IF(AND(#REF!="Diferenciado",$H$4=#REF!),BDI!#REF!,IF(#REF!="ZERO",0))))),"")</f>
        <v>#REF!</v>
      </c>
      <c r="H470" s="139" t="str">
        <f t="shared" si="22"/>
        <v/>
      </c>
      <c r="I470" s="137" t="str">
        <f t="shared" si="23"/>
        <v/>
      </c>
      <c r="J470" s="117"/>
    </row>
    <row r="471" spans="1:10" hidden="1" x14ac:dyDescent="0.25">
      <c r="A471" s="114" t="s">
        <v>1752</v>
      </c>
      <c r="B471" s="115" t="s">
        <v>1753</v>
      </c>
      <c r="C471" s="116" t="s">
        <v>16</v>
      </c>
      <c r="D471" s="116">
        <v>0</v>
      </c>
      <c r="E471" s="136" t="s">
        <v>416</v>
      </c>
      <c r="F471" s="137" t="str">
        <f t="shared" si="21"/>
        <v/>
      </c>
      <c r="G471" s="138" t="e">
        <f>IF(A471&lt;&gt;"",IF(AND(#REF!="Padrão",$H$4=#REF!),BDI!$B$17,IF(AND(#REF!="Padrão",$H$4=#REF!),BDI!#REF!,IF(AND(#REF!="Diferenciado",$H$4=#REF!),BDI!$E$17,IF(AND(#REF!="Diferenciado",$H$4=#REF!),BDI!#REF!,IF(#REF!="ZERO",0))))),"")</f>
        <v>#REF!</v>
      </c>
      <c r="H471" s="139" t="str">
        <f t="shared" si="22"/>
        <v/>
      </c>
      <c r="I471" s="137" t="str">
        <f t="shared" si="23"/>
        <v/>
      </c>
      <c r="J471" s="117"/>
    </row>
    <row r="472" spans="1:10" hidden="1" x14ac:dyDescent="0.25">
      <c r="A472" s="114" t="s">
        <v>620</v>
      </c>
      <c r="B472" s="115" t="s">
        <v>1754</v>
      </c>
      <c r="C472" s="116" t="s">
        <v>1755</v>
      </c>
      <c r="D472" s="116">
        <v>0</v>
      </c>
      <c r="E472" s="136">
        <f ca="1">OFFSET(INDEX(Composições!A:J,MATCH(Orçamentária!A472,Composições!A:A,0),8),2,0)</f>
        <v>30.4</v>
      </c>
      <c r="F472" s="137">
        <f t="shared" ca="1" si="21"/>
        <v>0</v>
      </c>
      <c r="G472" s="138" t="e">
        <f>IF(A472&lt;&gt;"",IF(AND(#REF!="Padrão",$H$4=#REF!),BDI!$B$17,IF(AND(#REF!="Padrão",$H$4=#REF!),BDI!#REF!,IF(AND(#REF!="Diferenciado",$H$4=#REF!),BDI!$E$17,IF(AND(#REF!="Diferenciado",$H$4=#REF!),BDI!#REF!,IF(#REF!="ZERO",0))))),"")</f>
        <v>#REF!</v>
      </c>
      <c r="H472" s="139" t="e">
        <f t="shared" ca="1" si="22"/>
        <v>#REF!</v>
      </c>
      <c r="I472" s="137" t="e">
        <f t="shared" ca="1" si="23"/>
        <v>#REF!</v>
      </c>
      <c r="J472" s="117"/>
    </row>
    <row r="473" spans="1:10" hidden="1" x14ac:dyDescent="0.25">
      <c r="A473" s="114" t="s">
        <v>1756</v>
      </c>
      <c r="B473" s="115" t="s">
        <v>1757</v>
      </c>
      <c r="C473" s="116" t="s">
        <v>28</v>
      </c>
      <c r="D473" s="116">
        <v>0</v>
      </c>
      <c r="E473" s="136">
        <f ca="1">OFFSET(INDEX(Composições!A:J,MATCH(Orçamentária!A473,Composições!A:A,0),8),2,0)</f>
        <v>47.271999999999998</v>
      </c>
      <c r="F473" s="137">
        <f t="shared" ca="1" si="21"/>
        <v>0</v>
      </c>
      <c r="G473" s="138" t="e">
        <f>IF(A473&lt;&gt;"",IF(AND(#REF!="Padrão",$H$4=#REF!),BDI!$B$17,IF(AND(#REF!="Padrão",$H$4=#REF!),BDI!#REF!,IF(AND(#REF!="Diferenciado",$H$4=#REF!),BDI!$E$17,IF(AND(#REF!="Diferenciado",$H$4=#REF!),BDI!#REF!,IF(#REF!="ZERO",0))))),"")</f>
        <v>#REF!</v>
      </c>
      <c r="H473" s="139" t="e">
        <f t="shared" ca="1" si="22"/>
        <v>#REF!</v>
      </c>
      <c r="I473" s="137" t="e">
        <f t="shared" ca="1" si="23"/>
        <v>#REF!</v>
      </c>
      <c r="J473" s="117"/>
    </row>
    <row r="474" spans="1:10" hidden="1" x14ac:dyDescent="0.25">
      <c r="A474" s="114" t="s">
        <v>1758</v>
      </c>
      <c r="B474" s="115" t="s">
        <v>1759</v>
      </c>
      <c r="C474" s="116" t="s">
        <v>28</v>
      </c>
      <c r="D474" s="116">
        <v>0</v>
      </c>
      <c r="E474" s="136" t="s">
        <v>416</v>
      </c>
      <c r="F474" s="137" t="str">
        <f t="shared" si="21"/>
        <v/>
      </c>
      <c r="G474" s="138" t="e">
        <f>IF(A474&lt;&gt;"",IF(AND(#REF!="Padrão",$H$4=#REF!),BDI!$B$17,IF(AND(#REF!="Padrão",$H$4=#REF!),BDI!#REF!,IF(AND(#REF!="Diferenciado",$H$4=#REF!),BDI!$E$17,IF(AND(#REF!="Diferenciado",$H$4=#REF!),BDI!#REF!,IF(#REF!="ZERO",0))))),"")</f>
        <v>#REF!</v>
      </c>
      <c r="H474" s="139" t="str">
        <f t="shared" si="22"/>
        <v/>
      </c>
      <c r="I474" s="137" t="str">
        <f t="shared" si="23"/>
        <v/>
      </c>
      <c r="J474" s="117"/>
    </row>
    <row r="475" spans="1:10" hidden="1" x14ac:dyDescent="0.25">
      <c r="A475" s="114" t="s">
        <v>1760</v>
      </c>
      <c r="B475" s="115" t="s">
        <v>1761</v>
      </c>
      <c r="C475" s="116" t="s">
        <v>70</v>
      </c>
      <c r="D475" s="116">
        <v>0</v>
      </c>
      <c r="E475" s="136">
        <f ca="1">OFFSET(INDEX(Composições!A:J,MATCH(Orçamentária!A475,Composições!A:A,0),8),2,0)</f>
        <v>56.667499999999997</v>
      </c>
      <c r="F475" s="137">
        <f t="shared" ca="1" si="21"/>
        <v>0</v>
      </c>
      <c r="G475" s="138" t="e">
        <f>IF(A475&lt;&gt;"",IF(AND(#REF!="Padrão",$H$4=#REF!),BDI!$B$17,IF(AND(#REF!="Padrão",$H$4=#REF!),BDI!#REF!,IF(AND(#REF!="Diferenciado",$H$4=#REF!),BDI!$E$17,IF(AND(#REF!="Diferenciado",$H$4=#REF!),BDI!#REF!,IF(#REF!="ZERO",0))))),"")</f>
        <v>#REF!</v>
      </c>
      <c r="H475" s="139" t="e">
        <f t="shared" ca="1" si="22"/>
        <v>#REF!</v>
      </c>
      <c r="I475" s="137" t="e">
        <f t="shared" ca="1" si="23"/>
        <v>#REF!</v>
      </c>
      <c r="J475" s="117"/>
    </row>
    <row r="476" spans="1:10" hidden="1" x14ac:dyDescent="0.25">
      <c r="A476" s="114" t="s">
        <v>1762</v>
      </c>
      <c r="B476" s="115" t="s">
        <v>1763</v>
      </c>
      <c r="C476" s="116" t="s">
        <v>70</v>
      </c>
      <c r="D476" s="116">
        <v>0</v>
      </c>
      <c r="E476" s="136">
        <f ca="1">OFFSET(INDEX(Composições!A:J,MATCH(Orçamentária!A476,Composições!A:A,0),8),2,0)</f>
        <v>56.667499999999997</v>
      </c>
      <c r="F476" s="137">
        <f t="shared" ca="1" si="21"/>
        <v>0</v>
      </c>
      <c r="G476" s="138" t="e">
        <f>IF(A476&lt;&gt;"",IF(AND(#REF!="Padrão",$H$4=#REF!),BDI!$B$17,IF(AND(#REF!="Padrão",$H$4=#REF!),BDI!#REF!,IF(AND(#REF!="Diferenciado",$H$4=#REF!),BDI!$E$17,IF(AND(#REF!="Diferenciado",$H$4=#REF!),BDI!#REF!,IF(#REF!="ZERO",0))))),"")</f>
        <v>#REF!</v>
      </c>
      <c r="H476" s="139" t="e">
        <f t="shared" ca="1" si="22"/>
        <v>#REF!</v>
      </c>
      <c r="I476" s="137" t="e">
        <f t="shared" ca="1" si="23"/>
        <v>#REF!</v>
      </c>
      <c r="J476" s="117"/>
    </row>
    <row r="477" spans="1:10" hidden="1" x14ac:dyDescent="0.25">
      <c r="A477" s="114" t="s">
        <v>1764</v>
      </c>
      <c r="B477" s="115" t="s">
        <v>1765</v>
      </c>
      <c r="C477" s="116" t="s">
        <v>70</v>
      </c>
      <c r="D477" s="116">
        <v>0</v>
      </c>
      <c r="E477" s="136">
        <f ca="1">OFFSET(INDEX(Composições!A:J,MATCH(Orçamentária!A477,Composições!A:A,0),8),2,0)</f>
        <v>56.667499999999997</v>
      </c>
      <c r="F477" s="137">
        <f t="shared" ca="1" si="21"/>
        <v>0</v>
      </c>
      <c r="G477" s="138" t="e">
        <f>IF(A477&lt;&gt;"",IF(AND(#REF!="Padrão",$H$4=#REF!),BDI!$B$17,IF(AND(#REF!="Padrão",$H$4=#REF!),BDI!#REF!,IF(AND(#REF!="Diferenciado",$H$4=#REF!),BDI!$E$17,IF(AND(#REF!="Diferenciado",$H$4=#REF!),BDI!#REF!,IF(#REF!="ZERO",0))))),"")</f>
        <v>#REF!</v>
      </c>
      <c r="H477" s="139" t="e">
        <f t="shared" ca="1" si="22"/>
        <v>#REF!</v>
      </c>
      <c r="I477" s="137" t="e">
        <f t="shared" ca="1" si="23"/>
        <v>#REF!</v>
      </c>
      <c r="J477" s="117"/>
    </row>
    <row r="478" spans="1:10" hidden="1" x14ac:dyDescent="0.25">
      <c r="A478" s="114" t="s">
        <v>1766</v>
      </c>
      <c r="B478" s="115" t="s">
        <v>3262</v>
      </c>
      <c r="C478" s="116" t="s">
        <v>70</v>
      </c>
      <c r="D478" s="116">
        <v>0</v>
      </c>
      <c r="E478" s="136" t="s">
        <v>416</v>
      </c>
      <c r="F478" s="137" t="str">
        <f t="shared" si="21"/>
        <v/>
      </c>
      <c r="G478" s="138" t="e">
        <f>IF(A478&lt;&gt;"",IF(AND(#REF!="Padrão",$H$4=#REF!),BDI!$B$17,IF(AND(#REF!="Padrão",$H$4=#REF!),BDI!#REF!,IF(AND(#REF!="Diferenciado",$H$4=#REF!),BDI!$E$17,IF(AND(#REF!="Diferenciado",$H$4=#REF!),BDI!#REF!,IF(#REF!="ZERO",0))))),"")</f>
        <v>#REF!</v>
      </c>
      <c r="H478" s="139" t="str">
        <f t="shared" si="22"/>
        <v/>
      </c>
      <c r="I478" s="137" t="str">
        <f t="shared" si="23"/>
        <v/>
      </c>
      <c r="J478" s="117"/>
    </row>
    <row r="479" spans="1:10" hidden="1" x14ac:dyDescent="0.25">
      <c r="A479" s="114" t="s">
        <v>1767</v>
      </c>
      <c r="B479" s="115" t="s">
        <v>1768</v>
      </c>
      <c r="C479" s="116" t="s">
        <v>70</v>
      </c>
      <c r="D479" s="116">
        <v>0</v>
      </c>
      <c r="E479" s="136" t="s">
        <v>416</v>
      </c>
      <c r="F479" s="137" t="str">
        <f t="shared" si="21"/>
        <v/>
      </c>
      <c r="G479" s="138" t="e">
        <f>IF(A479&lt;&gt;"",IF(AND(#REF!="Padrão",$H$4=#REF!),BDI!$B$17,IF(AND(#REF!="Padrão",$H$4=#REF!),BDI!#REF!,IF(AND(#REF!="Diferenciado",$H$4=#REF!),BDI!$E$17,IF(AND(#REF!="Diferenciado",$H$4=#REF!),BDI!#REF!,IF(#REF!="ZERO",0))))),"")</f>
        <v>#REF!</v>
      </c>
      <c r="H479" s="139" t="str">
        <f t="shared" si="22"/>
        <v/>
      </c>
      <c r="I479" s="137" t="str">
        <f t="shared" si="23"/>
        <v/>
      </c>
      <c r="J479" s="117"/>
    </row>
    <row r="480" spans="1:10" hidden="1" x14ac:dyDescent="0.25">
      <c r="A480" s="114" t="s">
        <v>1769</v>
      </c>
      <c r="B480" s="115" t="s">
        <v>1770</v>
      </c>
      <c r="C480" s="116" t="s">
        <v>70</v>
      </c>
      <c r="D480" s="116">
        <v>0</v>
      </c>
      <c r="E480" s="136" t="s">
        <v>416</v>
      </c>
      <c r="F480" s="137" t="str">
        <f t="shared" si="21"/>
        <v/>
      </c>
      <c r="G480" s="138" t="e">
        <f>IF(A480&lt;&gt;"",IF(AND(#REF!="Padrão",$H$4=#REF!),BDI!$B$17,IF(AND(#REF!="Padrão",$H$4=#REF!),BDI!#REF!,IF(AND(#REF!="Diferenciado",$H$4=#REF!),BDI!$E$17,IF(AND(#REF!="Diferenciado",$H$4=#REF!),BDI!#REF!,IF(#REF!="ZERO",0))))),"")</f>
        <v>#REF!</v>
      </c>
      <c r="H480" s="139" t="str">
        <f t="shared" si="22"/>
        <v/>
      </c>
      <c r="I480" s="137" t="str">
        <f t="shared" si="23"/>
        <v/>
      </c>
      <c r="J480" s="117"/>
    </row>
    <row r="481" spans="1:10" hidden="1" x14ac:dyDescent="0.25">
      <c r="A481" s="114" t="s">
        <v>1771</v>
      </c>
      <c r="B481" s="115" t="s">
        <v>1772</v>
      </c>
      <c r="C481" s="116" t="s">
        <v>70</v>
      </c>
      <c r="D481" s="116">
        <v>0</v>
      </c>
      <c r="E481" s="136" t="s">
        <v>416</v>
      </c>
      <c r="F481" s="137" t="str">
        <f t="shared" si="21"/>
        <v/>
      </c>
      <c r="G481" s="138" t="e">
        <f>IF(A481&lt;&gt;"",IF(AND(#REF!="Padrão",$H$4=#REF!),BDI!$B$17,IF(AND(#REF!="Padrão",$H$4=#REF!),BDI!#REF!,IF(AND(#REF!="Diferenciado",$H$4=#REF!),BDI!$E$17,IF(AND(#REF!="Diferenciado",$H$4=#REF!),BDI!#REF!,IF(#REF!="ZERO",0))))),"")</f>
        <v>#REF!</v>
      </c>
      <c r="H481" s="139" t="str">
        <f t="shared" si="22"/>
        <v/>
      </c>
      <c r="I481" s="137" t="str">
        <f t="shared" si="23"/>
        <v/>
      </c>
      <c r="J481" s="117"/>
    </row>
    <row r="482" spans="1:10" hidden="1" x14ac:dyDescent="0.25">
      <c r="A482" s="114" t="s">
        <v>1773</v>
      </c>
      <c r="B482" s="115" t="s">
        <v>1774</v>
      </c>
      <c r="C482" s="116" t="s">
        <v>70</v>
      </c>
      <c r="D482" s="116">
        <v>0</v>
      </c>
      <c r="E482" s="136" t="s">
        <v>416</v>
      </c>
      <c r="F482" s="137" t="str">
        <f t="shared" si="21"/>
        <v/>
      </c>
      <c r="G482" s="138" t="e">
        <f>IF(A482&lt;&gt;"",IF(AND(#REF!="Padrão",$H$4=#REF!),BDI!$B$17,IF(AND(#REF!="Padrão",$H$4=#REF!),BDI!#REF!,IF(AND(#REF!="Diferenciado",$H$4=#REF!),BDI!$E$17,IF(AND(#REF!="Diferenciado",$H$4=#REF!),BDI!#REF!,IF(#REF!="ZERO",0))))),"")</f>
        <v>#REF!</v>
      </c>
      <c r="H482" s="139" t="str">
        <f t="shared" si="22"/>
        <v/>
      </c>
      <c r="I482" s="137" t="str">
        <f t="shared" si="23"/>
        <v/>
      </c>
      <c r="J482" s="117"/>
    </row>
    <row r="483" spans="1:10" hidden="1" x14ac:dyDescent="0.25">
      <c r="A483" s="114" t="s">
        <v>1775</v>
      </c>
      <c r="B483" s="115" t="s">
        <v>1776</v>
      </c>
      <c r="C483" s="116" t="s">
        <v>70</v>
      </c>
      <c r="D483" s="116">
        <v>0</v>
      </c>
      <c r="E483" s="136" t="s">
        <v>416</v>
      </c>
      <c r="F483" s="137" t="str">
        <f t="shared" si="21"/>
        <v/>
      </c>
      <c r="G483" s="138" t="e">
        <f>IF(A483&lt;&gt;"",IF(AND(#REF!="Padrão",$H$4=#REF!),BDI!$B$17,IF(AND(#REF!="Padrão",$H$4=#REF!),BDI!#REF!,IF(AND(#REF!="Diferenciado",$H$4=#REF!),BDI!$E$17,IF(AND(#REF!="Diferenciado",$H$4=#REF!),BDI!#REF!,IF(#REF!="ZERO",0))))),"")</f>
        <v>#REF!</v>
      </c>
      <c r="H483" s="139" t="str">
        <f t="shared" si="22"/>
        <v/>
      </c>
      <c r="I483" s="137" t="str">
        <f t="shared" si="23"/>
        <v/>
      </c>
      <c r="J483" s="117"/>
    </row>
    <row r="484" spans="1:10" hidden="1" x14ac:dyDescent="0.25">
      <c r="A484" s="114" t="s">
        <v>1777</v>
      </c>
      <c r="B484" s="115" t="s">
        <v>1778</v>
      </c>
      <c r="C484" s="116" t="s">
        <v>70</v>
      </c>
      <c r="D484" s="116">
        <v>0</v>
      </c>
      <c r="E484" s="136" t="s">
        <v>416</v>
      </c>
      <c r="F484" s="137" t="str">
        <f t="shared" si="21"/>
        <v/>
      </c>
      <c r="G484" s="138" t="e">
        <f>IF(A484&lt;&gt;"",IF(AND(#REF!="Padrão",$H$4=#REF!),BDI!$B$17,IF(AND(#REF!="Padrão",$H$4=#REF!),BDI!#REF!,IF(AND(#REF!="Diferenciado",$H$4=#REF!),BDI!$E$17,IF(AND(#REF!="Diferenciado",$H$4=#REF!),BDI!#REF!,IF(#REF!="ZERO",0))))),"")</f>
        <v>#REF!</v>
      </c>
      <c r="H484" s="139" t="str">
        <f t="shared" si="22"/>
        <v/>
      </c>
      <c r="I484" s="137" t="str">
        <f t="shared" si="23"/>
        <v/>
      </c>
      <c r="J484" s="117"/>
    </row>
    <row r="485" spans="1:10" hidden="1" x14ac:dyDescent="0.25">
      <c r="A485" s="114" t="s">
        <v>1779</v>
      </c>
      <c r="B485" s="115" t="s">
        <v>1780</v>
      </c>
      <c r="C485" s="116" t="s">
        <v>70</v>
      </c>
      <c r="D485" s="116">
        <v>0</v>
      </c>
      <c r="E485" s="136" t="s">
        <v>416</v>
      </c>
      <c r="F485" s="137" t="str">
        <f t="shared" si="21"/>
        <v/>
      </c>
      <c r="G485" s="138" t="e">
        <f>IF(A485&lt;&gt;"",IF(AND(#REF!="Padrão",$H$4=#REF!),BDI!$B$17,IF(AND(#REF!="Padrão",$H$4=#REF!),BDI!#REF!,IF(AND(#REF!="Diferenciado",$H$4=#REF!),BDI!$E$17,IF(AND(#REF!="Diferenciado",$H$4=#REF!),BDI!#REF!,IF(#REF!="ZERO",0))))),"")</f>
        <v>#REF!</v>
      </c>
      <c r="H485" s="139" t="str">
        <f t="shared" si="22"/>
        <v/>
      </c>
      <c r="I485" s="137" t="str">
        <f t="shared" si="23"/>
        <v/>
      </c>
      <c r="J485" s="117"/>
    </row>
    <row r="486" spans="1:10" hidden="1" x14ac:dyDescent="0.25">
      <c r="A486" s="114" t="s">
        <v>1781</v>
      </c>
      <c r="B486" s="115" t="s">
        <v>3259</v>
      </c>
      <c r="C486" s="116" t="s">
        <v>70</v>
      </c>
      <c r="D486" s="116">
        <v>0</v>
      </c>
      <c r="E486" s="136" t="s">
        <v>416</v>
      </c>
      <c r="F486" s="137" t="str">
        <f t="shared" si="21"/>
        <v/>
      </c>
      <c r="G486" s="138" t="e">
        <f>IF(A486&lt;&gt;"",IF(AND(#REF!="Padrão",$H$4=#REF!),BDI!$B$17,IF(AND(#REF!="Padrão",$H$4=#REF!),BDI!#REF!,IF(AND(#REF!="Diferenciado",$H$4=#REF!),BDI!$E$17,IF(AND(#REF!="Diferenciado",$H$4=#REF!),BDI!#REF!,IF(#REF!="ZERO",0))))),"")</f>
        <v>#REF!</v>
      </c>
      <c r="H486" s="139" t="str">
        <f t="shared" si="22"/>
        <v/>
      </c>
      <c r="I486" s="137" t="str">
        <f t="shared" si="23"/>
        <v/>
      </c>
      <c r="J486" s="117"/>
    </row>
    <row r="487" spans="1:10" hidden="1" x14ac:dyDescent="0.25">
      <c r="A487" s="114" t="s">
        <v>1782</v>
      </c>
      <c r="B487" s="115" t="s">
        <v>1783</v>
      </c>
      <c r="C487" s="116" t="s">
        <v>70</v>
      </c>
      <c r="D487" s="116">
        <v>0</v>
      </c>
      <c r="E487" s="136" t="s">
        <v>416</v>
      </c>
      <c r="F487" s="137" t="str">
        <f t="shared" si="21"/>
        <v/>
      </c>
      <c r="G487" s="138" t="e">
        <f>IF(A487&lt;&gt;"",IF(AND(#REF!="Padrão",$H$4=#REF!),BDI!$B$17,IF(AND(#REF!="Padrão",$H$4=#REF!),BDI!#REF!,IF(AND(#REF!="Diferenciado",$H$4=#REF!),BDI!$E$17,IF(AND(#REF!="Diferenciado",$H$4=#REF!),BDI!#REF!,IF(#REF!="ZERO",0))))),"")</f>
        <v>#REF!</v>
      </c>
      <c r="H487" s="139" t="str">
        <f t="shared" si="22"/>
        <v/>
      </c>
      <c r="I487" s="137" t="str">
        <f t="shared" si="23"/>
        <v/>
      </c>
      <c r="J487" s="117"/>
    </row>
    <row r="488" spans="1:10" hidden="1" x14ac:dyDescent="0.25">
      <c r="A488" s="114" t="s">
        <v>1784</v>
      </c>
      <c r="B488" s="115" t="s">
        <v>1785</v>
      </c>
      <c r="C488" s="116" t="s">
        <v>70</v>
      </c>
      <c r="D488" s="116">
        <v>0</v>
      </c>
      <c r="E488" s="136" t="s">
        <v>416</v>
      </c>
      <c r="F488" s="137" t="str">
        <f t="shared" si="21"/>
        <v/>
      </c>
      <c r="G488" s="138" t="e">
        <f>IF(A488&lt;&gt;"",IF(AND(#REF!="Padrão",$H$4=#REF!),BDI!$B$17,IF(AND(#REF!="Padrão",$H$4=#REF!),BDI!#REF!,IF(AND(#REF!="Diferenciado",$H$4=#REF!),BDI!$E$17,IF(AND(#REF!="Diferenciado",$H$4=#REF!),BDI!#REF!,IF(#REF!="ZERO",0))))),"")</f>
        <v>#REF!</v>
      </c>
      <c r="H488" s="139" t="str">
        <f t="shared" si="22"/>
        <v/>
      </c>
      <c r="I488" s="137" t="str">
        <f t="shared" si="23"/>
        <v/>
      </c>
      <c r="J488" s="117"/>
    </row>
    <row r="489" spans="1:10" hidden="1" x14ac:dyDescent="0.25">
      <c r="A489" s="114" t="s">
        <v>1786</v>
      </c>
      <c r="B489" s="115" t="s">
        <v>1787</v>
      </c>
      <c r="C489" s="116" t="s">
        <v>70</v>
      </c>
      <c r="D489" s="116">
        <v>0</v>
      </c>
      <c r="E489" s="136" t="s">
        <v>416</v>
      </c>
      <c r="F489" s="137" t="str">
        <f t="shared" si="21"/>
        <v/>
      </c>
      <c r="G489" s="138" t="e">
        <f>IF(A489&lt;&gt;"",IF(AND(#REF!="Padrão",$H$4=#REF!),BDI!$B$17,IF(AND(#REF!="Padrão",$H$4=#REF!),BDI!#REF!,IF(AND(#REF!="Diferenciado",$H$4=#REF!),BDI!$E$17,IF(AND(#REF!="Diferenciado",$H$4=#REF!),BDI!#REF!,IF(#REF!="ZERO",0))))),"")</f>
        <v>#REF!</v>
      </c>
      <c r="H489" s="139" t="str">
        <f t="shared" si="22"/>
        <v/>
      </c>
      <c r="I489" s="137" t="str">
        <f t="shared" si="23"/>
        <v/>
      </c>
      <c r="J489" s="117"/>
    </row>
    <row r="490" spans="1:10" hidden="1" x14ac:dyDescent="0.25">
      <c r="A490" s="114" t="s">
        <v>1788</v>
      </c>
      <c r="B490" s="115" t="s">
        <v>1789</v>
      </c>
      <c r="C490" s="116" t="s">
        <v>70</v>
      </c>
      <c r="D490" s="116">
        <v>0</v>
      </c>
      <c r="E490" s="136" t="s">
        <v>416</v>
      </c>
      <c r="F490" s="137" t="str">
        <f t="shared" si="21"/>
        <v/>
      </c>
      <c r="G490" s="138" t="e">
        <f>IF(A490&lt;&gt;"",IF(AND(#REF!="Padrão",$H$4=#REF!),BDI!$B$17,IF(AND(#REF!="Padrão",$H$4=#REF!),BDI!#REF!,IF(AND(#REF!="Diferenciado",$H$4=#REF!),BDI!$E$17,IF(AND(#REF!="Diferenciado",$H$4=#REF!),BDI!#REF!,IF(#REF!="ZERO",0))))),"")</f>
        <v>#REF!</v>
      </c>
      <c r="H490" s="139" t="str">
        <f t="shared" si="22"/>
        <v/>
      </c>
      <c r="I490" s="137" t="str">
        <f t="shared" si="23"/>
        <v/>
      </c>
      <c r="J490" s="117"/>
    </row>
    <row r="491" spans="1:10" hidden="1" x14ac:dyDescent="0.25">
      <c r="A491" s="114" t="s">
        <v>1790</v>
      </c>
      <c r="B491" s="115" t="s">
        <v>1791</v>
      </c>
      <c r="C491" s="116" t="s">
        <v>80</v>
      </c>
      <c r="D491" s="116">
        <v>0</v>
      </c>
      <c r="E491" s="136" t="s">
        <v>416</v>
      </c>
      <c r="F491" s="137" t="str">
        <f t="shared" si="21"/>
        <v/>
      </c>
      <c r="G491" s="138" t="e">
        <f>IF(A491&lt;&gt;"",IF(AND(#REF!="Padrão",$H$4=#REF!),BDI!$B$17,IF(AND(#REF!="Padrão",$H$4=#REF!),BDI!#REF!,IF(AND(#REF!="Diferenciado",$H$4=#REF!),BDI!$E$17,IF(AND(#REF!="Diferenciado",$H$4=#REF!),BDI!#REF!,IF(#REF!="ZERO",0))))),"")</f>
        <v>#REF!</v>
      </c>
      <c r="H491" s="139" t="str">
        <f t="shared" si="22"/>
        <v/>
      </c>
      <c r="I491" s="137" t="str">
        <f t="shared" si="23"/>
        <v/>
      </c>
      <c r="J491" s="117"/>
    </row>
    <row r="492" spans="1:10" hidden="1" x14ac:dyDescent="0.25">
      <c r="A492" s="114" t="s">
        <v>1792</v>
      </c>
      <c r="B492" s="115" t="s">
        <v>1793</v>
      </c>
      <c r="C492" s="116" t="s">
        <v>80</v>
      </c>
      <c r="D492" s="116">
        <v>0</v>
      </c>
      <c r="E492" s="136" t="s">
        <v>416</v>
      </c>
      <c r="F492" s="137" t="str">
        <f t="shared" si="21"/>
        <v/>
      </c>
      <c r="G492" s="138" t="e">
        <f>IF(A492&lt;&gt;"",IF(AND(#REF!="Padrão",$H$4=#REF!),BDI!$B$17,IF(AND(#REF!="Padrão",$H$4=#REF!),BDI!#REF!,IF(AND(#REF!="Diferenciado",$H$4=#REF!),BDI!$E$17,IF(AND(#REF!="Diferenciado",$H$4=#REF!),BDI!#REF!,IF(#REF!="ZERO",0))))),"")</f>
        <v>#REF!</v>
      </c>
      <c r="H492" s="139" t="str">
        <f t="shared" si="22"/>
        <v/>
      </c>
      <c r="I492" s="137" t="str">
        <f t="shared" si="23"/>
        <v/>
      </c>
      <c r="J492" s="117"/>
    </row>
    <row r="493" spans="1:10" hidden="1" x14ac:dyDescent="0.25">
      <c r="A493" s="114" t="s">
        <v>1794</v>
      </c>
      <c r="B493" s="115" t="s">
        <v>1795</v>
      </c>
      <c r="C493" s="116" t="s">
        <v>80</v>
      </c>
      <c r="D493" s="116">
        <v>0</v>
      </c>
      <c r="E493" s="136" t="s">
        <v>416</v>
      </c>
      <c r="F493" s="137" t="str">
        <f t="shared" si="21"/>
        <v/>
      </c>
      <c r="G493" s="138" t="e">
        <f>IF(A493&lt;&gt;"",IF(AND(#REF!="Padrão",$H$4=#REF!),BDI!$B$17,IF(AND(#REF!="Padrão",$H$4=#REF!),BDI!#REF!,IF(AND(#REF!="Diferenciado",$H$4=#REF!),BDI!$E$17,IF(AND(#REF!="Diferenciado",$H$4=#REF!),BDI!#REF!,IF(#REF!="ZERO",0))))),"")</f>
        <v>#REF!</v>
      </c>
      <c r="H493" s="139" t="str">
        <f t="shared" si="22"/>
        <v/>
      </c>
      <c r="I493" s="137" t="str">
        <f t="shared" si="23"/>
        <v/>
      </c>
      <c r="J493" s="117"/>
    </row>
    <row r="494" spans="1:10" hidden="1" x14ac:dyDescent="0.25">
      <c r="A494" s="114" t="s">
        <v>1796</v>
      </c>
      <c r="B494" s="115" t="s">
        <v>1797</v>
      </c>
      <c r="C494" s="116" t="s">
        <v>80</v>
      </c>
      <c r="D494" s="116">
        <v>0</v>
      </c>
      <c r="E494" s="136">
        <f ca="1">OFFSET(INDEX(Composições!A:J,MATCH(Orçamentária!A494,Composições!A:A,0),8),2,0)</f>
        <v>1811.3333333333335</v>
      </c>
      <c r="F494" s="137">
        <f t="shared" ca="1" si="21"/>
        <v>0</v>
      </c>
      <c r="G494" s="138" t="e">
        <f>IF(A494&lt;&gt;"",IF(AND(#REF!="Padrão",$H$4=#REF!),BDI!$B$17,IF(AND(#REF!="Padrão",$H$4=#REF!),BDI!#REF!,IF(AND(#REF!="Diferenciado",$H$4=#REF!),BDI!$E$17,IF(AND(#REF!="Diferenciado",$H$4=#REF!),BDI!#REF!,IF(#REF!="ZERO",0))))),"")</f>
        <v>#REF!</v>
      </c>
      <c r="H494" s="139" t="e">
        <f t="shared" ca="1" si="22"/>
        <v>#REF!</v>
      </c>
      <c r="I494" s="137" t="e">
        <f t="shared" ca="1" si="23"/>
        <v>#REF!</v>
      </c>
      <c r="J494" s="117"/>
    </row>
    <row r="495" spans="1:10" hidden="1" x14ac:dyDescent="0.25">
      <c r="A495" s="114" t="s">
        <v>1798</v>
      </c>
      <c r="B495" s="115" t="s">
        <v>1799</v>
      </c>
      <c r="C495" s="116" t="s">
        <v>69</v>
      </c>
      <c r="D495" s="116">
        <v>0</v>
      </c>
      <c r="E495" s="136">
        <f ca="1">OFFSET(INDEX(Composições!A:J,MATCH(Orçamentária!A495,Composições!A:A,0),8),2,0)</f>
        <v>4.1514999999999995</v>
      </c>
      <c r="F495" s="137">
        <f t="shared" ca="1" si="21"/>
        <v>0</v>
      </c>
      <c r="G495" s="138" t="e">
        <f>IF(A495&lt;&gt;"",IF(AND(#REF!="Padrão",$H$4=#REF!),BDI!$B$17,IF(AND(#REF!="Padrão",$H$4=#REF!),BDI!#REF!,IF(AND(#REF!="Diferenciado",$H$4=#REF!),BDI!$E$17,IF(AND(#REF!="Diferenciado",$H$4=#REF!),BDI!#REF!,IF(#REF!="ZERO",0))))),"")</f>
        <v>#REF!</v>
      </c>
      <c r="H495" s="139" t="e">
        <f t="shared" ca="1" si="22"/>
        <v>#REF!</v>
      </c>
      <c r="I495" s="137" t="e">
        <f t="shared" ca="1" si="23"/>
        <v>#REF!</v>
      </c>
      <c r="J495" s="117"/>
    </row>
    <row r="496" spans="1:10" hidden="1" x14ac:dyDescent="0.25">
      <c r="A496" s="114" t="s">
        <v>1800</v>
      </c>
      <c r="B496" s="115" t="s">
        <v>1801</v>
      </c>
      <c r="C496" s="116" t="s">
        <v>69</v>
      </c>
      <c r="D496" s="116">
        <v>0</v>
      </c>
      <c r="E496" s="136">
        <f ca="1">OFFSET(INDEX(Composições!A:J,MATCH(Orçamentária!A496,Composições!A:A,0),8),2,0)</f>
        <v>5.7664999999999997</v>
      </c>
      <c r="F496" s="137">
        <f t="shared" ca="1" si="21"/>
        <v>0</v>
      </c>
      <c r="G496" s="138" t="e">
        <f>IF(A496&lt;&gt;"",IF(AND(#REF!="Padrão",$H$4=#REF!),BDI!$B$17,IF(AND(#REF!="Padrão",$H$4=#REF!),BDI!#REF!,IF(AND(#REF!="Diferenciado",$H$4=#REF!),BDI!$E$17,IF(AND(#REF!="Diferenciado",$H$4=#REF!),BDI!#REF!,IF(#REF!="ZERO",0))))),"")</f>
        <v>#REF!</v>
      </c>
      <c r="H496" s="139" t="e">
        <f t="shared" ca="1" si="22"/>
        <v>#REF!</v>
      </c>
      <c r="I496" s="137" t="e">
        <f t="shared" ca="1" si="23"/>
        <v>#REF!</v>
      </c>
      <c r="J496" s="117"/>
    </row>
    <row r="497" spans="1:10" hidden="1" x14ac:dyDescent="0.25">
      <c r="A497" s="114" t="s">
        <v>1802</v>
      </c>
      <c r="B497" s="115" t="s">
        <v>1803</v>
      </c>
      <c r="C497" s="116" t="s">
        <v>69</v>
      </c>
      <c r="D497" s="116">
        <v>0</v>
      </c>
      <c r="E497" s="136" t="s">
        <v>416</v>
      </c>
      <c r="F497" s="137" t="str">
        <f t="shared" si="21"/>
        <v/>
      </c>
      <c r="G497" s="138" t="e">
        <f>IF(A497&lt;&gt;"",IF(AND(#REF!="Padrão",$H$4=#REF!),BDI!$B$17,IF(AND(#REF!="Padrão",$H$4=#REF!),BDI!#REF!,IF(AND(#REF!="Diferenciado",$H$4=#REF!),BDI!$E$17,IF(AND(#REF!="Diferenciado",$H$4=#REF!),BDI!#REF!,IF(#REF!="ZERO",0))))),"")</f>
        <v>#REF!</v>
      </c>
      <c r="H497" s="139" t="str">
        <f t="shared" si="22"/>
        <v/>
      </c>
      <c r="I497" s="137" t="str">
        <f t="shared" si="23"/>
        <v/>
      </c>
      <c r="J497" s="117"/>
    </row>
    <row r="498" spans="1:10" hidden="1" x14ac:dyDescent="0.25">
      <c r="A498" s="114" t="s">
        <v>1804</v>
      </c>
      <c r="B498" s="115" t="s">
        <v>1805</v>
      </c>
      <c r="C498" s="116" t="s">
        <v>69</v>
      </c>
      <c r="D498" s="116">
        <v>0</v>
      </c>
      <c r="E498" s="136" t="s">
        <v>416</v>
      </c>
      <c r="F498" s="137" t="str">
        <f t="shared" si="21"/>
        <v/>
      </c>
      <c r="G498" s="138" t="e">
        <f>IF(A498&lt;&gt;"",IF(AND(#REF!="Padrão",$H$4=#REF!),BDI!$B$17,IF(AND(#REF!="Padrão",$H$4=#REF!),BDI!#REF!,IF(AND(#REF!="Diferenciado",$H$4=#REF!),BDI!$E$17,IF(AND(#REF!="Diferenciado",$H$4=#REF!),BDI!#REF!,IF(#REF!="ZERO",0))))),"")</f>
        <v>#REF!</v>
      </c>
      <c r="H498" s="139" t="str">
        <f t="shared" si="22"/>
        <v/>
      </c>
      <c r="I498" s="137" t="str">
        <f t="shared" si="23"/>
        <v/>
      </c>
      <c r="J498" s="117"/>
    </row>
    <row r="499" spans="1:10" hidden="1" x14ac:dyDescent="0.25">
      <c r="A499" s="114" t="s">
        <v>1806</v>
      </c>
      <c r="B499" s="115" t="s">
        <v>7622</v>
      </c>
      <c r="C499" s="116" t="s">
        <v>70</v>
      </c>
      <c r="D499" s="116">
        <v>0</v>
      </c>
      <c r="E499" s="136">
        <f ca="1">OFFSET(INDEX(Composições!A:J,MATCH(Orçamentária!A499,Composições!A:A,0),8),2,0)</f>
        <v>28.956</v>
      </c>
      <c r="F499" s="137">
        <f t="shared" ca="1" si="21"/>
        <v>0</v>
      </c>
      <c r="G499" s="138" t="e">
        <f>IF(A499&lt;&gt;"",IF(AND(#REF!="Padrão",$H$4=#REF!),BDI!$B$17,IF(AND(#REF!="Padrão",$H$4=#REF!),BDI!#REF!,IF(AND(#REF!="Diferenciado",$H$4=#REF!),BDI!$E$17,IF(AND(#REF!="Diferenciado",$H$4=#REF!),BDI!#REF!,IF(#REF!="ZERO",0))))),"")</f>
        <v>#REF!</v>
      </c>
      <c r="H499" s="139" t="e">
        <f t="shared" ca="1" si="22"/>
        <v>#REF!</v>
      </c>
      <c r="I499" s="137" t="e">
        <f t="shared" ca="1" si="23"/>
        <v>#REF!</v>
      </c>
      <c r="J499" s="117"/>
    </row>
    <row r="500" spans="1:10" hidden="1" x14ac:dyDescent="0.25">
      <c r="A500" s="114" t="s">
        <v>1807</v>
      </c>
      <c r="B500" s="115" t="s">
        <v>7623</v>
      </c>
      <c r="C500" s="116" t="s">
        <v>70</v>
      </c>
      <c r="D500" s="116">
        <v>0</v>
      </c>
      <c r="E500" s="136" t="s">
        <v>416</v>
      </c>
      <c r="F500" s="137" t="str">
        <f t="shared" si="21"/>
        <v/>
      </c>
      <c r="G500" s="138" t="e">
        <f>IF(A500&lt;&gt;"",IF(AND(#REF!="Padrão",$H$4=#REF!),BDI!$B$17,IF(AND(#REF!="Padrão",$H$4=#REF!),BDI!#REF!,IF(AND(#REF!="Diferenciado",$H$4=#REF!),BDI!$E$17,IF(AND(#REF!="Diferenciado",$H$4=#REF!),BDI!#REF!,IF(#REF!="ZERO",0))))),"")</f>
        <v>#REF!</v>
      </c>
      <c r="H500" s="139" t="str">
        <f t="shared" si="22"/>
        <v/>
      </c>
      <c r="I500" s="137" t="str">
        <f t="shared" si="23"/>
        <v/>
      </c>
      <c r="J500" s="117"/>
    </row>
    <row r="501" spans="1:10" hidden="1" x14ac:dyDescent="0.25">
      <c r="A501" s="114" t="s">
        <v>1808</v>
      </c>
      <c r="B501" s="115" t="s">
        <v>7624</v>
      </c>
      <c r="C501" s="116" t="s">
        <v>70</v>
      </c>
      <c r="D501" s="116">
        <v>0</v>
      </c>
      <c r="E501" s="136">
        <f ca="1">OFFSET(INDEX(Composições!A:J,MATCH(Orçamentária!A501,Composições!A:A,0),8),2,0)</f>
        <v>45.438499999999998</v>
      </c>
      <c r="F501" s="137">
        <f t="shared" ca="1" si="21"/>
        <v>0</v>
      </c>
      <c r="G501" s="138" t="e">
        <f>IF(A501&lt;&gt;"",IF(AND(#REF!="Padrão",$H$4=#REF!),BDI!$B$17,IF(AND(#REF!="Padrão",$H$4=#REF!),BDI!#REF!,IF(AND(#REF!="Diferenciado",$H$4=#REF!),BDI!$E$17,IF(AND(#REF!="Diferenciado",$H$4=#REF!),BDI!#REF!,IF(#REF!="ZERO",0))))),"")</f>
        <v>#REF!</v>
      </c>
      <c r="H501" s="139" t="e">
        <f t="shared" ca="1" si="22"/>
        <v>#REF!</v>
      </c>
      <c r="I501" s="137" t="e">
        <f t="shared" ca="1" si="23"/>
        <v>#REF!</v>
      </c>
      <c r="J501" s="117"/>
    </row>
    <row r="502" spans="1:10" hidden="1" x14ac:dyDescent="0.25">
      <c r="A502" s="114" t="s">
        <v>1809</v>
      </c>
      <c r="B502" s="115" t="s">
        <v>7625</v>
      </c>
      <c r="C502" s="116" t="s">
        <v>70</v>
      </c>
      <c r="D502" s="116">
        <v>0</v>
      </c>
      <c r="E502" s="136" t="s">
        <v>416</v>
      </c>
      <c r="F502" s="137" t="str">
        <f t="shared" si="21"/>
        <v/>
      </c>
      <c r="G502" s="138" t="e">
        <f>IF(A502&lt;&gt;"",IF(AND(#REF!="Padrão",$H$4=#REF!),BDI!$B$17,IF(AND(#REF!="Padrão",$H$4=#REF!),BDI!#REF!,IF(AND(#REF!="Diferenciado",$H$4=#REF!),BDI!$E$17,IF(AND(#REF!="Diferenciado",$H$4=#REF!),BDI!#REF!,IF(#REF!="ZERO",0))))),"")</f>
        <v>#REF!</v>
      </c>
      <c r="H502" s="139" t="str">
        <f t="shared" si="22"/>
        <v/>
      </c>
      <c r="I502" s="137" t="str">
        <f t="shared" si="23"/>
        <v/>
      </c>
      <c r="J502" s="117"/>
    </row>
    <row r="503" spans="1:10" hidden="1" x14ac:dyDescent="0.25">
      <c r="A503" s="114" t="s">
        <v>1810</v>
      </c>
      <c r="B503" s="115" t="s">
        <v>7626</v>
      </c>
      <c r="C503" s="116" t="s">
        <v>70</v>
      </c>
      <c r="D503" s="116">
        <v>0</v>
      </c>
      <c r="E503" s="136">
        <f ca="1">OFFSET(INDEX(Composições!A:J,MATCH(Orçamentária!A503,Composições!A:A,0),8),2,0)</f>
        <v>56.401499999999992</v>
      </c>
      <c r="F503" s="137">
        <f t="shared" ca="1" si="21"/>
        <v>0</v>
      </c>
      <c r="G503" s="138" t="e">
        <f>IF(A503&lt;&gt;"",IF(AND(#REF!="Padrão",$H$4=#REF!),BDI!$B$17,IF(AND(#REF!="Padrão",$H$4=#REF!),BDI!#REF!,IF(AND(#REF!="Diferenciado",$H$4=#REF!),BDI!$E$17,IF(AND(#REF!="Diferenciado",$H$4=#REF!),BDI!#REF!,IF(#REF!="ZERO",0))))),"")</f>
        <v>#REF!</v>
      </c>
      <c r="H503" s="139" t="e">
        <f t="shared" ca="1" si="22"/>
        <v>#REF!</v>
      </c>
      <c r="I503" s="137" t="e">
        <f t="shared" ca="1" si="23"/>
        <v>#REF!</v>
      </c>
      <c r="J503" s="117"/>
    </row>
    <row r="504" spans="1:10" hidden="1" x14ac:dyDescent="0.25">
      <c r="A504" s="114" t="s">
        <v>1811</v>
      </c>
      <c r="B504" s="115" t="s">
        <v>7627</v>
      </c>
      <c r="C504" s="116" t="s">
        <v>70</v>
      </c>
      <c r="D504" s="116">
        <v>0</v>
      </c>
      <c r="E504" s="136" t="s">
        <v>416</v>
      </c>
      <c r="F504" s="137" t="str">
        <f t="shared" si="21"/>
        <v/>
      </c>
      <c r="G504" s="138" t="e">
        <f>IF(A504&lt;&gt;"",IF(AND(#REF!="Padrão",$H$4=#REF!),BDI!$B$17,IF(AND(#REF!="Padrão",$H$4=#REF!),BDI!#REF!,IF(AND(#REF!="Diferenciado",$H$4=#REF!),BDI!$E$17,IF(AND(#REF!="Diferenciado",$H$4=#REF!),BDI!#REF!,IF(#REF!="ZERO",0))))),"")</f>
        <v>#REF!</v>
      </c>
      <c r="H504" s="139" t="str">
        <f t="shared" si="22"/>
        <v/>
      </c>
      <c r="I504" s="137" t="str">
        <f t="shared" si="23"/>
        <v/>
      </c>
      <c r="J504" s="117"/>
    </row>
    <row r="505" spans="1:10" hidden="1" x14ac:dyDescent="0.25">
      <c r="A505" s="114" t="s">
        <v>1812</v>
      </c>
      <c r="B505" s="115" t="s">
        <v>1813</v>
      </c>
      <c r="C505" s="116" t="s">
        <v>69</v>
      </c>
      <c r="D505" s="116">
        <v>0</v>
      </c>
      <c r="E505" s="136">
        <f ca="1">OFFSET(INDEX(Composições!A:J,MATCH(Orçamentária!A505,Composições!A:A,0),8),2,0)</f>
        <v>17.421099999999996</v>
      </c>
      <c r="F505" s="137">
        <f t="shared" ca="1" si="21"/>
        <v>0</v>
      </c>
      <c r="G505" s="138" t="e">
        <f>IF(A505&lt;&gt;"",IF(AND(#REF!="Padrão",$H$4=#REF!),BDI!$B$17,IF(AND(#REF!="Padrão",$H$4=#REF!),BDI!#REF!,IF(AND(#REF!="Diferenciado",$H$4=#REF!),BDI!$E$17,IF(AND(#REF!="Diferenciado",$H$4=#REF!),BDI!#REF!,IF(#REF!="ZERO",0))))),"")</f>
        <v>#REF!</v>
      </c>
      <c r="H505" s="139" t="e">
        <f t="shared" ca="1" si="22"/>
        <v>#REF!</v>
      </c>
      <c r="I505" s="137" t="e">
        <f t="shared" ca="1" si="23"/>
        <v>#REF!</v>
      </c>
      <c r="J505" s="117"/>
    </row>
    <row r="506" spans="1:10" hidden="1" x14ac:dyDescent="0.25">
      <c r="A506" s="114" t="s">
        <v>1814</v>
      </c>
      <c r="B506" s="115" t="s">
        <v>1815</v>
      </c>
      <c r="C506" s="116" t="s">
        <v>69</v>
      </c>
      <c r="D506" s="116">
        <v>0</v>
      </c>
      <c r="E506" s="136">
        <f ca="1">OFFSET(INDEX(Composições!A:J,MATCH(Orçamentária!A506,Composições!A:A,0),8),2,0)</f>
        <v>22.154</v>
      </c>
      <c r="F506" s="137">
        <f t="shared" ca="1" si="21"/>
        <v>0</v>
      </c>
      <c r="G506" s="138" t="e">
        <f>IF(A506&lt;&gt;"",IF(AND(#REF!="Padrão",$H$4=#REF!),BDI!$B$17,IF(AND(#REF!="Padrão",$H$4=#REF!),BDI!#REF!,IF(AND(#REF!="Diferenciado",$H$4=#REF!),BDI!$E$17,IF(AND(#REF!="Diferenciado",$H$4=#REF!),BDI!#REF!,IF(#REF!="ZERO",0))))),"")</f>
        <v>#REF!</v>
      </c>
      <c r="H506" s="139" t="e">
        <f t="shared" ca="1" si="22"/>
        <v>#REF!</v>
      </c>
      <c r="I506" s="137" t="e">
        <f t="shared" ca="1" si="23"/>
        <v>#REF!</v>
      </c>
      <c r="J506" s="117"/>
    </row>
    <row r="507" spans="1:10" hidden="1" x14ac:dyDescent="0.25">
      <c r="A507" s="114" t="s">
        <v>1816</v>
      </c>
      <c r="B507" s="115" t="s">
        <v>1817</v>
      </c>
      <c r="C507" s="116" t="s">
        <v>69</v>
      </c>
      <c r="D507" s="116">
        <v>0</v>
      </c>
      <c r="E507" s="136">
        <f ca="1">OFFSET(INDEX(Composições!A:J,MATCH(Orçamentária!A507,Composições!A:A,0),8),2,0)</f>
        <v>24.772199999999994</v>
      </c>
      <c r="F507" s="137">
        <f t="shared" ca="1" si="21"/>
        <v>0</v>
      </c>
      <c r="G507" s="138" t="e">
        <f>IF(A507&lt;&gt;"",IF(AND(#REF!="Padrão",$H$4=#REF!),BDI!$B$17,IF(AND(#REF!="Padrão",$H$4=#REF!),BDI!#REF!,IF(AND(#REF!="Diferenciado",$H$4=#REF!),BDI!$E$17,IF(AND(#REF!="Diferenciado",$H$4=#REF!),BDI!#REF!,IF(#REF!="ZERO",0))))),"")</f>
        <v>#REF!</v>
      </c>
      <c r="H507" s="139" t="e">
        <f t="shared" ca="1" si="22"/>
        <v>#REF!</v>
      </c>
      <c r="I507" s="137" t="e">
        <f t="shared" ca="1" si="23"/>
        <v>#REF!</v>
      </c>
      <c r="J507" s="117"/>
    </row>
    <row r="508" spans="1:10" hidden="1" x14ac:dyDescent="0.25">
      <c r="A508" s="114" t="s">
        <v>1818</v>
      </c>
      <c r="B508" s="115" t="s">
        <v>1819</v>
      </c>
      <c r="C508" s="116" t="s">
        <v>69</v>
      </c>
      <c r="D508" s="116">
        <v>0</v>
      </c>
      <c r="E508" s="136">
        <f ca="1">OFFSET(INDEX(Composições!A:J,MATCH(Orçamentária!A508,Composições!A:A,0),8),2,0)</f>
        <v>36.554099999999991</v>
      </c>
      <c r="F508" s="137">
        <f t="shared" ca="1" si="21"/>
        <v>0</v>
      </c>
      <c r="G508" s="138" t="e">
        <f>IF(A508&lt;&gt;"",IF(AND(#REF!="Padrão",$H$4=#REF!),BDI!$B$17,IF(AND(#REF!="Padrão",$H$4=#REF!),BDI!#REF!,IF(AND(#REF!="Diferenciado",$H$4=#REF!),BDI!$E$17,IF(AND(#REF!="Diferenciado",$H$4=#REF!),BDI!#REF!,IF(#REF!="ZERO",0))))),"")</f>
        <v>#REF!</v>
      </c>
      <c r="H508" s="139" t="e">
        <f t="shared" ca="1" si="22"/>
        <v>#REF!</v>
      </c>
      <c r="I508" s="137" t="e">
        <f t="shared" ca="1" si="23"/>
        <v>#REF!</v>
      </c>
      <c r="J508" s="117"/>
    </row>
    <row r="509" spans="1:10" hidden="1" x14ac:dyDescent="0.25">
      <c r="A509" s="114" t="s">
        <v>1820</v>
      </c>
      <c r="B509" s="115" t="s">
        <v>1821</v>
      </c>
      <c r="C509" s="116" t="s">
        <v>69</v>
      </c>
      <c r="D509" s="116">
        <v>0</v>
      </c>
      <c r="E509" s="136">
        <f ca="1">OFFSET(INDEX(Composições!A:J,MATCH(Orçamentária!A509,Composições!A:A,0),8),2,0)</f>
        <v>7.1496999999999984</v>
      </c>
      <c r="F509" s="137">
        <f t="shared" ca="1" si="21"/>
        <v>0</v>
      </c>
      <c r="G509" s="138" t="e">
        <f>IF(A509&lt;&gt;"",IF(AND(#REF!="Padrão",$H$4=#REF!),BDI!$B$17,IF(AND(#REF!="Padrão",$H$4=#REF!),BDI!#REF!,IF(AND(#REF!="Diferenciado",$H$4=#REF!),BDI!$E$17,IF(AND(#REF!="Diferenciado",$H$4=#REF!),BDI!#REF!,IF(#REF!="ZERO",0))))),"")</f>
        <v>#REF!</v>
      </c>
      <c r="H509" s="139" t="e">
        <f t="shared" ca="1" si="22"/>
        <v>#REF!</v>
      </c>
      <c r="I509" s="137" t="e">
        <f t="shared" ca="1" si="23"/>
        <v>#REF!</v>
      </c>
      <c r="J509" s="117"/>
    </row>
    <row r="510" spans="1:10" hidden="1" x14ac:dyDescent="0.25">
      <c r="A510" s="114" t="s">
        <v>1822</v>
      </c>
      <c r="B510" s="115" t="s">
        <v>1823</v>
      </c>
      <c r="C510" s="116" t="s">
        <v>28</v>
      </c>
      <c r="D510" s="116">
        <v>0</v>
      </c>
      <c r="E510" s="136">
        <f ca="1">OFFSET(INDEX(Composições!A:J,MATCH(Orçamentária!A510,Composições!A:A,0),8),2,0)</f>
        <v>14.420999999999999</v>
      </c>
      <c r="F510" s="137">
        <f t="shared" ca="1" si="21"/>
        <v>0</v>
      </c>
      <c r="G510" s="138" t="e">
        <f>IF(A510&lt;&gt;"",IF(AND(#REF!="Padrão",$H$4=#REF!),BDI!$B$17,IF(AND(#REF!="Padrão",$H$4=#REF!),BDI!#REF!,IF(AND(#REF!="Diferenciado",$H$4=#REF!),BDI!$E$17,IF(AND(#REF!="Diferenciado",$H$4=#REF!),BDI!#REF!,IF(#REF!="ZERO",0))))),"")</f>
        <v>#REF!</v>
      </c>
      <c r="H510" s="139" t="e">
        <f t="shared" ca="1" si="22"/>
        <v>#REF!</v>
      </c>
      <c r="I510" s="137" t="e">
        <f t="shared" ca="1" si="23"/>
        <v>#REF!</v>
      </c>
      <c r="J510" s="117"/>
    </row>
    <row r="511" spans="1:10" hidden="1" x14ac:dyDescent="0.25">
      <c r="A511" s="114" t="s">
        <v>1824</v>
      </c>
      <c r="B511" s="115" t="s">
        <v>1825</v>
      </c>
      <c r="C511" s="116" t="s">
        <v>69</v>
      </c>
      <c r="D511" s="116">
        <v>0</v>
      </c>
      <c r="E511" s="136">
        <f ca="1">OFFSET(INDEX(Composições!A:J,MATCH(Orçamentária!A511,Composições!A:A,0),8),2,0)</f>
        <v>6.2603100000000005</v>
      </c>
      <c r="F511" s="137">
        <f t="shared" ca="1" si="21"/>
        <v>0</v>
      </c>
      <c r="G511" s="138" t="e">
        <f>IF(A511&lt;&gt;"",IF(AND(#REF!="Padrão",$H$4=#REF!),BDI!$B$17,IF(AND(#REF!="Padrão",$H$4=#REF!),BDI!#REF!,IF(AND(#REF!="Diferenciado",$H$4=#REF!),BDI!$E$17,IF(AND(#REF!="Diferenciado",$H$4=#REF!),BDI!#REF!,IF(#REF!="ZERO",0))))),"")</f>
        <v>#REF!</v>
      </c>
      <c r="H511" s="139" t="e">
        <f t="shared" ca="1" si="22"/>
        <v>#REF!</v>
      </c>
      <c r="I511" s="137" t="e">
        <f t="shared" ca="1" si="23"/>
        <v>#REF!</v>
      </c>
      <c r="J511" s="117"/>
    </row>
    <row r="512" spans="1:10" hidden="1" x14ac:dyDescent="0.25">
      <c r="A512" s="114" t="s">
        <v>1826</v>
      </c>
      <c r="B512" s="115" t="s">
        <v>1827</v>
      </c>
      <c r="C512" s="116" t="s">
        <v>69</v>
      </c>
      <c r="D512" s="116">
        <v>0</v>
      </c>
      <c r="E512" s="136">
        <f ca="1">OFFSET(INDEX(Composições!A:J,MATCH(Orçamentária!A512,Composições!A:A,0),8),2,0)</f>
        <v>9.4401500000000009</v>
      </c>
      <c r="F512" s="137">
        <f t="shared" ca="1" si="21"/>
        <v>0</v>
      </c>
      <c r="G512" s="138" t="e">
        <f>IF(A512&lt;&gt;"",IF(AND(#REF!="Padrão",$H$4=#REF!),BDI!$B$17,IF(AND(#REF!="Padrão",$H$4=#REF!),BDI!#REF!,IF(AND(#REF!="Diferenciado",$H$4=#REF!),BDI!$E$17,IF(AND(#REF!="Diferenciado",$H$4=#REF!),BDI!#REF!,IF(#REF!="ZERO",0))))),"")</f>
        <v>#REF!</v>
      </c>
      <c r="H512" s="139" t="e">
        <f t="shared" ca="1" si="22"/>
        <v>#REF!</v>
      </c>
      <c r="I512" s="137" t="e">
        <f t="shared" ca="1" si="23"/>
        <v>#REF!</v>
      </c>
      <c r="J512" s="117"/>
    </row>
    <row r="513" spans="1:10" hidden="1" x14ac:dyDescent="0.25">
      <c r="A513" s="114" t="s">
        <v>1828</v>
      </c>
      <c r="B513" s="115" t="s">
        <v>1829</v>
      </c>
      <c r="C513" s="116" t="s">
        <v>69</v>
      </c>
      <c r="D513" s="116">
        <v>0</v>
      </c>
      <c r="E513" s="136">
        <f ca="1">OFFSET(INDEX(Composições!A:J,MATCH(Orçamentária!A513,Composições!A:A,0),8),2,0)</f>
        <v>11.030070000000002</v>
      </c>
      <c r="F513" s="137">
        <f t="shared" ca="1" si="21"/>
        <v>0</v>
      </c>
      <c r="G513" s="138" t="e">
        <f>IF(A513&lt;&gt;"",IF(AND(#REF!="Padrão",$H$4=#REF!),BDI!$B$17,IF(AND(#REF!="Padrão",$H$4=#REF!),BDI!#REF!,IF(AND(#REF!="Diferenciado",$H$4=#REF!),BDI!$E$17,IF(AND(#REF!="Diferenciado",$H$4=#REF!),BDI!#REF!,IF(#REF!="ZERO",0))))),"")</f>
        <v>#REF!</v>
      </c>
      <c r="H513" s="139" t="e">
        <f t="shared" ca="1" si="22"/>
        <v>#REF!</v>
      </c>
      <c r="I513" s="137" t="e">
        <f t="shared" ca="1" si="23"/>
        <v>#REF!</v>
      </c>
      <c r="J513" s="117"/>
    </row>
    <row r="514" spans="1:10" hidden="1" x14ac:dyDescent="0.25">
      <c r="A514" s="114" t="s">
        <v>1830</v>
      </c>
      <c r="B514" s="115" t="s">
        <v>1831</v>
      </c>
      <c r="C514" s="116" t="s">
        <v>69</v>
      </c>
      <c r="D514" s="116">
        <v>0</v>
      </c>
      <c r="E514" s="136">
        <f ca="1">OFFSET(INDEX(Composições!A:J,MATCH(Orçamentária!A514,Composições!A:A,0),8),2,0)</f>
        <v>4.7697600000000007</v>
      </c>
      <c r="F514" s="137">
        <f t="shared" ca="1" si="21"/>
        <v>0</v>
      </c>
      <c r="G514" s="138" t="e">
        <f>IF(A514&lt;&gt;"",IF(AND(#REF!="Padrão",$H$4=#REF!),BDI!$B$17,IF(AND(#REF!="Padrão",$H$4=#REF!),BDI!#REF!,IF(AND(#REF!="Diferenciado",$H$4=#REF!),BDI!$E$17,IF(AND(#REF!="Diferenciado",$H$4=#REF!),BDI!#REF!,IF(#REF!="ZERO",0))))),"")</f>
        <v>#REF!</v>
      </c>
      <c r="H514" s="139" t="e">
        <f t="shared" ca="1" si="22"/>
        <v>#REF!</v>
      </c>
      <c r="I514" s="137" t="e">
        <f t="shared" ca="1" si="23"/>
        <v>#REF!</v>
      </c>
      <c r="J514" s="117"/>
    </row>
    <row r="515" spans="1:10" hidden="1" x14ac:dyDescent="0.25">
      <c r="A515" s="114" t="s">
        <v>1832</v>
      </c>
      <c r="B515" s="115" t="s">
        <v>1833</v>
      </c>
      <c r="C515" s="116" t="s">
        <v>69</v>
      </c>
      <c r="D515" s="116">
        <v>0</v>
      </c>
      <c r="E515" s="136">
        <f ca="1">OFFSET(INDEX(Composições!A:J,MATCH(Orçamentária!A515,Composições!A:A,0),8),2,0)</f>
        <v>7.0552700000000002</v>
      </c>
      <c r="F515" s="137">
        <f t="shared" ca="1" si="21"/>
        <v>0</v>
      </c>
      <c r="G515" s="138" t="e">
        <f>IF(A515&lt;&gt;"",IF(AND(#REF!="Padrão",$H$4=#REF!),BDI!$B$17,IF(AND(#REF!="Padrão",$H$4=#REF!),BDI!#REF!,IF(AND(#REF!="Diferenciado",$H$4=#REF!),BDI!$E$17,IF(AND(#REF!="Diferenciado",$H$4=#REF!),BDI!#REF!,IF(#REF!="ZERO",0))))),"")</f>
        <v>#REF!</v>
      </c>
      <c r="H515" s="139" t="e">
        <f t="shared" ca="1" si="22"/>
        <v>#REF!</v>
      </c>
      <c r="I515" s="137" t="e">
        <f t="shared" ca="1" si="23"/>
        <v>#REF!</v>
      </c>
      <c r="J515" s="117"/>
    </row>
    <row r="516" spans="1:10" hidden="1" x14ac:dyDescent="0.25">
      <c r="A516" s="114" t="s">
        <v>1834</v>
      </c>
      <c r="B516" s="115" t="s">
        <v>1835</v>
      </c>
      <c r="C516" s="116" t="s">
        <v>69</v>
      </c>
      <c r="D516" s="116">
        <v>0</v>
      </c>
      <c r="E516" s="136">
        <f ca="1">OFFSET(INDEX(Composições!A:J,MATCH(Orçamentária!A516,Composições!A:A,0),8),2,0)</f>
        <v>3.9748000000000006</v>
      </c>
      <c r="F516" s="137">
        <f t="shared" ca="1" si="21"/>
        <v>0</v>
      </c>
      <c r="G516" s="138" t="e">
        <f>IF(A516&lt;&gt;"",IF(AND(#REF!="Padrão",$H$4=#REF!),BDI!$B$17,IF(AND(#REF!="Padrão",$H$4=#REF!),BDI!#REF!,IF(AND(#REF!="Diferenciado",$H$4=#REF!),BDI!$E$17,IF(AND(#REF!="Diferenciado",$H$4=#REF!),BDI!#REF!,IF(#REF!="ZERO",0))))),"")</f>
        <v>#REF!</v>
      </c>
      <c r="H516" s="139" t="e">
        <f t="shared" ca="1" si="22"/>
        <v>#REF!</v>
      </c>
      <c r="I516" s="137" t="e">
        <f t="shared" ca="1" si="23"/>
        <v>#REF!</v>
      </c>
      <c r="J516" s="117"/>
    </row>
    <row r="517" spans="1:10" hidden="1" x14ac:dyDescent="0.25">
      <c r="A517" s="114" t="s">
        <v>1836</v>
      </c>
      <c r="B517" s="115" t="s">
        <v>1837</v>
      </c>
      <c r="C517" s="116" t="s">
        <v>69</v>
      </c>
      <c r="D517" s="116">
        <v>0</v>
      </c>
      <c r="E517" s="136">
        <f ca="1">OFFSET(INDEX(Composições!A:J,MATCH(Orçamentária!A517,Composições!A:A,0),8),2,0)</f>
        <v>7.8502300000000016</v>
      </c>
      <c r="F517" s="137">
        <f t="shared" ca="1" si="21"/>
        <v>0</v>
      </c>
      <c r="G517" s="138" t="e">
        <f>IF(A517&lt;&gt;"",IF(AND(#REF!="Padrão",$H$4=#REF!),BDI!$B$17,IF(AND(#REF!="Padrão",$H$4=#REF!),BDI!#REF!,IF(AND(#REF!="Diferenciado",$H$4=#REF!),BDI!$E$17,IF(AND(#REF!="Diferenciado",$H$4=#REF!),BDI!#REF!,IF(#REF!="ZERO",0))))),"")</f>
        <v>#REF!</v>
      </c>
      <c r="H517" s="139" t="e">
        <f t="shared" ca="1" si="22"/>
        <v>#REF!</v>
      </c>
      <c r="I517" s="137" t="e">
        <f t="shared" ca="1" si="23"/>
        <v>#REF!</v>
      </c>
      <c r="J517" s="117"/>
    </row>
    <row r="518" spans="1:10" hidden="1" x14ac:dyDescent="0.25">
      <c r="A518" s="114" t="s">
        <v>1838</v>
      </c>
      <c r="B518" s="115" t="s">
        <v>1839</v>
      </c>
      <c r="C518" s="116" t="s">
        <v>69</v>
      </c>
      <c r="D518" s="116">
        <v>0</v>
      </c>
      <c r="E518" s="136">
        <f ca="1">OFFSET(INDEX(Composições!A:J,MATCH(Orçamentária!A518,Composições!A:A,0),8),2,0)</f>
        <v>5.4653500000000008</v>
      </c>
      <c r="F518" s="137">
        <f t="shared" ca="1" si="21"/>
        <v>0</v>
      </c>
      <c r="G518" s="138" t="e">
        <f>IF(A518&lt;&gt;"",IF(AND(#REF!="Padrão",$H$4=#REF!),BDI!$B$17,IF(AND(#REF!="Padrão",$H$4=#REF!),BDI!#REF!,IF(AND(#REF!="Diferenciado",$H$4=#REF!),BDI!$E$17,IF(AND(#REF!="Diferenciado",$H$4=#REF!),BDI!#REF!,IF(#REF!="ZERO",0))))),"")</f>
        <v>#REF!</v>
      </c>
      <c r="H518" s="139" t="e">
        <f t="shared" ca="1" si="22"/>
        <v>#REF!</v>
      </c>
      <c r="I518" s="137" t="e">
        <f t="shared" ca="1" si="23"/>
        <v>#REF!</v>
      </c>
      <c r="J518" s="117"/>
    </row>
    <row r="519" spans="1:10" hidden="1" x14ac:dyDescent="0.25">
      <c r="A519" s="114" t="s">
        <v>1840</v>
      </c>
      <c r="B519" s="115" t="s">
        <v>1841</v>
      </c>
      <c r="C519" s="116" t="s">
        <v>69</v>
      </c>
      <c r="D519" s="116">
        <v>0</v>
      </c>
      <c r="E519" s="136">
        <f ca="1">OFFSET(INDEX(Composições!A:J,MATCH(Orçamentária!A519,Composições!A:A,0),8),2,0)</f>
        <v>8.2477100000000014</v>
      </c>
      <c r="F519" s="137">
        <f t="shared" ref="F519:F582" ca="1" si="24">IF(ISNUMBER(E519),D519*E519,"")</f>
        <v>0</v>
      </c>
      <c r="G519" s="138" t="e">
        <f>IF(A519&lt;&gt;"",IF(AND(#REF!="Padrão",$H$4=#REF!),BDI!$B$17,IF(AND(#REF!="Padrão",$H$4=#REF!),BDI!#REF!,IF(AND(#REF!="Diferenciado",$H$4=#REF!),BDI!$E$17,IF(AND(#REF!="Diferenciado",$H$4=#REF!),BDI!#REF!,IF(#REF!="ZERO",0))))),"")</f>
        <v>#REF!</v>
      </c>
      <c r="H519" s="139" t="e">
        <f t="shared" ref="H519:H582" ca="1" si="25">IF(ISNUMBER(E519),ROUND(E519*(1+G519),2),"")</f>
        <v>#REF!</v>
      </c>
      <c r="I519" s="137" t="e">
        <f t="shared" ref="I519:I582" ca="1" si="26">IF(ISNUMBER(E519),ROUND(H519*D519,2),"")</f>
        <v>#REF!</v>
      </c>
      <c r="J519" s="117"/>
    </row>
    <row r="520" spans="1:10" hidden="1" x14ac:dyDescent="0.25">
      <c r="A520" s="114" t="s">
        <v>1842</v>
      </c>
      <c r="B520" s="115" t="s">
        <v>7628</v>
      </c>
      <c r="C520" s="116" t="s">
        <v>69</v>
      </c>
      <c r="D520" s="116">
        <v>0</v>
      </c>
      <c r="E520" s="136" t="s">
        <v>416</v>
      </c>
      <c r="F520" s="137" t="str">
        <f t="shared" si="24"/>
        <v/>
      </c>
      <c r="G520" s="138" t="e">
        <f>IF(A520&lt;&gt;"",IF(AND(#REF!="Padrão",$H$4=#REF!),BDI!$B$17,IF(AND(#REF!="Padrão",$H$4=#REF!),BDI!#REF!,IF(AND(#REF!="Diferenciado",$H$4=#REF!),BDI!$E$17,IF(AND(#REF!="Diferenciado",$H$4=#REF!),BDI!#REF!,IF(#REF!="ZERO",0))))),"")</f>
        <v>#REF!</v>
      </c>
      <c r="H520" s="139" t="str">
        <f t="shared" si="25"/>
        <v/>
      </c>
      <c r="I520" s="137" t="str">
        <f t="shared" si="26"/>
        <v/>
      </c>
      <c r="J520" s="117"/>
    </row>
    <row r="521" spans="1:10" hidden="1" x14ac:dyDescent="0.25">
      <c r="A521" s="114" t="s">
        <v>1843</v>
      </c>
      <c r="B521" s="115" t="s">
        <v>7629</v>
      </c>
      <c r="C521" s="116" t="s">
        <v>69</v>
      </c>
      <c r="D521" s="116">
        <v>0</v>
      </c>
      <c r="E521" s="136" t="s">
        <v>416</v>
      </c>
      <c r="F521" s="137" t="str">
        <f t="shared" si="24"/>
        <v/>
      </c>
      <c r="G521" s="138" t="e">
        <f>IF(A521&lt;&gt;"",IF(AND(#REF!="Padrão",$H$4=#REF!),BDI!$B$17,IF(AND(#REF!="Padrão",$H$4=#REF!),BDI!#REF!,IF(AND(#REF!="Diferenciado",$H$4=#REF!),BDI!$E$17,IF(AND(#REF!="Diferenciado",$H$4=#REF!),BDI!#REF!,IF(#REF!="ZERO",0))))),"")</f>
        <v>#REF!</v>
      </c>
      <c r="H521" s="139" t="str">
        <f t="shared" si="25"/>
        <v/>
      </c>
      <c r="I521" s="137" t="str">
        <f t="shared" si="26"/>
        <v/>
      </c>
      <c r="J521" s="117"/>
    </row>
    <row r="522" spans="1:10" hidden="1" x14ac:dyDescent="0.25">
      <c r="A522" s="114" t="s">
        <v>1844</v>
      </c>
      <c r="B522" s="115" t="s">
        <v>1845</v>
      </c>
      <c r="C522" s="116" t="s">
        <v>69</v>
      </c>
      <c r="D522" s="116">
        <v>0</v>
      </c>
      <c r="E522" s="136" t="s">
        <v>416</v>
      </c>
      <c r="F522" s="137" t="str">
        <f t="shared" si="24"/>
        <v/>
      </c>
      <c r="G522" s="138" t="e">
        <f>IF(A522&lt;&gt;"",IF(AND(#REF!="Padrão",$H$4=#REF!),BDI!$B$17,IF(AND(#REF!="Padrão",$H$4=#REF!),BDI!#REF!,IF(AND(#REF!="Diferenciado",$H$4=#REF!),BDI!$E$17,IF(AND(#REF!="Diferenciado",$H$4=#REF!),BDI!#REF!,IF(#REF!="ZERO",0))))),"")</f>
        <v>#REF!</v>
      </c>
      <c r="H522" s="139" t="str">
        <f t="shared" si="25"/>
        <v/>
      </c>
      <c r="I522" s="137" t="str">
        <f t="shared" si="26"/>
        <v/>
      </c>
      <c r="J522" s="117"/>
    </row>
    <row r="523" spans="1:10" hidden="1" x14ac:dyDescent="0.25">
      <c r="A523" s="114" t="s">
        <v>1846</v>
      </c>
      <c r="B523" s="115" t="s">
        <v>1847</v>
      </c>
      <c r="C523" s="116" t="s">
        <v>69</v>
      </c>
      <c r="D523" s="116">
        <v>0</v>
      </c>
      <c r="E523" s="136" t="s">
        <v>416</v>
      </c>
      <c r="F523" s="137" t="str">
        <f t="shared" si="24"/>
        <v/>
      </c>
      <c r="G523" s="138" t="e">
        <f>IF(A523&lt;&gt;"",IF(AND(#REF!="Padrão",$H$4=#REF!),BDI!$B$17,IF(AND(#REF!="Padrão",$H$4=#REF!),BDI!#REF!,IF(AND(#REF!="Diferenciado",$H$4=#REF!),BDI!$E$17,IF(AND(#REF!="Diferenciado",$H$4=#REF!),BDI!#REF!,IF(#REF!="ZERO",0))))),"")</f>
        <v>#REF!</v>
      </c>
      <c r="H523" s="139" t="str">
        <f t="shared" si="25"/>
        <v/>
      </c>
      <c r="I523" s="137" t="str">
        <f t="shared" si="26"/>
        <v/>
      </c>
      <c r="J523" s="117"/>
    </row>
    <row r="524" spans="1:10" hidden="1" x14ac:dyDescent="0.25">
      <c r="A524" s="114" t="s">
        <v>1848</v>
      </c>
      <c r="B524" s="115" t="s">
        <v>1849</v>
      </c>
      <c r="C524" s="116" t="s">
        <v>69</v>
      </c>
      <c r="D524" s="116">
        <v>0</v>
      </c>
      <c r="E524" s="136" t="s">
        <v>416</v>
      </c>
      <c r="F524" s="137" t="str">
        <f t="shared" si="24"/>
        <v/>
      </c>
      <c r="G524" s="138" t="e">
        <f>IF(A524&lt;&gt;"",IF(AND(#REF!="Padrão",$H$4=#REF!),BDI!$B$17,IF(AND(#REF!="Padrão",$H$4=#REF!),BDI!#REF!,IF(AND(#REF!="Diferenciado",$H$4=#REF!),BDI!$E$17,IF(AND(#REF!="Diferenciado",$H$4=#REF!),BDI!#REF!,IF(#REF!="ZERO",0))))),"")</f>
        <v>#REF!</v>
      </c>
      <c r="H524" s="139" t="str">
        <f t="shared" si="25"/>
        <v/>
      </c>
      <c r="I524" s="137" t="str">
        <f t="shared" si="26"/>
        <v/>
      </c>
      <c r="J524" s="117"/>
    </row>
    <row r="525" spans="1:10" hidden="1" x14ac:dyDescent="0.25">
      <c r="A525" s="114" t="s">
        <v>1850</v>
      </c>
      <c r="B525" s="115" t="s">
        <v>1851</v>
      </c>
      <c r="C525" s="116" t="s">
        <v>69</v>
      </c>
      <c r="D525" s="116">
        <v>0</v>
      </c>
      <c r="E525" s="136" t="s">
        <v>416</v>
      </c>
      <c r="F525" s="137" t="str">
        <f t="shared" si="24"/>
        <v/>
      </c>
      <c r="G525" s="138" t="e">
        <f>IF(A525&lt;&gt;"",IF(AND(#REF!="Padrão",$H$4=#REF!),BDI!$B$17,IF(AND(#REF!="Padrão",$H$4=#REF!),BDI!#REF!,IF(AND(#REF!="Diferenciado",$H$4=#REF!),BDI!$E$17,IF(AND(#REF!="Diferenciado",$H$4=#REF!),BDI!#REF!,IF(#REF!="ZERO",0))))),"")</f>
        <v>#REF!</v>
      </c>
      <c r="H525" s="139" t="str">
        <f t="shared" si="25"/>
        <v/>
      </c>
      <c r="I525" s="137" t="str">
        <f t="shared" si="26"/>
        <v/>
      </c>
      <c r="J525" s="117"/>
    </row>
    <row r="526" spans="1:10" hidden="1" x14ac:dyDescent="0.25">
      <c r="A526" s="114" t="s">
        <v>1852</v>
      </c>
      <c r="B526" s="115" t="s">
        <v>1853</v>
      </c>
      <c r="C526" s="116" t="s">
        <v>69</v>
      </c>
      <c r="D526" s="116">
        <v>0</v>
      </c>
      <c r="E526" s="136" t="s">
        <v>416</v>
      </c>
      <c r="F526" s="137" t="str">
        <f t="shared" si="24"/>
        <v/>
      </c>
      <c r="G526" s="138" t="e">
        <f>IF(A526&lt;&gt;"",IF(AND(#REF!="Padrão",$H$4=#REF!),BDI!$B$17,IF(AND(#REF!="Padrão",$H$4=#REF!),BDI!#REF!,IF(AND(#REF!="Diferenciado",$H$4=#REF!),BDI!$E$17,IF(AND(#REF!="Diferenciado",$H$4=#REF!),BDI!#REF!,IF(#REF!="ZERO",0))))),"")</f>
        <v>#REF!</v>
      </c>
      <c r="H526" s="139" t="str">
        <f t="shared" si="25"/>
        <v/>
      </c>
      <c r="I526" s="137" t="str">
        <f t="shared" si="26"/>
        <v/>
      </c>
      <c r="J526" s="117"/>
    </row>
    <row r="527" spans="1:10" hidden="1" x14ac:dyDescent="0.25">
      <c r="A527" s="114" t="s">
        <v>1854</v>
      </c>
      <c r="B527" s="115" t="s">
        <v>1855</v>
      </c>
      <c r="C527" s="116" t="s">
        <v>69</v>
      </c>
      <c r="D527" s="116">
        <v>0</v>
      </c>
      <c r="E527" s="136" t="s">
        <v>416</v>
      </c>
      <c r="F527" s="137" t="str">
        <f t="shared" si="24"/>
        <v/>
      </c>
      <c r="G527" s="138" t="e">
        <f>IF(A527&lt;&gt;"",IF(AND(#REF!="Padrão",$H$4=#REF!),BDI!$B$17,IF(AND(#REF!="Padrão",$H$4=#REF!),BDI!#REF!,IF(AND(#REF!="Diferenciado",$H$4=#REF!),BDI!$E$17,IF(AND(#REF!="Diferenciado",$H$4=#REF!),BDI!#REF!,IF(#REF!="ZERO",0))))),"")</f>
        <v>#REF!</v>
      </c>
      <c r="H527" s="139" t="str">
        <f t="shared" si="25"/>
        <v/>
      </c>
      <c r="I527" s="137" t="str">
        <f t="shared" si="26"/>
        <v/>
      </c>
      <c r="J527" s="117"/>
    </row>
    <row r="528" spans="1:10" hidden="1" x14ac:dyDescent="0.25">
      <c r="A528" s="114" t="s">
        <v>1856</v>
      </c>
      <c r="B528" s="115" t="s">
        <v>1857</v>
      </c>
      <c r="C528" s="116" t="s">
        <v>69</v>
      </c>
      <c r="D528" s="116">
        <v>0</v>
      </c>
      <c r="E528" s="136" t="s">
        <v>416</v>
      </c>
      <c r="F528" s="137" t="str">
        <f t="shared" si="24"/>
        <v/>
      </c>
      <c r="G528" s="138" t="e">
        <f>IF(A528&lt;&gt;"",IF(AND(#REF!="Padrão",$H$4=#REF!),BDI!$B$17,IF(AND(#REF!="Padrão",$H$4=#REF!),BDI!#REF!,IF(AND(#REF!="Diferenciado",$H$4=#REF!),BDI!$E$17,IF(AND(#REF!="Diferenciado",$H$4=#REF!),BDI!#REF!,IF(#REF!="ZERO",0))))),"")</f>
        <v>#REF!</v>
      </c>
      <c r="H528" s="139" t="str">
        <f t="shared" si="25"/>
        <v/>
      </c>
      <c r="I528" s="137" t="str">
        <f t="shared" si="26"/>
        <v/>
      </c>
      <c r="J528" s="117"/>
    </row>
    <row r="529" spans="1:10" hidden="1" x14ac:dyDescent="0.25">
      <c r="A529" s="114" t="s">
        <v>1858</v>
      </c>
      <c r="B529" s="115" t="s">
        <v>1859</v>
      </c>
      <c r="C529" s="116" t="s">
        <v>69</v>
      </c>
      <c r="D529" s="116">
        <v>0</v>
      </c>
      <c r="E529" s="136" t="s">
        <v>416</v>
      </c>
      <c r="F529" s="137" t="str">
        <f t="shared" si="24"/>
        <v/>
      </c>
      <c r="G529" s="138" t="e">
        <f>IF(A529&lt;&gt;"",IF(AND(#REF!="Padrão",$H$4=#REF!),BDI!$B$17,IF(AND(#REF!="Padrão",$H$4=#REF!),BDI!#REF!,IF(AND(#REF!="Diferenciado",$H$4=#REF!),BDI!$E$17,IF(AND(#REF!="Diferenciado",$H$4=#REF!),BDI!#REF!,IF(#REF!="ZERO",0))))),"")</f>
        <v>#REF!</v>
      </c>
      <c r="H529" s="139" t="str">
        <f t="shared" si="25"/>
        <v/>
      </c>
      <c r="I529" s="137" t="str">
        <f t="shared" si="26"/>
        <v/>
      </c>
      <c r="J529" s="117"/>
    </row>
    <row r="530" spans="1:10" hidden="1" x14ac:dyDescent="0.25">
      <c r="A530" s="114" t="s">
        <v>1860</v>
      </c>
      <c r="B530" s="115" t="s">
        <v>1861</v>
      </c>
      <c r="C530" s="116" t="s">
        <v>69</v>
      </c>
      <c r="D530" s="116">
        <v>0</v>
      </c>
      <c r="E530" s="136" t="s">
        <v>416</v>
      </c>
      <c r="F530" s="137" t="str">
        <f t="shared" si="24"/>
        <v/>
      </c>
      <c r="G530" s="138" t="e">
        <f>IF(A530&lt;&gt;"",IF(AND(#REF!="Padrão",$H$4=#REF!),BDI!$B$17,IF(AND(#REF!="Padrão",$H$4=#REF!),BDI!#REF!,IF(AND(#REF!="Diferenciado",$H$4=#REF!),BDI!$E$17,IF(AND(#REF!="Diferenciado",$H$4=#REF!),BDI!#REF!,IF(#REF!="ZERO",0))))),"")</f>
        <v>#REF!</v>
      </c>
      <c r="H530" s="139" t="str">
        <f t="shared" si="25"/>
        <v/>
      </c>
      <c r="I530" s="137" t="str">
        <f t="shared" si="26"/>
        <v/>
      </c>
      <c r="J530" s="117"/>
    </row>
    <row r="531" spans="1:10" hidden="1" x14ac:dyDescent="0.25">
      <c r="A531" s="114" t="s">
        <v>1862</v>
      </c>
      <c r="B531" s="115" t="s">
        <v>1863</v>
      </c>
      <c r="C531" s="116" t="s">
        <v>69</v>
      </c>
      <c r="D531" s="116">
        <v>0</v>
      </c>
      <c r="E531" s="136" t="s">
        <v>416</v>
      </c>
      <c r="F531" s="137" t="str">
        <f t="shared" si="24"/>
        <v/>
      </c>
      <c r="G531" s="138" t="e">
        <f>IF(A531&lt;&gt;"",IF(AND(#REF!="Padrão",$H$4=#REF!),BDI!$B$17,IF(AND(#REF!="Padrão",$H$4=#REF!),BDI!#REF!,IF(AND(#REF!="Diferenciado",$H$4=#REF!),BDI!$E$17,IF(AND(#REF!="Diferenciado",$H$4=#REF!),BDI!#REF!,IF(#REF!="ZERO",0))))),"")</f>
        <v>#REF!</v>
      </c>
      <c r="H531" s="139" t="str">
        <f t="shared" si="25"/>
        <v/>
      </c>
      <c r="I531" s="137" t="str">
        <f t="shared" si="26"/>
        <v/>
      </c>
      <c r="J531" s="117"/>
    </row>
    <row r="532" spans="1:10" hidden="1" x14ac:dyDescent="0.25">
      <c r="A532" s="114" t="s">
        <v>1864</v>
      </c>
      <c r="B532" s="115" t="s">
        <v>1865</v>
      </c>
      <c r="C532" s="116" t="s">
        <v>69</v>
      </c>
      <c r="D532" s="116">
        <v>0</v>
      </c>
      <c r="E532" s="136" t="s">
        <v>416</v>
      </c>
      <c r="F532" s="137" t="str">
        <f t="shared" si="24"/>
        <v/>
      </c>
      <c r="G532" s="138" t="e">
        <f>IF(A532&lt;&gt;"",IF(AND(#REF!="Padrão",$H$4=#REF!),BDI!$B$17,IF(AND(#REF!="Padrão",$H$4=#REF!),BDI!#REF!,IF(AND(#REF!="Diferenciado",$H$4=#REF!),BDI!$E$17,IF(AND(#REF!="Diferenciado",$H$4=#REF!),BDI!#REF!,IF(#REF!="ZERO",0))))),"")</f>
        <v>#REF!</v>
      </c>
      <c r="H532" s="139" t="str">
        <f t="shared" si="25"/>
        <v/>
      </c>
      <c r="I532" s="137" t="str">
        <f t="shared" si="26"/>
        <v/>
      </c>
      <c r="J532" s="117"/>
    </row>
    <row r="533" spans="1:10" hidden="1" x14ac:dyDescent="0.25">
      <c r="A533" s="114" t="s">
        <v>1866</v>
      </c>
      <c r="B533" s="115" t="s">
        <v>1867</v>
      </c>
      <c r="C533" s="116" t="s">
        <v>69</v>
      </c>
      <c r="D533" s="116">
        <v>0</v>
      </c>
      <c r="E533" s="136" t="s">
        <v>416</v>
      </c>
      <c r="F533" s="137" t="str">
        <f t="shared" si="24"/>
        <v/>
      </c>
      <c r="G533" s="138" t="e">
        <f>IF(A533&lt;&gt;"",IF(AND(#REF!="Padrão",$H$4=#REF!),BDI!$B$17,IF(AND(#REF!="Padrão",$H$4=#REF!),BDI!#REF!,IF(AND(#REF!="Diferenciado",$H$4=#REF!),BDI!$E$17,IF(AND(#REF!="Diferenciado",$H$4=#REF!),BDI!#REF!,IF(#REF!="ZERO",0))))),"")</f>
        <v>#REF!</v>
      </c>
      <c r="H533" s="139" t="str">
        <f t="shared" si="25"/>
        <v/>
      </c>
      <c r="I533" s="137" t="str">
        <f t="shared" si="26"/>
        <v/>
      </c>
      <c r="J533" s="117"/>
    </row>
    <row r="534" spans="1:10" hidden="1" x14ac:dyDescent="0.25">
      <c r="A534" s="114" t="s">
        <v>1868</v>
      </c>
      <c r="B534" s="115" t="s">
        <v>1869</v>
      </c>
      <c r="C534" s="116" t="s">
        <v>69</v>
      </c>
      <c r="D534" s="116">
        <v>0</v>
      </c>
      <c r="E534" s="136" t="s">
        <v>416</v>
      </c>
      <c r="F534" s="137" t="str">
        <f t="shared" si="24"/>
        <v/>
      </c>
      <c r="G534" s="138" t="e">
        <f>IF(A534&lt;&gt;"",IF(AND(#REF!="Padrão",$H$4=#REF!),BDI!$B$17,IF(AND(#REF!="Padrão",$H$4=#REF!),BDI!#REF!,IF(AND(#REF!="Diferenciado",$H$4=#REF!),BDI!$E$17,IF(AND(#REF!="Diferenciado",$H$4=#REF!),BDI!#REF!,IF(#REF!="ZERO",0))))),"")</f>
        <v>#REF!</v>
      </c>
      <c r="H534" s="139" t="str">
        <f t="shared" si="25"/>
        <v/>
      </c>
      <c r="I534" s="137" t="str">
        <f t="shared" si="26"/>
        <v/>
      </c>
      <c r="J534" s="117"/>
    </row>
    <row r="535" spans="1:10" hidden="1" x14ac:dyDescent="0.25">
      <c r="A535" s="114" t="s">
        <v>1870</v>
      </c>
      <c r="B535" s="115" t="s">
        <v>1871</v>
      </c>
      <c r="C535" s="116" t="s">
        <v>69</v>
      </c>
      <c r="D535" s="116">
        <v>0</v>
      </c>
      <c r="E535" s="136" t="s">
        <v>416</v>
      </c>
      <c r="F535" s="137" t="str">
        <f t="shared" si="24"/>
        <v/>
      </c>
      <c r="G535" s="138" t="e">
        <f>IF(A535&lt;&gt;"",IF(AND(#REF!="Padrão",$H$4=#REF!),BDI!$B$17,IF(AND(#REF!="Padrão",$H$4=#REF!),BDI!#REF!,IF(AND(#REF!="Diferenciado",$H$4=#REF!),BDI!$E$17,IF(AND(#REF!="Diferenciado",$H$4=#REF!),BDI!#REF!,IF(#REF!="ZERO",0))))),"")</f>
        <v>#REF!</v>
      </c>
      <c r="H535" s="139" t="str">
        <f t="shared" si="25"/>
        <v/>
      </c>
      <c r="I535" s="137" t="str">
        <f t="shared" si="26"/>
        <v/>
      </c>
      <c r="J535" s="117"/>
    </row>
    <row r="536" spans="1:10" hidden="1" x14ac:dyDescent="0.25">
      <c r="A536" s="114" t="s">
        <v>1872</v>
      </c>
      <c r="B536" s="115" t="s">
        <v>1873</v>
      </c>
      <c r="C536" s="116" t="s">
        <v>69</v>
      </c>
      <c r="D536" s="116">
        <v>0</v>
      </c>
      <c r="E536" s="136" t="s">
        <v>416</v>
      </c>
      <c r="F536" s="137" t="str">
        <f t="shared" si="24"/>
        <v/>
      </c>
      <c r="G536" s="138" t="e">
        <f>IF(A536&lt;&gt;"",IF(AND(#REF!="Padrão",$H$4=#REF!),BDI!$B$17,IF(AND(#REF!="Padrão",$H$4=#REF!),BDI!#REF!,IF(AND(#REF!="Diferenciado",$H$4=#REF!),BDI!$E$17,IF(AND(#REF!="Diferenciado",$H$4=#REF!),BDI!#REF!,IF(#REF!="ZERO",0))))),"")</f>
        <v>#REF!</v>
      </c>
      <c r="H536" s="139" t="str">
        <f t="shared" si="25"/>
        <v/>
      </c>
      <c r="I536" s="137" t="str">
        <f t="shared" si="26"/>
        <v/>
      </c>
      <c r="J536" s="117"/>
    </row>
    <row r="537" spans="1:10" hidden="1" x14ac:dyDescent="0.25">
      <c r="A537" s="114" t="s">
        <v>1874</v>
      </c>
      <c r="B537" s="115" t="s">
        <v>1875</v>
      </c>
      <c r="C537" s="116" t="s">
        <v>69</v>
      </c>
      <c r="D537" s="116">
        <v>0</v>
      </c>
      <c r="E537" s="136" t="s">
        <v>416</v>
      </c>
      <c r="F537" s="137" t="str">
        <f t="shared" si="24"/>
        <v/>
      </c>
      <c r="G537" s="138" t="e">
        <f>IF(A537&lt;&gt;"",IF(AND(#REF!="Padrão",$H$4=#REF!),BDI!$B$17,IF(AND(#REF!="Padrão",$H$4=#REF!),BDI!#REF!,IF(AND(#REF!="Diferenciado",$H$4=#REF!),BDI!$E$17,IF(AND(#REF!="Diferenciado",$H$4=#REF!),BDI!#REF!,IF(#REF!="ZERO",0))))),"")</f>
        <v>#REF!</v>
      </c>
      <c r="H537" s="139" t="str">
        <f t="shared" si="25"/>
        <v/>
      </c>
      <c r="I537" s="137" t="str">
        <f t="shared" si="26"/>
        <v/>
      </c>
      <c r="J537" s="117"/>
    </row>
    <row r="538" spans="1:10" hidden="1" x14ac:dyDescent="0.25">
      <c r="A538" s="114" t="s">
        <v>1876</v>
      </c>
      <c r="B538" s="115" t="s">
        <v>1877</v>
      </c>
      <c r="C538" s="116" t="s">
        <v>69</v>
      </c>
      <c r="D538" s="116">
        <v>0</v>
      </c>
      <c r="E538" s="136" t="s">
        <v>416</v>
      </c>
      <c r="F538" s="137" t="str">
        <f t="shared" si="24"/>
        <v/>
      </c>
      <c r="G538" s="138" t="e">
        <f>IF(A538&lt;&gt;"",IF(AND(#REF!="Padrão",$H$4=#REF!),BDI!$B$17,IF(AND(#REF!="Padrão",$H$4=#REF!),BDI!#REF!,IF(AND(#REF!="Diferenciado",$H$4=#REF!),BDI!$E$17,IF(AND(#REF!="Diferenciado",$H$4=#REF!),BDI!#REF!,IF(#REF!="ZERO",0))))),"")</f>
        <v>#REF!</v>
      </c>
      <c r="H538" s="139" t="str">
        <f t="shared" si="25"/>
        <v/>
      </c>
      <c r="I538" s="137" t="str">
        <f t="shared" si="26"/>
        <v/>
      </c>
      <c r="J538" s="117"/>
    </row>
    <row r="539" spans="1:10" hidden="1" x14ac:dyDescent="0.25">
      <c r="A539" s="114" t="s">
        <v>1878</v>
      </c>
      <c r="B539" s="115" t="s">
        <v>1879</v>
      </c>
      <c r="C539" s="116" t="s">
        <v>69</v>
      </c>
      <c r="D539" s="116">
        <v>0</v>
      </c>
      <c r="E539" s="136" t="s">
        <v>416</v>
      </c>
      <c r="F539" s="137" t="str">
        <f t="shared" si="24"/>
        <v/>
      </c>
      <c r="G539" s="138" t="e">
        <f>IF(A539&lt;&gt;"",IF(AND(#REF!="Padrão",$H$4=#REF!),BDI!$B$17,IF(AND(#REF!="Padrão",$H$4=#REF!),BDI!#REF!,IF(AND(#REF!="Diferenciado",$H$4=#REF!),BDI!$E$17,IF(AND(#REF!="Diferenciado",$H$4=#REF!),BDI!#REF!,IF(#REF!="ZERO",0))))),"")</f>
        <v>#REF!</v>
      </c>
      <c r="H539" s="139" t="str">
        <f t="shared" si="25"/>
        <v/>
      </c>
      <c r="I539" s="137" t="str">
        <f t="shared" si="26"/>
        <v/>
      </c>
      <c r="J539" s="117"/>
    </row>
    <row r="540" spans="1:10" hidden="1" x14ac:dyDescent="0.25">
      <c r="A540" s="114" t="s">
        <v>1880</v>
      </c>
      <c r="B540" s="115" t="s">
        <v>1881</v>
      </c>
      <c r="C540" s="116" t="s">
        <v>69</v>
      </c>
      <c r="D540" s="116">
        <v>0</v>
      </c>
      <c r="E540" s="136" t="s">
        <v>416</v>
      </c>
      <c r="F540" s="137" t="str">
        <f t="shared" si="24"/>
        <v/>
      </c>
      <c r="G540" s="138" t="e">
        <f>IF(A540&lt;&gt;"",IF(AND(#REF!="Padrão",$H$4=#REF!),BDI!$B$17,IF(AND(#REF!="Padrão",$H$4=#REF!),BDI!#REF!,IF(AND(#REF!="Diferenciado",$H$4=#REF!),BDI!$E$17,IF(AND(#REF!="Diferenciado",$H$4=#REF!),BDI!#REF!,IF(#REF!="ZERO",0))))),"")</f>
        <v>#REF!</v>
      </c>
      <c r="H540" s="139" t="str">
        <f t="shared" si="25"/>
        <v/>
      </c>
      <c r="I540" s="137" t="str">
        <f t="shared" si="26"/>
        <v/>
      </c>
      <c r="J540" s="117"/>
    </row>
    <row r="541" spans="1:10" hidden="1" x14ac:dyDescent="0.25">
      <c r="A541" s="114" t="s">
        <v>1882</v>
      </c>
      <c r="B541" s="115" t="s">
        <v>1883</v>
      </c>
      <c r="C541" s="116" t="s">
        <v>69</v>
      </c>
      <c r="D541" s="116">
        <v>0</v>
      </c>
      <c r="E541" s="136" t="s">
        <v>416</v>
      </c>
      <c r="F541" s="137" t="str">
        <f t="shared" si="24"/>
        <v/>
      </c>
      <c r="G541" s="138" t="e">
        <f>IF(A541&lt;&gt;"",IF(AND(#REF!="Padrão",$H$4=#REF!),BDI!$B$17,IF(AND(#REF!="Padrão",$H$4=#REF!),BDI!#REF!,IF(AND(#REF!="Diferenciado",$H$4=#REF!),BDI!$E$17,IF(AND(#REF!="Diferenciado",$H$4=#REF!),BDI!#REF!,IF(#REF!="ZERO",0))))),"")</f>
        <v>#REF!</v>
      </c>
      <c r="H541" s="139" t="str">
        <f t="shared" si="25"/>
        <v/>
      </c>
      <c r="I541" s="137" t="str">
        <f t="shared" si="26"/>
        <v/>
      </c>
      <c r="J541" s="117"/>
    </row>
    <row r="542" spans="1:10" hidden="1" x14ac:dyDescent="0.25">
      <c r="A542" s="114" t="s">
        <v>1884</v>
      </c>
      <c r="B542" s="115" t="s">
        <v>1885</v>
      </c>
      <c r="C542" s="116" t="s">
        <v>69</v>
      </c>
      <c r="D542" s="116">
        <v>0</v>
      </c>
      <c r="E542" s="136" t="s">
        <v>416</v>
      </c>
      <c r="F542" s="137" t="str">
        <f t="shared" si="24"/>
        <v/>
      </c>
      <c r="G542" s="138" t="e">
        <f>IF(A542&lt;&gt;"",IF(AND(#REF!="Padrão",$H$4=#REF!),BDI!$B$17,IF(AND(#REF!="Padrão",$H$4=#REF!),BDI!#REF!,IF(AND(#REF!="Diferenciado",$H$4=#REF!),BDI!$E$17,IF(AND(#REF!="Diferenciado",$H$4=#REF!),BDI!#REF!,IF(#REF!="ZERO",0))))),"")</f>
        <v>#REF!</v>
      </c>
      <c r="H542" s="139" t="str">
        <f t="shared" si="25"/>
        <v/>
      </c>
      <c r="I542" s="137" t="str">
        <f t="shared" si="26"/>
        <v/>
      </c>
      <c r="J542" s="117"/>
    </row>
    <row r="543" spans="1:10" hidden="1" x14ac:dyDescent="0.25">
      <c r="A543" s="114" t="s">
        <v>1886</v>
      </c>
      <c r="B543" s="115" t="s">
        <v>1887</v>
      </c>
      <c r="C543" s="116" t="s">
        <v>16</v>
      </c>
      <c r="D543" s="116">
        <v>0</v>
      </c>
      <c r="E543" s="136" t="s">
        <v>416</v>
      </c>
      <c r="F543" s="137" t="str">
        <f t="shared" si="24"/>
        <v/>
      </c>
      <c r="G543" s="138" t="e">
        <f>IF(A543&lt;&gt;"",IF(AND(#REF!="Padrão",$H$4=#REF!),BDI!$B$17,IF(AND(#REF!="Padrão",$H$4=#REF!),BDI!#REF!,IF(AND(#REF!="Diferenciado",$H$4=#REF!),BDI!$E$17,IF(AND(#REF!="Diferenciado",$H$4=#REF!),BDI!#REF!,IF(#REF!="ZERO",0))))),"")</f>
        <v>#REF!</v>
      </c>
      <c r="H543" s="139" t="str">
        <f t="shared" si="25"/>
        <v/>
      </c>
      <c r="I543" s="137" t="str">
        <f t="shared" si="26"/>
        <v/>
      </c>
      <c r="J543" s="117"/>
    </row>
    <row r="544" spans="1:10" hidden="1" x14ac:dyDescent="0.25">
      <c r="A544" s="114" t="s">
        <v>1888</v>
      </c>
      <c r="B544" s="115" t="s">
        <v>1889</v>
      </c>
      <c r="C544" s="116" t="s">
        <v>16</v>
      </c>
      <c r="D544" s="116">
        <v>0</v>
      </c>
      <c r="E544" s="136" t="s">
        <v>416</v>
      </c>
      <c r="F544" s="137" t="str">
        <f t="shared" si="24"/>
        <v/>
      </c>
      <c r="G544" s="138" t="e">
        <f>IF(A544&lt;&gt;"",IF(AND(#REF!="Padrão",$H$4=#REF!),BDI!$B$17,IF(AND(#REF!="Padrão",$H$4=#REF!),BDI!#REF!,IF(AND(#REF!="Diferenciado",$H$4=#REF!),BDI!$E$17,IF(AND(#REF!="Diferenciado",$H$4=#REF!),BDI!#REF!,IF(#REF!="ZERO",0))))),"")</f>
        <v>#REF!</v>
      </c>
      <c r="H544" s="139" t="str">
        <f t="shared" si="25"/>
        <v/>
      </c>
      <c r="I544" s="137" t="str">
        <f t="shared" si="26"/>
        <v/>
      </c>
      <c r="J544" s="117"/>
    </row>
    <row r="545" spans="1:10" hidden="1" x14ac:dyDescent="0.25">
      <c r="A545" s="114" t="s">
        <v>1890</v>
      </c>
      <c r="B545" s="115" t="s">
        <v>1891</v>
      </c>
      <c r="C545" s="116" t="s">
        <v>69</v>
      </c>
      <c r="D545" s="116">
        <v>0</v>
      </c>
      <c r="E545" s="136" t="s">
        <v>416</v>
      </c>
      <c r="F545" s="137" t="str">
        <f t="shared" si="24"/>
        <v/>
      </c>
      <c r="G545" s="138" t="e">
        <f>IF(A545&lt;&gt;"",IF(AND(#REF!="Padrão",$H$4=#REF!),BDI!$B$17,IF(AND(#REF!="Padrão",$H$4=#REF!),BDI!#REF!,IF(AND(#REF!="Diferenciado",$H$4=#REF!),BDI!$E$17,IF(AND(#REF!="Diferenciado",$H$4=#REF!),BDI!#REF!,IF(#REF!="ZERO",0))))),"")</f>
        <v>#REF!</v>
      </c>
      <c r="H545" s="139" t="str">
        <f t="shared" si="25"/>
        <v/>
      </c>
      <c r="I545" s="137" t="str">
        <f t="shared" si="26"/>
        <v/>
      </c>
      <c r="J545" s="117"/>
    </row>
    <row r="546" spans="1:10" hidden="1" x14ac:dyDescent="0.25">
      <c r="A546" s="114" t="s">
        <v>1892</v>
      </c>
      <c r="B546" s="115" t="s">
        <v>1893</v>
      </c>
      <c r="C546" s="116" t="s">
        <v>69</v>
      </c>
      <c r="D546" s="116">
        <v>0</v>
      </c>
      <c r="E546" s="136" t="s">
        <v>416</v>
      </c>
      <c r="F546" s="137" t="str">
        <f t="shared" si="24"/>
        <v/>
      </c>
      <c r="G546" s="138" t="e">
        <f>IF(A546&lt;&gt;"",IF(AND(#REF!="Padrão",$H$4=#REF!),BDI!$B$17,IF(AND(#REF!="Padrão",$H$4=#REF!),BDI!#REF!,IF(AND(#REF!="Diferenciado",$H$4=#REF!),BDI!$E$17,IF(AND(#REF!="Diferenciado",$H$4=#REF!),BDI!#REF!,IF(#REF!="ZERO",0))))),"")</f>
        <v>#REF!</v>
      </c>
      <c r="H546" s="139" t="str">
        <f t="shared" si="25"/>
        <v/>
      </c>
      <c r="I546" s="137" t="str">
        <f t="shared" si="26"/>
        <v/>
      </c>
      <c r="J546" s="117"/>
    </row>
    <row r="547" spans="1:10" hidden="1" x14ac:dyDescent="0.25">
      <c r="A547" s="114" t="s">
        <v>1894</v>
      </c>
      <c r="B547" s="115" t="s">
        <v>1895</v>
      </c>
      <c r="C547" s="116" t="s">
        <v>69</v>
      </c>
      <c r="D547" s="116">
        <v>0</v>
      </c>
      <c r="E547" s="136" t="s">
        <v>416</v>
      </c>
      <c r="F547" s="137" t="str">
        <f t="shared" si="24"/>
        <v/>
      </c>
      <c r="G547" s="138" t="e">
        <f>IF(A547&lt;&gt;"",IF(AND(#REF!="Padrão",$H$4=#REF!),BDI!$B$17,IF(AND(#REF!="Padrão",$H$4=#REF!),BDI!#REF!,IF(AND(#REF!="Diferenciado",$H$4=#REF!),BDI!$E$17,IF(AND(#REF!="Diferenciado",$H$4=#REF!),BDI!#REF!,IF(#REF!="ZERO",0))))),"")</f>
        <v>#REF!</v>
      </c>
      <c r="H547" s="139" t="str">
        <f t="shared" si="25"/>
        <v/>
      </c>
      <c r="I547" s="137" t="str">
        <f t="shared" si="26"/>
        <v/>
      </c>
      <c r="J547" s="117"/>
    </row>
    <row r="548" spans="1:10" hidden="1" x14ac:dyDescent="0.25">
      <c r="A548" s="114" t="s">
        <v>1896</v>
      </c>
      <c r="B548" s="115" t="s">
        <v>1897</v>
      </c>
      <c r="C548" s="116" t="s">
        <v>69</v>
      </c>
      <c r="D548" s="116">
        <v>0</v>
      </c>
      <c r="E548" s="136" t="s">
        <v>416</v>
      </c>
      <c r="F548" s="137" t="str">
        <f t="shared" si="24"/>
        <v/>
      </c>
      <c r="G548" s="138" t="e">
        <f>IF(A548&lt;&gt;"",IF(AND(#REF!="Padrão",$H$4=#REF!),BDI!$B$17,IF(AND(#REF!="Padrão",$H$4=#REF!),BDI!#REF!,IF(AND(#REF!="Diferenciado",$H$4=#REF!),BDI!$E$17,IF(AND(#REF!="Diferenciado",$H$4=#REF!),BDI!#REF!,IF(#REF!="ZERO",0))))),"")</f>
        <v>#REF!</v>
      </c>
      <c r="H548" s="139" t="str">
        <f t="shared" si="25"/>
        <v/>
      </c>
      <c r="I548" s="137" t="str">
        <f t="shared" si="26"/>
        <v/>
      </c>
      <c r="J548" s="117"/>
    </row>
    <row r="549" spans="1:10" hidden="1" x14ac:dyDescent="0.25">
      <c r="A549" s="114" t="s">
        <v>1898</v>
      </c>
      <c r="B549" s="115" t="s">
        <v>1899</v>
      </c>
      <c r="C549" s="116" t="s">
        <v>69</v>
      </c>
      <c r="D549" s="116">
        <v>0</v>
      </c>
      <c r="E549" s="136" t="s">
        <v>416</v>
      </c>
      <c r="F549" s="137" t="str">
        <f t="shared" si="24"/>
        <v/>
      </c>
      <c r="G549" s="138" t="e">
        <f>IF(A549&lt;&gt;"",IF(AND(#REF!="Padrão",$H$4=#REF!),BDI!$B$17,IF(AND(#REF!="Padrão",$H$4=#REF!),BDI!#REF!,IF(AND(#REF!="Diferenciado",$H$4=#REF!),BDI!$E$17,IF(AND(#REF!="Diferenciado",$H$4=#REF!),BDI!#REF!,IF(#REF!="ZERO",0))))),"")</f>
        <v>#REF!</v>
      </c>
      <c r="H549" s="139" t="str">
        <f t="shared" si="25"/>
        <v/>
      </c>
      <c r="I549" s="137" t="str">
        <f t="shared" si="26"/>
        <v/>
      </c>
      <c r="J549" s="117"/>
    </row>
    <row r="550" spans="1:10" hidden="1" x14ac:dyDescent="0.25">
      <c r="A550" s="114" t="s">
        <v>1900</v>
      </c>
      <c r="B550" s="115" t="s">
        <v>1901</v>
      </c>
      <c r="C550" s="116" t="s">
        <v>69</v>
      </c>
      <c r="D550" s="116">
        <v>0</v>
      </c>
      <c r="E550" s="136" t="s">
        <v>416</v>
      </c>
      <c r="F550" s="137" t="str">
        <f t="shared" si="24"/>
        <v/>
      </c>
      <c r="G550" s="138" t="e">
        <f>IF(A550&lt;&gt;"",IF(AND(#REF!="Padrão",$H$4=#REF!),BDI!$B$17,IF(AND(#REF!="Padrão",$H$4=#REF!),BDI!#REF!,IF(AND(#REF!="Diferenciado",$H$4=#REF!),BDI!$E$17,IF(AND(#REF!="Diferenciado",$H$4=#REF!),BDI!#REF!,IF(#REF!="ZERO",0))))),"")</f>
        <v>#REF!</v>
      </c>
      <c r="H550" s="139" t="str">
        <f t="shared" si="25"/>
        <v/>
      </c>
      <c r="I550" s="137" t="str">
        <f t="shared" si="26"/>
        <v/>
      </c>
      <c r="J550" s="117"/>
    </row>
    <row r="551" spans="1:10" hidden="1" x14ac:dyDescent="0.25">
      <c r="A551" s="114" t="s">
        <v>1902</v>
      </c>
      <c r="B551" s="115" t="s">
        <v>1903</v>
      </c>
      <c r="C551" s="116" t="s">
        <v>69</v>
      </c>
      <c r="D551" s="116">
        <v>0</v>
      </c>
      <c r="E551" s="136" t="s">
        <v>416</v>
      </c>
      <c r="F551" s="137" t="str">
        <f t="shared" si="24"/>
        <v/>
      </c>
      <c r="G551" s="138" t="e">
        <f>IF(A551&lt;&gt;"",IF(AND(#REF!="Padrão",$H$4=#REF!),BDI!$B$17,IF(AND(#REF!="Padrão",$H$4=#REF!),BDI!#REF!,IF(AND(#REF!="Diferenciado",$H$4=#REF!),BDI!$E$17,IF(AND(#REF!="Diferenciado",$H$4=#REF!),BDI!#REF!,IF(#REF!="ZERO",0))))),"")</f>
        <v>#REF!</v>
      </c>
      <c r="H551" s="139" t="str">
        <f t="shared" si="25"/>
        <v/>
      </c>
      <c r="I551" s="137" t="str">
        <f t="shared" si="26"/>
        <v/>
      </c>
      <c r="J551" s="117"/>
    </row>
    <row r="552" spans="1:10" hidden="1" x14ac:dyDescent="0.25">
      <c r="A552" s="114" t="s">
        <v>1904</v>
      </c>
      <c r="B552" s="115" t="s">
        <v>1905</v>
      </c>
      <c r="C552" s="116" t="s">
        <v>69</v>
      </c>
      <c r="D552" s="116">
        <v>0</v>
      </c>
      <c r="E552" s="136" t="s">
        <v>416</v>
      </c>
      <c r="F552" s="137" t="str">
        <f t="shared" si="24"/>
        <v/>
      </c>
      <c r="G552" s="138" t="e">
        <f>IF(A552&lt;&gt;"",IF(AND(#REF!="Padrão",$H$4=#REF!),BDI!$B$17,IF(AND(#REF!="Padrão",$H$4=#REF!),BDI!#REF!,IF(AND(#REF!="Diferenciado",$H$4=#REF!),BDI!$E$17,IF(AND(#REF!="Diferenciado",$H$4=#REF!),BDI!#REF!,IF(#REF!="ZERO",0))))),"")</f>
        <v>#REF!</v>
      </c>
      <c r="H552" s="139" t="str">
        <f t="shared" si="25"/>
        <v/>
      </c>
      <c r="I552" s="137" t="str">
        <f t="shared" si="26"/>
        <v/>
      </c>
      <c r="J552" s="117"/>
    </row>
    <row r="553" spans="1:10" hidden="1" x14ac:dyDescent="0.25">
      <c r="A553" s="114" t="s">
        <v>1906</v>
      </c>
      <c r="B553" s="115" t="s">
        <v>1907</v>
      </c>
      <c r="C553" s="116" t="s">
        <v>69</v>
      </c>
      <c r="D553" s="116">
        <v>0</v>
      </c>
      <c r="E553" s="136" t="s">
        <v>416</v>
      </c>
      <c r="F553" s="137" t="str">
        <f t="shared" si="24"/>
        <v/>
      </c>
      <c r="G553" s="138" t="e">
        <f>IF(A553&lt;&gt;"",IF(AND(#REF!="Padrão",$H$4=#REF!),BDI!$B$17,IF(AND(#REF!="Padrão",$H$4=#REF!),BDI!#REF!,IF(AND(#REF!="Diferenciado",$H$4=#REF!),BDI!$E$17,IF(AND(#REF!="Diferenciado",$H$4=#REF!),BDI!#REF!,IF(#REF!="ZERO",0))))),"")</f>
        <v>#REF!</v>
      </c>
      <c r="H553" s="139" t="str">
        <f t="shared" si="25"/>
        <v/>
      </c>
      <c r="I553" s="137" t="str">
        <f t="shared" si="26"/>
        <v/>
      </c>
      <c r="J553" s="117"/>
    </row>
    <row r="554" spans="1:10" hidden="1" x14ac:dyDescent="0.25">
      <c r="A554" s="114" t="s">
        <v>1908</v>
      </c>
      <c r="B554" s="115" t="s">
        <v>1909</v>
      </c>
      <c r="C554" s="116" t="s">
        <v>69</v>
      </c>
      <c r="D554" s="116">
        <v>0</v>
      </c>
      <c r="E554" s="136" t="s">
        <v>416</v>
      </c>
      <c r="F554" s="137" t="str">
        <f t="shared" si="24"/>
        <v/>
      </c>
      <c r="G554" s="138" t="e">
        <f>IF(A554&lt;&gt;"",IF(AND(#REF!="Padrão",$H$4=#REF!),BDI!$B$17,IF(AND(#REF!="Padrão",$H$4=#REF!),BDI!#REF!,IF(AND(#REF!="Diferenciado",$H$4=#REF!),BDI!$E$17,IF(AND(#REF!="Diferenciado",$H$4=#REF!),BDI!#REF!,IF(#REF!="ZERO",0))))),"")</f>
        <v>#REF!</v>
      </c>
      <c r="H554" s="139" t="str">
        <f t="shared" si="25"/>
        <v/>
      </c>
      <c r="I554" s="137" t="str">
        <f t="shared" si="26"/>
        <v/>
      </c>
      <c r="J554" s="117"/>
    </row>
    <row r="555" spans="1:10" hidden="1" x14ac:dyDescent="0.25">
      <c r="A555" s="114" t="s">
        <v>1910</v>
      </c>
      <c r="B555" s="115" t="s">
        <v>1911</v>
      </c>
      <c r="C555" s="116" t="s">
        <v>69</v>
      </c>
      <c r="D555" s="116">
        <v>0</v>
      </c>
      <c r="E555" s="136" t="s">
        <v>416</v>
      </c>
      <c r="F555" s="137" t="str">
        <f t="shared" si="24"/>
        <v/>
      </c>
      <c r="G555" s="138" t="e">
        <f>IF(A555&lt;&gt;"",IF(AND(#REF!="Padrão",$H$4=#REF!),BDI!$B$17,IF(AND(#REF!="Padrão",$H$4=#REF!),BDI!#REF!,IF(AND(#REF!="Diferenciado",$H$4=#REF!),BDI!$E$17,IF(AND(#REF!="Diferenciado",$H$4=#REF!),BDI!#REF!,IF(#REF!="ZERO",0))))),"")</f>
        <v>#REF!</v>
      </c>
      <c r="H555" s="139" t="str">
        <f t="shared" si="25"/>
        <v/>
      </c>
      <c r="I555" s="137" t="str">
        <f t="shared" si="26"/>
        <v/>
      </c>
      <c r="J555" s="117"/>
    </row>
    <row r="556" spans="1:10" hidden="1" x14ac:dyDescent="0.25">
      <c r="A556" s="114" t="s">
        <v>1912</v>
      </c>
      <c r="B556" s="115" t="s">
        <v>7630</v>
      </c>
      <c r="C556" s="116" t="s">
        <v>69</v>
      </c>
      <c r="D556" s="116">
        <v>0</v>
      </c>
      <c r="E556" s="136" t="s">
        <v>416</v>
      </c>
      <c r="F556" s="137" t="str">
        <f t="shared" si="24"/>
        <v/>
      </c>
      <c r="G556" s="138" t="e">
        <f>IF(A556&lt;&gt;"",IF(AND(#REF!="Padrão",$H$4=#REF!),BDI!$B$17,IF(AND(#REF!="Padrão",$H$4=#REF!),BDI!#REF!,IF(AND(#REF!="Diferenciado",$H$4=#REF!),BDI!$E$17,IF(AND(#REF!="Diferenciado",$H$4=#REF!),BDI!#REF!,IF(#REF!="ZERO",0))))),"")</f>
        <v>#REF!</v>
      </c>
      <c r="H556" s="139" t="str">
        <f t="shared" si="25"/>
        <v/>
      </c>
      <c r="I556" s="137" t="str">
        <f t="shared" si="26"/>
        <v/>
      </c>
      <c r="J556" s="117"/>
    </row>
    <row r="557" spans="1:10" hidden="1" x14ac:dyDescent="0.25">
      <c r="A557" s="114" t="s">
        <v>1913</v>
      </c>
      <c r="B557" s="115" t="s">
        <v>7631</v>
      </c>
      <c r="C557" s="116" t="s">
        <v>69</v>
      </c>
      <c r="D557" s="116">
        <v>0</v>
      </c>
      <c r="E557" s="136" t="s">
        <v>416</v>
      </c>
      <c r="F557" s="137" t="str">
        <f t="shared" si="24"/>
        <v/>
      </c>
      <c r="G557" s="138" t="e">
        <f>IF(A557&lt;&gt;"",IF(AND(#REF!="Padrão",$H$4=#REF!),BDI!$B$17,IF(AND(#REF!="Padrão",$H$4=#REF!),BDI!#REF!,IF(AND(#REF!="Diferenciado",$H$4=#REF!),BDI!$E$17,IF(AND(#REF!="Diferenciado",$H$4=#REF!),BDI!#REF!,IF(#REF!="ZERO",0))))),"")</f>
        <v>#REF!</v>
      </c>
      <c r="H557" s="139" t="str">
        <f t="shared" si="25"/>
        <v/>
      </c>
      <c r="I557" s="137" t="str">
        <f t="shared" si="26"/>
        <v/>
      </c>
      <c r="J557" s="117"/>
    </row>
    <row r="558" spans="1:10" hidden="1" x14ac:dyDescent="0.25">
      <c r="A558" s="114" t="s">
        <v>1914</v>
      </c>
      <c r="B558" s="115" t="s">
        <v>7632</v>
      </c>
      <c r="C558" s="116" t="s">
        <v>69</v>
      </c>
      <c r="D558" s="116">
        <v>0</v>
      </c>
      <c r="E558" s="136" t="s">
        <v>416</v>
      </c>
      <c r="F558" s="137" t="str">
        <f t="shared" si="24"/>
        <v/>
      </c>
      <c r="G558" s="138" t="e">
        <f>IF(A558&lt;&gt;"",IF(AND(#REF!="Padrão",$H$4=#REF!),BDI!$B$17,IF(AND(#REF!="Padrão",$H$4=#REF!),BDI!#REF!,IF(AND(#REF!="Diferenciado",$H$4=#REF!),BDI!$E$17,IF(AND(#REF!="Diferenciado",$H$4=#REF!),BDI!#REF!,IF(#REF!="ZERO",0))))),"")</f>
        <v>#REF!</v>
      </c>
      <c r="H558" s="139" t="str">
        <f t="shared" si="25"/>
        <v/>
      </c>
      <c r="I558" s="137" t="str">
        <f t="shared" si="26"/>
        <v/>
      </c>
      <c r="J558" s="117"/>
    </row>
    <row r="559" spans="1:10" hidden="1" x14ac:dyDescent="0.25">
      <c r="A559" s="114" t="s">
        <v>1915</v>
      </c>
      <c r="B559" s="115" t="s">
        <v>7633</v>
      </c>
      <c r="C559" s="116" t="s">
        <v>69</v>
      </c>
      <c r="D559" s="116">
        <v>0</v>
      </c>
      <c r="E559" s="136" t="s">
        <v>416</v>
      </c>
      <c r="F559" s="137" t="str">
        <f t="shared" si="24"/>
        <v/>
      </c>
      <c r="G559" s="138" t="e">
        <f>IF(A559&lt;&gt;"",IF(AND(#REF!="Padrão",$H$4=#REF!),BDI!$B$17,IF(AND(#REF!="Padrão",$H$4=#REF!),BDI!#REF!,IF(AND(#REF!="Diferenciado",$H$4=#REF!),BDI!$E$17,IF(AND(#REF!="Diferenciado",$H$4=#REF!),BDI!#REF!,IF(#REF!="ZERO",0))))),"")</f>
        <v>#REF!</v>
      </c>
      <c r="H559" s="139" t="str">
        <f t="shared" si="25"/>
        <v/>
      </c>
      <c r="I559" s="137" t="str">
        <f t="shared" si="26"/>
        <v/>
      </c>
      <c r="J559" s="117"/>
    </row>
    <row r="560" spans="1:10" hidden="1" x14ac:dyDescent="0.25">
      <c r="A560" s="114" t="s">
        <v>1916</v>
      </c>
      <c r="B560" s="115" t="s">
        <v>7634</v>
      </c>
      <c r="C560" s="116" t="s">
        <v>69</v>
      </c>
      <c r="D560" s="116">
        <v>0</v>
      </c>
      <c r="E560" s="136" t="s">
        <v>416</v>
      </c>
      <c r="F560" s="137" t="str">
        <f t="shared" si="24"/>
        <v/>
      </c>
      <c r="G560" s="138" t="e">
        <f>IF(A560&lt;&gt;"",IF(AND(#REF!="Padrão",$H$4=#REF!),BDI!$B$17,IF(AND(#REF!="Padrão",$H$4=#REF!),BDI!#REF!,IF(AND(#REF!="Diferenciado",$H$4=#REF!),BDI!$E$17,IF(AND(#REF!="Diferenciado",$H$4=#REF!),BDI!#REF!,IF(#REF!="ZERO",0))))),"")</f>
        <v>#REF!</v>
      </c>
      <c r="H560" s="139" t="str">
        <f t="shared" si="25"/>
        <v/>
      </c>
      <c r="I560" s="137" t="str">
        <f t="shared" si="26"/>
        <v/>
      </c>
      <c r="J560" s="117"/>
    </row>
    <row r="561" spans="1:10" ht="25.5" hidden="1" x14ac:dyDescent="0.25">
      <c r="A561" s="114" t="s">
        <v>1917</v>
      </c>
      <c r="B561" s="115" t="s">
        <v>7635</v>
      </c>
      <c r="C561" s="116" t="s">
        <v>1918</v>
      </c>
      <c r="D561" s="116">
        <v>0</v>
      </c>
      <c r="E561" s="136" t="s">
        <v>416</v>
      </c>
      <c r="F561" s="137" t="str">
        <f t="shared" si="24"/>
        <v/>
      </c>
      <c r="G561" s="138" t="e">
        <f>IF(A561&lt;&gt;"",IF(AND(#REF!="Padrão",$H$4=#REF!),BDI!$B$17,IF(AND(#REF!="Padrão",$H$4=#REF!),BDI!#REF!,IF(AND(#REF!="Diferenciado",$H$4=#REF!),BDI!$E$17,IF(AND(#REF!="Diferenciado",$H$4=#REF!),BDI!#REF!,IF(#REF!="ZERO",0))))),"")</f>
        <v>#REF!</v>
      </c>
      <c r="H561" s="139" t="str">
        <f t="shared" si="25"/>
        <v/>
      </c>
      <c r="I561" s="137" t="str">
        <f t="shared" si="26"/>
        <v/>
      </c>
      <c r="J561" s="117"/>
    </row>
    <row r="562" spans="1:10" hidden="1" x14ac:dyDescent="0.25">
      <c r="A562" s="114" t="s">
        <v>1919</v>
      </c>
      <c r="B562" s="115" t="s">
        <v>1920</v>
      </c>
      <c r="C562" s="116" t="s">
        <v>70</v>
      </c>
      <c r="D562" s="116">
        <v>0</v>
      </c>
      <c r="E562" s="136">
        <f ca="1">OFFSET(INDEX(Composições!A:J,MATCH(Orçamentária!A562,Composições!A:A,0),8),2,0)</f>
        <v>5.7285000000000004</v>
      </c>
      <c r="F562" s="137">
        <f t="shared" ca="1" si="24"/>
        <v>0</v>
      </c>
      <c r="G562" s="138" t="e">
        <f>IF(A562&lt;&gt;"",IF(AND(#REF!="Padrão",$H$4=#REF!),BDI!$B$17,IF(AND(#REF!="Padrão",$H$4=#REF!),BDI!#REF!,IF(AND(#REF!="Diferenciado",$H$4=#REF!),BDI!$E$17,IF(AND(#REF!="Diferenciado",$H$4=#REF!),BDI!#REF!,IF(#REF!="ZERO",0))))),"")</f>
        <v>#REF!</v>
      </c>
      <c r="H562" s="139" t="e">
        <f t="shared" ca="1" si="25"/>
        <v>#REF!</v>
      </c>
      <c r="I562" s="137" t="e">
        <f t="shared" ca="1" si="26"/>
        <v>#REF!</v>
      </c>
      <c r="J562" s="117"/>
    </row>
    <row r="563" spans="1:10" hidden="1" x14ac:dyDescent="0.25">
      <c r="A563" s="114" t="s">
        <v>1921</v>
      </c>
      <c r="B563" s="115" t="s">
        <v>1922</v>
      </c>
      <c r="C563" s="116" t="s">
        <v>70</v>
      </c>
      <c r="D563" s="116">
        <v>0</v>
      </c>
      <c r="E563" s="136" t="s">
        <v>416</v>
      </c>
      <c r="F563" s="137" t="str">
        <f t="shared" si="24"/>
        <v/>
      </c>
      <c r="G563" s="138" t="e">
        <f>IF(A563&lt;&gt;"",IF(AND(#REF!="Padrão",$H$4=#REF!),BDI!$B$17,IF(AND(#REF!="Padrão",$H$4=#REF!),BDI!#REF!,IF(AND(#REF!="Diferenciado",$H$4=#REF!),BDI!$E$17,IF(AND(#REF!="Diferenciado",$H$4=#REF!),BDI!#REF!,IF(#REF!="ZERO",0))))),"")</f>
        <v>#REF!</v>
      </c>
      <c r="H563" s="139" t="str">
        <f t="shared" si="25"/>
        <v/>
      </c>
      <c r="I563" s="137" t="str">
        <f t="shared" si="26"/>
        <v/>
      </c>
      <c r="J563" s="117"/>
    </row>
    <row r="564" spans="1:10" hidden="1" x14ac:dyDescent="0.25">
      <c r="A564" s="114" t="s">
        <v>1923</v>
      </c>
      <c r="B564" s="115" t="s">
        <v>7636</v>
      </c>
      <c r="C564" s="116" t="s">
        <v>28</v>
      </c>
      <c r="D564" s="116">
        <v>0</v>
      </c>
      <c r="E564" s="136">
        <f ca="1">OFFSET(INDEX(Composições!A:J,MATCH(Orçamentária!A564,Composições!A:A,0),8),2,0)</f>
        <v>27.663999999999998</v>
      </c>
      <c r="F564" s="137">
        <f t="shared" ca="1" si="24"/>
        <v>0</v>
      </c>
      <c r="G564" s="138" t="e">
        <f>IF(A564&lt;&gt;"",IF(AND(#REF!="Padrão",$H$4=#REF!),BDI!$B$17,IF(AND(#REF!="Padrão",$H$4=#REF!),BDI!#REF!,IF(AND(#REF!="Diferenciado",$H$4=#REF!),BDI!$E$17,IF(AND(#REF!="Diferenciado",$H$4=#REF!),BDI!#REF!,IF(#REF!="ZERO",0))))),"")</f>
        <v>#REF!</v>
      </c>
      <c r="H564" s="139" t="e">
        <f t="shared" ca="1" si="25"/>
        <v>#REF!</v>
      </c>
      <c r="I564" s="137" t="e">
        <f t="shared" ca="1" si="26"/>
        <v>#REF!</v>
      </c>
      <c r="J564" s="117"/>
    </row>
    <row r="565" spans="1:10" hidden="1" x14ac:dyDescent="0.25">
      <c r="A565" s="114" t="s">
        <v>1924</v>
      </c>
      <c r="B565" s="115" t="s">
        <v>1925</v>
      </c>
      <c r="C565" s="116" t="s">
        <v>28</v>
      </c>
      <c r="D565" s="116">
        <v>0</v>
      </c>
      <c r="E565" s="136" t="s">
        <v>416</v>
      </c>
      <c r="F565" s="137" t="str">
        <f t="shared" si="24"/>
        <v/>
      </c>
      <c r="G565" s="138" t="e">
        <f>IF(A565&lt;&gt;"",IF(AND(#REF!="Padrão",$H$4=#REF!),BDI!$B$17,IF(AND(#REF!="Padrão",$H$4=#REF!),BDI!#REF!,IF(AND(#REF!="Diferenciado",$H$4=#REF!),BDI!$E$17,IF(AND(#REF!="Diferenciado",$H$4=#REF!),BDI!#REF!,IF(#REF!="ZERO",0))))),"")</f>
        <v>#REF!</v>
      </c>
      <c r="H565" s="139" t="str">
        <f t="shared" si="25"/>
        <v/>
      </c>
      <c r="I565" s="137" t="str">
        <f t="shared" si="26"/>
        <v/>
      </c>
      <c r="J565" s="117"/>
    </row>
    <row r="566" spans="1:10" hidden="1" x14ac:dyDescent="0.25">
      <c r="A566" s="114" t="s">
        <v>1926</v>
      </c>
      <c r="B566" s="115" t="s">
        <v>1927</v>
      </c>
      <c r="C566" s="116" t="s">
        <v>70</v>
      </c>
      <c r="D566" s="116">
        <v>0</v>
      </c>
      <c r="E566" s="136">
        <f ca="1">OFFSET(INDEX(Composições!A:J,MATCH(Orçamentária!A566,Composições!A:A,0),8),2,0)</f>
        <v>40.802500000000002</v>
      </c>
      <c r="F566" s="137">
        <f t="shared" ca="1" si="24"/>
        <v>0</v>
      </c>
      <c r="G566" s="138" t="e">
        <f>IF(A566&lt;&gt;"",IF(AND(#REF!="Padrão",$H$4=#REF!),BDI!$B$17,IF(AND(#REF!="Padrão",$H$4=#REF!),BDI!#REF!,IF(AND(#REF!="Diferenciado",$H$4=#REF!),BDI!$E$17,IF(AND(#REF!="Diferenciado",$H$4=#REF!),BDI!#REF!,IF(#REF!="ZERO",0))))),"")</f>
        <v>#REF!</v>
      </c>
      <c r="H566" s="139" t="e">
        <f t="shared" ca="1" si="25"/>
        <v>#REF!</v>
      </c>
      <c r="I566" s="137" t="e">
        <f t="shared" ca="1" si="26"/>
        <v>#REF!</v>
      </c>
      <c r="J566" s="117"/>
    </row>
    <row r="567" spans="1:10" hidden="1" x14ac:dyDescent="0.25">
      <c r="A567" s="114" t="s">
        <v>1928</v>
      </c>
      <c r="B567" s="115" t="s">
        <v>1929</v>
      </c>
      <c r="C567" s="116" t="s">
        <v>16</v>
      </c>
      <c r="D567" s="116">
        <v>0</v>
      </c>
      <c r="E567" s="136">
        <f ca="1">OFFSET(INDEX(Composições!A:J,MATCH(Orçamentária!A567,Composições!A:A,0),8),2,0)</f>
        <v>15.5306</v>
      </c>
      <c r="F567" s="137">
        <f t="shared" ca="1" si="24"/>
        <v>0</v>
      </c>
      <c r="G567" s="138" t="e">
        <f>IF(A567&lt;&gt;"",IF(AND(#REF!="Padrão",$H$4=#REF!),BDI!$B$17,IF(AND(#REF!="Padrão",$H$4=#REF!),BDI!#REF!,IF(AND(#REF!="Diferenciado",$H$4=#REF!),BDI!$E$17,IF(AND(#REF!="Diferenciado",$H$4=#REF!),BDI!#REF!,IF(#REF!="ZERO",0))))),"")</f>
        <v>#REF!</v>
      </c>
      <c r="H567" s="139" t="e">
        <f t="shared" ca="1" si="25"/>
        <v>#REF!</v>
      </c>
      <c r="I567" s="137" t="e">
        <f t="shared" ca="1" si="26"/>
        <v>#REF!</v>
      </c>
      <c r="J567" s="117"/>
    </row>
    <row r="568" spans="1:10" hidden="1" x14ac:dyDescent="0.25">
      <c r="A568" s="114" t="s">
        <v>622</v>
      </c>
      <c r="B568" s="115" t="s">
        <v>1930</v>
      </c>
      <c r="C568" s="116" t="s">
        <v>1931</v>
      </c>
      <c r="D568" s="116">
        <v>0</v>
      </c>
      <c r="E568" s="136">
        <f ca="1">OFFSET(INDEX(Composições!A:J,MATCH(Orçamentária!A568,Composições!A:A,0),8),2,0)</f>
        <v>24.32</v>
      </c>
      <c r="F568" s="137">
        <f t="shared" ca="1" si="24"/>
        <v>0</v>
      </c>
      <c r="G568" s="138" t="e">
        <f>IF(A568&lt;&gt;"",IF(AND(#REF!="Padrão",$H$4=#REF!),BDI!$B$17,IF(AND(#REF!="Padrão",$H$4=#REF!),BDI!#REF!,IF(AND(#REF!="Diferenciado",$H$4=#REF!),BDI!$E$17,IF(AND(#REF!="Diferenciado",$H$4=#REF!),BDI!#REF!,IF(#REF!="ZERO",0))))),"")</f>
        <v>#REF!</v>
      </c>
      <c r="H568" s="139" t="e">
        <f t="shared" ca="1" si="25"/>
        <v>#REF!</v>
      </c>
      <c r="I568" s="137" t="e">
        <f t="shared" ca="1" si="26"/>
        <v>#REF!</v>
      </c>
      <c r="J568" s="117"/>
    </row>
    <row r="569" spans="1:10" hidden="1" x14ac:dyDescent="0.25">
      <c r="A569" s="114" t="s">
        <v>624</v>
      </c>
      <c r="B569" s="115" t="s">
        <v>1932</v>
      </c>
      <c r="C569" s="116" t="s">
        <v>1931</v>
      </c>
      <c r="D569" s="116">
        <v>0</v>
      </c>
      <c r="E569" s="136">
        <f ca="1">OFFSET(INDEX(Composições!A:J,MATCH(Orçamentária!A569,Composições!A:A,0),8),2,0)</f>
        <v>25.459999999999997</v>
      </c>
      <c r="F569" s="137">
        <f t="shared" ca="1" si="24"/>
        <v>0</v>
      </c>
      <c r="G569" s="138" t="e">
        <f>IF(A569&lt;&gt;"",IF(AND(#REF!="Padrão",$H$4=#REF!),BDI!$B$17,IF(AND(#REF!="Padrão",$H$4=#REF!),BDI!#REF!,IF(AND(#REF!="Diferenciado",$H$4=#REF!),BDI!$E$17,IF(AND(#REF!="Diferenciado",$H$4=#REF!),BDI!#REF!,IF(#REF!="ZERO",0))))),"")</f>
        <v>#REF!</v>
      </c>
      <c r="H569" s="139" t="e">
        <f t="shared" ca="1" si="25"/>
        <v>#REF!</v>
      </c>
      <c r="I569" s="137" t="e">
        <f t="shared" ca="1" si="26"/>
        <v>#REF!</v>
      </c>
      <c r="J569" s="117"/>
    </row>
    <row r="570" spans="1:10" hidden="1" x14ac:dyDescent="0.25">
      <c r="A570" s="114" t="s">
        <v>625</v>
      </c>
      <c r="B570" s="115" t="s">
        <v>1933</v>
      </c>
      <c r="C570" s="116" t="s">
        <v>1934</v>
      </c>
      <c r="D570" s="116">
        <v>0</v>
      </c>
      <c r="E570" s="136">
        <f ca="1">OFFSET(INDEX(Composições!A:J,MATCH(Orçamentária!A570,Composições!A:A,0),8),2,0)</f>
        <v>31.35</v>
      </c>
      <c r="F570" s="137">
        <f t="shared" ca="1" si="24"/>
        <v>0</v>
      </c>
      <c r="G570" s="138" t="e">
        <f>IF(A570&lt;&gt;"",IF(AND(#REF!="Padrão",$H$4=#REF!),BDI!$B$17,IF(AND(#REF!="Padrão",$H$4=#REF!),BDI!#REF!,IF(AND(#REF!="Diferenciado",$H$4=#REF!),BDI!$E$17,IF(AND(#REF!="Diferenciado",$H$4=#REF!),BDI!#REF!,IF(#REF!="ZERO",0))))),"")</f>
        <v>#REF!</v>
      </c>
      <c r="H570" s="139" t="e">
        <f t="shared" ca="1" si="25"/>
        <v>#REF!</v>
      </c>
      <c r="I570" s="137" t="e">
        <f t="shared" ca="1" si="26"/>
        <v>#REF!</v>
      </c>
      <c r="J570" s="117"/>
    </row>
    <row r="571" spans="1:10" hidden="1" x14ac:dyDescent="0.25">
      <c r="A571" s="114" t="s">
        <v>626</v>
      </c>
      <c r="B571" s="115" t="s">
        <v>7637</v>
      </c>
      <c r="C571" s="116" t="s">
        <v>1935</v>
      </c>
      <c r="D571" s="116">
        <v>0</v>
      </c>
      <c r="E571" s="136">
        <f ca="1">OFFSET(INDEX(Composições!A:J,MATCH(Orçamentária!A571,Composições!A:A,0),8),2,0)</f>
        <v>36.1</v>
      </c>
      <c r="F571" s="137">
        <f t="shared" ca="1" si="24"/>
        <v>0</v>
      </c>
      <c r="G571" s="138" t="e">
        <f>IF(A571&lt;&gt;"",IF(AND(#REF!="Padrão",$H$4=#REF!),BDI!$B$17,IF(AND(#REF!="Padrão",$H$4=#REF!),BDI!#REF!,IF(AND(#REF!="Diferenciado",$H$4=#REF!),BDI!$E$17,IF(AND(#REF!="Diferenciado",$H$4=#REF!),BDI!#REF!,IF(#REF!="ZERO",0))))),"")</f>
        <v>#REF!</v>
      </c>
      <c r="H571" s="139" t="e">
        <f t="shared" ca="1" si="25"/>
        <v>#REF!</v>
      </c>
      <c r="I571" s="137" t="e">
        <f t="shared" ca="1" si="26"/>
        <v>#REF!</v>
      </c>
      <c r="J571" s="117"/>
    </row>
    <row r="572" spans="1:10" hidden="1" x14ac:dyDescent="0.25">
      <c r="A572" s="114" t="s">
        <v>627</v>
      </c>
      <c r="B572" s="115" t="s">
        <v>1936</v>
      </c>
      <c r="C572" s="116" t="s">
        <v>1931</v>
      </c>
      <c r="D572" s="116">
        <v>0</v>
      </c>
      <c r="E572" s="136">
        <f ca="1">OFFSET(INDEX(Composições!A:J,MATCH(Orçamentária!A572,Composições!A:A,0),8),2,0)</f>
        <v>27.740000000000002</v>
      </c>
      <c r="F572" s="137">
        <f t="shared" ca="1" si="24"/>
        <v>0</v>
      </c>
      <c r="G572" s="138" t="e">
        <f>IF(A572&lt;&gt;"",IF(AND(#REF!="Padrão",$H$4=#REF!),BDI!$B$17,IF(AND(#REF!="Padrão",$H$4=#REF!),BDI!#REF!,IF(AND(#REF!="Diferenciado",$H$4=#REF!),BDI!$E$17,IF(AND(#REF!="Diferenciado",$H$4=#REF!),BDI!#REF!,IF(#REF!="ZERO",0))))),"")</f>
        <v>#REF!</v>
      </c>
      <c r="H572" s="139" t="e">
        <f t="shared" ca="1" si="25"/>
        <v>#REF!</v>
      </c>
      <c r="I572" s="137" t="e">
        <f t="shared" ca="1" si="26"/>
        <v>#REF!</v>
      </c>
      <c r="J572" s="117"/>
    </row>
    <row r="573" spans="1:10" hidden="1" x14ac:dyDescent="0.25">
      <c r="A573" s="114" t="s">
        <v>628</v>
      </c>
      <c r="B573" s="115" t="s">
        <v>1937</v>
      </c>
      <c r="C573" s="116" t="s">
        <v>80</v>
      </c>
      <c r="D573" s="116">
        <v>0</v>
      </c>
      <c r="E573" s="136">
        <f ca="1">OFFSET(INDEX(Composições!A:J,MATCH(Orçamentária!A573,Composições!A:A,0),8),2,0)</f>
        <v>245.80475179999999</v>
      </c>
      <c r="F573" s="137">
        <f t="shared" ca="1" si="24"/>
        <v>0</v>
      </c>
      <c r="G573" s="138" t="e">
        <f>IF(A573&lt;&gt;"",IF(AND(#REF!="Padrão",$H$4=#REF!),BDI!$B$17,IF(AND(#REF!="Padrão",$H$4=#REF!),BDI!#REF!,IF(AND(#REF!="Diferenciado",$H$4=#REF!),BDI!$E$17,IF(AND(#REF!="Diferenciado",$H$4=#REF!),BDI!#REF!,IF(#REF!="ZERO",0))))),"")</f>
        <v>#REF!</v>
      </c>
      <c r="H573" s="139" t="e">
        <f t="shared" ca="1" si="25"/>
        <v>#REF!</v>
      </c>
      <c r="I573" s="137" t="e">
        <f t="shared" ca="1" si="26"/>
        <v>#REF!</v>
      </c>
      <c r="J573" s="117"/>
    </row>
    <row r="574" spans="1:10" hidden="1" x14ac:dyDescent="0.25">
      <c r="A574" s="114" t="s">
        <v>632</v>
      </c>
      <c r="B574" s="115" t="s">
        <v>1938</v>
      </c>
      <c r="C574" s="116" t="s">
        <v>80</v>
      </c>
      <c r="D574" s="116">
        <v>0</v>
      </c>
      <c r="E574" s="136">
        <f ca="1">OFFSET(INDEX(Composições!A:J,MATCH(Orçamentária!A574,Composições!A:A,0),8),2,0)</f>
        <v>247.19175179999999</v>
      </c>
      <c r="F574" s="137">
        <f t="shared" ca="1" si="24"/>
        <v>0</v>
      </c>
      <c r="G574" s="138" t="e">
        <f>IF(A574&lt;&gt;"",IF(AND(#REF!="Padrão",$H$4=#REF!),BDI!$B$17,IF(AND(#REF!="Padrão",$H$4=#REF!),BDI!#REF!,IF(AND(#REF!="Diferenciado",$H$4=#REF!),BDI!$E$17,IF(AND(#REF!="Diferenciado",$H$4=#REF!),BDI!#REF!,IF(#REF!="ZERO",0))))),"")</f>
        <v>#REF!</v>
      </c>
      <c r="H574" s="139" t="e">
        <f t="shared" ca="1" si="25"/>
        <v>#REF!</v>
      </c>
      <c r="I574" s="137" t="e">
        <f t="shared" ca="1" si="26"/>
        <v>#REF!</v>
      </c>
      <c r="J574" s="117"/>
    </row>
    <row r="575" spans="1:10" hidden="1" x14ac:dyDescent="0.25">
      <c r="A575" s="114" t="s">
        <v>635</v>
      </c>
      <c r="B575" s="115" t="s">
        <v>1939</v>
      </c>
      <c r="C575" s="116" t="s">
        <v>80</v>
      </c>
      <c r="D575" s="116">
        <v>0</v>
      </c>
      <c r="E575" s="136">
        <f ca="1">OFFSET(INDEX(Composições!A:J,MATCH(Orçamentária!A575,Composições!A:A,0),8),2,0)</f>
        <v>219.92675180000001</v>
      </c>
      <c r="F575" s="137">
        <f t="shared" ca="1" si="24"/>
        <v>0</v>
      </c>
      <c r="G575" s="138" t="e">
        <f>IF(A575&lt;&gt;"",IF(AND(#REF!="Padrão",$H$4=#REF!),BDI!$B$17,IF(AND(#REF!="Padrão",$H$4=#REF!),BDI!#REF!,IF(AND(#REF!="Diferenciado",$H$4=#REF!),BDI!$E$17,IF(AND(#REF!="Diferenciado",$H$4=#REF!),BDI!#REF!,IF(#REF!="ZERO",0))))),"")</f>
        <v>#REF!</v>
      </c>
      <c r="H575" s="139" t="e">
        <f t="shared" ca="1" si="25"/>
        <v>#REF!</v>
      </c>
      <c r="I575" s="137" t="e">
        <f t="shared" ca="1" si="26"/>
        <v>#REF!</v>
      </c>
      <c r="J575" s="117"/>
    </row>
    <row r="576" spans="1:10" hidden="1" x14ac:dyDescent="0.25">
      <c r="A576" s="114" t="s">
        <v>636</v>
      </c>
      <c r="B576" s="115" t="s">
        <v>1940</v>
      </c>
      <c r="C576" s="116" t="s">
        <v>16</v>
      </c>
      <c r="D576" s="116">
        <v>0</v>
      </c>
      <c r="E576" s="136">
        <f ca="1">OFFSET(INDEX(Composições!A:J,MATCH(Orçamentária!A576,Composições!A:A,0),8),2,0)</f>
        <v>0.66499999999999992</v>
      </c>
      <c r="F576" s="137">
        <f t="shared" ca="1" si="24"/>
        <v>0</v>
      </c>
      <c r="G576" s="138" t="e">
        <f>IF(A576&lt;&gt;"",IF(AND(#REF!="Padrão",$H$4=#REF!),BDI!$B$17,IF(AND(#REF!="Padrão",$H$4=#REF!),BDI!#REF!,IF(AND(#REF!="Diferenciado",$H$4=#REF!),BDI!$E$17,IF(AND(#REF!="Diferenciado",$H$4=#REF!),BDI!#REF!,IF(#REF!="ZERO",0))))),"")</f>
        <v>#REF!</v>
      </c>
      <c r="H576" s="139" t="e">
        <f t="shared" ca="1" si="25"/>
        <v>#REF!</v>
      </c>
      <c r="I576" s="137" t="e">
        <f t="shared" ca="1" si="26"/>
        <v>#REF!</v>
      </c>
      <c r="J576" s="117"/>
    </row>
    <row r="577" spans="1:10" hidden="1" x14ac:dyDescent="0.25">
      <c r="A577" s="114" t="s">
        <v>637</v>
      </c>
      <c r="B577" s="115" t="s">
        <v>1941</v>
      </c>
      <c r="C577" s="116" t="s">
        <v>16</v>
      </c>
      <c r="D577" s="116">
        <v>0</v>
      </c>
      <c r="E577" s="136">
        <f ca="1">OFFSET(INDEX(Composições!A:J,MATCH(Orçamentária!A577,Composições!A:A,0),8),2,0)</f>
        <v>0.56999999999999995</v>
      </c>
      <c r="F577" s="137">
        <f t="shared" ca="1" si="24"/>
        <v>0</v>
      </c>
      <c r="G577" s="138" t="e">
        <f>IF(A577&lt;&gt;"",IF(AND(#REF!="Padrão",$H$4=#REF!),BDI!$B$17,IF(AND(#REF!="Padrão",$H$4=#REF!),BDI!#REF!,IF(AND(#REF!="Diferenciado",$H$4=#REF!),BDI!$E$17,IF(AND(#REF!="Diferenciado",$H$4=#REF!),BDI!#REF!,IF(#REF!="ZERO",0))))),"")</f>
        <v>#REF!</v>
      </c>
      <c r="H577" s="139" t="e">
        <f t="shared" ca="1" si="25"/>
        <v>#REF!</v>
      </c>
      <c r="I577" s="137" t="e">
        <f t="shared" ca="1" si="26"/>
        <v>#REF!</v>
      </c>
      <c r="J577" s="117"/>
    </row>
    <row r="578" spans="1:10" hidden="1" x14ac:dyDescent="0.25">
      <c r="A578" s="114" t="s">
        <v>638</v>
      </c>
      <c r="B578" s="115" t="s">
        <v>1942</v>
      </c>
      <c r="C578" s="116" t="s">
        <v>16</v>
      </c>
      <c r="D578" s="116">
        <v>0</v>
      </c>
      <c r="E578" s="136">
        <f ca="1">OFFSET(INDEX(Composições!A:J,MATCH(Orçamentária!A578,Composições!A:A,0),8),2,0)</f>
        <v>4.5504999999999995</v>
      </c>
      <c r="F578" s="137">
        <f t="shared" ca="1" si="24"/>
        <v>0</v>
      </c>
      <c r="G578" s="138" t="e">
        <f>IF(A578&lt;&gt;"",IF(AND(#REF!="Padrão",$H$4=#REF!),BDI!$B$17,IF(AND(#REF!="Padrão",$H$4=#REF!),BDI!#REF!,IF(AND(#REF!="Diferenciado",$H$4=#REF!),BDI!$E$17,IF(AND(#REF!="Diferenciado",$H$4=#REF!),BDI!#REF!,IF(#REF!="ZERO",0))))),"")</f>
        <v>#REF!</v>
      </c>
      <c r="H578" s="139" t="e">
        <f t="shared" ca="1" si="25"/>
        <v>#REF!</v>
      </c>
      <c r="I578" s="137" t="e">
        <f t="shared" ca="1" si="26"/>
        <v>#REF!</v>
      </c>
      <c r="J578" s="117"/>
    </row>
    <row r="579" spans="1:10" hidden="1" x14ac:dyDescent="0.25">
      <c r="A579" s="114" t="s">
        <v>639</v>
      </c>
      <c r="B579" s="115" t="s">
        <v>1943</v>
      </c>
      <c r="C579" s="116" t="s">
        <v>16</v>
      </c>
      <c r="D579" s="116">
        <v>0</v>
      </c>
      <c r="E579" s="136">
        <f ca="1">OFFSET(INDEX(Composições!A:J,MATCH(Orçamentária!A579,Composições!A:A,0),8),2,0)</f>
        <v>0</v>
      </c>
      <c r="F579" s="137">
        <f t="shared" ca="1" si="24"/>
        <v>0</v>
      </c>
      <c r="G579" s="138" t="e">
        <f>IF(A579&lt;&gt;"",IF(AND(#REF!="Padrão",$H$4=#REF!),BDI!$B$17,IF(AND(#REF!="Padrão",$H$4=#REF!),BDI!#REF!,IF(AND(#REF!="Diferenciado",$H$4=#REF!),BDI!$E$17,IF(AND(#REF!="Diferenciado",$H$4=#REF!),BDI!#REF!,IF(#REF!="ZERO",0))))),"")</f>
        <v>#REF!</v>
      </c>
      <c r="H579" s="139" t="e">
        <f t="shared" ca="1" si="25"/>
        <v>#REF!</v>
      </c>
      <c r="I579" s="137" t="e">
        <f t="shared" ca="1" si="26"/>
        <v>#REF!</v>
      </c>
      <c r="J579" s="117"/>
    </row>
    <row r="580" spans="1:10" hidden="1" x14ac:dyDescent="0.25">
      <c r="A580" s="114" t="s">
        <v>640</v>
      </c>
      <c r="B580" s="115" t="s">
        <v>7638</v>
      </c>
      <c r="C580" s="116" t="s">
        <v>69</v>
      </c>
      <c r="D580" s="116">
        <v>0</v>
      </c>
      <c r="E580" s="136">
        <f ca="1">OFFSET(INDEX(Composições!A:J,MATCH(Orçamentária!A580,Composições!A:A,0),8),2,0)</f>
        <v>1.3737570000000001</v>
      </c>
      <c r="F580" s="137">
        <f t="shared" ca="1" si="24"/>
        <v>0</v>
      </c>
      <c r="G580" s="138" t="e">
        <f>IF(A580&lt;&gt;"",IF(AND(#REF!="Padrão",$H$4=#REF!),BDI!$B$17,IF(AND(#REF!="Padrão",$H$4=#REF!),BDI!#REF!,IF(AND(#REF!="Diferenciado",$H$4=#REF!),BDI!$E$17,IF(AND(#REF!="Diferenciado",$H$4=#REF!),BDI!#REF!,IF(#REF!="ZERO",0))))),"")</f>
        <v>#REF!</v>
      </c>
      <c r="H580" s="139" t="e">
        <f t="shared" ca="1" si="25"/>
        <v>#REF!</v>
      </c>
      <c r="I580" s="137" t="e">
        <f t="shared" ca="1" si="26"/>
        <v>#REF!</v>
      </c>
      <c r="J580" s="117"/>
    </row>
    <row r="581" spans="1:10" hidden="1" x14ac:dyDescent="0.25">
      <c r="A581" s="114" t="s">
        <v>641</v>
      </c>
      <c r="B581" s="115" t="s">
        <v>7639</v>
      </c>
      <c r="C581" s="116" t="s">
        <v>69</v>
      </c>
      <c r="D581" s="116">
        <v>0</v>
      </c>
      <c r="E581" s="136">
        <f ca="1">OFFSET(INDEX(Composições!A:J,MATCH(Orçamentária!A581,Composições!A:A,0),8),2,0)</f>
        <v>2.4368924999999999</v>
      </c>
      <c r="F581" s="137">
        <f t="shared" ca="1" si="24"/>
        <v>0</v>
      </c>
      <c r="G581" s="138" t="e">
        <f>IF(A581&lt;&gt;"",IF(AND(#REF!="Padrão",$H$4=#REF!),BDI!$B$17,IF(AND(#REF!="Padrão",$H$4=#REF!),BDI!#REF!,IF(AND(#REF!="Diferenciado",$H$4=#REF!),BDI!$E$17,IF(AND(#REF!="Diferenciado",$H$4=#REF!),BDI!#REF!,IF(#REF!="ZERO",0))))),"")</f>
        <v>#REF!</v>
      </c>
      <c r="H581" s="139" t="e">
        <f t="shared" ca="1" si="25"/>
        <v>#REF!</v>
      </c>
      <c r="I581" s="137" t="e">
        <f t="shared" ca="1" si="26"/>
        <v>#REF!</v>
      </c>
      <c r="J581" s="117"/>
    </row>
    <row r="582" spans="1:10" hidden="1" x14ac:dyDescent="0.25">
      <c r="A582" s="114" t="s">
        <v>643</v>
      </c>
      <c r="B582" s="115" t="s">
        <v>7640</v>
      </c>
      <c r="C582" s="116" t="s">
        <v>69</v>
      </c>
      <c r="D582" s="116">
        <v>0</v>
      </c>
      <c r="E582" s="136">
        <f ca="1">OFFSET(INDEX(Composições!A:J,MATCH(Orçamentária!A582,Composições!A:A,0),8),2,0)</f>
        <v>3.9513824999999998</v>
      </c>
      <c r="F582" s="137">
        <f t="shared" ca="1" si="24"/>
        <v>0</v>
      </c>
      <c r="G582" s="138" t="e">
        <f>IF(A582&lt;&gt;"",IF(AND(#REF!="Padrão",$H$4=#REF!),BDI!$B$17,IF(AND(#REF!="Padrão",$H$4=#REF!),BDI!#REF!,IF(AND(#REF!="Diferenciado",$H$4=#REF!),BDI!$E$17,IF(AND(#REF!="Diferenciado",$H$4=#REF!),BDI!#REF!,IF(#REF!="ZERO",0))))),"")</f>
        <v>#REF!</v>
      </c>
      <c r="H582" s="139" t="e">
        <f t="shared" ca="1" si="25"/>
        <v>#REF!</v>
      </c>
      <c r="I582" s="137" t="e">
        <f t="shared" ca="1" si="26"/>
        <v>#REF!</v>
      </c>
      <c r="J582" s="117"/>
    </row>
    <row r="583" spans="1:10" hidden="1" x14ac:dyDescent="0.25">
      <c r="A583" s="114" t="s">
        <v>645</v>
      </c>
      <c r="B583" s="115" t="s">
        <v>7641</v>
      </c>
      <c r="C583" s="116" t="s">
        <v>69</v>
      </c>
      <c r="D583" s="116">
        <v>0</v>
      </c>
      <c r="E583" s="136">
        <f ca="1">OFFSET(INDEX(Composições!A:J,MATCH(Orçamentária!A583,Composições!A:A,0),8),2,0)</f>
        <v>5.8204694999999989</v>
      </c>
      <c r="F583" s="137">
        <f t="shared" ref="F583:F646" ca="1" si="27">IF(ISNUMBER(E583),D583*E583,"")</f>
        <v>0</v>
      </c>
      <c r="G583" s="138" t="e">
        <f>IF(A583&lt;&gt;"",IF(AND(#REF!="Padrão",$H$4=#REF!),BDI!$B$17,IF(AND(#REF!="Padrão",$H$4=#REF!),BDI!#REF!,IF(AND(#REF!="Diferenciado",$H$4=#REF!),BDI!$E$17,IF(AND(#REF!="Diferenciado",$H$4=#REF!),BDI!#REF!,IF(#REF!="ZERO",0))))),"")</f>
        <v>#REF!</v>
      </c>
      <c r="H583" s="139" t="e">
        <f t="shared" ref="H583:H646" ca="1" si="28">IF(ISNUMBER(E583),ROUND(E583*(1+G583),2),"")</f>
        <v>#REF!</v>
      </c>
      <c r="I583" s="137" t="e">
        <f t="shared" ref="I583:I646" ca="1" si="29">IF(ISNUMBER(E583),ROUND(H583*D583,2),"")</f>
        <v>#REF!</v>
      </c>
      <c r="J583" s="117"/>
    </row>
    <row r="584" spans="1:10" hidden="1" x14ac:dyDescent="0.25">
      <c r="A584" s="114" t="s">
        <v>646</v>
      </c>
      <c r="B584" s="115" t="s">
        <v>7642</v>
      </c>
      <c r="C584" s="116" t="s">
        <v>69</v>
      </c>
      <c r="D584" s="116">
        <v>0</v>
      </c>
      <c r="E584" s="136">
        <f ca="1">OFFSET(INDEX(Composições!A:J,MATCH(Orçamentária!A584,Composições!A:A,0),8),2,0)</f>
        <v>7.8677099999999998</v>
      </c>
      <c r="F584" s="137">
        <f t="shared" ca="1" si="27"/>
        <v>0</v>
      </c>
      <c r="G584" s="138" t="e">
        <f>IF(A584&lt;&gt;"",IF(AND(#REF!="Padrão",$H$4=#REF!),BDI!$B$17,IF(AND(#REF!="Padrão",$H$4=#REF!),BDI!#REF!,IF(AND(#REF!="Diferenciado",$H$4=#REF!),BDI!$E$17,IF(AND(#REF!="Diferenciado",$H$4=#REF!),BDI!#REF!,IF(#REF!="ZERO",0))))),"")</f>
        <v>#REF!</v>
      </c>
      <c r="H584" s="139" t="e">
        <f t="shared" ca="1" si="28"/>
        <v>#REF!</v>
      </c>
      <c r="I584" s="137" t="e">
        <f t="shared" ca="1" si="29"/>
        <v>#REF!</v>
      </c>
      <c r="J584" s="117"/>
    </row>
    <row r="585" spans="1:10" hidden="1" x14ac:dyDescent="0.25">
      <c r="A585" s="114" t="s">
        <v>648</v>
      </c>
      <c r="B585" s="115" t="s">
        <v>1944</v>
      </c>
      <c r="C585" s="116" t="s">
        <v>28</v>
      </c>
      <c r="D585" s="116">
        <v>0</v>
      </c>
      <c r="E585" s="136">
        <f ca="1">OFFSET(INDEX(Composições!A:J,MATCH(Orçamentária!A585,Composições!A:A,0),8),2,0)</f>
        <v>21.042499999999997</v>
      </c>
      <c r="F585" s="137">
        <f t="shared" ca="1" si="27"/>
        <v>0</v>
      </c>
      <c r="G585" s="138" t="e">
        <f>IF(A585&lt;&gt;"",IF(AND(#REF!="Padrão",$H$4=#REF!),BDI!$B$17,IF(AND(#REF!="Padrão",$H$4=#REF!),BDI!#REF!,IF(AND(#REF!="Diferenciado",$H$4=#REF!),BDI!$E$17,IF(AND(#REF!="Diferenciado",$H$4=#REF!),BDI!#REF!,IF(#REF!="ZERO",0))))),"")</f>
        <v>#REF!</v>
      </c>
      <c r="H585" s="139" t="e">
        <f t="shared" ca="1" si="28"/>
        <v>#REF!</v>
      </c>
      <c r="I585" s="137" t="e">
        <f t="shared" ca="1" si="29"/>
        <v>#REF!</v>
      </c>
      <c r="J585" s="117"/>
    </row>
    <row r="586" spans="1:10" hidden="1" x14ac:dyDescent="0.25">
      <c r="A586" s="114" t="s">
        <v>649</v>
      </c>
      <c r="B586" s="115" t="s">
        <v>1945</v>
      </c>
      <c r="C586" s="116" t="s">
        <v>28</v>
      </c>
      <c r="D586" s="116">
        <v>0</v>
      </c>
      <c r="E586" s="136">
        <f ca="1">OFFSET(INDEX(Composições!A:J,MATCH(Orçamentária!A586,Composições!A:A,0),8),2,0)</f>
        <v>61.113499999999995</v>
      </c>
      <c r="F586" s="137">
        <f t="shared" ca="1" si="27"/>
        <v>0</v>
      </c>
      <c r="G586" s="138" t="e">
        <f>IF(A586&lt;&gt;"",IF(AND(#REF!="Padrão",$H$4=#REF!),BDI!$B$17,IF(AND(#REF!="Padrão",$H$4=#REF!),BDI!#REF!,IF(AND(#REF!="Diferenciado",$H$4=#REF!),BDI!$E$17,IF(AND(#REF!="Diferenciado",$H$4=#REF!),BDI!#REF!,IF(#REF!="ZERO",0))))),"")</f>
        <v>#REF!</v>
      </c>
      <c r="H586" s="139" t="e">
        <f t="shared" ca="1" si="28"/>
        <v>#REF!</v>
      </c>
      <c r="I586" s="137" t="e">
        <f t="shared" ca="1" si="29"/>
        <v>#REF!</v>
      </c>
      <c r="J586" s="117"/>
    </row>
    <row r="587" spans="1:10" hidden="1" x14ac:dyDescent="0.25">
      <c r="A587" s="114" t="s">
        <v>1946</v>
      </c>
      <c r="B587" s="115" t="s">
        <v>1947</v>
      </c>
      <c r="C587" s="116" t="s">
        <v>16</v>
      </c>
      <c r="D587" s="116">
        <v>0</v>
      </c>
      <c r="E587" s="136">
        <f ca="1">OFFSET(INDEX(Composições!A:J,MATCH(Orçamentária!A587,Composições!A:A,0),8),2,0)</f>
        <v>39.548499999999997</v>
      </c>
      <c r="F587" s="137">
        <f t="shared" ca="1" si="27"/>
        <v>0</v>
      </c>
      <c r="G587" s="138" t="e">
        <f>IF(A587&lt;&gt;"",IF(AND(#REF!="Padrão",$H$4=#REF!),BDI!$B$17,IF(AND(#REF!="Padrão",$H$4=#REF!),BDI!#REF!,IF(AND(#REF!="Diferenciado",$H$4=#REF!),BDI!$E$17,IF(AND(#REF!="Diferenciado",$H$4=#REF!),BDI!#REF!,IF(#REF!="ZERO",0))))),"")</f>
        <v>#REF!</v>
      </c>
      <c r="H587" s="139" t="e">
        <f t="shared" ca="1" si="28"/>
        <v>#REF!</v>
      </c>
      <c r="I587" s="137" t="e">
        <f t="shared" ca="1" si="29"/>
        <v>#REF!</v>
      </c>
      <c r="J587" s="117"/>
    </row>
    <row r="588" spans="1:10" hidden="1" x14ac:dyDescent="0.25">
      <c r="A588" s="114" t="s">
        <v>1948</v>
      </c>
      <c r="B588" s="115" t="s">
        <v>1949</v>
      </c>
      <c r="C588" s="116" t="s">
        <v>16</v>
      </c>
      <c r="D588" s="116">
        <v>0</v>
      </c>
      <c r="E588" s="136">
        <f ca="1">OFFSET(INDEX(Composições!A:J,MATCH(Orçamentária!A588,Composições!A:A,0),8),2,0)</f>
        <v>26.125</v>
      </c>
      <c r="F588" s="137">
        <f t="shared" ca="1" si="27"/>
        <v>0</v>
      </c>
      <c r="G588" s="138" t="e">
        <f>IF(A588&lt;&gt;"",IF(AND(#REF!="Padrão",$H$4=#REF!),BDI!$B$17,IF(AND(#REF!="Padrão",$H$4=#REF!),BDI!#REF!,IF(AND(#REF!="Diferenciado",$H$4=#REF!),BDI!$E$17,IF(AND(#REF!="Diferenciado",$H$4=#REF!),BDI!#REF!,IF(#REF!="ZERO",0))))),"")</f>
        <v>#REF!</v>
      </c>
      <c r="H588" s="139" t="e">
        <f t="shared" ca="1" si="28"/>
        <v>#REF!</v>
      </c>
      <c r="I588" s="137" t="e">
        <f t="shared" ca="1" si="29"/>
        <v>#REF!</v>
      </c>
      <c r="J588" s="117"/>
    </row>
    <row r="589" spans="1:10" hidden="1" x14ac:dyDescent="0.25">
      <c r="A589" s="114" t="s">
        <v>1950</v>
      </c>
      <c r="B589" s="115" t="s">
        <v>1951</v>
      </c>
      <c r="C589" s="116" t="s">
        <v>69</v>
      </c>
      <c r="D589" s="116">
        <v>0</v>
      </c>
      <c r="E589" s="136" t="s">
        <v>416</v>
      </c>
      <c r="F589" s="137" t="str">
        <f t="shared" si="27"/>
        <v/>
      </c>
      <c r="G589" s="138" t="e">
        <f>IF(A589&lt;&gt;"",IF(AND(#REF!="Padrão",$H$4=#REF!),BDI!$B$17,IF(AND(#REF!="Padrão",$H$4=#REF!),BDI!#REF!,IF(AND(#REF!="Diferenciado",$H$4=#REF!),BDI!$E$17,IF(AND(#REF!="Diferenciado",$H$4=#REF!),BDI!#REF!,IF(#REF!="ZERO",0))))),"")</f>
        <v>#REF!</v>
      </c>
      <c r="H589" s="139" t="str">
        <f t="shared" si="28"/>
        <v/>
      </c>
      <c r="I589" s="137" t="str">
        <f t="shared" si="29"/>
        <v/>
      </c>
      <c r="J589" s="117"/>
    </row>
    <row r="590" spans="1:10" hidden="1" x14ac:dyDescent="0.25">
      <c r="A590" s="114" t="s">
        <v>1952</v>
      </c>
      <c r="B590" s="115" t="s">
        <v>1953</v>
      </c>
      <c r="C590" s="116" t="s">
        <v>69</v>
      </c>
      <c r="D590" s="116">
        <v>0</v>
      </c>
      <c r="E590" s="136" t="s">
        <v>416</v>
      </c>
      <c r="F590" s="137" t="str">
        <f t="shared" si="27"/>
        <v/>
      </c>
      <c r="G590" s="138" t="e">
        <f>IF(A590&lt;&gt;"",IF(AND(#REF!="Padrão",$H$4=#REF!),BDI!$B$17,IF(AND(#REF!="Padrão",$H$4=#REF!),BDI!#REF!,IF(AND(#REF!="Diferenciado",$H$4=#REF!),BDI!$E$17,IF(AND(#REF!="Diferenciado",$H$4=#REF!),BDI!#REF!,IF(#REF!="ZERO",0))))),"")</f>
        <v>#REF!</v>
      </c>
      <c r="H590" s="139" t="str">
        <f t="shared" si="28"/>
        <v/>
      </c>
      <c r="I590" s="137" t="str">
        <f t="shared" si="29"/>
        <v/>
      </c>
      <c r="J590" s="117"/>
    </row>
    <row r="591" spans="1:10" hidden="1" x14ac:dyDescent="0.25">
      <c r="A591" s="114" t="s">
        <v>1954</v>
      </c>
      <c r="B591" s="115" t="s">
        <v>1955</v>
      </c>
      <c r="C591" s="116" t="s">
        <v>28</v>
      </c>
      <c r="D591" s="116">
        <v>0</v>
      </c>
      <c r="E591" s="136" t="s">
        <v>416</v>
      </c>
      <c r="F591" s="137" t="str">
        <f t="shared" si="27"/>
        <v/>
      </c>
      <c r="G591" s="138" t="e">
        <f>IF(A591&lt;&gt;"",IF(AND(#REF!="Padrão",$H$4=#REF!),BDI!$B$17,IF(AND(#REF!="Padrão",$H$4=#REF!),BDI!#REF!,IF(AND(#REF!="Diferenciado",$H$4=#REF!),BDI!$E$17,IF(AND(#REF!="Diferenciado",$H$4=#REF!),BDI!#REF!,IF(#REF!="ZERO",0))))),"")</f>
        <v>#REF!</v>
      </c>
      <c r="H591" s="139" t="str">
        <f t="shared" si="28"/>
        <v/>
      </c>
      <c r="I591" s="137" t="str">
        <f t="shared" si="29"/>
        <v/>
      </c>
      <c r="J591" s="117"/>
    </row>
    <row r="592" spans="1:10" hidden="1" x14ac:dyDescent="0.25">
      <c r="A592" s="114" t="s">
        <v>1956</v>
      </c>
      <c r="B592" s="115" t="s">
        <v>1957</v>
      </c>
      <c r="C592" s="116" t="s">
        <v>75</v>
      </c>
      <c r="D592" s="116">
        <v>0</v>
      </c>
      <c r="E592" s="136" t="s">
        <v>416</v>
      </c>
      <c r="F592" s="137" t="str">
        <f t="shared" si="27"/>
        <v/>
      </c>
      <c r="G592" s="138" t="e">
        <f>IF(A592&lt;&gt;"",IF(AND(#REF!="Padrão",$H$4=#REF!),BDI!$B$17,IF(AND(#REF!="Padrão",$H$4=#REF!),BDI!#REF!,IF(AND(#REF!="Diferenciado",$H$4=#REF!),BDI!$E$17,IF(AND(#REF!="Diferenciado",$H$4=#REF!),BDI!#REF!,IF(#REF!="ZERO",0))))),"")</f>
        <v>#REF!</v>
      </c>
      <c r="H592" s="139" t="str">
        <f t="shared" si="28"/>
        <v/>
      </c>
      <c r="I592" s="137" t="str">
        <f t="shared" si="29"/>
        <v/>
      </c>
      <c r="J592" s="117"/>
    </row>
    <row r="593" spans="1:10" hidden="1" x14ac:dyDescent="0.25">
      <c r="A593" s="114" t="s">
        <v>651</v>
      </c>
      <c r="B593" s="115" t="s">
        <v>1958</v>
      </c>
      <c r="C593" s="116" t="s">
        <v>75</v>
      </c>
      <c r="D593" s="116">
        <v>0</v>
      </c>
      <c r="E593" s="136">
        <f ca="1">OFFSET(INDEX(Composições!A:J,MATCH(Orçamentária!A593,Composições!A:A,0),8),2,0)</f>
        <v>8.2459999999999987</v>
      </c>
      <c r="F593" s="137">
        <f t="shared" ca="1" si="27"/>
        <v>0</v>
      </c>
      <c r="G593" s="138" t="e">
        <f>IF(A593&lt;&gt;"",IF(AND(#REF!="Padrão",$H$4=#REF!),BDI!$B$17,IF(AND(#REF!="Padrão",$H$4=#REF!),BDI!#REF!,IF(AND(#REF!="Diferenciado",$H$4=#REF!),BDI!$E$17,IF(AND(#REF!="Diferenciado",$H$4=#REF!),BDI!#REF!,IF(#REF!="ZERO",0))))),"")</f>
        <v>#REF!</v>
      </c>
      <c r="H593" s="139" t="e">
        <f t="shared" ca="1" si="28"/>
        <v>#REF!</v>
      </c>
      <c r="I593" s="137" t="e">
        <f t="shared" ca="1" si="29"/>
        <v>#REF!</v>
      </c>
      <c r="J593" s="117"/>
    </row>
    <row r="594" spans="1:10" hidden="1" x14ac:dyDescent="0.25">
      <c r="A594" s="114" t="s">
        <v>1959</v>
      </c>
      <c r="B594" s="115" t="s">
        <v>1960</v>
      </c>
      <c r="C594" s="116" t="s">
        <v>75</v>
      </c>
      <c r="D594" s="116">
        <v>0</v>
      </c>
      <c r="E594" s="136" t="s">
        <v>416</v>
      </c>
      <c r="F594" s="137" t="str">
        <f t="shared" si="27"/>
        <v/>
      </c>
      <c r="G594" s="138" t="e">
        <f>IF(A594&lt;&gt;"",IF(AND(#REF!="Padrão",$H$4=#REF!),BDI!$B$17,IF(AND(#REF!="Padrão",$H$4=#REF!),BDI!#REF!,IF(AND(#REF!="Diferenciado",$H$4=#REF!),BDI!$E$17,IF(AND(#REF!="Diferenciado",$H$4=#REF!),BDI!#REF!,IF(#REF!="ZERO",0))))),"")</f>
        <v>#REF!</v>
      </c>
      <c r="H594" s="139" t="str">
        <f t="shared" si="28"/>
        <v/>
      </c>
      <c r="I594" s="137" t="str">
        <f t="shared" si="29"/>
        <v/>
      </c>
      <c r="J594" s="117"/>
    </row>
    <row r="595" spans="1:10" hidden="1" x14ac:dyDescent="0.25">
      <c r="A595" s="114" t="s">
        <v>1961</v>
      </c>
      <c r="B595" s="115" t="s">
        <v>1962</v>
      </c>
      <c r="C595" s="116" t="s">
        <v>69</v>
      </c>
      <c r="D595" s="116">
        <v>0</v>
      </c>
      <c r="E595" s="136" t="s">
        <v>416</v>
      </c>
      <c r="F595" s="137" t="str">
        <f t="shared" si="27"/>
        <v/>
      </c>
      <c r="G595" s="138" t="e">
        <f>IF(A595&lt;&gt;"",IF(AND(#REF!="Padrão",$H$4=#REF!),BDI!$B$17,IF(AND(#REF!="Padrão",$H$4=#REF!),BDI!#REF!,IF(AND(#REF!="Diferenciado",$H$4=#REF!),BDI!$E$17,IF(AND(#REF!="Diferenciado",$H$4=#REF!),BDI!#REF!,IF(#REF!="ZERO",0))))),"")</f>
        <v>#REF!</v>
      </c>
      <c r="H595" s="139" t="str">
        <f t="shared" si="28"/>
        <v/>
      </c>
      <c r="I595" s="137" t="str">
        <f t="shared" si="29"/>
        <v/>
      </c>
      <c r="J595" s="117"/>
    </row>
    <row r="596" spans="1:10" hidden="1" x14ac:dyDescent="0.25">
      <c r="A596" s="114" t="s">
        <v>1963</v>
      </c>
      <c r="B596" s="115" t="s">
        <v>1964</v>
      </c>
      <c r="C596" s="116" t="s">
        <v>69</v>
      </c>
      <c r="D596" s="116">
        <v>0</v>
      </c>
      <c r="E596" s="136" t="s">
        <v>416</v>
      </c>
      <c r="F596" s="137" t="str">
        <f t="shared" si="27"/>
        <v/>
      </c>
      <c r="G596" s="138" t="e">
        <f>IF(A596&lt;&gt;"",IF(AND(#REF!="Padrão",$H$4=#REF!),BDI!$B$17,IF(AND(#REF!="Padrão",$H$4=#REF!),BDI!#REF!,IF(AND(#REF!="Diferenciado",$H$4=#REF!),BDI!$E$17,IF(AND(#REF!="Diferenciado",$H$4=#REF!),BDI!#REF!,IF(#REF!="ZERO",0))))),"")</f>
        <v>#REF!</v>
      </c>
      <c r="H596" s="139" t="str">
        <f t="shared" si="28"/>
        <v/>
      </c>
      <c r="I596" s="137" t="str">
        <f t="shared" si="29"/>
        <v/>
      </c>
      <c r="J596" s="117"/>
    </row>
    <row r="597" spans="1:10" hidden="1" x14ac:dyDescent="0.25">
      <c r="A597" s="114" t="s">
        <v>1965</v>
      </c>
      <c r="B597" s="115" t="s">
        <v>1966</v>
      </c>
      <c r="C597" s="116" t="s">
        <v>70</v>
      </c>
      <c r="D597" s="116">
        <v>0</v>
      </c>
      <c r="E597" s="136">
        <f ca="1">OFFSET(INDEX(Composições!A:J,MATCH(Orçamentária!A597,Composições!A:A,0),8),2,0)</f>
        <v>1.8144999999999998</v>
      </c>
      <c r="F597" s="137">
        <f t="shared" ca="1" si="27"/>
        <v>0</v>
      </c>
      <c r="G597" s="138" t="e">
        <f>IF(A597&lt;&gt;"",IF(AND(#REF!="Padrão",$H$4=#REF!),BDI!$B$17,IF(AND(#REF!="Padrão",$H$4=#REF!),BDI!#REF!,IF(AND(#REF!="Diferenciado",$H$4=#REF!),BDI!$E$17,IF(AND(#REF!="Diferenciado",$H$4=#REF!),BDI!#REF!,IF(#REF!="ZERO",0))))),"")</f>
        <v>#REF!</v>
      </c>
      <c r="H597" s="139" t="e">
        <f t="shared" ca="1" si="28"/>
        <v>#REF!</v>
      </c>
      <c r="I597" s="137" t="e">
        <f t="shared" ca="1" si="29"/>
        <v>#REF!</v>
      </c>
      <c r="J597" s="117"/>
    </row>
    <row r="598" spans="1:10" hidden="1" x14ac:dyDescent="0.25">
      <c r="A598" s="114" t="s">
        <v>1967</v>
      </c>
      <c r="B598" s="115" t="s">
        <v>1968</v>
      </c>
      <c r="C598" s="116" t="s">
        <v>16</v>
      </c>
      <c r="D598" s="116">
        <v>0</v>
      </c>
      <c r="E598" s="136" t="s">
        <v>416</v>
      </c>
      <c r="F598" s="137" t="str">
        <f t="shared" si="27"/>
        <v/>
      </c>
      <c r="G598" s="138" t="e">
        <f>IF(A598&lt;&gt;"",IF(AND(#REF!="Padrão",$H$4=#REF!),BDI!$B$17,IF(AND(#REF!="Padrão",$H$4=#REF!),BDI!#REF!,IF(AND(#REF!="Diferenciado",$H$4=#REF!),BDI!$E$17,IF(AND(#REF!="Diferenciado",$H$4=#REF!),BDI!#REF!,IF(#REF!="ZERO",0))))),"")</f>
        <v>#REF!</v>
      </c>
      <c r="H598" s="139" t="str">
        <f t="shared" si="28"/>
        <v/>
      </c>
      <c r="I598" s="137" t="str">
        <f t="shared" si="29"/>
        <v/>
      </c>
      <c r="J598" s="117"/>
    </row>
    <row r="599" spans="1:10" hidden="1" x14ac:dyDescent="0.25">
      <c r="A599" s="114" t="s">
        <v>1969</v>
      </c>
      <c r="B599" s="115" t="s">
        <v>1970</v>
      </c>
      <c r="C599" s="116" t="s">
        <v>16</v>
      </c>
      <c r="D599" s="116">
        <v>0</v>
      </c>
      <c r="E599" s="136" t="s">
        <v>416</v>
      </c>
      <c r="F599" s="137" t="str">
        <f t="shared" si="27"/>
        <v/>
      </c>
      <c r="G599" s="138" t="e">
        <f>IF(A599&lt;&gt;"",IF(AND(#REF!="Padrão",$H$4=#REF!),BDI!$B$17,IF(AND(#REF!="Padrão",$H$4=#REF!),BDI!#REF!,IF(AND(#REF!="Diferenciado",$H$4=#REF!),BDI!$E$17,IF(AND(#REF!="Diferenciado",$H$4=#REF!),BDI!#REF!,IF(#REF!="ZERO",0))))),"")</f>
        <v>#REF!</v>
      </c>
      <c r="H599" s="139" t="str">
        <f t="shared" si="28"/>
        <v/>
      </c>
      <c r="I599" s="137" t="str">
        <f t="shared" si="29"/>
        <v/>
      </c>
      <c r="J599" s="117"/>
    </row>
    <row r="600" spans="1:10" hidden="1" x14ac:dyDescent="0.25">
      <c r="A600" s="114" t="s">
        <v>1971</v>
      </c>
      <c r="B600" s="115" t="s">
        <v>1972</v>
      </c>
      <c r="C600" s="116" t="s">
        <v>16</v>
      </c>
      <c r="D600" s="116">
        <v>0</v>
      </c>
      <c r="E600" s="136" t="s">
        <v>416</v>
      </c>
      <c r="F600" s="137" t="str">
        <f t="shared" si="27"/>
        <v/>
      </c>
      <c r="G600" s="138" t="e">
        <f>IF(A600&lt;&gt;"",IF(AND(#REF!="Padrão",$H$4=#REF!),BDI!$B$17,IF(AND(#REF!="Padrão",$H$4=#REF!),BDI!#REF!,IF(AND(#REF!="Diferenciado",$H$4=#REF!),BDI!$E$17,IF(AND(#REF!="Diferenciado",$H$4=#REF!),BDI!#REF!,IF(#REF!="ZERO",0))))),"")</f>
        <v>#REF!</v>
      </c>
      <c r="H600" s="139" t="str">
        <f t="shared" si="28"/>
        <v/>
      </c>
      <c r="I600" s="137" t="str">
        <f t="shared" si="29"/>
        <v/>
      </c>
      <c r="J600" s="117"/>
    </row>
    <row r="601" spans="1:10" hidden="1" x14ac:dyDescent="0.25">
      <c r="A601" s="114" t="s">
        <v>1973</v>
      </c>
      <c r="B601" s="115" t="s">
        <v>1974</v>
      </c>
      <c r="C601" s="116" t="s">
        <v>16</v>
      </c>
      <c r="D601" s="116">
        <v>0</v>
      </c>
      <c r="E601" s="136" t="s">
        <v>416</v>
      </c>
      <c r="F601" s="137" t="str">
        <f t="shared" si="27"/>
        <v/>
      </c>
      <c r="G601" s="138" t="e">
        <f>IF(A601&lt;&gt;"",IF(AND(#REF!="Padrão",$H$4=#REF!),BDI!$B$17,IF(AND(#REF!="Padrão",$H$4=#REF!),BDI!#REF!,IF(AND(#REF!="Diferenciado",$H$4=#REF!),BDI!$E$17,IF(AND(#REF!="Diferenciado",$H$4=#REF!),BDI!#REF!,IF(#REF!="ZERO",0))))),"")</f>
        <v>#REF!</v>
      </c>
      <c r="H601" s="139" t="str">
        <f t="shared" si="28"/>
        <v/>
      </c>
      <c r="I601" s="137" t="str">
        <f t="shared" si="29"/>
        <v/>
      </c>
      <c r="J601" s="117"/>
    </row>
    <row r="602" spans="1:10" hidden="1" x14ac:dyDescent="0.25">
      <c r="A602" s="114" t="s">
        <v>1975</v>
      </c>
      <c r="B602" s="115" t="s">
        <v>1976</v>
      </c>
      <c r="C602" s="116" t="s">
        <v>16</v>
      </c>
      <c r="D602" s="116">
        <v>0</v>
      </c>
      <c r="E602" s="136" t="s">
        <v>416</v>
      </c>
      <c r="F602" s="137" t="str">
        <f t="shared" si="27"/>
        <v/>
      </c>
      <c r="G602" s="138" t="e">
        <f>IF(A602&lt;&gt;"",IF(AND(#REF!="Padrão",$H$4=#REF!),BDI!$B$17,IF(AND(#REF!="Padrão",$H$4=#REF!),BDI!#REF!,IF(AND(#REF!="Diferenciado",$H$4=#REF!),BDI!$E$17,IF(AND(#REF!="Diferenciado",$H$4=#REF!),BDI!#REF!,IF(#REF!="ZERO",0))))),"")</f>
        <v>#REF!</v>
      </c>
      <c r="H602" s="139" t="str">
        <f t="shared" si="28"/>
        <v/>
      </c>
      <c r="I602" s="137" t="str">
        <f t="shared" si="29"/>
        <v/>
      </c>
      <c r="J602" s="117"/>
    </row>
    <row r="603" spans="1:10" hidden="1" x14ac:dyDescent="0.25">
      <c r="A603" s="114" t="s">
        <v>1977</v>
      </c>
      <c r="B603" s="115" t="s">
        <v>1978</v>
      </c>
      <c r="C603" s="116" t="s">
        <v>16</v>
      </c>
      <c r="D603" s="116">
        <v>0</v>
      </c>
      <c r="E603" s="136" t="s">
        <v>416</v>
      </c>
      <c r="F603" s="137" t="str">
        <f t="shared" si="27"/>
        <v/>
      </c>
      <c r="G603" s="138" t="e">
        <f>IF(A603&lt;&gt;"",IF(AND(#REF!="Padrão",$H$4=#REF!),BDI!$B$17,IF(AND(#REF!="Padrão",$H$4=#REF!),BDI!#REF!,IF(AND(#REF!="Diferenciado",$H$4=#REF!),BDI!$E$17,IF(AND(#REF!="Diferenciado",$H$4=#REF!),BDI!#REF!,IF(#REF!="ZERO",0))))),"")</f>
        <v>#REF!</v>
      </c>
      <c r="H603" s="139" t="str">
        <f t="shared" si="28"/>
        <v/>
      </c>
      <c r="I603" s="137" t="str">
        <f t="shared" si="29"/>
        <v/>
      </c>
      <c r="J603" s="117"/>
    </row>
    <row r="604" spans="1:10" hidden="1" x14ac:dyDescent="0.25">
      <c r="A604" s="114" t="s">
        <v>1979</v>
      </c>
      <c r="B604" s="115" t="s">
        <v>1980</v>
      </c>
      <c r="C604" s="116" t="s">
        <v>16</v>
      </c>
      <c r="D604" s="116">
        <v>0</v>
      </c>
      <c r="E604" s="136" t="s">
        <v>416</v>
      </c>
      <c r="F604" s="137" t="str">
        <f t="shared" si="27"/>
        <v/>
      </c>
      <c r="G604" s="138" t="e">
        <f>IF(A604&lt;&gt;"",IF(AND(#REF!="Padrão",$H$4=#REF!),BDI!$B$17,IF(AND(#REF!="Padrão",$H$4=#REF!),BDI!#REF!,IF(AND(#REF!="Diferenciado",$H$4=#REF!),BDI!$E$17,IF(AND(#REF!="Diferenciado",$H$4=#REF!),BDI!#REF!,IF(#REF!="ZERO",0))))),"")</f>
        <v>#REF!</v>
      </c>
      <c r="H604" s="139" t="str">
        <f t="shared" si="28"/>
        <v/>
      </c>
      <c r="I604" s="137" t="str">
        <f t="shared" si="29"/>
        <v/>
      </c>
      <c r="J604" s="117"/>
    </row>
    <row r="605" spans="1:10" hidden="1" x14ac:dyDescent="0.25">
      <c r="A605" s="114" t="s">
        <v>1981</v>
      </c>
      <c r="B605" s="115" t="s">
        <v>1982</v>
      </c>
      <c r="C605" s="116" t="s">
        <v>16</v>
      </c>
      <c r="D605" s="116">
        <v>0</v>
      </c>
      <c r="E605" s="136" t="s">
        <v>416</v>
      </c>
      <c r="F605" s="137" t="str">
        <f t="shared" si="27"/>
        <v/>
      </c>
      <c r="G605" s="138" t="e">
        <f>IF(A605&lt;&gt;"",IF(AND(#REF!="Padrão",$H$4=#REF!),BDI!$B$17,IF(AND(#REF!="Padrão",$H$4=#REF!),BDI!#REF!,IF(AND(#REF!="Diferenciado",$H$4=#REF!),BDI!$E$17,IF(AND(#REF!="Diferenciado",$H$4=#REF!),BDI!#REF!,IF(#REF!="ZERO",0))))),"")</f>
        <v>#REF!</v>
      </c>
      <c r="H605" s="139" t="str">
        <f t="shared" si="28"/>
        <v/>
      </c>
      <c r="I605" s="137" t="str">
        <f t="shared" si="29"/>
        <v/>
      </c>
      <c r="J605" s="117"/>
    </row>
    <row r="606" spans="1:10" hidden="1" x14ac:dyDescent="0.25">
      <c r="A606" s="114" t="s">
        <v>1983</v>
      </c>
      <c r="B606" s="115" t="s">
        <v>1984</v>
      </c>
      <c r="C606" s="116" t="s">
        <v>16</v>
      </c>
      <c r="D606" s="116">
        <v>0</v>
      </c>
      <c r="E606" s="136" t="s">
        <v>416</v>
      </c>
      <c r="F606" s="137" t="str">
        <f t="shared" si="27"/>
        <v/>
      </c>
      <c r="G606" s="138" t="e">
        <f>IF(A606&lt;&gt;"",IF(AND(#REF!="Padrão",$H$4=#REF!),BDI!$B$17,IF(AND(#REF!="Padrão",$H$4=#REF!),BDI!#REF!,IF(AND(#REF!="Diferenciado",$H$4=#REF!),BDI!$E$17,IF(AND(#REF!="Diferenciado",$H$4=#REF!),BDI!#REF!,IF(#REF!="ZERO",0))))),"")</f>
        <v>#REF!</v>
      </c>
      <c r="H606" s="139" t="str">
        <f t="shared" si="28"/>
        <v/>
      </c>
      <c r="I606" s="137" t="str">
        <f t="shared" si="29"/>
        <v/>
      </c>
      <c r="J606" s="117"/>
    </row>
    <row r="607" spans="1:10" hidden="1" x14ac:dyDescent="0.25">
      <c r="A607" s="114" t="s">
        <v>1985</v>
      </c>
      <c r="B607" s="115" t="s">
        <v>1986</v>
      </c>
      <c r="C607" s="116" t="s">
        <v>16</v>
      </c>
      <c r="D607" s="116">
        <v>0</v>
      </c>
      <c r="E607" s="136" t="s">
        <v>416</v>
      </c>
      <c r="F607" s="137" t="str">
        <f t="shared" si="27"/>
        <v/>
      </c>
      <c r="G607" s="138" t="e">
        <f>IF(A607&lt;&gt;"",IF(AND(#REF!="Padrão",$H$4=#REF!),BDI!$B$17,IF(AND(#REF!="Padrão",$H$4=#REF!),BDI!#REF!,IF(AND(#REF!="Diferenciado",$H$4=#REF!),BDI!$E$17,IF(AND(#REF!="Diferenciado",$H$4=#REF!),BDI!#REF!,IF(#REF!="ZERO",0))))),"")</f>
        <v>#REF!</v>
      </c>
      <c r="H607" s="139" t="str">
        <f t="shared" si="28"/>
        <v/>
      </c>
      <c r="I607" s="137" t="str">
        <f t="shared" si="29"/>
        <v/>
      </c>
      <c r="J607" s="117"/>
    </row>
    <row r="608" spans="1:10" hidden="1" x14ac:dyDescent="0.25">
      <c r="A608" s="114" t="s">
        <v>1987</v>
      </c>
      <c r="B608" s="115" t="s">
        <v>1988</v>
      </c>
      <c r="C608" s="116" t="s">
        <v>16</v>
      </c>
      <c r="D608" s="116">
        <v>0</v>
      </c>
      <c r="E608" s="136" t="s">
        <v>416</v>
      </c>
      <c r="F608" s="137" t="str">
        <f t="shared" si="27"/>
        <v/>
      </c>
      <c r="G608" s="138" t="e">
        <f>IF(A608&lt;&gt;"",IF(AND(#REF!="Padrão",$H$4=#REF!),BDI!$B$17,IF(AND(#REF!="Padrão",$H$4=#REF!),BDI!#REF!,IF(AND(#REF!="Diferenciado",$H$4=#REF!),BDI!$E$17,IF(AND(#REF!="Diferenciado",$H$4=#REF!),BDI!#REF!,IF(#REF!="ZERO",0))))),"")</f>
        <v>#REF!</v>
      </c>
      <c r="H608" s="139" t="str">
        <f t="shared" si="28"/>
        <v/>
      </c>
      <c r="I608" s="137" t="str">
        <f t="shared" si="29"/>
        <v/>
      </c>
      <c r="J608" s="117"/>
    </row>
    <row r="609" spans="1:10" hidden="1" x14ac:dyDescent="0.25">
      <c r="A609" s="114" t="s">
        <v>1989</v>
      </c>
      <c r="B609" s="115" t="s">
        <v>1990</v>
      </c>
      <c r="C609" s="116" t="s">
        <v>16</v>
      </c>
      <c r="D609" s="116">
        <v>0</v>
      </c>
      <c r="E609" s="136" t="s">
        <v>416</v>
      </c>
      <c r="F609" s="137" t="str">
        <f t="shared" si="27"/>
        <v/>
      </c>
      <c r="G609" s="138" t="e">
        <f>IF(A609&lt;&gt;"",IF(AND(#REF!="Padrão",$H$4=#REF!),BDI!$B$17,IF(AND(#REF!="Padrão",$H$4=#REF!),BDI!#REF!,IF(AND(#REF!="Diferenciado",$H$4=#REF!),BDI!$E$17,IF(AND(#REF!="Diferenciado",$H$4=#REF!),BDI!#REF!,IF(#REF!="ZERO",0))))),"")</f>
        <v>#REF!</v>
      </c>
      <c r="H609" s="139" t="str">
        <f t="shared" si="28"/>
        <v/>
      </c>
      <c r="I609" s="137" t="str">
        <f t="shared" si="29"/>
        <v/>
      </c>
      <c r="J609" s="117"/>
    </row>
    <row r="610" spans="1:10" hidden="1" x14ac:dyDescent="0.25">
      <c r="A610" s="114" t="s">
        <v>1991</v>
      </c>
      <c r="B610" s="115" t="s">
        <v>1992</v>
      </c>
      <c r="C610" s="116" t="s">
        <v>16</v>
      </c>
      <c r="D610" s="116">
        <v>0</v>
      </c>
      <c r="E610" s="136" t="s">
        <v>416</v>
      </c>
      <c r="F610" s="137" t="str">
        <f t="shared" si="27"/>
        <v/>
      </c>
      <c r="G610" s="138" t="e">
        <f>IF(A610&lt;&gt;"",IF(AND(#REF!="Padrão",$H$4=#REF!),BDI!$B$17,IF(AND(#REF!="Padrão",$H$4=#REF!),BDI!#REF!,IF(AND(#REF!="Diferenciado",$H$4=#REF!),BDI!$E$17,IF(AND(#REF!="Diferenciado",$H$4=#REF!),BDI!#REF!,IF(#REF!="ZERO",0))))),"")</f>
        <v>#REF!</v>
      </c>
      <c r="H610" s="139" t="str">
        <f t="shared" si="28"/>
        <v/>
      </c>
      <c r="I610" s="137" t="str">
        <f t="shared" si="29"/>
        <v/>
      </c>
      <c r="J610" s="117"/>
    </row>
    <row r="611" spans="1:10" hidden="1" x14ac:dyDescent="0.25">
      <c r="A611" s="114" t="s">
        <v>1993</v>
      </c>
      <c r="B611" s="115" t="s">
        <v>1994</v>
      </c>
      <c r="C611" s="116" t="s">
        <v>16</v>
      </c>
      <c r="D611" s="116">
        <v>0</v>
      </c>
      <c r="E611" s="136" t="s">
        <v>416</v>
      </c>
      <c r="F611" s="137" t="str">
        <f t="shared" si="27"/>
        <v/>
      </c>
      <c r="G611" s="138" t="e">
        <f>IF(A611&lt;&gt;"",IF(AND(#REF!="Padrão",$H$4=#REF!),BDI!$B$17,IF(AND(#REF!="Padrão",$H$4=#REF!),BDI!#REF!,IF(AND(#REF!="Diferenciado",$H$4=#REF!),BDI!$E$17,IF(AND(#REF!="Diferenciado",$H$4=#REF!),BDI!#REF!,IF(#REF!="ZERO",0))))),"")</f>
        <v>#REF!</v>
      </c>
      <c r="H611" s="139" t="str">
        <f t="shared" si="28"/>
        <v/>
      </c>
      <c r="I611" s="137" t="str">
        <f t="shared" si="29"/>
        <v/>
      </c>
      <c r="J611" s="117"/>
    </row>
    <row r="612" spans="1:10" hidden="1" x14ac:dyDescent="0.25">
      <c r="A612" s="114" t="s">
        <v>1995</v>
      </c>
      <c r="B612" s="115" t="s">
        <v>1996</v>
      </c>
      <c r="C612" s="116" t="s">
        <v>16</v>
      </c>
      <c r="D612" s="116">
        <v>0</v>
      </c>
      <c r="E612" s="136" t="s">
        <v>416</v>
      </c>
      <c r="F612" s="137" t="str">
        <f t="shared" si="27"/>
        <v/>
      </c>
      <c r="G612" s="138" t="e">
        <f>IF(A612&lt;&gt;"",IF(AND(#REF!="Padrão",$H$4=#REF!),BDI!$B$17,IF(AND(#REF!="Padrão",$H$4=#REF!),BDI!#REF!,IF(AND(#REF!="Diferenciado",$H$4=#REF!),BDI!$E$17,IF(AND(#REF!="Diferenciado",$H$4=#REF!),BDI!#REF!,IF(#REF!="ZERO",0))))),"")</f>
        <v>#REF!</v>
      </c>
      <c r="H612" s="139" t="str">
        <f t="shared" si="28"/>
        <v/>
      </c>
      <c r="I612" s="137" t="str">
        <f t="shared" si="29"/>
        <v/>
      </c>
      <c r="J612" s="117"/>
    </row>
    <row r="613" spans="1:10" hidden="1" x14ac:dyDescent="0.25">
      <c r="A613" s="114" t="s">
        <v>1997</v>
      </c>
      <c r="B613" s="115" t="s">
        <v>1998</v>
      </c>
      <c r="C613" s="116" t="s">
        <v>16</v>
      </c>
      <c r="D613" s="116">
        <v>0</v>
      </c>
      <c r="E613" s="136" t="s">
        <v>416</v>
      </c>
      <c r="F613" s="137" t="str">
        <f t="shared" si="27"/>
        <v/>
      </c>
      <c r="G613" s="138" t="e">
        <f>IF(A613&lt;&gt;"",IF(AND(#REF!="Padrão",$H$4=#REF!),BDI!$B$17,IF(AND(#REF!="Padrão",$H$4=#REF!),BDI!#REF!,IF(AND(#REF!="Diferenciado",$H$4=#REF!),BDI!$E$17,IF(AND(#REF!="Diferenciado",$H$4=#REF!),BDI!#REF!,IF(#REF!="ZERO",0))))),"")</f>
        <v>#REF!</v>
      </c>
      <c r="H613" s="139" t="str">
        <f t="shared" si="28"/>
        <v/>
      </c>
      <c r="I613" s="137" t="str">
        <f t="shared" si="29"/>
        <v/>
      </c>
      <c r="J613" s="117"/>
    </row>
    <row r="614" spans="1:10" hidden="1" x14ac:dyDescent="0.25">
      <c r="A614" s="114" t="s">
        <v>1999</v>
      </c>
      <c r="B614" s="115" t="s">
        <v>2000</v>
      </c>
      <c r="C614" s="116" t="s">
        <v>16</v>
      </c>
      <c r="D614" s="116">
        <v>0</v>
      </c>
      <c r="E614" s="136" t="s">
        <v>416</v>
      </c>
      <c r="F614" s="137" t="str">
        <f t="shared" si="27"/>
        <v/>
      </c>
      <c r="G614" s="138" t="e">
        <f>IF(A614&lt;&gt;"",IF(AND(#REF!="Padrão",$H$4=#REF!),BDI!$B$17,IF(AND(#REF!="Padrão",$H$4=#REF!),BDI!#REF!,IF(AND(#REF!="Diferenciado",$H$4=#REF!),BDI!$E$17,IF(AND(#REF!="Diferenciado",$H$4=#REF!),BDI!#REF!,IF(#REF!="ZERO",0))))),"")</f>
        <v>#REF!</v>
      </c>
      <c r="H614" s="139" t="str">
        <f t="shared" si="28"/>
        <v/>
      </c>
      <c r="I614" s="137" t="str">
        <f t="shared" si="29"/>
        <v/>
      </c>
      <c r="J614" s="117"/>
    </row>
    <row r="615" spans="1:10" hidden="1" x14ac:dyDescent="0.25">
      <c r="A615" s="114" t="s">
        <v>2001</v>
      </c>
      <c r="B615" s="115" t="s">
        <v>2002</v>
      </c>
      <c r="C615" s="116" t="s">
        <v>16</v>
      </c>
      <c r="D615" s="116">
        <v>0</v>
      </c>
      <c r="E615" s="136" t="s">
        <v>416</v>
      </c>
      <c r="F615" s="137" t="str">
        <f t="shared" si="27"/>
        <v/>
      </c>
      <c r="G615" s="138" t="e">
        <f>IF(A615&lt;&gt;"",IF(AND(#REF!="Padrão",$H$4=#REF!),BDI!$B$17,IF(AND(#REF!="Padrão",$H$4=#REF!),BDI!#REF!,IF(AND(#REF!="Diferenciado",$H$4=#REF!),BDI!$E$17,IF(AND(#REF!="Diferenciado",$H$4=#REF!),BDI!#REF!,IF(#REF!="ZERO",0))))),"")</f>
        <v>#REF!</v>
      </c>
      <c r="H615" s="139" t="str">
        <f t="shared" si="28"/>
        <v/>
      </c>
      <c r="I615" s="137" t="str">
        <f t="shared" si="29"/>
        <v/>
      </c>
      <c r="J615" s="117"/>
    </row>
    <row r="616" spans="1:10" hidden="1" x14ac:dyDescent="0.25">
      <c r="A616" s="114" t="s">
        <v>2003</v>
      </c>
      <c r="B616" s="115" t="s">
        <v>2004</v>
      </c>
      <c r="C616" s="116" t="s">
        <v>16</v>
      </c>
      <c r="D616" s="116">
        <v>0</v>
      </c>
      <c r="E616" s="136" t="s">
        <v>416</v>
      </c>
      <c r="F616" s="137" t="str">
        <f t="shared" si="27"/>
        <v/>
      </c>
      <c r="G616" s="138" t="e">
        <f>IF(A616&lt;&gt;"",IF(AND(#REF!="Padrão",$H$4=#REF!),BDI!$B$17,IF(AND(#REF!="Padrão",$H$4=#REF!),BDI!#REF!,IF(AND(#REF!="Diferenciado",$H$4=#REF!),BDI!$E$17,IF(AND(#REF!="Diferenciado",$H$4=#REF!),BDI!#REF!,IF(#REF!="ZERO",0))))),"")</f>
        <v>#REF!</v>
      </c>
      <c r="H616" s="139" t="str">
        <f t="shared" si="28"/>
        <v/>
      </c>
      <c r="I616" s="137" t="str">
        <f t="shared" si="29"/>
        <v/>
      </c>
      <c r="J616" s="117"/>
    </row>
    <row r="617" spans="1:10" hidden="1" x14ac:dyDescent="0.25">
      <c r="A617" s="114" t="s">
        <v>2005</v>
      </c>
      <c r="B617" s="115" t="s">
        <v>2006</v>
      </c>
      <c r="C617" s="116" t="s">
        <v>16</v>
      </c>
      <c r="D617" s="116">
        <v>0</v>
      </c>
      <c r="E617" s="136" t="s">
        <v>416</v>
      </c>
      <c r="F617" s="137" t="str">
        <f t="shared" si="27"/>
        <v/>
      </c>
      <c r="G617" s="138" t="e">
        <f>IF(A617&lt;&gt;"",IF(AND(#REF!="Padrão",$H$4=#REF!),BDI!$B$17,IF(AND(#REF!="Padrão",$H$4=#REF!),BDI!#REF!,IF(AND(#REF!="Diferenciado",$H$4=#REF!),BDI!$E$17,IF(AND(#REF!="Diferenciado",$H$4=#REF!),BDI!#REF!,IF(#REF!="ZERO",0))))),"")</f>
        <v>#REF!</v>
      </c>
      <c r="H617" s="139" t="str">
        <f t="shared" si="28"/>
        <v/>
      </c>
      <c r="I617" s="137" t="str">
        <f t="shared" si="29"/>
        <v/>
      </c>
      <c r="J617" s="117"/>
    </row>
    <row r="618" spans="1:10" hidden="1" x14ac:dyDescent="0.25">
      <c r="A618" s="114" t="s">
        <v>2007</v>
      </c>
      <c r="B618" s="115" t="s">
        <v>2008</v>
      </c>
      <c r="C618" s="116" t="s">
        <v>16</v>
      </c>
      <c r="D618" s="116">
        <v>0</v>
      </c>
      <c r="E618" s="136" t="s">
        <v>416</v>
      </c>
      <c r="F618" s="137" t="str">
        <f t="shared" si="27"/>
        <v/>
      </c>
      <c r="G618" s="138" t="e">
        <f>IF(A618&lt;&gt;"",IF(AND(#REF!="Padrão",$H$4=#REF!),BDI!$B$17,IF(AND(#REF!="Padrão",$H$4=#REF!),BDI!#REF!,IF(AND(#REF!="Diferenciado",$H$4=#REF!),BDI!$E$17,IF(AND(#REF!="Diferenciado",$H$4=#REF!),BDI!#REF!,IF(#REF!="ZERO",0))))),"")</f>
        <v>#REF!</v>
      </c>
      <c r="H618" s="139" t="str">
        <f t="shared" si="28"/>
        <v/>
      </c>
      <c r="I618" s="137" t="str">
        <f t="shared" si="29"/>
        <v/>
      </c>
      <c r="J618" s="117"/>
    </row>
    <row r="619" spans="1:10" hidden="1" x14ac:dyDescent="0.25">
      <c r="A619" s="114" t="s">
        <v>2009</v>
      </c>
      <c r="B619" s="115" t="s">
        <v>2010</v>
      </c>
      <c r="C619" s="116" t="s">
        <v>16</v>
      </c>
      <c r="D619" s="116">
        <v>0</v>
      </c>
      <c r="E619" s="136" t="s">
        <v>416</v>
      </c>
      <c r="F619" s="137" t="str">
        <f t="shared" si="27"/>
        <v/>
      </c>
      <c r="G619" s="138" t="e">
        <f>IF(A619&lt;&gt;"",IF(AND(#REF!="Padrão",$H$4=#REF!),BDI!$B$17,IF(AND(#REF!="Padrão",$H$4=#REF!),BDI!#REF!,IF(AND(#REF!="Diferenciado",$H$4=#REF!),BDI!$E$17,IF(AND(#REF!="Diferenciado",$H$4=#REF!),BDI!#REF!,IF(#REF!="ZERO",0))))),"")</f>
        <v>#REF!</v>
      </c>
      <c r="H619" s="139" t="str">
        <f t="shared" si="28"/>
        <v/>
      </c>
      <c r="I619" s="137" t="str">
        <f t="shared" si="29"/>
        <v/>
      </c>
      <c r="J619" s="117"/>
    </row>
    <row r="620" spans="1:10" hidden="1" x14ac:dyDescent="0.25">
      <c r="A620" s="114" t="s">
        <v>2011</v>
      </c>
      <c r="B620" s="115" t="s">
        <v>2012</v>
      </c>
      <c r="C620" s="116" t="s">
        <v>16</v>
      </c>
      <c r="D620" s="116">
        <v>0</v>
      </c>
      <c r="E620" s="136" t="s">
        <v>416</v>
      </c>
      <c r="F620" s="137" t="str">
        <f t="shared" si="27"/>
        <v/>
      </c>
      <c r="G620" s="138" t="e">
        <f>IF(A620&lt;&gt;"",IF(AND(#REF!="Padrão",$H$4=#REF!),BDI!$B$17,IF(AND(#REF!="Padrão",$H$4=#REF!),BDI!#REF!,IF(AND(#REF!="Diferenciado",$H$4=#REF!),BDI!$E$17,IF(AND(#REF!="Diferenciado",$H$4=#REF!),BDI!#REF!,IF(#REF!="ZERO",0))))),"")</f>
        <v>#REF!</v>
      </c>
      <c r="H620" s="139" t="str">
        <f t="shared" si="28"/>
        <v/>
      </c>
      <c r="I620" s="137" t="str">
        <f t="shared" si="29"/>
        <v/>
      </c>
      <c r="J620" s="117"/>
    </row>
    <row r="621" spans="1:10" hidden="1" x14ac:dyDescent="0.25">
      <c r="A621" s="114" t="s">
        <v>2013</v>
      </c>
      <c r="B621" s="115" t="s">
        <v>7643</v>
      </c>
      <c r="C621" s="116" t="s">
        <v>16</v>
      </c>
      <c r="D621" s="116">
        <v>0</v>
      </c>
      <c r="E621" s="136" t="s">
        <v>416</v>
      </c>
      <c r="F621" s="137" t="str">
        <f t="shared" si="27"/>
        <v/>
      </c>
      <c r="G621" s="138" t="e">
        <f>IF(A621&lt;&gt;"",IF(AND(#REF!="Padrão",$H$4=#REF!),BDI!$B$17,IF(AND(#REF!="Padrão",$H$4=#REF!),BDI!#REF!,IF(AND(#REF!="Diferenciado",$H$4=#REF!),BDI!$E$17,IF(AND(#REF!="Diferenciado",$H$4=#REF!),BDI!#REF!,IF(#REF!="ZERO",0))))),"")</f>
        <v>#REF!</v>
      </c>
      <c r="H621" s="139" t="str">
        <f t="shared" si="28"/>
        <v/>
      </c>
      <c r="I621" s="137" t="str">
        <f t="shared" si="29"/>
        <v/>
      </c>
      <c r="J621" s="117"/>
    </row>
    <row r="622" spans="1:10" hidden="1" x14ac:dyDescent="0.25">
      <c r="A622" s="114" t="s">
        <v>2014</v>
      </c>
      <c r="B622" s="115" t="s">
        <v>7644</v>
      </c>
      <c r="C622" s="116" t="s">
        <v>16</v>
      </c>
      <c r="D622" s="116">
        <v>0</v>
      </c>
      <c r="E622" s="136" t="s">
        <v>416</v>
      </c>
      <c r="F622" s="137" t="str">
        <f t="shared" si="27"/>
        <v/>
      </c>
      <c r="G622" s="138" t="e">
        <f>IF(A622&lt;&gt;"",IF(AND(#REF!="Padrão",$H$4=#REF!),BDI!$B$17,IF(AND(#REF!="Padrão",$H$4=#REF!),BDI!#REF!,IF(AND(#REF!="Diferenciado",$H$4=#REF!),BDI!$E$17,IF(AND(#REF!="Diferenciado",$H$4=#REF!),BDI!#REF!,IF(#REF!="ZERO",0))))),"")</f>
        <v>#REF!</v>
      </c>
      <c r="H622" s="139" t="str">
        <f t="shared" si="28"/>
        <v/>
      </c>
      <c r="I622" s="137" t="str">
        <f t="shared" si="29"/>
        <v/>
      </c>
      <c r="J622" s="117"/>
    </row>
    <row r="623" spans="1:10" hidden="1" x14ac:dyDescent="0.25">
      <c r="A623" s="114" t="s">
        <v>2015</v>
      </c>
      <c r="B623" s="115" t="s">
        <v>7645</v>
      </c>
      <c r="C623" s="116" t="s">
        <v>16</v>
      </c>
      <c r="D623" s="116">
        <v>0</v>
      </c>
      <c r="E623" s="136" t="s">
        <v>416</v>
      </c>
      <c r="F623" s="137" t="str">
        <f t="shared" si="27"/>
        <v/>
      </c>
      <c r="G623" s="138" t="e">
        <f>IF(A623&lt;&gt;"",IF(AND(#REF!="Padrão",$H$4=#REF!),BDI!$B$17,IF(AND(#REF!="Padrão",$H$4=#REF!),BDI!#REF!,IF(AND(#REF!="Diferenciado",$H$4=#REF!),BDI!$E$17,IF(AND(#REF!="Diferenciado",$H$4=#REF!),BDI!#REF!,IF(#REF!="ZERO",0))))),"")</f>
        <v>#REF!</v>
      </c>
      <c r="H623" s="139" t="str">
        <f t="shared" si="28"/>
        <v/>
      </c>
      <c r="I623" s="137" t="str">
        <f t="shared" si="29"/>
        <v/>
      </c>
      <c r="J623" s="117"/>
    </row>
    <row r="624" spans="1:10" hidden="1" x14ac:dyDescent="0.25">
      <c r="A624" s="114" t="s">
        <v>2016</v>
      </c>
      <c r="B624" s="115" t="s">
        <v>7646</v>
      </c>
      <c r="C624" s="116" t="s">
        <v>16</v>
      </c>
      <c r="D624" s="116">
        <v>0</v>
      </c>
      <c r="E624" s="136" t="s">
        <v>416</v>
      </c>
      <c r="F624" s="137" t="str">
        <f t="shared" si="27"/>
        <v/>
      </c>
      <c r="G624" s="138" t="e">
        <f>IF(A624&lt;&gt;"",IF(AND(#REF!="Padrão",$H$4=#REF!),BDI!$B$17,IF(AND(#REF!="Padrão",$H$4=#REF!),BDI!#REF!,IF(AND(#REF!="Diferenciado",$H$4=#REF!),BDI!$E$17,IF(AND(#REF!="Diferenciado",$H$4=#REF!),BDI!#REF!,IF(#REF!="ZERO",0))))),"")</f>
        <v>#REF!</v>
      </c>
      <c r="H624" s="139" t="str">
        <f t="shared" si="28"/>
        <v/>
      </c>
      <c r="I624" s="137" t="str">
        <f t="shared" si="29"/>
        <v/>
      </c>
      <c r="J624" s="117"/>
    </row>
    <row r="625" spans="1:10" hidden="1" x14ac:dyDescent="0.25">
      <c r="A625" s="114" t="s">
        <v>2017</v>
      </c>
      <c r="B625" s="115" t="s">
        <v>7647</v>
      </c>
      <c r="C625" s="116" t="s">
        <v>16</v>
      </c>
      <c r="D625" s="116">
        <v>0</v>
      </c>
      <c r="E625" s="136" t="s">
        <v>416</v>
      </c>
      <c r="F625" s="137" t="str">
        <f t="shared" si="27"/>
        <v/>
      </c>
      <c r="G625" s="138" t="e">
        <f>IF(A625&lt;&gt;"",IF(AND(#REF!="Padrão",$H$4=#REF!),BDI!$B$17,IF(AND(#REF!="Padrão",$H$4=#REF!),BDI!#REF!,IF(AND(#REF!="Diferenciado",$H$4=#REF!),BDI!$E$17,IF(AND(#REF!="Diferenciado",$H$4=#REF!),BDI!#REF!,IF(#REF!="ZERO",0))))),"")</f>
        <v>#REF!</v>
      </c>
      <c r="H625" s="139" t="str">
        <f t="shared" si="28"/>
        <v/>
      </c>
      <c r="I625" s="137" t="str">
        <f t="shared" si="29"/>
        <v/>
      </c>
      <c r="J625" s="117"/>
    </row>
    <row r="626" spans="1:10" hidden="1" x14ac:dyDescent="0.25">
      <c r="A626" s="114" t="s">
        <v>2018</v>
      </c>
      <c r="B626" s="115" t="s">
        <v>7648</v>
      </c>
      <c r="C626" s="116" t="s">
        <v>16</v>
      </c>
      <c r="D626" s="116">
        <v>0</v>
      </c>
      <c r="E626" s="136" t="s">
        <v>416</v>
      </c>
      <c r="F626" s="137" t="str">
        <f t="shared" si="27"/>
        <v/>
      </c>
      <c r="G626" s="138" t="e">
        <f>IF(A626&lt;&gt;"",IF(AND(#REF!="Padrão",$H$4=#REF!),BDI!$B$17,IF(AND(#REF!="Padrão",$H$4=#REF!),BDI!#REF!,IF(AND(#REF!="Diferenciado",$H$4=#REF!),BDI!$E$17,IF(AND(#REF!="Diferenciado",$H$4=#REF!),BDI!#REF!,IF(#REF!="ZERO",0))))),"")</f>
        <v>#REF!</v>
      </c>
      <c r="H626" s="139" t="str">
        <f t="shared" si="28"/>
        <v/>
      </c>
      <c r="I626" s="137" t="str">
        <f t="shared" si="29"/>
        <v/>
      </c>
      <c r="J626" s="117"/>
    </row>
    <row r="627" spans="1:10" hidden="1" x14ac:dyDescent="0.25">
      <c r="A627" s="114" t="s">
        <v>2019</v>
      </c>
      <c r="B627" s="115" t="s">
        <v>7649</v>
      </c>
      <c r="C627" s="116" t="s">
        <v>16</v>
      </c>
      <c r="D627" s="116">
        <v>0</v>
      </c>
      <c r="E627" s="136" t="s">
        <v>416</v>
      </c>
      <c r="F627" s="137" t="str">
        <f t="shared" si="27"/>
        <v/>
      </c>
      <c r="G627" s="138" t="e">
        <f>IF(A627&lt;&gt;"",IF(AND(#REF!="Padrão",$H$4=#REF!),BDI!$B$17,IF(AND(#REF!="Padrão",$H$4=#REF!),BDI!#REF!,IF(AND(#REF!="Diferenciado",$H$4=#REF!),BDI!$E$17,IF(AND(#REF!="Diferenciado",$H$4=#REF!),BDI!#REF!,IF(#REF!="ZERO",0))))),"")</f>
        <v>#REF!</v>
      </c>
      <c r="H627" s="139" t="str">
        <f t="shared" si="28"/>
        <v/>
      </c>
      <c r="I627" s="137" t="str">
        <f t="shared" si="29"/>
        <v/>
      </c>
      <c r="J627" s="117"/>
    </row>
    <row r="628" spans="1:10" hidden="1" x14ac:dyDescent="0.25">
      <c r="A628" s="114" t="s">
        <v>2020</v>
      </c>
      <c r="B628" s="115" t="s">
        <v>2021</v>
      </c>
      <c r="C628" s="116" t="s">
        <v>16</v>
      </c>
      <c r="D628" s="116">
        <v>0</v>
      </c>
      <c r="E628" s="136" t="s">
        <v>416</v>
      </c>
      <c r="F628" s="137" t="str">
        <f t="shared" si="27"/>
        <v/>
      </c>
      <c r="G628" s="138" t="e">
        <f>IF(A628&lt;&gt;"",IF(AND(#REF!="Padrão",$H$4=#REF!),BDI!$B$17,IF(AND(#REF!="Padrão",$H$4=#REF!),BDI!#REF!,IF(AND(#REF!="Diferenciado",$H$4=#REF!),BDI!$E$17,IF(AND(#REF!="Diferenciado",$H$4=#REF!),BDI!#REF!,IF(#REF!="ZERO",0))))),"")</f>
        <v>#REF!</v>
      </c>
      <c r="H628" s="139" t="str">
        <f t="shared" si="28"/>
        <v/>
      </c>
      <c r="I628" s="137" t="str">
        <f t="shared" si="29"/>
        <v/>
      </c>
      <c r="J628" s="117"/>
    </row>
    <row r="629" spans="1:10" hidden="1" x14ac:dyDescent="0.25">
      <c r="A629" s="114" t="s">
        <v>2022</v>
      </c>
      <c r="B629" s="115" t="s">
        <v>2023</v>
      </c>
      <c r="C629" s="116" t="s">
        <v>16</v>
      </c>
      <c r="D629" s="116">
        <v>0</v>
      </c>
      <c r="E629" s="136" t="s">
        <v>416</v>
      </c>
      <c r="F629" s="137" t="str">
        <f t="shared" si="27"/>
        <v/>
      </c>
      <c r="G629" s="138" t="e">
        <f>IF(A629&lt;&gt;"",IF(AND(#REF!="Padrão",$H$4=#REF!),BDI!$B$17,IF(AND(#REF!="Padrão",$H$4=#REF!),BDI!#REF!,IF(AND(#REF!="Diferenciado",$H$4=#REF!),BDI!$E$17,IF(AND(#REF!="Diferenciado",$H$4=#REF!),BDI!#REF!,IF(#REF!="ZERO",0))))),"")</f>
        <v>#REF!</v>
      </c>
      <c r="H629" s="139" t="str">
        <f t="shared" si="28"/>
        <v/>
      </c>
      <c r="I629" s="137" t="str">
        <f t="shared" si="29"/>
        <v/>
      </c>
      <c r="J629" s="117"/>
    </row>
    <row r="630" spans="1:10" hidden="1" x14ac:dyDescent="0.25">
      <c r="A630" s="114" t="s">
        <v>2024</v>
      </c>
      <c r="B630" s="115" t="s">
        <v>7650</v>
      </c>
      <c r="C630" s="116" t="s">
        <v>16</v>
      </c>
      <c r="D630" s="116">
        <v>0</v>
      </c>
      <c r="E630" s="136" t="s">
        <v>416</v>
      </c>
      <c r="F630" s="137" t="str">
        <f t="shared" si="27"/>
        <v/>
      </c>
      <c r="G630" s="138" t="e">
        <f>IF(A630&lt;&gt;"",IF(AND(#REF!="Padrão",$H$4=#REF!),BDI!$B$17,IF(AND(#REF!="Padrão",$H$4=#REF!),BDI!#REF!,IF(AND(#REF!="Diferenciado",$H$4=#REF!),BDI!$E$17,IF(AND(#REF!="Diferenciado",$H$4=#REF!),BDI!#REF!,IF(#REF!="ZERO",0))))),"")</f>
        <v>#REF!</v>
      </c>
      <c r="H630" s="139" t="str">
        <f t="shared" si="28"/>
        <v/>
      </c>
      <c r="I630" s="137" t="str">
        <f t="shared" si="29"/>
        <v/>
      </c>
      <c r="J630" s="117"/>
    </row>
    <row r="631" spans="1:10" hidden="1" x14ac:dyDescent="0.25">
      <c r="A631" s="114" t="s">
        <v>2025</v>
      </c>
      <c r="B631" s="115" t="s">
        <v>7651</v>
      </c>
      <c r="C631" s="116" t="s">
        <v>16</v>
      </c>
      <c r="D631" s="116">
        <v>0</v>
      </c>
      <c r="E631" s="136" t="s">
        <v>416</v>
      </c>
      <c r="F631" s="137" t="str">
        <f t="shared" si="27"/>
        <v/>
      </c>
      <c r="G631" s="138" t="e">
        <f>IF(A631&lt;&gt;"",IF(AND(#REF!="Padrão",$H$4=#REF!),BDI!$B$17,IF(AND(#REF!="Padrão",$H$4=#REF!),BDI!#REF!,IF(AND(#REF!="Diferenciado",$H$4=#REF!),BDI!$E$17,IF(AND(#REF!="Diferenciado",$H$4=#REF!),BDI!#REF!,IF(#REF!="ZERO",0))))),"")</f>
        <v>#REF!</v>
      </c>
      <c r="H631" s="139" t="str">
        <f t="shared" si="28"/>
        <v/>
      </c>
      <c r="I631" s="137" t="str">
        <f t="shared" si="29"/>
        <v/>
      </c>
      <c r="J631" s="117"/>
    </row>
    <row r="632" spans="1:10" hidden="1" x14ac:dyDescent="0.25">
      <c r="A632" s="114" t="s">
        <v>2026</v>
      </c>
      <c r="B632" s="115" t="s">
        <v>7652</v>
      </c>
      <c r="C632" s="116" t="s">
        <v>16</v>
      </c>
      <c r="D632" s="116">
        <v>0</v>
      </c>
      <c r="E632" s="136" t="s">
        <v>416</v>
      </c>
      <c r="F632" s="137" t="str">
        <f t="shared" si="27"/>
        <v/>
      </c>
      <c r="G632" s="138" t="e">
        <f>IF(A632&lt;&gt;"",IF(AND(#REF!="Padrão",$H$4=#REF!),BDI!$B$17,IF(AND(#REF!="Padrão",$H$4=#REF!),BDI!#REF!,IF(AND(#REF!="Diferenciado",$H$4=#REF!),BDI!$E$17,IF(AND(#REF!="Diferenciado",$H$4=#REF!),BDI!#REF!,IF(#REF!="ZERO",0))))),"")</f>
        <v>#REF!</v>
      </c>
      <c r="H632" s="139" t="str">
        <f t="shared" si="28"/>
        <v/>
      </c>
      <c r="I632" s="137" t="str">
        <f t="shared" si="29"/>
        <v/>
      </c>
      <c r="J632" s="117"/>
    </row>
    <row r="633" spans="1:10" hidden="1" x14ac:dyDescent="0.25">
      <c r="A633" s="114" t="s">
        <v>2027</v>
      </c>
      <c r="B633" s="115" t="s">
        <v>7654</v>
      </c>
      <c r="C633" s="116" t="s">
        <v>16</v>
      </c>
      <c r="D633" s="116">
        <v>0</v>
      </c>
      <c r="E633" s="136" t="s">
        <v>416</v>
      </c>
      <c r="F633" s="137" t="str">
        <f t="shared" si="27"/>
        <v/>
      </c>
      <c r="G633" s="138" t="e">
        <f>IF(A633&lt;&gt;"",IF(AND(#REF!="Padrão",$H$4=#REF!),BDI!$B$17,IF(AND(#REF!="Padrão",$H$4=#REF!),BDI!#REF!,IF(AND(#REF!="Diferenciado",$H$4=#REF!),BDI!$E$17,IF(AND(#REF!="Diferenciado",$H$4=#REF!),BDI!#REF!,IF(#REF!="ZERO",0))))),"")</f>
        <v>#REF!</v>
      </c>
      <c r="H633" s="139" t="str">
        <f t="shared" si="28"/>
        <v/>
      </c>
      <c r="I633" s="137" t="str">
        <f t="shared" si="29"/>
        <v/>
      </c>
      <c r="J633" s="117"/>
    </row>
    <row r="634" spans="1:10" hidden="1" x14ac:dyDescent="0.25">
      <c r="A634" s="114" t="s">
        <v>2028</v>
      </c>
      <c r="B634" s="115" t="s">
        <v>7653</v>
      </c>
      <c r="C634" s="116" t="s">
        <v>16</v>
      </c>
      <c r="D634" s="116">
        <v>0</v>
      </c>
      <c r="E634" s="136" t="s">
        <v>416</v>
      </c>
      <c r="F634" s="137" t="str">
        <f t="shared" si="27"/>
        <v/>
      </c>
      <c r="G634" s="138" t="e">
        <f>IF(A634&lt;&gt;"",IF(AND(#REF!="Padrão",$H$4=#REF!),BDI!$B$17,IF(AND(#REF!="Padrão",$H$4=#REF!),BDI!#REF!,IF(AND(#REF!="Diferenciado",$H$4=#REF!),BDI!$E$17,IF(AND(#REF!="Diferenciado",$H$4=#REF!),BDI!#REF!,IF(#REF!="ZERO",0))))),"")</f>
        <v>#REF!</v>
      </c>
      <c r="H634" s="139" t="str">
        <f t="shared" si="28"/>
        <v/>
      </c>
      <c r="I634" s="137" t="str">
        <f t="shared" si="29"/>
        <v/>
      </c>
      <c r="J634" s="117"/>
    </row>
    <row r="635" spans="1:10" hidden="1" x14ac:dyDescent="0.25">
      <c r="A635" s="114" t="s">
        <v>2029</v>
      </c>
      <c r="B635" s="115" t="s">
        <v>7655</v>
      </c>
      <c r="C635" s="116" t="s">
        <v>16</v>
      </c>
      <c r="D635" s="116">
        <v>0</v>
      </c>
      <c r="E635" s="136" t="s">
        <v>416</v>
      </c>
      <c r="F635" s="137" t="str">
        <f t="shared" si="27"/>
        <v/>
      </c>
      <c r="G635" s="138" t="e">
        <f>IF(A635&lt;&gt;"",IF(AND(#REF!="Padrão",$H$4=#REF!),BDI!$B$17,IF(AND(#REF!="Padrão",$H$4=#REF!),BDI!#REF!,IF(AND(#REF!="Diferenciado",$H$4=#REF!),BDI!$E$17,IF(AND(#REF!="Diferenciado",$H$4=#REF!),BDI!#REF!,IF(#REF!="ZERO",0))))),"")</f>
        <v>#REF!</v>
      </c>
      <c r="H635" s="139" t="str">
        <f t="shared" si="28"/>
        <v/>
      </c>
      <c r="I635" s="137" t="str">
        <f t="shared" si="29"/>
        <v/>
      </c>
      <c r="J635" s="117"/>
    </row>
    <row r="636" spans="1:10" hidden="1" x14ac:dyDescent="0.25">
      <c r="A636" s="114" t="s">
        <v>2030</v>
      </c>
      <c r="B636" s="115" t="s">
        <v>7656</v>
      </c>
      <c r="C636" s="116" t="s">
        <v>16</v>
      </c>
      <c r="D636" s="116">
        <v>0</v>
      </c>
      <c r="E636" s="136" t="s">
        <v>416</v>
      </c>
      <c r="F636" s="137" t="str">
        <f t="shared" si="27"/>
        <v/>
      </c>
      <c r="G636" s="138" t="e">
        <f>IF(A636&lt;&gt;"",IF(AND(#REF!="Padrão",$H$4=#REF!),BDI!$B$17,IF(AND(#REF!="Padrão",$H$4=#REF!),BDI!#REF!,IF(AND(#REF!="Diferenciado",$H$4=#REF!),BDI!$E$17,IF(AND(#REF!="Diferenciado",$H$4=#REF!),BDI!#REF!,IF(#REF!="ZERO",0))))),"")</f>
        <v>#REF!</v>
      </c>
      <c r="H636" s="139" t="str">
        <f t="shared" si="28"/>
        <v/>
      </c>
      <c r="I636" s="137" t="str">
        <f t="shared" si="29"/>
        <v/>
      </c>
      <c r="J636" s="117"/>
    </row>
    <row r="637" spans="1:10" hidden="1" x14ac:dyDescent="0.25">
      <c r="A637" s="114" t="s">
        <v>2031</v>
      </c>
      <c r="B637" s="115" t="s">
        <v>7657</v>
      </c>
      <c r="C637" s="116" t="s">
        <v>16</v>
      </c>
      <c r="D637" s="116">
        <v>0</v>
      </c>
      <c r="E637" s="136" t="s">
        <v>416</v>
      </c>
      <c r="F637" s="137" t="str">
        <f t="shared" si="27"/>
        <v/>
      </c>
      <c r="G637" s="138" t="e">
        <f>IF(A637&lt;&gt;"",IF(AND(#REF!="Padrão",$H$4=#REF!),BDI!$B$17,IF(AND(#REF!="Padrão",$H$4=#REF!),BDI!#REF!,IF(AND(#REF!="Diferenciado",$H$4=#REF!),BDI!$E$17,IF(AND(#REF!="Diferenciado",$H$4=#REF!),BDI!#REF!,IF(#REF!="ZERO",0))))),"")</f>
        <v>#REF!</v>
      </c>
      <c r="H637" s="139" t="str">
        <f t="shared" si="28"/>
        <v/>
      </c>
      <c r="I637" s="137" t="str">
        <f t="shared" si="29"/>
        <v/>
      </c>
      <c r="J637" s="117"/>
    </row>
    <row r="638" spans="1:10" hidden="1" x14ac:dyDescent="0.25">
      <c r="A638" s="114" t="s">
        <v>2032</v>
      </c>
      <c r="B638" s="115" t="s">
        <v>7658</v>
      </c>
      <c r="C638" s="116" t="s">
        <v>16</v>
      </c>
      <c r="D638" s="116">
        <v>0</v>
      </c>
      <c r="E638" s="136" t="s">
        <v>416</v>
      </c>
      <c r="F638" s="137" t="str">
        <f t="shared" si="27"/>
        <v/>
      </c>
      <c r="G638" s="138" t="e">
        <f>IF(A638&lt;&gt;"",IF(AND(#REF!="Padrão",$H$4=#REF!),BDI!$B$17,IF(AND(#REF!="Padrão",$H$4=#REF!),BDI!#REF!,IF(AND(#REF!="Diferenciado",$H$4=#REF!),BDI!$E$17,IF(AND(#REF!="Diferenciado",$H$4=#REF!),BDI!#REF!,IF(#REF!="ZERO",0))))),"")</f>
        <v>#REF!</v>
      </c>
      <c r="H638" s="139" t="str">
        <f t="shared" si="28"/>
        <v/>
      </c>
      <c r="I638" s="137" t="str">
        <f t="shared" si="29"/>
        <v/>
      </c>
      <c r="J638" s="117"/>
    </row>
    <row r="639" spans="1:10" hidden="1" x14ac:dyDescent="0.25">
      <c r="A639" s="114" t="s">
        <v>2033</v>
      </c>
      <c r="B639" s="115" t="s">
        <v>7659</v>
      </c>
      <c r="C639" s="116" t="s">
        <v>16</v>
      </c>
      <c r="D639" s="116">
        <v>0</v>
      </c>
      <c r="E639" s="136" t="s">
        <v>416</v>
      </c>
      <c r="F639" s="137" t="str">
        <f t="shared" si="27"/>
        <v/>
      </c>
      <c r="G639" s="138" t="e">
        <f>IF(A639&lt;&gt;"",IF(AND(#REF!="Padrão",$H$4=#REF!),BDI!$B$17,IF(AND(#REF!="Padrão",$H$4=#REF!),BDI!#REF!,IF(AND(#REF!="Diferenciado",$H$4=#REF!),BDI!$E$17,IF(AND(#REF!="Diferenciado",$H$4=#REF!),BDI!#REF!,IF(#REF!="ZERO",0))))),"")</f>
        <v>#REF!</v>
      </c>
      <c r="H639" s="139" t="str">
        <f t="shared" si="28"/>
        <v/>
      </c>
      <c r="I639" s="137" t="str">
        <f t="shared" si="29"/>
        <v/>
      </c>
      <c r="J639" s="117"/>
    </row>
    <row r="640" spans="1:10" hidden="1" x14ac:dyDescent="0.25">
      <c r="A640" s="114" t="s">
        <v>2034</v>
      </c>
      <c r="B640" s="115" t="s">
        <v>7660</v>
      </c>
      <c r="C640" s="116" t="s">
        <v>16</v>
      </c>
      <c r="D640" s="116">
        <v>0</v>
      </c>
      <c r="E640" s="136" t="s">
        <v>416</v>
      </c>
      <c r="F640" s="137" t="str">
        <f t="shared" si="27"/>
        <v/>
      </c>
      <c r="G640" s="138" t="e">
        <f>IF(A640&lt;&gt;"",IF(AND(#REF!="Padrão",$H$4=#REF!),BDI!$B$17,IF(AND(#REF!="Padrão",$H$4=#REF!),BDI!#REF!,IF(AND(#REF!="Diferenciado",$H$4=#REF!),BDI!$E$17,IF(AND(#REF!="Diferenciado",$H$4=#REF!),BDI!#REF!,IF(#REF!="ZERO",0))))),"")</f>
        <v>#REF!</v>
      </c>
      <c r="H640" s="139" t="str">
        <f t="shared" si="28"/>
        <v/>
      </c>
      <c r="I640" s="137" t="str">
        <f t="shared" si="29"/>
        <v/>
      </c>
      <c r="J640" s="117"/>
    </row>
    <row r="641" spans="1:10" hidden="1" x14ac:dyDescent="0.25">
      <c r="A641" s="114" t="s">
        <v>2035</v>
      </c>
      <c r="B641" s="115" t="s">
        <v>7661</v>
      </c>
      <c r="C641" s="116" t="s">
        <v>16</v>
      </c>
      <c r="D641" s="116">
        <v>0</v>
      </c>
      <c r="E641" s="136" t="s">
        <v>416</v>
      </c>
      <c r="F641" s="137" t="str">
        <f t="shared" si="27"/>
        <v/>
      </c>
      <c r="G641" s="138" t="e">
        <f>IF(A641&lt;&gt;"",IF(AND(#REF!="Padrão",$H$4=#REF!),BDI!$B$17,IF(AND(#REF!="Padrão",$H$4=#REF!),BDI!#REF!,IF(AND(#REF!="Diferenciado",$H$4=#REF!),BDI!$E$17,IF(AND(#REF!="Diferenciado",$H$4=#REF!),BDI!#REF!,IF(#REF!="ZERO",0))))),"")</f>
        <v>#REF!</v>
      </c>
      <c r="H641" s="139" t="str">
        <f t="shared" si="28"/>
        <v/>
      </c>
      <c r="I641" s="137" t="str">
        <f t="shared" si="29"/>
        <v/>
      </c>
      <c r="J641" s="117"/>
    </row>
    <row r="642" spans="1:10" hidden="1" x14ac:dyDescent="0.25">
      <c r="A642" s="114" t="s">
        <v>2036</v>
      </c>
      <c r="B642" s="115" t="s">
        <v>2037</v>
      </c>
      <c r="C642" s="116" t="s">
        <v>16</v>
      </c>
      <c r="D642" s="116">
        <v>0</v>
      </c>
      <c r="E642" s="136" t="s">
        <v>416</v>
      </c>
      <c r="F642" s="137" t="str">
        <f t="shared" si="27"/>
        <v/>
      </c>
      <c r="G642" s="138" t="e">
        <f>IF(A642&lt;&gt;"",IF(AND(#REF!="Padrão",$H$4=#REF!),BDI!$B$17,IF(AND(#REF!="Padrão",$H$4=#REF!),BDI!#REF!,IF(AND(#REF!="Diferenciado",$H$4=#REF!),BDI!$E$17,IF(AND(#REF!="Diferenciado",$H$4=#REF!),BDI!#REF!,IF(#REF!="ZERO",0))))),"")</f>
        <v>#REF!</v>
      </c>
      <c r="H642" s="139" t="str">
        <f t="shared" si="28"/>
        <v/>
      </c>
      <c r="I642" s="137" t="str">
        <f t="shared" si="29"/>
        <v/>
      </c>
      <c r="J642" s="117"/>
    </row>
    <row r="643" spans="1:10" hidden="1" x14ac:dyDescent="0.25">
      <c r="A643" s="114" t="s">
        <v>2038</v>
      </c>
      <c r="B643" s="115" t="s">
        <v>7662</v>
      </c>
      <c r="C643" s="116" t="s">
        <v>16</v>
      </c>
      <c r="D643" s="116">
        <v>0</v>
      </c>
      <c r="E643" s="136" t="s">
        <v>416</v>
      </c>
      <c r="F643" s="137" t="str">
        <f t="shared" si="27"/>
        <v/>
      </c>
      <c r="G643" s="138" t="e">
        <f>IF(A643&lt;&gt;"",IF(AND(#REF!="Padrão",$H$4=#REF!),BDI!$B$17,IF(AND(#REF!="Padrão",$H$4=#REF!),BDI!#REF!,IF(AND(#REF!="Diferenciado",$H$4=#REF!),BDI!$E$17,IF(AND(#REF!="Diferenciado",$H$4=#REF!),BDI!#REF!,IF(#REF!="ZERO",0))))),"")</f>
        <v>#REF!</v>
      </c>
      <c r="H643" s="139" t="str">
        <f t="shared" si="28"/>
        <v/>
      </c>
      <c r="I643" s="137" t="str">
        <f t="shared" si="29"/>
        <v/>
      </c>
      <c r="J643" s="117"/>
    </row>
    <row r="644" spans="1:10" hidden="1" x14ac:dyDescent="0.25">
      <c r="A644" s="114" t="s">
        <v>2039</v>
      </c>
      <c r="B644" s="115" t="s">
        <v>2040</v>
      </c>
      <c r="C644" s="116" t="s">
        <v>16</v>
      </c>
      <c r="D644" s="116">
        <v>0</v>
      </c>
      <c r="E644" s="136" t="s">
        <v>416</v>
      </c>
      <c r="F644" s="137" t="str">
        <f t="shared" si="27"/>
        <v/>
      </c>
      <c r="G644" s="138" t="e">
        <f>IF(A644&lt;&gt;"",IF(AND(#REF!="Padrão",$H$4=#REF!),BDI!$B$17,IF(AND(#REF!="Padrão",$H$4=#REF!),BDI!#REF!,IF(AND(#REF!="Diferenciado",$H$4=#REF!),BDI!$E$17,IF(AND(#REF!="Diferenciado",$H$4=#REF!),BDI!#REF!,IF(#REF!="ZERO",0))))),"")</f>
        <v>#REF!</v>
      </c>
      <c r="H644" s="139" t="str">
        <f t="shared" si="28"/>
        <v/>
      </c>
      <c r="I644" s="137" t="str">
        <f t="shared" si="29"/>
        <v/>
      </c>
      <c r="J644" s="117"/>
    </row>
    <row r="645" spans="1:10" hidden="1" x14ac:dyDescent="0.25">
      <c r="A645" s="114" t="s">
        <v>2041</v>
      </c>
      <c r="B645" s="115" t="s">
        <v>2042</v>
      </c>
      <c r="C645" s="116" t="s">
        <v>16</v>
      </c>
      <c r="D645" s="116">
        <v>0</v>
      </c>
      <c r="E645" s="136" t="s">
        <v>416</v>
      </c>
      <c r="F645" s="137" t="str">
        <f t="shared" si="27"/>
        <v/>
      </c>
      <c r="G645" s="138" t="e">
        <f>IF(A645&lt;&gt;"",IF(AND(#REF!="Padrão",$H$4=#REF!),BDI!$B$17,IF(AND(#REF!="Padrão",$H$4=#REF!),BDI!#REF!,IF(AND(#REF!="Diferenciado",$H$4=#REF!),BDI!$E$17,IF(AND(#REF!="Diferenciado",$H$4=#REF!),BDI!#REF!,IF(#REF!="ZERO",0))))),"")</f>
        <v>#REF!</v>
      </c>
      <c r="H645" s="139" t="str">
        <f t="shared" si="28"/>
        <v/>
      </c>
      <c r="I645" s="137" t="str">
        <f t="shared" si="29"/>
        <v/>
      </c>
      <c r="J645" s="117"/>
    </row>
    <row r="646" spans="1:10" hidden="1" x14ac:dyDescent="0.25">
      <c r="A646" s="114" t="s">
        <v>2043</v>
      </c>
      <c r="B646" s="115" t="s">
        <v>2044</v>
      </c>
      <c r="C646" s="116" t="s">
        <v>16</v>
      </c>
      <c r="D646" s="116">
        <v>0</v>
      </c>
      <c r="E646" s="136" t="s">
        <v>416</v>
      </c>
      <c r="F646" s="137" t="str">
        <f t="shared" si="27"/>
        <v/>
      </c>
      <c r="G646" s="138" t="e">
        <f>IF(A646&lt;&gt;"",IF(AND(#REF!="Padrão",$H$4=#REF!),BDI!$B$17,IF(AND(#REF!="Padrão",$H$4=#REF!),BDI!#REF!,IF(AND(#REF!="Diferenciado",$H$4=#REF!),BDI!$E$17,IF(AND(#REF!="Diferenciado",$H$4=#REF!),BDI!#REF!,IF(#REF!="ZERO",0))))),"")</f>
        <v>#REF!</v>
      </c>
      <c r="H646" s="139" t="str">
        <f t="shared" si="28"/>
        <v/>
      </c>
      <c r="I646" s="137" t="str">
        <f t="shared" si="29"/>
        <v/>
      </c>
      <c r="J646" s="117"/>
    </row>
    <row r="647" spans="1:10" hidden="1" x14ac:dyDescent="0.25">
      <c r="A647" s="114" t="s">
        <v>2045</v>
      </c>
      <c r="B647" s="115" t="s">
        <v>2046</v>
      </c>
      <c r="C647" s="116" t="s">
        <v>16</v>
      </c>
      <c r="D647" s="116">
        <v>0</v>
      </c>
      <c r="E647" s="136" t="s">
        <v>416</v>
      </c>
      <c r="F647" s="137" t="str">
        <f t="shared" ref="F647:F710" si="30">IF(ISNUMBER(E647),D647*E647,"")</f>
        <v/>
      </c>
      <c r="G647" s="138" t="e">
        <f>IF(A647&lt;&gt;"",IF(AND(#REF!="Padrão",$H$4=#REF!),BDI!$B$17,IF(AND(#REF!="Padrão",$H$4=#REF!),BDI!#REF!,IF(AND(#REF!="Diferenciado",$H$4=#REF!),BDI!$E$17,IF(AND(#REF!="Diferenciado",$H$4=#REF!),BDI!#REF!,IF(#REF!="ZERO",0))))),"")</f>
        <v>#REF!</v>
      </c>
      <c r="H647" s="139" t="str">
        <f t="shared" ref="H647:H710" si="31">IF(ISNUMBER(E647),ROUND(E647*(1+G647),2),"")</f>
        <v/>
      </c>
      <c r="I647" s="137" t="str">
        <f t="shared" ref="I647:I710" si="32">IF(ISNUMBER(E647),ROUND(H647*D647,2),"")</f>
        <v/>
      </c>
      <c r="J647" s="117"/>
    </row>
    <row r="648" spans="1:10" hidden="1" x14ac:dyDescent="0.25">
      <c r="A648" s="114" t="s">
        <v>2047</v>
      </c>
      <c r="B648" s="115" t="s">
        <v>2048</v>
      </c>
      <c r="C648" s="116" t="s">
        <v>16</v>
      </c>
      <c r="D648" s="116">
        <v>0</v>
      </c>
      <c r="E648" s="136" t="s">
        <v>416</v>
      </c>
      <c r="F648" s="137" t="str">
        <f t="shared" si="30"/>
        <v/>
      </c>
      <c r="G648" s="138" t="e">
        <f>IF(A648&lt;&gt;"",IF(AND(#REF!="Padrão",$H$4=#REF!),BDI!$B$17,IF(AND(#REF!="Padrão",$H$4=#REF!),BDI!#REF!,IF(AND(#REF!="Diferenciado",$H$4=#REF!),BDI!$E$17,IF(AND(#REF!="Diferenciado",$H$4=#REF!),BDI!#REF!,IF(#REF!="ZERO",0))))),"")</f>
        <v>#REF!</v>
      </c>
      <c r="H648" s="139" t="str">
        <f t="shared" si="31"/>
        <v/>
      </c>
      <c r="I648" s="137" t="str">
        <f t="shared" si="32"/>
        <v/>
      </c>
      <c r="J648" s="117"/>
    </row>
    <row r="649" spans="1:10" hidden="1" x14ac:dyDescent="0.25">
      <c r="A649" s="114" t="s">
        <v>2049</v>
      </c>
      <c r="B649" s="115" t="s">
        <v>2050</v>
      </c>
      <c r="C649" s="116" t="s">
        <v>28</v>
      </c>
      <c r="D649" s="116">
        <v>0</v>
      </c>
      <c r="E649" s="136" t="s">
        <v>416</v>
      </c>
      <c r="F649" s="137" t="str">
        <f t="shared" si="30"/>
        <v/>
      </c>
      <c r="G649" s="138" t="e">
        <f>IF(A649&lt;&gt;"",IF(AND(#REF!="Padrão",$H$4=#REF!),BDI!$B$17,IF(AND(#REF!="Padrão",$H$4=#REF!),BDI!#REF!,IF(AND(#REF!="Diferenciado",$H$4=#REF!),BDI!$E$17,IF(AND(#REF!="Diferenciado",$H$4=#REF!),BDI!#REF!,IF(#REF!="ZERO",0))))),"")</f>
        <v>#REF!</v>
      </c>
      <c r="H649" s="139" t="str">
        <f t="shared" si="31"/>
        <v/>
      </c>
      <c r="I649" s="137" t="str">
        <f t="shared" si="32"/>
        <v/>
      </c>
      <c r="J649" s="117"/>
    </row>
    <row r="650" spans="1:10" hidden="1" x14ac:dyDescent="0.25">
      <c r="A650" s="114" t="s">
        <v>2051</v>
      </c>
      <c r="B650" s="115" t="s">
        <v>2052</v>
      </c>
      <c r="C650" s="116" t="s">
        <v>75</v>
      </c>
      <c r="D650" s="116">
        <v>0</v>
      </c>
      <c r="E650" s="136" t="s">
        <v>416</v>
      </c>
      <c r="F650" s="137" t="str">
        <f t="shared" si="30"/>
        <v/>
      </c>
      <c r="G650" s="138" t="e">
        <f>IF(A650&lt;&gt;"",IF(AND(#REF!="Padrão",$H$4=#REF!),BDI!$B$17,IF(AND(#REF!="Padrão",$H$4=#REF!),BDI!#REF!,IF(AND(#REF!="Diferenciado",$H$4=#REF!),BDI!$E$17,IF(AND(#REF!="Diferenciado",$H$4=#REF!),BDI!#REF!,IF(#REF!="ZERO",0))))),"")</f>
        <v>#REF!</v>
      </c>
      <c r="H650" s="139" t="str">
        <f t="shared" si="31"/>
        <v/>
      </c>
      <c r="I650" s="137" t="str">
        <f t="shared" si="32"/>
        <v/>
      </c>
      <c r="J650" s="117"/>
    </row>
    <row r="651" spans="1:10" hidden="1" x14ac:dyDescent="0.25">
      <c r="A651" s="114" t="s">
        <v>2053</v>
      </c>
      <c r="B651" s="115" t="s">
        <v>2054</v>
      </c>
      <c r="C651" s="116" t="s">
        <v>75</v>
      </c>
      <c r="D651" s="116">
        <v>0</v>
      </c>
      <c r="E651" s="136" t="s">
        <v>416</v>
      </c>
      <c r="F651" s="137" t="str">
        <f t="shared" si="30"/>
        <v/>
      </c>
      <c r="G651" s="138" t="e">
        <f>IF(A651&lt;&gt;"",IF(AND(#REF!="Padrão",$H$4=#REF!),BDI!$B$17,IF(AND(#REF!="Padrão",$H$4=#REF!),BDI!#REF!,IF(AND(#REF!="Diferenciado",$H$4=#REF!),BDI!$E$17,IF(AND(#REF!="Diferenciado",$H$4=#REF!),BDI!#REF!,IF(#REF!="ZERO",0))))),"")</f>
        <v>#REF!</v>
      </c>
      <c r="H651" s="139" t="str">
        <f t="shared" si="31"/>
        <v/>
      </c>
      <c r="I651" s="137" t="str">
        <f t="shared" si="32"/>
        <v/>
      </c>
      <c r="J651" s="117"/>
    </row>
    <row r="652" spans="1:10" hidden="1" x14ac:dyDescent="0.25">
      <c r="A652" s="114" t="s">
        <v>2055</v>
      </c>
      <c r="B652" s="115" t="s">
        <v>2056</v>
      </c>
      <c r="C652" s="116" t="s">
        <v>75</v>
      </c>
      <c r="D652" s="116">
        <v>0</v>
      </c>
      <c r="E652" s="136" t="s">
        <v>416</v>
      </c>
      <c r="F652" s="137" t="str">
        <f t="shared" si="30"/>
        <v/>
      </c>
      <c r="G652" s="138" t="e">
        <f>IF(A652&lt;&gt;"",IF(AND(#REF!="Padrão",$H$4=#REF!),BDI!$B$17,IF(AND(#REF!="Padrão",$H$4=#REF!),BDI!#REF!,IF(AND(#REF!="Diferenciado",$H$4=#REF!),BDI!$E$17,IF(AND(#REF!="Diferenciado",$H$4=#REF!),BDI!#REF!,IF(#REF!="ZERO",0))))),"")</f>
        <v>#REF!</v>
      </c>
      <c r="H652" s="139" t="str">
        <f t="shared" si="31"/>
        <v/>
      </c>
      <c r="I652" s="137" t="str">
        <f t="shared" si="32"/>
        <v/>
      </c>
      <c r="J652" s="117"/>
    </row>
    <row r="653" spans="1:10" hidden="1" x14ac:dyDescent="0.25">
      <c r="A653" s="114" t="s">
        <v>2057</v>
      </c>
      <c r="B653" s="115" t="s">
        <v>2058</v>
      </c>
      <c r="C653" s="116" t="s">
        <v>75</v>
      </c>
      <c r="D653" s="116">
        <v>0</v>
      </c>
      <c r="E653" s="136" t="s">
        <v>416</v>
      </c>
      <c r="F653" s="137" t="str">
        <f t="shared" si="30"/>
        <v/>
      </c>
      <c r="G653" s="138" t="e">
        <f>IF(A653&lt;&gt;"",IF(AND(#REF!="Padrão",$H$4=#REF!),BDI!$B$17,IF(AND(#REF!="Padrão",$H$4=#REF!),BDI!#REF!,IF(AND(#REF!="Diferenciado",$H$4=#REF!),BDI!$E$17,IF(AND(#REF!="Diferenciado",$H$4=#REF!),BDI!#REF!,IF(#REF!="ZERO",0))))),"")</f>
        <v>#REF!</v>
      </c>
      <c r="H653" s="139" t="str">
        <f t="shared" si="31"/>
        <v/>
      </c>
      <c r="I653" s="137" t="str">
        <f t="shared" si="32"/>
        <v/>
      </c>
      <c r="J653" s="117"/>
    </row>
    <row r="654" spans="1:10" hidden="1" x14ac:dyDescent="0.25">
      <c r="A654" s="114" t="s">
        <v>2059</v>
      </c>
      <c r="B654" s="115" t="s">
        <v>2060</v>
      </c>
      <c r="C654" s="116" t="s">
        <v>75</v>
      </c>
      <c r="D654" s="116">
        <v>0</v>
      </c>
      <c r="E654" s="136" t="s">
        <v>416</v>
      </c>
      <c r="F654" s="137" t="str">
        <f t="shared" si="30"/>
        <v/>
      </c>
      <c r="G654" s="138" t="e">
        <f>IF(A654&lt;&gt;"",IF(AND(#REF!="Padrão",$H$4=#REF!),BDI!$B$17,IF(AND(#REF!="Padrão",$H$4=#REF!),BDI!#REF!,IF(AND(#REF!="Diferenciado",$H$4=#REF!),BDI!$E$17,IF(AND(#REF!="Diferenciado",$H$4=#REF!),BDI!#REF!,IF(#REF!="ZERO",0))))),"")</f>
        <v>#REF!</v>
      </c>
      <c r="H654" s="139" t="str">
        <f t="shared" si="31"/>
        <v/>
      </c>
      <c r="I654" s="137" t="str">
        <f t="shared" si="32"/>
        <v/>
      </c>
      <c r="J654" s="117"/>
    </row>
    <row r="655" spans="1:10" hidden="1" x14ac:dyDescent="0.25">
      <c r="A655" s="114" t="s">
        <v>2061</v>
      </c>
      <c r="B655" s="115" t="s">
        <v>5505</v>
      </c>
      <c r="C655" s="116" t="s">
        <v>16</v>
      </c>
      <c r="D655" s="116">
        <v>0</v>
      </c>
      <c r="E655" s="136" t="s">
        <v>416</v>
      </c>
      <c r="F655" s="137" t="str">
        <f t="shared" si="30"/>
        <v/>
      </c>
      <c r="G655" s="138" t="e">
        <f>IF(A655&lt;&gt;"",IF(AND(#REF!="Padrão",$H$4=#REF!),BDI!$B$17,IF(AND(#REF!="Padrão",$H$4=#REF!),BDI!#REF!,IF(AND(#REF!="Diferenciado",$H$4=#REF!),BDI!$E$17,IF(AND(#REF!="Diferenciado",$H$4=#REF!),BDI!#REF!,IF(#REF!="ZERO",0))))),"")</f>
        <v>#REF!</v>
      </c>
      <c r="H655" s="139" t="str">
        <f t="shared" si="31"/>
        <v/>
      </c>
      <c r="I655" s="137" t="str">
        <f t="shared" si="32"/>
        <v/>
      </c>
      <c r="J655" s="117"/>
    </row>
    <row r="656" spans="1:10" hidden="1" x14ac:dyDescent="0.25">
      <c r="A656" s="114" t="s">
        <v>2062</v>
      </c>
      <c r="B656" s="115" t="s">
        <v>2063</v>
      </c>
      <c r="C656" s="116" t="s">
        <v>28</v>
      </c>
      <c r="D656" s="116">
        <v>0</v>
      </c>
      <c r="E656" s="136" t="s">
        <v>416</v>
      </c>
      <c r="F656" s="137" t="str">
        <f t="shared" si="30"/>
        <v/>
      </c>
      <c r="G656" s="138" t="e">
        <f>IF(A656&lt;&gt;"",IF(AND(#REF!="Padrão",$H$4=#REF!),BDI!$B$17,IF(AND(#REF!="Padrão",$H$4=#REF!),BDI!#REF!,IF(AND(#REF!="Diferenciado",$H$4=#REF!),BDI!$E$17,IF(AND(#REF!="Diferenciado",$H$4=#REF!),BDI!#REF!,IF(#REF!="ZERO",0))))),"")</f>
        <v>#REF!</v>
      </c>
      <c r="H656" s="139" t="str">
        <f t="shared" si="31"/>
        <v/>
      </c>
      <c r="I656" s="137" t="str">
        <f t="shared" si="32"/>
        <v/>
      </c>
      <c r="J656" s="117"/>
    </row>
    <row r="657" spans="1:10" hidden="1" x14ac:dyDescent="0.25">
      <c r="A657" s="114" t="s">
        <v>2064</v>
      </c>
      <c r="B657" s="115" t="s">
        <v>2065</v>
      </c>
      <c r="C657" s="116" t="s">
        <v>16</v>
      </c>
      <c r="D657" s="116">
        <v>0</v>
      </c>
      <c r="E657" s="136" t="s">
        <v>416</v>
      </c>
      <c r="F657" s="137" t="str">
        <f t="shared" si="30"/>
        <v/>
      </c>
      <c r="G657" s="138" t="e">
        <f>IF(A657&lt;&gt;"",IF(AND(#REF!="Padrão",$H$4=#REF!),BDI!$B$17,IF(AND(#REF!="Padrão",$H$4=#REF!),BDI!#REF!,IF(AND(#REF!="Diferenciado",$H$4=#REF!),BDI!$E$17,IF(AND(#REF!="Diferenciado",$H$4=#REF!),BDI!#REF!,IF(#REF!="ZERO",0))))),"")</f>
        <v>#REF!</v>
      </c>
      <c r="H657" s="139" t="str">
        <f t="shared" si="31"/>
        <v/>
      </c>
      <c r="I657" s="137" t="str">
        <f t="shared" si="32"/>
        <v/>
      </c>
      <c r="J657" s="117"/>
    </row>
    <row r="658" spans="1:10" hidden="1" x14ac:dyDescent="0.25">
      <c r="A658" s="114" t="s">
        <v>2066</v>
      </c>
      <c r="B658" s="115" t="s">
        <v>2067</v>
      </c>
      <c r="C658" s="116" t="s">
        <v>16</v>
      </c>
      <c r="D658" s="116">
        <v>0</v>
      </c>
      <c r="E658" s="136" t="s">
        <v>416</v>
      </c>
      <c r="F658" s="137" t="str">
        <f t="shared" si="30"/>
        <v/>
      </c>
      <c r="G658" s="138" t="e">
        <f>IF(A658&lt;&gt;"",IF(AND(#REF!="Padrão",$H$4=#REF!),BDI!$B$17,IF(AND(#REF!="Padrão",$H$4=#REF!),BDI!#REF!,IF(AND(#REF!="Diferenciado",$H$4=#REF!),BDI!$E$17,IF(AND(#REF!="Diferenciado",$H$4=#REF!),BDI!#REF!,IF(#REF!="ZERO",0))))),"")</f>
        <v>#REF!</v>
      </c>
      <c r="H658" s="139" t="str">
        <f t="shared" si="31"/>
        <v/>
      </c>
      <c r="I658" s="137" t="str">
        <f t="shared" si="32"/>
        <v/>
      </c>
      <c r="J658" s="117"/>
    </row>
    <row r="659" spans="1:10" hidden="1" x14ac:dyDescent="0.25">
      <c r="A659" s="114" t="s">
        <v>2068</v>
      </c>
      <c r="B659" s="115" t="s">
        <v>2069</v>
      </c>
      <c r="C659" s="116" t="s">
        <v>16</v>
      </c>
      <c r="D659" s="116">
        <v>0</v>
      </c>
      <c r="E659" s="136" t="s">
        <v>416</v>
      </c>
      <c r="F659" s="137" t="str">
        <f t="shared" si="30"/>
        <v/>
      </c>
      <c r="G659" s="138" t="e">
        <f>IF(A659&lt;&gt;"",IF(AND(#REF!="Padrão",$H$4=#REF!),BDI!$B$17,IF(AND(#REF!="Padrão",$H$4=#REF!),BDI!#REF!,IF(AND(#REF!="Diferenciado",$H$4=#REF!),BDI!$E$17,IF(AND(#REF!="Diferenciado",$H$4=#REF!),BDI!#REF!,IF(#REF!="ZERO",0))))),"")</f>
        <v>#REF!</v>
      </c>
      <c r="H659" s="139" t="str">
        <f t="shared" si="31"/>
        <v/>
      </c>
      <c r="I659" s="137" t="str">
        <f t="shared" si="32"/>
        <v/>
      </c>
      <c r="J659" s="117"/>
    </row>
    <row r="660" spans="1:10" hidden="1" x14ac:dyDescent="0.25">
      <c r="A660" s="114" t="s">
        <v>2070</v>
      </c>
      <c r="B660" s="115" t="s">
        <v>2071</v>
      </c>
      <c r="C660" s="116" t="s">
        <v>16</v>
      </c>
      <c r="D660" s="116">
        <v>0</v>
      </c>
      <c r="E660" s="136" t="s">
        <v>416</v>
      </c>
      <c r="F660" s="137" t="str">
        <f t="shared" si="30"/>
        <v/>
      </c>
      <c r="G660" s="138" t="e">
        <f>IF(A660&lt;&gt;"",IF(AND(#REF!="Padrão",$H$4=#REF!),BDI!$B$17,IF(AND(#REF!="Padrão",$H$4=#REF!),BDI!#REF!,IF(AND(#REF!="Diferenciado",$H$4=#REF!),BDI!$E$17,IF(AND(#REF!="Diferenciado",$H$4=#REF!),BDI!#REF!,IF(#REF!="ZERO",0))))),"")</f>
        <v>#REF!</v>
      </c>
      <c r="H660" s="139" t="str">
        <f t="shared" si="31"/>
        <v/>
      </c>
      <c r="I660" s="137" t="str">
        <f t="shared" si="32"/>
        <v/>
      </c>
      <c r="J660" s="117"/>
    </row>
    <row r="661" spans="1:10" hidden="1" x14ac:dyDescent="0.25">
      <c r="A661" s="114" t="s">
        <v>2072</v>
      </c>
      <c r="B661" s="115" t="s">
        <v>2073</v>
      </c>
      <c r="C661" s="116" t="s">
        <v>16</v>
      </c>
      <c r="D661" s="116">
        <v>0</v>
      </c>
      <c r="E661" s="136" t="s">
        <v>416</v>
      </c>
      <c r="F661" s="137" t="str">
        <f t="shared" si="30"/>
        <v/>
      </c>
      <c r="G661" s="138" t="e">
        <f>IF(A661&lt;&gt;"",IF(AND(#REF!="Padrão",$H$4=#REF!),BDI!$B$17,IF(AND(#REF!="Padrão",$H$4=#REF!),BDI!#REF!,IF(AND(#REF!="Diferenciado",$H$4=#REF!),BDI!$E$17,IF(AND(#REF!="Diferenciado",$H$4=#REF!),BDI!#REF!,IF(#REF!="ZERO",0))))),"")</f>
        <v>#REF!</v>
      </c>
      <c r="H661" s="139" t="str">
        <f t="shared" si="31"/>
        <v/>
      </c>
      <c r="I661" s="137" t="str">
        <f t="shared" si="32"/>
        <v/>
      </c>
      <c r="J661" s="117"/>
    </row>
    <row r="662" spans="1:10" hidden="1" x14ac:dyDescent="0.25">
      <c r="A662" s="114" t="s">
        <v>2074</v>
      </c>
      <c r="B662" s="115" t="s">
        <v>2075</v>
      </c>
      <c r="C662" s="116" t="s">
        <v>16</v>
      </c>
      <c r="D662" s="116">
        <v>0</v>
      </c>
      <c r="E662" s="136" t="s">
        <v>416</v>
      </c>
      <c r="F662" s="137" t="str">
        <f t="shared" si="30"/>
        <v/>
      </c>
      <c r="G662" s="138" t="e">
        <f>IF(A662&lt;&gt;"",IF(AND(#REF!="Padrão",$H$4=#REF!),BDI!$B$17,IF(AND(#REF!="Padrão",$H$4=#REF!),BDI!#REF!,IF(AND(#REF!="Diferenciado",$H$4=#REF!),BDI!$E$17,IF(AND(#REF!="Diferenciado",$H$4=#REF!),BDI!#REF!,IF(#REF!="ZERO",0))))),"")</f>
        <v>#REF!</v>
      </c>
      <c r="H662" s="139" t="str">
        <f t="shared" si="31"/>
        <v/>
      </c>
      <c r="I662" s="137" t="str">
        <f t="shared" si="32"/>
        <v/>
      </c>
      <c r="J662" s="117"/>
    </row>
    <row r="663" spans="1:10" hidden="1" x14ac:dyDescent="0.25">
      <c r="A663" s="114" t="s">
        <v>2076</v>
      </c>
      <c r="B663" s="115" t="s">
        <v>2077</v>
      </c>
      <c r="C663" s="116" t="s">
        <v>16</v>
      </c>
      <c r="D663" s="116">
        <v>0</v>
      </c>
      <c r="E663" s="136" t="s">
        <v>416</v>
      </c>
      <c r="F663" s="137" t="str">
        <f t="shared" si="30"/>
        <v/>
      </c>
      <c r="G663" s="138" t="e">
        <f>IF(A663&lt;&gt;"",IF(AND(#REF!="Padrão",$H$4=#REF!),BDI!$B$17,IF(AND(#REF!="Padrão",$H$4=#REF!),BDI!#REF!,IF(AND(#REF!="Diferenciado",$H$4=#REF!),BDI!$E$17,IF(AND(#REF!="Diferenciado",$H$4=#REF!),BDI!#REF!,IF(#REF!="ZERO",0))))),"")</f>
        <v>#REF!</v>
      </c>
      <c r="H663" s="139" t="str">
        <f t="shared" si="31"/>
        <v/>
      </c>
      <c r="I663" s="137" t="str">
        <f t="shared" si="32"/>
        <v/>
      </c>
      <c r="J663" s="117"/>
    </row>
    <row r="664" spans="1:10" hidden="1" x14ac:dyDescent="0.25">
      <c r="A664" s="114" t="s">
        <v>2078</v>
      </c>
      <c r="B664" s="115" t="s">
        <v>2079</v>
      </c>
      <c r="C664" s="116" t="s">
        <v>16</v>
      </c>
      <c r="D664" s="116">
        <v>0</v>
      </c>
      <c r="E664" s="136" t="s">
        <v>416</v>
      </c>
      <c r="F664" s="137" t="str">
        <f t="shared" si="30"/>
        <v/>
      </c>
      <c r="G664" s="138" t="e">
        <f>IF(A664&lt;&gt;"",IF(AND(#REF!="Padrão",$H$4=#REF!),BDI!$B$17,IF(AND(#REF!="Padrão",$H$4=#REF!),BDI!#REF!,IF(AND(#REF!="Diferenciado",$H$4=#REF!),BDI!$E$17,IF(AND(#REF!="Diferenciado",$H$4=#REF!),BDI!#REF!,IF(#REF!="ZERO",0))))),"")</f>
        <v>#REF!</v>
      </c>
      <c r="H664" s="139" t="str">
        <f t="shared" si="31"/>
        <v/>
      </c>
      <c r="I664" s="137" t="str">
        <f t="shared" si="32"/>
        <v/>
      </c>
      <c r="J664" s="117"/>
    </row>
    <row r="665" spans="1:10" hidden="1" x14ac:dyDescent="0.25">
      <c r="A665" s="114" t="s">
        <v>2080</v>
      </c>
      <c r="B665" s="115" t="s">
        <v>2081</v>
      </c>
      <c r="C665" s="116" t="s">
        <v>16</v>
      </c>
      <c r="D665" s="116">
        <v>0</v>
      </c>
      <c r="E665" s="136" t="s">
        <v>416</v>
      </c>
      <c r="F665" s="137" t="str">
        <f t="shared" si="30"/>
        <v/>
      </c>
      <c r="G665" s="138" t="e">
        <f>IF(A665&lt;&gt;"",IF(AND(#REF!="Padrão",$H$4=#REF!),BDI!$B$17,IF(AND(#REF!="Padrão",$H$4=#REF!),BDI!#REF!,IF(AND(#REF!="Diferenciado",$H$4=#REF!),BDI!$E$17,IF(AND(#REF!="Diferenciado",$H$4=#REF!),BDI!#REF!,IF(#REF!="ZERO",0))))),"")</f>
        <v>#REF!</v>
      </c>
      <c r="H665" s="139" t="str">
        <f t="shared" si="31"/>
        <v/>
      </c>
      <c r="I665" s="137" t="str">
        <f t="shared" si="32"/>
        <v/>
      </c>
      <c r="J665" s="117"/>
    </row>
    <row r="666" spans="1:10" hidden="1" x14ac:dyDescent="0.25">
      <c r="A666" s="114" t="s">
        <v>2082</v>
      </c>
      <c r="B666" s="115" t="s">
        <v>2083</v>
      </c>
      <c r="C666" s="116" t="s">
        <v>16</v>
      </c>
      <c r="D666" s="116">
        <v>0</v>
      </c>
      <c r="E666" s="136" t="s">
        <v>416</v>
      </c>
      <c r="F666" s="137" t="str">
        <f t="shared" si="30"/>
        <v/>
      </c>
      <c r="G666" s="138" t="e">
        <f>IF(A666&lt;&gt;"",IF(AND(#REF!="Padrão",$H$4=#REF!),BDI!$B$17,IF(AND(#REF!="Padrão",$H$4=#REF!),BDI!#REF!,IF(AND(#REF!="Diferenciado",$H$4=#REF!),BDI!$E$17,IF(AND(#REF!="Diferenciado",$H$4=#REF!),BDI!#REF!,IF(#REF!="ZERO",0))))),"")</f>
        <v>#REF!</v>
      </c>
      <c r="H666" s="139" t="str">
        <f t="shared" si="31"/>
        <v/>
      </c>
      <c r="I666" s="137" t="str">
        <f t="shared" si="32"/>
        <v/>
      </c>
      <c r="J666" s="117"/>
    </row>
    <row r="667" spans="1:10" hidden="1" x14ac:dyDescent="0.25">
      <c r="A667" s="114" t="s">
        <v>2084</v>
      </c>
      <c r="B667" s="115" t="s">
        <v>2085</v>
      </c>
      <c r="C667" s="116" t="s">
        <v>16</v>
      </c>
      <c r="D667" s="116">
        <v>0</v>
      </c>
      <c r="E667" s="136" t="s">
        <v>416</v>
      </c>
      <c r="F667" s="137" t="str">
        <f t="shared" si="30"/>
        <v/>
      </c>
      <c r="G667" s="138" t="e">
        <f>IF(A667&lt;&gt;"",IF(AND(#REF!="Padrão",$H$4=#REF!),BDI!$B$17,IF(AND(#REF!="Padrão",$H$4=#REF!),BDI!#REF!,IF(AND(#REF!="Diferenciado",$H$4=#REF!),BDI!$E$17,IF(AND(#REF!="Diferenciado",$H$4=#REF!),BDI!#REF!,IF(#REF!="ZERO",0))))),"")</f>
        <v>#REF!</v>
      </c>
      <c r="H667" s="139" t="str">
        <f t="shared" si="31"/>
        <v/>
      </c>
      <c r="I667" s="137" t="str">
        <f t="shared" si="32"/>
        <v/>
      </c>
      <c r="J667" s="117"/>
    </row>
    <row r="668" spans="1:10" hidden="1" x14ac:dyDescent="0.25">
      <c r="A668" s="114" t="s">
        <v>2086</v>
      </c>
      <c r="B668" s="115" t="s">
        <v>2087</v>
      </c>
      <c r="C668" s="116" t="s">
        <v>16</v>
      </c>
      <c r="D668" s="116">
        <v>0</v>
      </c>
      <c r="E668" s="136" t="s">
        <v>416</v>
      </c>
      <c r="F668" s="137" t="str">
        <f t="shared" si="30"/>
        <v/>
      </c>
      <c r="G668" s="138" t="e">
        <f>IF(A668&lt;&gt;"",IF(AND(#REF!="Padrão",$H$4=#REF!),BDI!$B$17,IF(AND(#REF!="Padrão",$H$4=#REF!),BDI!#REF!,IF(AND(#REF!="Diferenciado",$H$4=#REF!),BDI!$E$17,IF(AND(#REF!="Diferenciado",$H$4=#REF!),BDI!#REF!,IF(#REF!="ZERO",0))))),"")</f>
        <v>#REF!</v>
      </c>
      <c r="H668" s="139" t="str">
        <f t="shared" si="31"/>
        <v/>
      </c>
      <c r="I668" s="137" t="str">
        <f t="shared" si="32"/>
        <v/>
      </c>
      <c r="J668" s="117"/>
    </row>
    <row r="669" spans="1:10" hidden="1" x14ac:dyDescent="0.25">
      <c r="A669" s="114" t="s">
        <v>2088</v>
      </c>
      <c r="B669" s="115" t="s">
        <v>2089</v>
      </c>
      <c r="C669" s="116" t="s">
        <v>16</v>
      </c>
      <c r="D669" s="116">
        <v>0</v>
      </c>
      <c r="E669" s="136" t="s">
        <v>416</v>
      </c>
      <c r="F669" s="137" t="str">
        <f t="shared" si="30"/>
        <v/>
      </c>
      <c r="G669" s="138" t="e">
        <f>IF(A669&lt;&gt;"",IF(AND(#REF!="Padrão",$H$4=#REF!),BDI!$B$17,IF(AND(#REF!="Padrão",$H$4=#REF!),BDI!#REF!,IF(AND(#REF!="Diferenciado",$H$4=#REF!),BDI!$E$17,IF(AND(#REF!="Diferenciado",$H$4=#REF!),BDI!#REF!,IF(#REF!="ZERO",0))))),"")</f>
        <v>#REF!</v>
      </c>
      <c r="H669" s="139" t="str">
        <f t="shared" si="31"/>
        <v/>
      </c>
      <c r="I669" s="137" t="str">
        <f t="shared" si="32"/>
        <v/>
      </c>
      <c r="J669" s="117"/>
    </row>
    <row r="670" spans="1:10" hidden="1" x14ac:dyDescent="0.25">
      <c r="A670" s="114" t="s">
        <v>2090</v>
      </c>
      <c r="B670" s="115" t="s">
        <v>2091</v>
      </c>
      <c r="C670" s="116" t="s">
        <v>16</v>
      </c>
      <c r="D670" s="116">
        <v>0</v>
      </c>
      <c r="E670" s="136" t="s">
        <v>416</v>
      </c>
      <c r="F670" s="137" t="str">
        <f t="shared" si="30"/>
        <v/>
      </c>
      <c r="G670" s="138" t="e">
        <f>IF(A670&lt;&gt;"",IF(AND(#REF!="Padrão",$H$4=#REF!),BDI!$B$17,IF(AND(#REF!="Padrão",$H$4=#REF!),BDI!#REF!,IF(AND(#REF!="Diferenciado",$H$4=#REF!),BDI!$E$17,IF(AND(#REF!="Diferenciado",$H$4=#REF!),BDI!#REF!,IF(#REF!="ZERO",0))))),"")</f>
        <v>#REF!</v>
      </c>
      <c r="H670" s="139" t="str">
        <f t="shared" si="31"/>
        <v/>
      </c>
      <c r="I670" s="137" t="str">
        <f t="shared" si="32"/>
        <v/>
      </c>
      <c r="J670" s="117"/>
    </row>
    <row r="671" spans="1:10" hidden="1" x14ac:dyDescent="0.25">
      <c r="A671" s="114" t="s">
        <v>2092</v>
      </c>
      <c r="B671" s="115" t="s">
        <v>2093</v>
      </c>
      <c r="C671" s="116" t="s">
        <v>75</v>
      </c>
      <c r="D671" s="116">
        <v>0</v>
      </c>
      <c r="E671" s="136" t="s">
        <v>416</v>
      </c>
      <c r="F671" s="137" t="str">
        <f t="shared" si="30"/>
        <v/>
      </c>
      <c r="G671" s="138" t="e">
        <f>IF(A671&lt;&gt;"",IF(AND(#REF!="Padrão",$H$4=#REF!),BDI!$B$17,IF(AND(#REF!="Padrão",$H$4=#REF!),BDI!#REF!,IF(AND(#REF!="Diferenciado",$H$4=#REF!),BDI!$E$17,IF(AND(#REF!="Diferenciado",$H$4=#REF!),BDI!#REF!,IF(#REF!="ZERO",0))))),"")</f>
        <v>#REF!</v>
      </c>
      <c r="H671" s="139" t="str">
        <f t="shared" si="31"/>
        <v/>
      </c>
      <c r="I671" s="137" t="str">
        <f t="shared" si="32"/>
        <v/>
      </c>
      <c r="J671" s="117"/>
    </row>
    <row r="672" spans="1:10" hidden="1" x14ac:dyDescent="0.25">
      <c r="A672" s="114" t="s">
        <v>2094</v>
      </c>
      <c r="B672" s="115" t="s">
        <v>2095</v>
      </c>
      <c r="C672" s="116" t="s">
        <v>16</v>
      </c>
      <c r="D672" s="116">
        <v>0</v>
      </c>
      <c r="E672" s="136" t="s">
        <v>416</v>
      </c>
      <c r="F672" s="137" t="str">
        <f t="shared" si="30"/>
        <v/>
      </c>
      <c r="G672" s="138" t="e">
        <f>IF(A672&lt;&gt;"",IF(AND(#REF!="Padrão",$H$4=#REF!),BDI!$B$17,IF(AND(#REF!="Padrão",$H$4=#REF!),BDI!#REF!,IF(AND(#REF!="Diferenciado",$H$4=#REF!),BDI!$E$17,IF(AND(#REF!="Diferenciado",$H$4=#REF!),BDI!#REF!,IF(#REF!="ZERO",0))))),"")</f>
        <v>#REF!</v>
      </c>
      <c r="H672" s="139" t="str">
        <f t="shared" si="31"/>
        <v/>
      </c>
      <c r="I672" s="137" t="str">
        <f t="shared" si="32"/>
        <v/>
      </c>
      <c r="J672" s="117"/>
    </row>
    <row r="673" spans="1:10" hidden="1" x14ac:dyDescent="0.25">
      <c r="A673" s="114" t="s">
        <v>2096</v>
      </c>
      <c r="B673" s="115" t="s">
        <v>2097</v>
      </c>
      <c r="C673" s="116" t="s">
        <v>16</v>
      </c>
      <c r="D673" s="116">
        <v>0</v>
      </c>
      <c r="E673" s="136" t="s">
        <v>416</v>
      </c>
      <c r="F673" s="137" t="str">
        <f t="shared" si="30"/>
        <v/>
      </c>
      <c r="G673" s="138" t="e">
        <f>IF(A673&lt;&gt;"",IF(AND(#REF!="Padrão",$H$4=#REF!),BDI!$B$17,IF(AND(#REF!="Padrão",$H$4=#REF!),BDI!#REF!,IF(AND(#REF!="Diferenciado",$H$4=#REF!),BDI!$E$17,IF(AND(#REF!="Diferenciado",$H$4=#REF!),BDI!#REF!,IF(#REF!="ZERO",0))))),"")</f>
        <v>#REF!</v>
      </c>
      <c r="H673" s="139" t="str">
        <f t="shared" si="31"/>
        <v/>
      </c>
      <c r="I673" s="137" t="str">
        <f t="shared" si="32"/>
        <v/>
      </c>
      <c r="J673" s="117"/>
    </row>
    <row r="674" spans="1:10" hidden="1" x14ac:dyDescent="0.25">
      <c r="A674" s="114" t="s">
        <v>2098</v>
      </c>
      <c r="B674" s="115" t="s">
        <v>2099</v>
      </c>
      <c r="C674" s="116" t="s">
        <v>16</v>
      </c>
      <c r="D674" s="116">
        <v>0</v>
      </c>
      <c r="E674" s="136" t="s">
        <v>416</v>
      </c>
      <c r="F674" s="137" t="str">
        <f t="shared" si="30"/>
        <v/>
      </c>
      <c r="G674" s="138" t="e">
        <f>IF(A674&lt;&gt;"",IF(AND(#REF!="Padrão",$H$4=#REF!),BDI!$B$17,IF(AND(#REF!="Padrão",$H$4=#REF!),BDI!#REF!,IF(AND(#REF!="Diferenciado",$H$4=#REF!),BDI!$E$17,IF(AND(#REF!="Diferenciado",$H$4=#REF!),BDI!#REF!,IF(#REF!="ZERO",0))))),"")</f>
        <v>#REF!</v>
      </c>
      <c r="H674" s="139" t="str">
        <f t="shared" si="31"/>
        <v/>
      </c>
      <c r="I674" s="137" t="str">
        <f t="shared" si="32"/>
        <v/>
      </c>
      <c r="J674" s="117"/>
    </row>
    <row r="675" spans="1:10" hidden="1" x14ac:dyDescent="0.25">
      <c r="A675" s="114" t="s">
        <v>2100</v>
      </c>
      <c r="B675" s="115" t="s">
        <v>2101</v>
      </c>
      <c r="C675" s="116" t="s">
        <v>16</v>
      </c>
      <c r="D675" s="116">
        <v>0</v>
      </c>
      <c r="E675" s="136" t="s">
        <v>416</v>
      </c>
      <c r="F675" s="137" t="str">
        <f t="shared" si="30"/>
        <v/>
      </c>
      <c r="G675" s="138" t="e">
        <f>IF(A675&lt;&gt;"",IF(AND(#REF!="Padrão",$H$4=#REF!),BDI!$B$17,IF(AND(#REF!="Padrão",$H$4=#REF!),BDI!#REF!,IF(AND(#REF!="Diferenciado",$H$4=#REF!),BDI!$E$17,IF(AND(#REF!="Diferenciado",$H$4=#REF!),BDI!#REF!,IF(#REF!="ZERO",0))))),"")</f>
        <v>#REF!</v>
      </c>
      <c r="H675" s="139" t="str">
        <f t="shared" si="31"/>
        <v/>
      </c>
      <c r="I675" s="137" t="str">
        <f t="shared" si="32"/>
        <v/>
      </c>
      <c r="J675" s="117"/>
    </row>
    <row r="676" spans="1:10" hidden="1" x14ac:dyDescent="0.25">
      <c r="A676" s="114" t="s">
        <v>2102</v>
      </c>
      <c r="B676" s="115" t="s">
        <v>2103</v>
      </c>
      <c r="C676" s="116" t="s">
        <v>16</v>
      </c>
      <c r="D676" s="116">
        <v>0</v>
      </c>
      <c r="E676" s="136" t="s">
        <v>416</v>
      </c>
      <c r="F676" s="137" t="str">
        <f t="shared" si="30"/>
        <v/>
      </c>
      <c r="G676" s="138" t="e">
        <f>IF(A676&lt;&gt;"",IF(AND(#REF!="Padrão",$H$4=#REF!),BDI!$B$17,IF(AND(#REF!="Padrão",$H$4=#REF!),BDI!#REF!,IF(AND(#REF!="Diferenciado",$H$4=#REF!),BDI!$E$17,IF(AND(#REF!="Diferenciado",$H$4=#REF!),BDI!#REF!,IF(#REF!="ZERO",0))))),"")</f>
        <v>#REF!</v>
      </c>
      <c r="H676" s="139" t="str">
        <f t="shared" si="31"/>
        <v/>
      </c>
      <c r="I676" s="137" t="str">
        <f t="shared" si="32"/>
        <v/>
      </c>
      <c r="J676" s="117"/>
    </row>
    <row r="677" spans="1:10" hidden="1" x14ac:dyDescent="0.25">
      <c r="A677" s="114" t="s">
        <v>2104</v>
      </c>
      <c r="B677" s="115" t="s">
        <v>2105</v>
      </c>
      <c r="C677" s="116" t="s">
        <v>16</v>
      </c>
      <c r="D677" s="116">
        <v>0</v>
      </c>
      <c r="E677" s="136" t="s">
        <v>416</v>
      </c>
      <c r="F677" s="137" t="str">
        <f t="shared" si="30"/>
        <v/>
      </c>
      <c r="G677" s="138" t="e">
        <f>IF(A677&lt;&gt;"",IF(AND(#REF!="Padrão",$H$4=#REF!),BDI!$B$17,IF(AND(#REF!="Padrão",$H$4=#REF!),BDI!#REF!,IF(AND(#REF!="Diferenciado",$H$4=#REF!),BDI!$E$17,IF(AND(#REF!="Diferenciado",$H$4=#REF!),BDI!#REF!,IF(#REF!="ZERO",0))))),"")</f>
        <v>#REF!</v>
      </c>
      <c r="H677" s="139" t="str">
        <f t="shared" si="31"/>
        <v/>
      </c>
      <c r="I677" s="137" t="str">
        <f t="shared" si="32"/>
        <v/>
      </c>
      <c r="J677" s="117"/>
    </row>
    <row r="678" spans="1:10" hidden="1" x14ac:dyDescent="0.25">
      <c r="A678" s="114" t="s">
        <v>2106</v>
      </c>
      <c r="B678" s="115" t="s">
        <v>2107</v>
      </c>
      <c r="C678" s="116" t="s">
        <v>16</v>
      </c>
      <c r="D678" s="116">
        <v>0</v>
      </c>
      <c r="E678" s="136" t="s">
        <v>416</v>
      </c>
      <c r="F678" s="137" t="str">
        <f t="shared" si="30"/>
        <v/>
      </c>
      <c r="G678" s="138" t="e">
        <f>IF(A678&lt;&gt;"",IF(AND(#REF!="Padrão",$H$4=#REF!),BDI!$B$17,IF(AND(#REF!="Padrão",$H$4=#REF!),BDI!#REF!,IF(AND(#REF!="Diferenciado",$H$4=#REF!),BDI!$E$17,IF(AND(#REF!="Diferenciado",$H$4=#REF!),BDI!#REF!,IF(#REF!="ZERO",0))))),"")</f>
        <v>#REF!</v>
      </c>
      <c r="H678" s="139" t="str">
        <f t="shared" si="31"/>
        <v/>
      </c>
      <c r="I678" s="137" t="str">
        <f t="shared" si="32"/>
        <v/>
      </c>
      <c r="J678" s="117"/>
    </row>
    <row r="679" spans="1:10" hidden="1" x14ac:dyDescent="0.25">
      <c r="A679" s="114" t="s">
        <v>2108</v>
      </c>
      <c r="B679" s="115" t="s">
        <v>2109</v>
      </c>
      <c r="C679" s="116" t="s">
        <v>16</v>
      </c>
      <c r="D679" s="116">
        <v>0</v>
      </c>
      <c r="E679" s="136" t="s">
        <v>416</v>
      </c>
      <c r="F679" s="137" t="str">
        <f t="shared" si="30"/>
        <v/>
      </c>
      <c r="G679" s="138" t="e">
        <f>IF(A679&lt;&gt;"",IF(AND(#REF!="Padrão",$H$4=#REF!),BDI!$B$17,IF(AND(#REF!="Padrão",$H$4=#REF!),BDI!#REF!,IF(AND(#REF!="Diferenciado",$H$4=#REF!),BDI!$E$17,IF(AND(#REF!="Diferenciado",$H$4=#REF!),BDI!#REF!,IF(#REF!="ZERO",0))))),"")</f>
        <v>#REF!</v>
      </c>
      <c r="H679" s="139" t="str">
        <f t="shared" si="31"/>
        <v/>
      </c>
      <c r="I679" s="137" t="str">
        <f t="shared" si="32"/>
        <v/>
      </c>
      <c r="J679" s="117"/>
    </row>
    <row r="680" spans="1:10" hidden="1" x14ac:dyDescent="0.25">
      <c r="A680" s="114" t="s">
        <v>2110</v>
      </c>
      <c r="B680" s="115" t="s">
        <v>2111</v>
      </c>
      <c r="C680" s="116" t="s">
        <v>16</v>
      </c>
      <c r="D680" s="116">
        <v>0</v>
      </c>
      <c r="E680" s="136" t="s">
        <v>416</v>
      </c>
      <c r="F680" s="137" t="str">
        <f t="shared" si="30"/>
        <v/>
      </c>
      <c r="G680" s="138" t="e">
        <f>IF(A680&lt;&gt;"",IF(AND(#REF!="Padrão",$H$4=#REF!),BDI!$B$17,IF(AND(#REF!="Padrão",$H$4=#REF!),BDI!#REF!,IF(AND(#REF!="Diferenciado",$H$4=#REF!),BDI!$E$17,IF(AND(#REF!="Diferenciado",$H$4=#REF!),BDI!#REF!,IF(#REF!="ZERO",0))))),"")</f>
        <v>#REF!</v>
      </c>
      <c r="H680" s="139" t="str">
        <f t="shared" si="31"/>
        <v/>
      </c>
      <c r="I680" s="137" t="str">
        <f t="shared" si="32"/>
        <v/>
      </c>
      <c r="J680" s="117"/>
    </row>
    <row r="681" spans="1:10" hidden="1" x14ac:dyDescent="0.25">
      <c r="A681" s="114" t="s">
        <v>2112</v>
      </c>
      <c r="B681" s="115" t="s">
        <v>2113</v>
      </c>
      <c r="C681" s="116" t="s">
        <v>16</v>
      </c>
      <c r="D681" s="116">
        <v>0</v>
      </c>
      <c r="E681" s="136" t="s">
        <v>416</v>
      </c>
      <c r="F681" s="137" t="str">
        <f t="shared" si="30"/>
        <v/>
      </c>
      <c r="G681" s="138" t="e">
        <f>IF(A681&lt;&gt;"",IF(AND(#REF!="Padrão",$H$4=#REF!),BDI!$B$17,IF(AND(#REF!="Padrão",$H$4=#REF!),BDI!#REF!,IF(AND(#REF!="Diferenciado",$H$4=#REF!),BDI!$E$17,IF(AND(#REF!="Diferenciado",$H$4=#REF!),BDI!#REF!,IF(#REF!="ZERO",0))))),"")</f>
        <v>#REF!</v>
      </c>
      <c r="H681" s="139" t="str">
        <f t="shared" si="31"/>
        <v/>
      </c>
      <c r="I681" s="137" t="str">
        <f t="shared" si="32"/>
        <v/>
      </c>
      <c r="J681" s="117"/>
    </row>
    <row r="682" spans="1:10" hidden="1" x14ac:dyDescent="0.25">
      <c r="A682" s="114" t="s">
        <v>2114</v>
      </c>
      <c r="B682" s="115" t="s">
        <v>2115</v>
      </c>
      <c r="C682" s="116" t="s">
        <v>16</v>
      </c>
      <c r="D682" s="116">
        <v>0</v>
      </c>
      <c r="E682" s="136" t="s">
        <v>416</v>
      </c>
      <c r="F682" s="137" t="str">
        <f t="shared" si="30"/>
        <v/>
      </c>
      <c r="G682" s="138" t="e">
        <f>IF(A682&lt;&gt;"",IF(AND(#REF!="Padrão",$H$4=#REF!),BDI!$B$17,IF(AND(#REF!="Padrão",$H$4=#REF!),BDI!#REF!,IF(AND(#REF!="Diferenciado",$H$4=#REF!),BDI!$E$17,IF(AND(#REF!="Diferenciado",$H$4=#REF!),BDI!#REF!,IF(#REF!="ZERO",0))))),"")</f>
        <v>#REF!</v>
      </c>
      <c r="H682" s="139" t="str">
        <f t="shared" si="31"/>
        <v/>
      </c>
      <c r="I682" s="137" t="str">
        <f t="shared" si="32"/>
        <v/>
      </c>
      <c r="J682" s="117"/>
    </row>
    <row r="683" spans="1:10" hidden="1" x14ac:dyDescent="0.25">
      <c r="A683" s="114" t="s">
        <v>2116</v>
      </c>
      <c r="B683" s="115" t="s">
        <v>2117</v>
      </c>
      <c r="C683" s="116" t="s">
        <v>16</v>
      </c>
      <c r="D683" s="116">
        <v>0</v>
      </c>
      <c r="E683" s="136" t="s">
        <v>416</v>
      </c>
      <c r="F683" s="137" t="str">
        <f t="shared" si="30"/>
        <v/>
      </c>
      <c r="G683" s="138" t="e">
        <f>IF(A683&lt;&gt;"",IF(AND(#REF!="Padrão",$H$4=#REF!),BDI!$B$17,IF(AND(#REF!="Padrão",$H$4=#REF!),BDI!#REF!,IF(AND(#REF!="Diferenciado",$H$4=#REF!),BDI!$E$17,IF(AND(#REF!="Diferenciado",$H$4=#REF!),BDI!#REF!,IF(#REF!="ZERO",0))))),"")</f>
        <v>#REF!</v>
      </c>
      <c r="H683" s="139" t="str">
        <f t="shared" si="31"/>
        <v/>
      </c>
      <c r="I683" s="137" t="str">
        <f t="shared" si="32"/>
        <v/>
      </c>
      <c r="J683" s="117"/>
    </row>
    <row r="684" spans="1:10" hidden="1" x14ac:dyDescent="0.25">
      <c r="A684" s="114" t="s">
        <v>2118</v>
      </c>
      <c r="B684" s="115" t="s">
        <v>2119</v>
      </c>
      <c r="C684" s="116" t="s">
        <v>16</v>
      </c>
      <c r="D684" s="116">
        <v>0</v>
      </c>
      <c r="E684" s="136" t="s">
        <v>416</v>
      </c>
      <c r="F684" s="137" t="str">
        <f t="shared" si="30"/>
        <v/>
      </c>
      <c r="G684" s="138" t="e">
        <f>IF(A684&lt;&gt;"",IF(AND(#REF!="Padrão",$H$4=#REF!),BDI!$B$17,IF(AND(#REF!="Padrão",$H$4=#REF!),BDI!#REF!,IF(AND(#REF!="Diferenciado",$H$4=#REF!),BDI!$E$17,IF(AND(#REF!="Diferenciado",$H$4=#REF!),BDI!#REF!,IF(#REF!="ZERO",0))))),"")</f>
        <v>#REF!</v>
      </c>
      <c r="H684" s="139" t="str">
        <f t="shared" si="31"/>
        <v/>
      </c>
      <c r="I684" s="137" t="str">
        <f t="shared" si="32"/>
        <v/>
      </c>
      <c r="J684" s="117"/>
    </row>
    <row r="685" spans="1:10" hidden="1" x14ac:dyDescent="0.25">
      <c r="A685" s="114" t="s">
        <v>2120</v>
      </c>
      <c r="B685" s="115" t="s">
        <v>2121</v>
      </c>
      <c r="C685" s="116" t="s">
        <v>16</v>
      </c>
      <c r="D685" s="116">
        <v>0</v>
      </c>
      <c r="E685" s="136" t="s">
        <v>416</v>
      </c>
      <c r="F685" s="137" t="str">
        <f t="shared" si="30"/>
        <v/>
      </c>
      <c r="G685" s="138" t="e">
        <f>IF(A685&lt;&gt;"",IF(AND(#REF!="Padrão",$H$4=#REF!),BDI!$B$17,IF(AND(#REF!="Padrão",$H$4=#REF!),BDI!#REF!,IF(AND(#REF!="Diferenciado",$H$4=#REF!),BDI!$E$17,IF(AND(#REF!="Diferenciado",$H$4=#REF!),BDI!#REF!,IF(#REF!="ZERO",0))))),"")</f>
        <v>#REF!</v>
      </c>
      <c r="H685" s="139" t="str">
        <f t="shared" si="31"/>
        <v/>
      </c>
      <c r="I685" s="137" t="str">
        <f t="shared" si="32"/>
        <v/>
      </c>
      <c r="J685" s="117"/>
    </row>
    <row r="686" spans="1:10" hidden="1" x14ac:dyDescent="0.25">
      <c r="A686" s="114" t="s">
        <v>2122</v>
      </c>
      <c r="B686" s="115" t="s">
        <v>2123</v>
      </c>
      <c r="C686" s="116" t="s">
        <v>16</v>
      </c>
      <c r="D686" s="116">
        <v>0</v>
      </c>
      <c r="E686" s="136" t="s">
        <v>416</v>
      </c>
      <c r="F686" s="137" t="str">
        <f t="shared" si="30"/>
        <v/>
      </c>
      <c r="G686" s="138" t="e">
        <f>IF(A686&lt;&gt;"",IF(AND(#REF!="Padrão",$H$4=#REF!),BDI!$B$17,IF(AND(#REF!="Padrão",$H$4=#REF!),BDI!#REF!,IF(AND(#REF!="Diferenciado",$H$4=#REF!),BDI!$E$17,IF(AND(#REF!="Diferenciado",$H$4=#REF!),BDI!#REF!,IF(#REF!="ZERO",0))))),"")</f>
        <v>#REF!</v>
      </c>
      <c r="H686" s="139" t="str">
        <f t="shared" si="31"/>
        <v/>
      </c>
      <c r="I686" s="137" t="str">
        <f t="shared" si="32"/>
        <v/>
      </c>
      <c r="J686" s="117"/>
    </row>
    <row r="687" spans="1:10" hidden="1" x14ac:dyDescent="0.25">
      <c r="A687" s="114" t="s">
        <v>2124</v>
      </c>
      <c r="B687" s="115" t="s">
        <v>2125</v>
      </c>
      <c r="C687" s="116" t="s">
        <v>16</v>
      </c>
      <c r="D687" s="116">
        <v>0</v>
      </c>
      <c r="E687" s="136" t="s">
        <v>416</v>
      </c>
      <c r="F687" s="137" t="str">
        <f t="shared" si="30"/>
        <v/>
      </c>
      <c r="G687" s="138" t="e">
        <f>IF(A687&lt;&gt;"",IF(AND(#REF!="Padrão",$H$4=#REF!),BDI!$B$17,IF(AND(#REF!="Padrão",$H$4=#REF!),BDI!#REF!,IF(AND(#REF!="Diferenciado",$H$4=#REF!),BDI!$E$17,IF(AND(#REF!="Diferenciado",$H$4=#REF!),BDI!#REF!,IF(#REF!="ZERO",0))))),"")</f>
        <v>#REF!</v>
      </c>
      <c r="H687" s="139" t="str">
        <f t="shared" si="31"/>
        <v/>
      </c>
      <c r="I687" s="137" t="str">
        <f t="shared" si="32"/>
        <v/>
      </c>
      <c r="J687" s="117"/>
    </row>
    <row r="688" spans="1:10" hidden="1" x14ac:dyDescent="0.25">
      <c r="A688" s="114" t="s">
        <v>2126</v>
      </c>
      <c r="B688" s="115" t="s">
        <v>2127</v>
      </c>
      <c r="C688" s="116" t="s">
        <v>16</v>
      </c>
      <c r="D688" s="116">
        <v>0</v>
      </c>
      <c r="E688" s="136" t="s">
        <v>416</v>
      </c>
      <c r="F688" s="137" t="str">
        <f t="shared" si="30"/>
        <v/>
      </c>
      <c r="G688" s="138" t="e">
        <f>IF(A688&lt;&gt;"",IF(AND(#REF!="Padrão",$H$4=#REF!),BDI!$B$17,IF(AND(#REF!="Padrão",$H$4=#REF!),BDI!#REF!,IF(AND(#REF!="Diferenciado",$H$4=#REF!),BDI!$E$17,IF(AND(#REF!="Diferenciado",$H$4=#REF!),BDI!#REF!,IF(#REF!="ZERO",0))))),"")</f>
        <v>#REF!</v>
      </c>
      <c r="H688" s="139" t="str">
        <f t="shared" si="31"/>
        <v/>
      </c>
      <c r="I688" s="137" t="str">
        <f t="shared" si="32"/>
        <v/>
      </c>
      <c r="J688" s="117"/>
    </row>
    <row r="689" spans="1:10" hidden="1" x14ac:dyDescent="0.25">
      <c r="A689" s="114" t="s">
        <v>2128</v>
      </c>
      <c r="B689" s="115" t="s">
        <v>2129</v>
      </c>
      <c r="C689" s="116" t="s">
        <v>16</v>
      </c>
      <c r="D689" s="116">
        <v>0</v>
      </c>
      <c r="E689" s="136" t="s">
        <v>416</v>
      </c>
      <c r="F689" s="137" t="str">
        <f t="shared" si="30"/>
        <v/>
      </c>
      <c r="G689" s="138" t="e">
        <f>IF(A689&lt;&gt;"",IF(AND(#REF!="Padrão",$H$4=#REF!),BDI!$B$17,IF(AND(#REF!="Padrão",$H$4=#REF!),BDI!#REF!,IF(AND(#REF!="Diferenciado",$H$4=#REF!),BDI!$E$17,IF(AND(#REF!="Diferenciado",$H$4=#REF!),BDI!#REF!,IF(#REF!="ZERO",0))))),"")</f>
        <v>#REF!</v>
      </c>
      <c r="H689" s="139" t="str">
        <f t="shared" si="31"/>
        <v/>
      </c>
      <c r="I689" s="137" t="str">
        <f t="shared" si="32"/>
        <v/>
      </c>
      <c r="J689" s="117"/>
    </row>
    <row r="690" spans="1:10" hidden="1" x14ac:dyDescent="0.25">
      <c r="A690" s="114" t="s">
        <v>2130</v>
      </c>
      <c r="B690" s="115" t="s">
        <v>2131</v>
      </c>
      <c r="C690" s="116" t="s">
        <v>16</v>
      </c>
      <c r="D690" s="116">
        <v>0</v>
      </c>
      <c r="E690" s="136" t="s">
        <v>416</v>
      </c>
      <c r="F690" s="137" t="str">
        <f t="shared" si="30"/>
        <v/>
      </c>
      <c r="G690" s="138" t="e">
        <f>IF(A690&lt;&gt;"",IF(AND(#REF!="Padrão",$H$4=#REF!),BDI!$B$17,IF(AND(#REF!="Padrão",$H$4=#REF!),BDI!#REF!,IF(AND(#REF!="Diferenciado",$H$4=#REF!),BDI!$E$17,IF(AND(#REF!="Diferenciado",$H$4=#REF!),BDI!#REF!,IF(#REF!="ZERO",0))))),"")</f>
        <v>#REF!</v>
      </c>
      <c r="H690" s="139" t="str">
        <f t="shared" si="31"/>
        <v/>
      </c>
      <c r="I690" s="137" t="str">
        <f t="shared" si="32"/>
        <v/>
      </c>
      <c r="J690" s="117"/>
    </row>
    <row r="691" spans="1:10" hidden="1" x14ac:dyDescent="0.25">
      <c r="A691" s="114" t="s">
        <v>2132</v>
      </c>
      <c r="B691" s="115" t="s">
        <v>2133</v>
      </c>
      <c r="C691" s="116" t="s">
        <v>16</v>
      </c>
      <c r="D691" s="116">
        <v>0</v>
      </c>
      <c r="E691" s="136" t="s">
        <v>416</v>
      </c>
      <c r="F691" s="137" t="str">
        <f t="shared" si="30"/>
        <v/>
      </c>
      <c r="G691" s="138" t="e">
        <f>IF(A691&lt;&gt;"",IF(AND(#REF!="Padrão",$H$4=#REF!),BDI!$B$17,IF(AND(#REF!="Padrão",$H$4=#REF!),BDI!#REF!,IF(AND(#REF!="Diferenciado",$H$4=#REF!),BDI!$E$17,IF(AND(#REF!="Diferenciado",$H$4=#REF!),BDI!#REF!,IF(#REF!="ZERO",0))))),"")</f>
        <v>#REF!</v>
      </c>
      <c r="H691" s="139" t="str">
        <f t="shared" si="31"/>
        <v/>
      </c>
      <c r="I691" s="137" t="str">
        <f t="shared" si="32"/>
        <v/>
      </c>
      <c r="J691" s="117"/>
    </row>
    <row r="692" spans="1:10" hidden="1" x14ac:dyDescent="0.25">
      <c r="A692" s="114" t="s">
        <v>2134</v>
      </c>
      <c r="B692" s="115" t="s">
        <v>2135</v>
      </c>
      <c r="C692" s="116" t="s">
        <v>16</v>
      </c>
      <c r="D692" s="116">
        <v>0</v>
      </c>
      <c r="E692" s="136" t="s">
        <v>416</v>
      </c>
      <c r="F692" s="137" t="str">
        <f t="shared" si="30"/>
        <v/>
      </c>
      <c r="G692" s="138" t="e">
        <f>IF(A692&lt;&gt;"",IF(AND(#REF!="Padrão",$H$4=#REF!),BDI!$B$17,IF(AND(#REF!="Padrão",$H$4=#REF!),BDI!#REF!,IF(AND(#REF!="Diferenciado",$H$4=#REF!),BDI!$E$17,IF(AND(#REF!="Diferenciado",$H$4=#REF!),BDI!#REF!,IF(#REF!="ZERO",0))))),"")</f>
        <v>#REF!</v>
      </c>
      <c r="H692" s="139" t="str">
        <f t="shared" si="31"/>
        <v/>
      </c>
      <c r="I692" s="137" t="str">
        <f t="shared" si="32"/>
        <v/>
      </c>
      <c r="J692" s="117"/>
    </row>
    <row r="693" spans="1:10" hidden="1" x14ac:dyDescent="0.25">
      <c r="A693" s="114" t="s">
        <v>2136</v>
      </c>
      <c r="B693" s="115" t="s">
        <v>2137</v>
      </c>
      <c r="C693" s="116" t="s">
        <v>16</v>
      </c>
      <c r="D693" s="116">
        <v>0</v>
      </c>
      <c r="E693" s="136" t="s">
        <v>416</v>
      </c>
      <c r="F693" s="137" t="str">
        <f t="shared" si="30"/>
        <v/>
      </c>
      <c r="G693" s="138" t="e">
        <f>IF(A693&lt;&gt;"",IF(AND(#REF!="Padrão",$H$4=#REF!),BDI!$B$17,IF(AND(#REF!="Padrão",$H$4=#REF!),BDI!#REF!,IF(AND(#REF!="Diferenciado",$H$4=#REF!),BDI!$E$17,IF(AND(#REF!="Diferenciado",$H$4=#REF!),BDI!#REF!,IF(#REF!="ZERO",0))))),"")</f>
        <v>#REF!</v>
      </c>
      <c r="H693" s="139" t="str">
        <f t="shared" si="31"/>
        <v/>
      </c>
      <c r="I693" s="137" t="str">
        <f t="shared" si="32"/>
        <v/>
      </c>
      <c r="J693" s="117"/>
    </row>
    <row r="694" spans="1:10" hidden="1" x14ac:dyDescent="0.25">
      <c r="A694" s="114" t="s">
        <v>2138</v>
      </c>
      <c r="B694" s="115" t="s">
        <v>2139</v>
      </c>
      <c r="C694" s="116" t="s">
        <v>16</v>
      </c>
      <c r="D694" s="116">
        <v>0</v>
      </c>
      <c r="E694" s="136" t="s">
        <v>416</v>
      </c>
      <c r="F694" s="137" t="str">
        <f t="shared" si="30"/>
        <v/>
      </c>
      <c r="G694" s="138" t="e">
        <f>IF(A694&lt;&gt;"",IF(AND(#REF!="Padrão",$H$4=#REF!),BDI!$B$17,IF(AND(#REF!="Padrão",$H$4=#REF!),BDI!#REF!,IF(AND(#REF!="Diferenciado",$H$4=#REF!),BDI!$E$17,IF(AND(#REF!="Diferenciado",$H$4=#REF!),BDI!#REF!,IF(#REF!="ZERO",0))))),"")</f>
        <v>#REF!</v>
      </c>
      <c r="H694" s="139" t="str">
        <f t="shared" si="31"/>
        <v/>
      </c>
      <c r="I694" s="137" t="str">
        <f t="shared" si="32"/>
        <v/>
      </c>
      <c r="J694" s="117"/>
    </row>
    <row r="695" spans="1:10" hidden="1" x14ac:dyDescent="0.25">
      <c r="A695" s="114" t="s">
        <v>2140</v>
      </c>
      <c r="B695" s="115" t="s">
        <v>2141</v>
      </c>
      <c r="C695" s="116" t="s">
        <v>16</v>
      </c>
      <c r="D695" s="116">
        <v>0</v>
      </c>
      <c r="E695" s="136" t="s">
        <v>416</v>
      </c>
      <c r="F695" s="137" t="str">
        <f t="shared" si="30"/>
        <v/>
      </c>
      <c r="G695" s="138" t="e">
        <f>IF(A695&lt;&gt;"",IF(AND(#REF!="Padrão",$H$4=#REF!),BDI!$B$17,IF(AND(#REF!="Padrão",$H$4=#REF!),BDI!#REF!,IF(AND(#REF!="Diferenciado",$H$4=#REF!),BDI!$E$17,IF(AND(#REF!="Diferenciado",$H$4=#REF!),BDI!#REF!,IF(#REF!="ZERO",0))))),"")</f>
        <v>#REF!</v>
      </c>
      <c r="H695" s="139" t="str">
        <f t="shared" si="31"/>
        <v/>
      </c>
      <c r="I695" s="137" t="str">
        <f t="shared" si="32"/>
        <v/>
      </c>
      <c r="J695" s="117"/>
    </row>
    <row r="696" spans="1:10" hidden="1" x14ac:dyDescent="0.25">
      <c r="A696" s="114" t="s">
        <v>2142</v>
      </c>
      <c r="B696" s="115" t="s">
        <v>2143</v>
      </c>
      <c r="C696" s="116" t="s">
        <v>16</v>
      </c>
      <c r="D696" s="116">
        <v>0</v>
      </c>
      <c r="E696" s="136" t="s">
        <v>416</v>
      </c>
      <c r="F696" s="137" t="str">
        <f t="shared" si="30"/>
        <v/>
      </c>
      <c r="G696" s="138" t="e">
        <f>IF(A696&lt;&gt;"",IF(AND(#REF!="Padrão",$H$4=#REF!),BDI!$B$17,IF(AND(#REF!="Padrão",$H$4=#REF!),BDI!#REF!,IF(AND(#REF!="Diferenciado",$H$4=#REF!),BDI!$E$17,IF(AND(#REF!="Diferenciado",$H$4=#REF!),BDI!#REF!,IF(#REF!="ZERO",0))))),"")</f>
        <v>#REF!</v>
      </c>
      <c r="H696" s="139" t="str">
        <f t="shared" si="31"/>
        <v/>
      </c>
      <c r="I696" s="137" t="str">
        <f t="shared" si="32"/>
        <v/>
      </c>
      <c r="J696" s="117"/>
    </row>
    <row r="697" spans="1:10" hidden="1" x14ac:dyDescent="0.25">
      <c r="A697" s="114" t="s">
        <v>2144</v>
      </c>
      <c r="B697" s="115" t="s">
        <v>2145</v>
      </c>
      <c r="C697" s="116" t="s">
        <v>16</v>
      </c>
      <c r="D697" s="116">
        <v>0</v>
      </c>
      <c r="E697" s="136" t="s">
        <v>416</v>
      </c>
      <c r="F697" s="137" t="str">
        <f t="shared" si="30"/>
        <v/>
      </c>
      <c r="G697" s="138" t="e">
        <f>IF(A697&lt;&gt;"",IF(AND(#REF!="Padrão",$H$4=#REF!),BDI!$B$17,IF(AND(#REF!="Padrão",$H$4=#REF!),BDI!#REF!,IF(AND(#REF!="Diferenciado",$H$4=#REF!),BDI!$E$17,IF(AND(#REF!="Diferenciado",$H$4=#REF!),BDI!#REF!,IF(#REF!="ZERO",0))))),"")</f>
        <v>#REF!</v>
      </c>
      <c r="H697" s="139" t="str">
        <f t="shared" si="31"/>
        <v/>
      </c>
      <c r="I697" s="137" t="str">
        <f t="shared" si="32"/>
        <v/>
      </c>
      <c r="J697" s="117"/>
    </row>
    <row r="698" spans="1:10" hidden="1" x14ac:dyDescent="0.25">
      <c r="A698" s="114" t="s">
        <v>2146</v>
      </c>
      <c r="B698" s="115" t="s">
        <v>2147</v>
      </c>
      <c r="C698" s="116" t="s">
        <v>16</v>
      </c>
      <c r="D698" s="116">
        <v>0</v>
      </c>
      <c r="E698" s="136" t="s">
        <v>416</v>
      </c>
      <c r="F698" s="137" t="str">
        <f t="shared" si="30"/>
        <v/>
      </c>
      <c r="G698" s="138" t="e">
        <f>IF(A698&lt;&gt;"",IF(AND(#REF!="Padrão",$H$4=#REF!),BDI!$B$17,IF(AND(#REF!="Padrão",$H$4=#REF!),BDI!#REF!,IF(AND(#REF!="Diferenciado",$H$4=#REF!),BDI!$E$17,IF(AND(#REF!="Diferenciado",$H$4=#REF!),BDI!#REF!,IF(#REF!="ZERO",0))))),"")</f>
        <v>#REF!</v>
      </c>
      <c r="H698" s="139" t="str">
        <f t="shared" si="31"/>
        <v/>
      </c>
      <c r="I698" s="137" t="str">
        <f t="shared" si="32"/>
        <v/>
      </c>
      <c r="J698" s="117"/>
    </row>
    <row r="699" spans="1:10" hidden="1" x14ac:dyDescent="0.25">
      <c r="A699" s="114" t="s">
        <v>2148</v>
      </c>
      <c r="B699" s="115" t="s">
        <v>2149</v>
      </c>
      <c r="C699" s="116" t="s">
        <v>16</v>
      </c>
      <c r="D699" s="116">
        <v>0</v>
      </c>
      <c r="E699" s="136" t="s">
        <v>416</v>
      </c>
      <c r="F699" s="137" t="str">
        <f t="shared" si="30"/>
        <v/>
      </c>
      <c r="G699" s="138" t="e">
        <f>IF(A699&lt;&gt;"",IF(AND(#REF!="Padrão",$H$4=#REF!),BDI!$B$17,IF(AND(#REF!="Padrão",$H$4=#REF!),BDI!#REF!,IF(AND(#REF!="Diferenciado",$H$4=#REF!),BDI!$E$17,IF(AND(#REF!="Diferenciado",$H$4=#REF!),BDI!#REF!,IF(#REF!="ZERO",0))))),"")</f>
        <v>#REF!</v>
      </c>
      <c r="H699" s="139" t="str">
        <f t="shared" si="31"/>
        <v/>
      </c>
      <c r="I699" s="137" t="str">
        <f t="shared" si="32"/>
        <v/>
      </c>
      <c r="J699" s="117"/>
    </row>
    <row r="700" spans="1:10" hidden="1" x14ac:dyDescent="0.25">
      <c r="A700" s="114" t="s">
        <v>2150</v>
      </c>
      <c r="B700" s="115" t="s">
        <v>2151</v>
      </c>
      <c r="C700" s="116" t="s">
        <v>16</v>
      </c>
      <c r="D700" s="116">
        <v>0</v>
      </c>
      <c r="E700" s="136" t="s">
        <v>416</v>
      </c>
      <c r="F700" s="137" t="str">
        <f t="shared" si="30"/>
        <v/>
      </c>
      <c r="G700" s="138" t="e">
        <f>IF(A700&lt;&gt;"",IF(AND(#REF!="Padrão",$H$4=#REF!),BDI!$B$17,IF(AND(#REF!="Padrão",$H$4=#REF!),BDI!#REF!,IF(AND(#REF!="Diferenciado",$H$4=#REF!),BDI!$E$17,IF(AND(#REF!="Diferenciado",$H$4=#REF!),BDI!#REF!,IF(#REF!="ZERO",0))))),"")</f>
        <v>#REF!</v>
      </c>
      <c r="H700" s="139" t="str">
        <f t="shared" si="31"/>
        <v/>
      </c>
      <c r="I700" s="137" t="str">
        <f t="shared" si="32"/>
        <v/>
      </c>
      <c r="J700" s="117"/>
    </row>
    <row r="701" spans="1:10" hidden="1" x14ac:dyDescent="0.25">
      <c r="A701" s="114" t="s">
        <v>2152</v>
      </c>
      <c r="B701" s="115" t="s">
        <v>2153</v>
      </c>
      <c r="C701" s="116" t="s">
        <v>16</v>
      </c>
      <c r="D701" s="116">
        <v>0</v>
      </c>
      <c r="E701" s="136" t="s">
        <v>416</v>
      </c>
      <c r="F701" s="137" t="str">
        <f t="shared" si="30"/>
        <v/>
      </c>
      <c r="G701" s="138" t="e">
        <f>IF(A701&lt;&gt;"",IF(AND(#REF!="Padrão",$H$4=#REF!),BDI!$B$17,IF(AND(#REF!="Padrão",$H$4=#REF!),BDI!#REF!,IF(AND(#REF!="Diferenciado",$H$4=#REF!),BDI!$E$17,IF(AND(#REF!="Diferenciado",$H$4=#REF!),BDI!#REF!,IF(#REF!="ZERO",0))))),"")</f>
        <v>#REF!</v>
      </c>
      <c r="H701" s="139" t="str">
        <f t="shared" si="31"/>
        <v/>
      </c>
      <c r="I701" s="137" t="str">
        <f t="shared" si="32"/>
        <v/>
      </c>
      <c r="J701" s="117"/>
    </row>
    <row r="702" spans="1:10" hidden="1" x14ac:dyDescent="0.25">
      <c r="A702" s="114" t="s">
        <v>2154</v>
      </c>
      <c r="B702" s="115" t="s">
        <v>2155</v>
      </c>
      <c r="C702" s="116" t="s">
        <v>16</v>
      </c>
      <c r="D702" s="116">
        <v>0</v>
      </c>
      <c r="E702" s="136" t="s">
        <v>416</v>
      </c>
      <c r="F702" s="137" t="str">
        <f t="shared" si="30"/>
        <v/>
      </c>
      <c r="G702" s="138" t="e">
        <f>IF(A702&lt;&gt;"",IF(AND(#REF!="Padrão",$H$4=#REF!),BDI!$B$17,IF(AND(#REF!="Padrão",$H$4=#REF!),BDI!#REF!,IF(AND(#REF!="Diferenciado",$H$4=#REF!),BDI!$E$17,IF(AND(#REF!="Diferenciado",$H$4=#REF!),BDI!#REF!,IF(#REF!="ZERO",0))))),"")</f>
        <v>#REF!</v>
      </c>
      <c r="H702" s="139" t="str">
        <f t="shared" si="31"/>
        <v/>
      </c>
      <c r="I702" s="137" t="str">
        <f t="shared" si="32"/>
        <v/>
      </c>
      <c r="J702" s="117"/>
    </row>
    <row r="703" spans="1:10" hidden="1" x14ac:dyDescent="0.25">
      <c r="A703" s="114" t="s">
        <v>2156</v>
      </c>
      <c r="B703" s="115" t="s">
        <v>2157</v>
      </c>
      <c r="C703" s="116" t="s">
        <v>16</v>
      </c>
      <c r="D703" s="116">
        <v>0</v>
      </c>
      <c r="E703" s="136" t="s">
        <v>416</v>
      </c>
      <c r="F703" s="137" t="str">
        <f t="shared" si="30"/>
        <v/>
      </c>
      <c r="G703" s="138" t="e">
        <f>IF(A703&lt;&gt;"",IF(AND(#REF!="Padrão",$H$4=#REF!),BDI!$B$17,IF(AND(#REF!="Padrão",$H$4=#REF!),BDI!#REF!,IF(AND(#REF!="Diferenciado",$H$4=#REF!),BDI!$E$17,IF(AND(#REF!="Diferenciado",$H$4=#REF!),BDI!#REF!,IF(#REF!="ZERO",0))))),"")</f>
        <v>#REF!</v>
      </c>
      <c r="H703" s="139" t="str">
        <f t="shared" si="31"/>
        <v/>
      </c>
      <c r="I703" s="137" t="str">
        <f t="shared" si="32"/>
        <v/>
      </c>
      <c r="J703" s="117"/>
    </row>
    <row r="704" spans="1:10" hidden="1" x14ac:dyDescent="0.25">
      <c r="A704" s="114" t="s">
        <v>2158</v>
      </c>
      <c r="B704" s="115" t="s">
        <v>2159</v>
      </c>
      <c r="C704" s="116" t="s">
        <v>16</v>
      </c>
      <c r="D704" s="116">
        <v>0</v>
      </c>
      <c r="E704" s="136" t="s">
        <v>416</v>
      </c>
      <c r="F704" s="137" t="str">
        <f t="shared" si="30"/>
        <v/>
      </c>
      <c r="G704" s="138" t="e">
        <f>IF(A704&lt;&gt;"",IF(AND(#REF!="Padrão",$H$4=#REF!),BDI!$B$17,IF(AND(#REF!="Padrão",$H$4=#REF!),BDI!#REF!,IF(AND(#REF!="Diferenciado",$H$4=#REF!),BDI!$E$17,IF(AND(#REF!="Diferenciado",$H$4=#REF!),BDI!#REF!,IF(#REF!="ZERO",0))))),"")</f>
        <v>#REF!</v>
      </c>
      <c r="H704" s="139" t="str">
        <f t="shared" si="31"/>
        <v/>
      </c>
      <c r="I704" s="137" t="str">
        <f t="shared" si="32"/>
        <v/>
      </c>
      <c r="J704" s="117"/>
    </row>
    <row r="705" spans="1:10" hidden="1" x14ac:dyDescent="0.25">
      <c r="A705" s="114" t="s">
        <v>2160</v>
      </c>
      <c r="B705" s="115" t="s">
        <v>2161</v>
      </c>
      <c r="C705" s="116" t="s">
        <v>16</v>
      </c>
      <c r="D705" s="116">
        <v>0</v>
      </c>
      <c r="E705" s="136" t="s">
        <v>416</v>
      </c>
      <c r="F705" s="137" t="str">
        <f t="shared" si="30"/>
        <v/>
      </c>
      <c r="G705" s="138" t="e">
        <f>IF(A705&lt;&gt;"",IF(AND(#REF!="Padrão",$H$4=#REF!),BDI!$B$17,IF(AND(#REF!="Padrão",$H$4=#REF!),BDI!#REF!,IF(AND(#REF!="Diferenciado",$H$4=#REF!),BDI!$E$17,IF(AND(#REF!="Diferenciado",$H$4=#REF!),BDI!#REF!,IF(#REF!="ZERO",0))))),"")</f>
        <v>#REF!</v>
      </c>
      <c r="H705" s="139" t="str">
        <f t="shared" si="31"/>
        <v/>
      </c>
      <c r="I705" s="137" t="str">
        <f t="shared" si="32"/>
        <v/>
      </c>
      <c r="J705" s="117"/>
    </row>
    <row r="706" spans="1:10" hidden="1" x14ac:dyDescent="0.25">
      <c r="A706" s="114" t="s">
        <v>2162</v>
      </c>
      <c r="B706" s="115" t="s">
        <v>2163</v>
      </c>
      <c r="C706" s="116" t="s">
        <v>16</v>
      </c>
      <c r="D706" s="116">
        <v>0</v>
      </c>
      <c r="E706" s="136" t="s">
        <v>416</v>
      </c>
      <c r="F706" s="137" t="str">
        <f t="shared" si="30"/>
        <v/>
      </c>
      <c r="G706" s="138" t="e">
        <f>IF(A706&lt;&gt;"",IF(AND(#REF!="Padrão",$H$4=#REF!),BDI!$B$17,IF(AND(#REF!="Padrão",$H$4=#REF!),BDI!#REF!,IF(AND(#REF!="Diferenciado",$H$4=#REF!),BDI!$E$17,IF(AND(#REF!="Diferenciado",$H$4=#REF!),BDI!#REF!,IF(#REF!="ZERO",0))))),"")</f>
        <v>#REF!</v>
      </c>
      <c r="H706" s="139" t="str">
        <f t="shared" si="31"/>
        <v/>
      </c>
      <c r="I706" s="137" t="str">
        <f t="shared" si="32"/>
        <v/>
      </c>
      <c r="J706" s="117"/>
    </row>
    <row r="707" spans="1:10" hidden="1" x14ac:dyDescent="0.25">
      <c r="A707" s="114" t="s">
        <v>2164</v>
      </c>
      <c r="B707" s="115" t="s">
        <v>2165</v>
      </c>
      <c r="C707" s="116" t="s">
        <v>16</v>
      </c>
      <c r="D707" s="116">
        <v>0</v>
      </c>
      <c r="E707" s="136" t="s">
        <v>416</v>
      </c>
      <c r="F707" s="137" t="str">
        <f t="shared" si="30"/>
        <v/>
      </c>
      <c r="G707" s="138" t="e">
        <f>IF(A707&lt;&gt;"",IF(AND(#REF!="Padrão",$H$4=#REF!),BDI!$B$17,IF(AND(#REF!="Padrão",$H$4=#REF!),BDI!#REF!,IF(AND(#REF!="Diferenciado",$H$4=#REF!),BDI!$E$17,IF(AND(#REF!="Diferenciado",$H$4=#REF!),BDI!#REF!,IF(#REF!="ZERO",0))))),"")</f>
        <v>#REF!</v>
      </c>
      <c r="H707" s="139" t="str">
        <f t="shared" si="31"/>
        <v/>
      </c>
      <c r="I707" s="137" t="str">
        <f t="shared" si="32"/>
        <v/>
      </c>
      <c r="J707" s="117"/>
    </row>
    <row r="708" spans="1:10" hidden="1" x14ac:dyDescent="0.25">
      <c r="A708" s="114" t="s">
        <v>2166</v>
      </c>
      <c r="B708" s="115" t="s">
        <v>2167</v>
      </c>
      <c r="C708" s="116" t="s">
        <v>16</v>
      </c>
      <c r="D708" s="116">
        <v>0</v>
      </c>
      <c r="E708" s="136" t="s">
        <v>416</v>
      </c>
      <c r="F708" s="137" t="str">
        <f t="shared" si="30"/>
        <v/>
      </c>
      <c r="G708" s="138" t="e">
        <f>IF(A708&lt;&gt;"",IF(AND(#REF!="Padrão",$H$4=#REF!),BDI!$B$17,IF(AND(#REF!="Padrão",$H$4=#REF!),BDI!#REF!,IF(AND(#REF!="Diferenciado",$H$4=#REF!),BDI!$E$17,IF(AND(#REF!="Diferenciado",$H$4=#REF!),BDI!#REF!,IF(#REF!="ZERO",0))))),"")</f>
        <v>#REF!</v>
      </c>
      <c r="H708" s="139" t="str">
        <f t="shared" si="31"/>
        <v/>
      </c>
      <c r="I708" s="137" t="str">
        <f t="shared" si="32"/>
        <v/>
      </c>
      <c r="J708" s="117"/>
    </row>
    <row r="709" spans="1:10" hidden="1" x14ac:dyDescent="0.25">
      <c r="A709" s="114" t="s">
        <v>2168</v>
      </c>
      <c r="B709" s="115" t="s">
        <v>2169</v>
      </c>
      <c r="C709" s="116" t="s">
        <v>16</v>
      </c>
      <c r="D709" s="116">
        <v>0</v>
      </c>
      <c r="E709" s="136" t="s">
        <v>416</v>
      </c>
      <c r="F709" s="137" t="str">
        <f t="shared" si="30"/>
        <v/>
      </c>
      <c r="G709" s="138" t="e">
        <f>IF(A709&lt;&gt;"",IF(AND(#REF!="Padrão",$H$4=#REF!),BDI!$B$17,IF(AND(#REF!="Padrão",$H$4=#REF!),BDI!#REF!,IF(AND(#REF!="Diferenciado",$H$4=#REF!),BDI!$E$17,IF(AND(#REF!="Diferenciado",$H$4=#REF!),BDI!#REF!,IF(#REF!="ZERO",0))))),"")</f>
        <v>#REF!</v>
      </c>
      <c r="H709" s="139" t="str">
        <f t="shared" si="31"/>
        <v/>
      </c>
      <c r="I709" s="137" t="str">
        <f t="shared" si="32"/>
        <v/>
      </c>
      <c r="J709" s="117"/>
    </row>
    <row r="710" spans="1:10" hidden="1" x14ac:dyDescent="0.25">
      <c r="A710" s="114" t="s">
        <v>2170</v>
      </c>
      <c r="B710" s="115" t="s">
        <v>2171</v>
      </c>
      <c r="C710" s="116" t="s">
        <v>16</v>
      </c>
      <c r="D710" s="116">
        <v>0</v>
      </c>
      <c r="E710" s="136" t="s">
        <v>416</v>
      </c>
      <c r="F710" s="137" t="str">
        <f t="shared" si="30"/>
        <v/>
      </c>
      <c r="G710" s="138" t="e">
        <f>IF(A710&lt;&gt;"",IF(AND(#REF!="Padrão",$H$4=#REF!),BDI!$B$17,IF(AND(#REF!="Padrão",$H$4=#REF!),BDI!#REF!,IF(AND(#REF!="Diferenciado",$H$4=#REF!),BDI!$E$17,IF(AND(#REF!="Diferenciado",$H$4=#REF!),BDI!#REF!,IF(#REF!="ZERO",0))))),"")</f>
        <v>#REF!</v>
      </c>
      <c r="H710" s="139" t="str">
        <f t="shared" si="31"/>
        <v/>
      </c>
      <c r="I710" s="137" t="str">
        <f t="shared" si="32"/>
        <v/>
      </c>
      <c r="J710" s="117"/>
    </row>
    <row r="711" spans="1:10" hidden="1" x14ac:dyDescent="0.25">
      <c r="A711" s="114" t="s">
        <v>2172</v>
      </c>
      <c r="B711" s="115" t="s">
        <v>2173</v>
      </c>
      <c r="C711" s="116" t="s">
        <v>16</v>
      </c>
      <c r="D711" s="116">
        <v>0</v>
      </c>
      <c r="E711" s="136" t="s">
        <v>416</v>
      </c>
      <c r="F711" s="137" t="str">
        <f t="shared" ref="F711:F774" si="33">IF(ISNUMBER(E711),D711*E711,"")</f>
        <v/>
      </c>
      <c r="G711" s="138" t="e">
        <f>IF(A711&lt;&gt;"",IF(AND(#REF!="Padrão",$H$4=#REF!),BDI!$B$17,IF(AND(#REF!="Padrão",$H$4=#REF!),BDI!#REF!,IF(AND(#REF!="Diferenciado",$H$4=#REF!),BDI!$E$17,IF(AND(#REF!="Diferenciado",$H$4=#REF!),BDI!#REF!,IF(#REF!="ZERO",0))))),"")</f>
        <v>#REF!</v>
      </c>
      <c r="H711" s="139" t="str">
        <f t="shared" ref="H711:H774" si="34">IF(ISNUMBER(E711),ROUND(E711*(1+G711),2),"")</f>
        <v/>
      </c>
      <c r="I711" s="137" t="str">
        <f t="shared" ref="I711:I774" si="35">IF(ISNUMBER(E711),ROUND(H711*D711,2),"")</f>
        <v/>
      </c>
      <c r="J711" s="117"/>
    </row>
    <row r="712" spans="1:10" hidden="1" x14ac:dyDescent="0.25">
      <c r="A712" s="114" t="s">
        <v>2174</v>
      </c>
      <c r="B712" s="115" t="s">
        <v>2175</v>
      </c>
      <c r="C712" s="116" t="s">
        <v>16</v>
      </c>
      <c r="D712" s="116">
        <v>0</v>
      </c>
      <c r="E712" s="136" t="s">
        <v>416</v>
      </c>
      <c r="F712" s="137" t="str">
        <f t="shared" si="33"/>
        <v/>
      </c>
      <c r="G712" s="138" t="e">
        <f>IF(A712&lt;&gt;"",IF(AND(#REF!="Padrão",$H$4=#REF!),BDI!$B$17,IF(AND(#REF!="Padrão",$H$4=#REF!),BDI!#REF!,IF(AND(#REF!="Diferenciado",$H$4=#REF!),BDI!$E$17,IF(AND(#REF!="Diferenciado",$H$4=#REF!),BDI!#REF!,IF(#REF!="ZERO",0))))),"")</f>
        <v>#REF!</v>
      </c>
      <c r="H712" s="139" t="str">
        <f t="shared" si="34"/>
        <v/>
      </c>
      <c r="I712" s="137" t="str">
        <f t="shared" si="35"/>
        <v/>
      </c>
      <c r="J712" s="117"/>
    </row>
    <row r="713" spans="1:10" hidden="1" x14ac:dyDescent="0.25">
      <c r="A713" s="114" t="s">
        <v>653</v>
      </c>
      <c r="B713" s="115" t="s">
        <v>2176</v>
      </c>
      <c r="C713" s="116" t="s">
        <v>2177</v>
      </c>
      <c r="D713" s="116">
        <v>0</v>
      </c>
      <c r="E713" s="136">
        <f ca="1">OFFSET(INDEX(Composições!A:J,MATCH(Orçamentária!A713,Composições!A:A,0),8),2,0)</f>
        <v>12375.49610285</v>
      </c>
      <c r="F713" s="137">
        <f t="shared" ca="1" si="33"/>
        <v>0</v>
      </c>
      <c r="G713" s="138" t="e">
        <f>IF(A713&lt;&gt;"",IF(AND(#REF!="Padrão",$H$4=#REF!),BDI!$B$17,IF(AND(#REF!="Padrão",$H$4=#REF!),BDI!#REF!,IF(AND(#REF!="Diferenciado",$H$4=#REF!),BDI!$E$17,IF(AND(#REF!="Diferenciado",$H$4=#REF!),BDI!#REF!,IF(#REF!="ZERO",0))))),"")</f>
        <v>#REF!</v>
      </c>
      <c r="H713" s="139" t="e">
        <f t="shared" ca="1" si="34"/>
        <v>#REF!</v>
      </c>
      <c r="I713" s="137" t="e">
        <f t="shared" ca="1" si="35"/>
        <v>#REF!</v>
      </c>
      <c r="J713" s="117"/>
    </row>
    <row r="714" spans="1:10" hidden="1" x14ac:dyDescent="0.25">
      <c r="A714" s="114" t="s">
        <v>656</v>
      </c>
      <c r="B714" s="115" t="s">
        <v>2178</v>
      </c>
      <c r="C714" s="116" t="s">
        <v>2177</v>
      </c>
      <c r="D714" s="116">
        <v>0</v>
      </c>
      <c r="E714" s="136">
        <f ca="1">OFFSET(INDEX(Composições!A:J,MATCH(Orçamentária!A714,Composições!A:A,0),8),2,0)</f>
        <v>3273.1461604499991</v>
      </c>
      <c r="F714" s="137">
        <f t="shared" ca="1" si="33"/>
        <v>0</v>
      </c>
      <c r="G714" s="138" t="e">
        <f>IF(A714&lt;&gt;"",IF(AND(#REF!="Padrão",$H$4=#REF!),BDI!$B$17,IF(AND(#REF!="Padrão",$H$4=#REF!),BDI!#REF!,IF(AND(#REF!="Diferenciado",$H$4=#REF!),BDI!$E$17,IF(AND(#REF!="Diferenciado",$H$4=#REF!),BDI!#REF!,IF(#REF!="ZERO",0))))),"")</f>
        <v>#REF!</v>
      </c>
      <c r="H714" s="139" t="e">
        <f t="shared" ca="1" si="34"/>
        <v>#REF!</v>
      </c>
      <c r="I714" s="137" t="e">
        <f t="shared" ca="1" si="35"/>
        <v>#REF!</v>
      </c>
      <c r="J714" s="117"/>
    </row>
    <row r="715" spans="1:10" hidden="1" x14ac:dyDescent="0.25">
      <c r="A715" s="114" t="s">
        <v>658</v>
      </c>
      <c r="B715" s="115" t="s">
        <v>2179</v>
      </c>
      <c r="C715" s="116" t="s">
        <v>2177</v>
      </c>
      <c r="D715" s="116">
        <v>0</v>
      </c>
      <c r="E715" s="136">
        <f ca="1">OFFSET(INDEX(Composições!A:J,MATCH(Orçamentária!A715,Composições!A:A,0),8),2,0)</f>
        <v>2117.4500685499997</v>
      </c>
      <c r="F715" s="137">
        <f t="shared" ca="1" si="33"/>
        <v>0</v>
      </c>
      <c r="G715" s="138" t="e">
        <f>IF(A715&lt;&gt;"",IF(AND(#REF!="Padrão",$H$4=#REF!),BDI!$B$17,IF(AND(#REF!="Padrão",$H$4=#REF!),BDI!#REF!,IF(AND(#REF!="Diferenciado",$H$4=#REF!),BDI!$E$17,IF(AND(#REF!="Diferenciado",$H$4=#REF!),BDI!#REF!,IF(#REF!="ZERO",0))))),"")</f>
        <v>#REF!</v>
      </c>
      <c r="H715" s="139" t="e">
        <f t="shared" ca="1" si="34"/>
        <v>#REF!</v>
      </c>
      <c r="I715" s="137" t="e">
        <f t="shared" ca="1" si="35"/>
        <v>#REF!</v>
      </c>
      <c r="J715" s="117"/>
    </row>
    <row r="716" spans="1:10" hidden="1" x14ac:dyDescent="0.25">
      <c r="A716" s="114" t="s">
        <v>659</v>
      </c>
      <c r="B716" s="115" t="s">
        <v>2180</v>
      </c>
      <c r="C716" s="116" t="s">
        <v>2177</v>
      </c>
      <c r="D716" s="116">
        <v>0</v>
      </c>
      <c r="E716" s="136">
        <f ca="1">OFFSET(INDEX(Composições!A:J,MATCH(Orçamentária!A716,Composições!A:A,0),8),2,0)</f>
        <v>2233.8153376999999</v>
      </c>
      <c r="F716" s="137">
        <f t="shared" ca="1" si="33"/>
        <v>0</v>
      </c>
      <c r="G716" s="138" t="e">
        <f>IF(A716&lt;&gt;"",IF(AND(#REF!="Padrão",$H$4=#REF!),BDI!$B$17,IF(AND(#REF!="Padrão",$H$4=#REF!),BDI!#REF!,IF(AND(#REF!="Diferenciado",$H$4=#REF!),BDI!$E$17,IF(AND(#REF!="Diferenciado",$H$4=#REF!),BDI!#REF!,IF(#REF!="ZERO",0))))),"")</f>
        <v>#REF!</v>
      </c>
      <c r="H716" s="139" t="e">
        <f t="shared" ca="1" si="34"/>
        <v>#REF!</v>
      </c>
      <c r="I716" s="137" t="e">
        <f t="shared" ca="1" si="35"/>
        <v>#REF!</v>
      </c>
      <c r="J716" s="117"/>
    </row>
    <row r="717" spans="1:10" hidden="1" x14ac:dyDescent="0.25">
      <c r="A717" s="114" t="s">
        <v>661</v>
      </c>
      <c r="B717" s="115" t="s">
        <v>2181</v>
      </c>
      <c r="C717" s="116" t="s">
        <v>2177</v>
      </c>
      <c r="D717" s="116">
        <v>0</v>
      </c>
      <c r="E717" s="136">
        <f ca="1">OFFSET(INDEX(Composições!A:J,MATCH(Orçamentária!A717,Composições!A:A,0),8),2,0)</f>
        <v>2248.7339619499999</v>
      </c>
      <c r="F717" s="137">
        <f t="shared" ca="1" si="33"/>
        <v>0</v>
      </c>
      <c r="G717" s="138" t="e">
        <f>IF(A717&lt;&gt;"",IF(AND(#REF!="Padrão",$H$4=#REF!),BDI!$B$17,IF(AND(#REF!="Padrão",$H$4=#REF!),BDI!#REF!,IF(AND(#REF!="Diferenciado",$H$4=#REF!),BDI!$E$17,IF(AND(#REF!="Diferenciado",$H$4=#REF!),BDI!#REF!,IF(#REF!="ZERO",0))))),"")</f>
        <v>#REF!</v>
      </c>
      <c r="H717" s="139" t="e">
        <f t="shared" ca="1" si="34"/>
        <v>#REF!</v>
      </c>
      <c r="I717" s="137" t="e">
        <f t="shared" ca="1" si="35"/>
        <v>#REF!</v>
      </c>
      <c r="J717" s="117"/>
    </row>
    <row r="718" spans="1:10" hidden="1" x14ac:dyDescent="0.25">
      <c r="A718" s="114" t="s">
        <v>663</v>
      </c>
      <c r="B718" s="115" t="s">
        <v>2182</v>
      </c>
      <c r="C718" s="116" t="s">
        <v>2177</v>
      </c>
      <c r="D718" s="116">
        <v>0</v>
      </c>
      <c r="E718" s="136">
        <f ca="1">OFFSET(INDEX(Composições!A:J,MATCH(Orçamentária!A718,Composições!A:A,0),8),2,0)</f>
        <v>2662.4771411500001</v>
      </c>
      <c r="F718" s="137">
        <f t="shared" ca="1" si="33"/>
        <v>0</v>
      </c>
      <c r="G718" s="138" t="e">
        <f>IF(A718&lt;&gt;"",IF(AND(#REF!="Padrão",$H$4=#REF!),BDI!$B$17,IF(AND(#REF!="Padrão",$H$4=#REF!),BDI!#REF!,IF(AND(#REF!="Diferenciado",$H$4=#REF!),BDI!$E$17,IF(AND(#REF!="Diferenciado",$H$4=#REF!),BDI!#REF!,IF(#REF!="ZERO",0))))),"")</f>
        <v>#REF!</v>
      </c>
      <c r="H718" s="139" t="e">
        <f t="shared" ca="1" si="34"/>
        <v>#REF!</v>
      </c>
      <c r="I718" s="137" t="e">
        <f t="shared" ca="1" si="35"/>
        <v>#REF!</v>
      </c>
      <c r="J718" s="117"/>
    </row>
    <row r="719" spans="1:10" hidden="1" x14ac:dyDescent="0.25">
      <c r="A719" s="114" t="s">
        <v>664</v>
      </c>
      <c r="B719" s="115" t="s">
        <v>2183</v>
      </c>
      <c r="C719" s="116" t="s">
        <v>2177</v>
      </c>
      <c r="D719" s="116">
        <v>0</v>
      </c>
      <c r="E719" s="136">
        <f ca="1">OFFSET(INDEX(Composições!A:J,MATCH(Orçamentária!A719,Composições!A:A,0),8),2,0)</f>
        <v>2662.4771411500001</v>
      </c>
      <c r="F719" s="137">
        <f t="shared" ca="1" si="33"/>
        <v>0</v>
      </c>
      <c r="G719" s="138" t="e">
        <f>IF(A719&lt;&gt;"",IF(AND(#REF!="Padrão",$H$4=#REF!),BDI!$B$17,IF(AND(#REF!="Padrão",$H$4=#REF!),BDI!#REF!,IF(AND(#REF!="Diferenciado",$H$4=#REF!),BDI!$E$17,IF(AND(#REF!="Diferenciado",$H$4=#REF!),BDI!#REF!,IF(#REF!="ZERO",0))))),"")</f>
        <v>#REF!</v>
      </c>
      <c r="H719" s="139" t="e">
        <f t="shared" ca="1" si="34"/>
        <v>#REF!</v>
      </c>
      <c r="I719" s="137" t="e">
        <f t="shared" ca="1" si="35"/>
        <v>#REF!</v>
      </c>
      <c r="J719" s="117"/>
    </row>
    <row r="720" spans="1:10" hidden="1" x14ac:dyDescent="0.25">
      <c r="A720" s="114" t="s">
        <v>665</v>
      </c>
      <c r="B720" s="115" t="s">
        <v>2184</v>
      </c>
      <c r="C720" s="116" t="s">
        <v>2177</v>
      </c>
      <c r="D720" s="116">
        <v>0</v>
      </c>
      <c r="E720" s="136">
        <f ca="1">OFFSET(INDEX(Composições!A:J,MATCH(Orçamentária!A720,Composições!A:A,0),8),2,0)</f>
        <v>2823.5982830499997</v>
      </c>
      <c r="F720" s="137">
        <f t="shared" ca="1" si="33"/>
        <v>0</v>
      </c>
      <c r="G720" s="138" t="e">
        <f>IF(A720&lt;&gt;"",IF(AND(#REF!="Padrão",$H$4=#REF!),BDI!$B$17,IF(AND(#REF!="Padrão",$H$4=#REF!),BDI!#REF!,IF(AND(#REF!="Diferenciado",$H$4=#REF!),BDI!$E$17,IF(AND(#REF!="Diferenciado",$H$4=#REF!),BDI!#REF!,IF(#REF!="ZERO",0))))),"")</f>
        <v>#REF!</v>
      </c>
      <c r="H720" s="139" t="e">
        <f t="shared" ca="1" si="34"/>
        <v>#REF!</v>
      </c>
      <c r="I720" s="137" t="e">
        <f t="shared" ca="1" si="35"/>
        <v>#REF!</v>
      </c>
      <c r="J720" s="117"/>
    </row>
    <row r="721" spans="1:10" hidden="1" x14ac:dyDescent="0.25">
      <c r="A721" s="114" t="s">
        <v>666</v>
      </c>
      <c r="B721" s="115" t="s">
        <v>2185</v>
      </c>
      <c r="C721" s="116" t="s">
        <v>2177</v>
      </c>
      <c r="D721" s="116">
        <v>0</v>
      </c>
      <c r="E721" s="136">
        <f ca="1">OFFSET(INDEX(Composições!A:J,MATCH(Orçamentária!A721,Composições!A:A,0),8),2,0)</f>
        <v>4665.5510904499997</v>
      </c>
      <c r="F721" s="137">
        <f t="shared" ca="1" si="33"/>
        <v>0</v>
      </c>
      <c r="G721" s="138" t="e">
        <f>IF(A721&lt;&gt;"",IF(AND(#REF!="Padrão",$H$4=#REF!),BDI!$B$17,IF(AND(#REF!="Padrão",$H$4=#REF!),BDI!#REF!,IF(AND(#REF!="Diferenciado",$H$4=#REF!),BDI!$E$17,IF(AND(#REF!="Diferenciado",$H$4=#REF!),BDI!#REF!,IF(#REF!="ZERO",0))))),"")</f>
        <v>#REF!</v>
      </c>
      <c r="H721" s="139" t="e">
        <f t="shared" ca="1" si="34"/>
        <v>#REF!</v>
      </c>
      <c r="I721" s="137" t="e">
        <f t="shared" ca="1" si="35"/>
        <v>#REF!</v>
      </c>
      <c r="J721" s="117"/>
    </row>
    <row r="722" spans="1:10" hidden="1" x14ac:dyDescent="0.25">
      <c r="A722" s="114" t="s">
        <v>667</v>
      </c>
      <c r="B722" s="115" t="s">
        <v>2186</v>
      </c>
      <c r="C722" s="116" t="s">
        <v>2177</v>
      </c>
      <c r="D722" s="116">
        <v>0</v>
      </c>
      <c r="E722" s="136">
        <f ca="1">OFFSET(INDEX(Composições!A:J,MATCH(Orçamentária!A722,Composições!A:A,0),8),2,0)</f>
        <v>2843.4897820499996</v>
      </c>
      <c r="F722" s="137">
        <f t="shared" ca="1" si="33"/>
        <v>0</v>
      </c>
      <c r="G722" s="138" t="e">
        <f>IF(A722&lt;&gt;"",IF(AND(#REF!="Padrão",$H$4=#REF!),BDI!$B$17,IF(AND(#REF!="Padrão",$H$4=#REF!),BDI!#REF!,IF(AND(#REF!="Diferenciado",$H$4=#REF!),BDI!$E$17,IF(AND(#REF!="Diferenciado",$H$4=#REF!),BDI!#REF!,IF(#REF!="ZERO",0))))),"")</f>
        <v>#REF!</v>
      </c>
      <c r="H722" s="139" t="e">
        <f t="shared" ca="1" si="34"/>
        <v>#REF!</v>
      </c>
      <c r="I722" s="137" t="e">
        <f t="shared" ca="1" si="35"/>
        <v>#REF!</v>
      </c>
      <c r="J722" s="117"/>
    </row>
    <row r="723" spans="1:10" hidden="1" x14ac:dyDescent="0.25">
      <c r="A723" s="114" t="s">
        <v>2187</v>
      </c>
      <c r="B723" s="115" t="s">
        <v>2188</v>
      </c>
      <c r="C723" s="116" t="s">
        <v>16</v>
      </c>
      <c r="D723" s="116">
        <v>0</v>
      </c>
      <c r="E723" s="136">
        <f ca="1">OFFSET(INDEX(Composições!A:J,MATCH(Orçamentária!A723,Composições!A:A,0),8),2,0)</f>
        <v>52.610999999999997</v>
      </c>
      <c r="F723" s="137">
        <f t="shared" ca="1" si="33"/>
        <v>0</v>
      </c>
      <c r="G723" s="138" t="e">
        <f>IF(A723&lt;&gt;"",IF(AND(#REF!="Padrão",$H$4=#REF!),BDI!$B$17,IF(AND(#REF!="Padrão",$H$4=#REF!),BDI!#REF!,IF(AND(#REF!="Diferenciado",$H$4=#REF!),BDI!$E$17,IF(AND(#REF!="Diferenciado",$H$4=#REF!),BDI!#REF!,IF(#REF!="ZERO",0))))),"")</f>
        <v>#REF!</v>
      </c>
      <c r="H723" s="139" t="e">
        <f t="shared" ca="1" si="34"/>
        <v>#REF!</v>
      </c>
      <c r="I723" s="137" t="e">
        <f t="shared" ca="1" si="35"/>
        <v>#REF!</v>
      </c>
      <c r="J723" s="117"/>
    </row>
    <row r="724" spans="1:10" hidden="1" x14ac:dyDescent="0.25">
      <c r="A724" s="114" t="s">
        <v>2189</v>
      </c>
      <c r="B724" s="115" t="s">
        <v>2190</v>
      </c>
      <c r="C724" s="116" t="s">
        <v>16</v>
      </c>
      <c r="D724" s="116">
        <v>0</v>
      </c>
      <c r="E724" s="136" t="s">
        <v>416</v>
      </c>
      <c r="F724" s="137" t="str">
        <f t="shared" si="33"/>
        <v/>
      </c>
      <c r="G724" s="138" t="e">
        <f>IF(A724&lt;&gt;"",IF(AND(#REF!="Padrão",$H$4=#REF!),BDI!$B$17,IF(AND(#REF!="Padrão",$H$4=#REF!),BDI!#REF!,IF(AND(#REF!="Diferenciado",$H$4=#REF!),BDI!$E$17,IF(AND(#REF!="Diferenciado",$H$4=#REF!),BDI!#REF!,IF(#REF!="ZERO",0))))),"")</f>
        <v>#REF!</v>
      </c>
      <c r="H724" s="139" t="str">
        <f t="shared" si="34"/>
        <v/>
      </c>
      <c r="I724" s="137" t="str">
        <f t="shared" si="35"/>
        <v/>
      </c>
      <c r="J724" s="117"/>
    </row>
    <row r="725" spans="1:10" hidden="1" x14ac:dyDescent="0.25">
      <c r="A725" s="114" t="s">
        <v>2191</v>
      </c>
      <c r="B725" s="115" t="s">
        <v>2192</v>
      </c>
      <c r="C725" s="116" t="s">
        <v>16</v>
      </c>
      <c r="D725" s="116">
        <v>0</v>
      </c>
      <c r="E725" s="136" t="s">
        <v>416</v>
      </c>
      <c r="F725" s="137" t="str">
        <f t="shared" si="33"/>
        <v/>
      </c>
      <c r="G725" s="138" t="e">
        <f>IF(A725&lt;&gt;"",IF(AND(#REF!="Padrão",$H$4=#REF!),BDI!$B$17,IF(AND(#REF!="Padrão",$H$4=#REF!),BDI!#REF!,IF(AND(#REF!="Diferenciado",$H$4=#REF!),BDI!$E$17,IF(AND(#REF!="Diferenciado",$H$4=#REF!),BDI!#REF!,IF(#REF!="ZERO",0))))),"")</f>
        <v>#REF!</v>
      </c>
      <c r="H725" s="139" t="str">
        <f t="shared" si="34"/>
        <v/>
      </c>
      <c r="I725" s="137" t="str">
        <f t="shared" si="35"/>
        <v/>
      </c>
      <c r="J725" s="117"/>
    </row>
    <row r="726" spans="1:10" hidden="1" x14ac:dyDescent="0.25">
      <c r="A726" s="114" t="s">
        <v>2193</v>
      </c>
      <c r="B726" s="115" t="s">
        <v>2955</v>
      </c>
      <c r="C726" s="116" t="s">
        <v>16</v>
      </c>
      <c r="D726" s="116">
        <v>0</v>
      </c>
      <c r="E726" s="136" t="s">
        <v>416</v>
      </c>
      <c r="F726" s="137" t="str">
        <f t="shared" si="33"/>
        <v/>
      </c>
      <c r="G726" s="138" t="e">
        <f>IF(A726&lt;&gt;"",IF(AND(#REF!="Padrão",$H$4=#REF!),BDI!$B$17,IF(AND(#REF!="Padrão",$H$4=#REF!),BDI!#REF!,IF(AND(#REF!="Diferenciado",$H$4=#REF!),BDI!$E$17,IF(AND(#REF!="Diferenciado",$H$4=#REF!),BDI!#REF!,IF(#REF!="ZERO",0))))),"")</f>
        <v>#REF!</v>
      </c>
      <c r="H726" s="139" t="str">
        <f t="shared" si="34"/>
        <v/>
      </c>
      <c r="I726" s="137" t="str">
        <f t="shared" si="35"/>
        <v/>
      </c>
      <c r="J726" s="117"/>
    </row>
    <row r="727" spans="1:10" hidden="1" x14ac:dyDescent="0.25">
      <c r="A727" s="114" t="s">
        <v>2194</v>
      </c>
      <c r="B727" s="115" t="s">
        <v>2195</v>
      </c>
      <c r="C727" s="116" t="s">
        <v>16</v>
      </c>
      <c r="D727" s="116">
        <v>0</v>
      </c>
      <c r="E727" s="136" t="s">
        <v>416</v>
      </c>
      <c r="F727" s="137" t="str">
        <f t="shared" si="33"/>
        <v/>
      </c>
      <c r="G727" s="138" t="e">
        <f>IF(A727&lt;&gt;"",IF(AND(#REF!="Padrão",$H$4=#REF!),BDI!$B$17,IF(AND(#REF!="Padrão",$H$4=#REF!),BDI!#REF!,IF(AND(#REF!="Diferenciado",$H$4=#REF!),BDI!$E$17,IF(AND(#REF!="Diferenciado",$H$4=#REF!),BDI!#REF!,IF(#REF!="ZERO",0))))),"")</f>
        <v>#REF!</v>
      </c>
      <c r="H727" s="139" t="str">
        <f t="shared" si="34"/>
        <v/>
      </c>
      <c r="I727" s="137" t="str">
        <f t="shared" si="35"/>
        <v/>
      </c>
      <c r="J727" s="117"/>
    </row>
    <row r="728" spans="1:10" hidden="1" x14ac:dyDescent="0.25">
      <c r="A728" s="114" t="s">
        <v>2196</v>
      </c>
      <c r="B728" s="115" t="s">
        <v>2197</v>
      </c>
      <c r="C728" s="116" t="s">
        <v>16</v>
      </c>
      <c r="D728" s="116">
        <v>0</v>
      </c>
      <c r="E728" s="136" t="s">
        <v>416</v>
      </c>
      <c r="F728" s="137" t="str">
        <f t="shared" si="33"/>
        <v/>
      </c>
      <c r="G728" s="138" t="e">
        <f>IF(A728&lt;&gt;"",IF(AND(#REF!="Padrão",$H$4=#REF!),BDI!$B$17,IF(AND(#REF!="Padrão",$H$4=#REF!),BDI!#REF!,IF(AND(#REF!="Diferenciado",$H$4=#REF!),BDI!$E$17,IF(AND(#REF!="Diferenciado",$H$4=#REF!),BDI!#REF!,IF(#REF!="ZERO",0))))),"")</f>
        <v>#REF!</v>
      </c>
      <c r="H728" s="139" t="str">
        <f t="shared" si="34"/>
        <v/>
      </c>
      <c r="I728" s="137" t="str">
        <f t="shared" si="35"/>
        <v/>
      </c>
      <c r="J728" s="117"/>
    </row>
    <row r="729" spans="1:10" hidden="1" x14ac:dyDescent="0.25">
      <c r="A729" s="114" t="s">
        <v>2198</v>
      </c>
      <c r="B729" s="115" t="s">
        <v>2199</v>
      </c>
      <c r="C729" s="116" t="s">
        <v>16</v>
      </c>
      <c r="D729" s="116">
        <v>0</v>
      </c>
      <c r="E729" s="136" t="s">
        <v>416</v>
      </c>
      <c r="F729" s="137" t="str">
        <f t="shared" si="33"/>
        <v/>
      </c>
      <c r="G729" s="138" t="e">
        <f>IF(A729&lt;&gt;"",IF(AND(#REF!="Padrão",$H$4=#REF!),BDI!$B$17,IF(AND(#REF!="Padrão",$H$4=#REF!),BDI!#REF!,IF(AND(#REF!="Diferenciado",$H$4=#REF!),BDI!$E$17,IF(AND(#REF!="Diferenciado",$H$4=#REF!),BDI!#REF!,IF(#REF!="ZERO",0))))),"")</f>
        <v>#REF!</v>
      </c>
      <c r="H729" s="139" t="str">
        <f t="shared" si="34"/>
        <v/>
      </c>
      <c r="I729" s="137" t="str">
        <f t="shared" si="35"/>
        <v/>
      </c>
      <c r="J729" s="117"/>
    </row>
    <row r="730" spans="1:10" hidden="1" x14ac:dyDescent="0.25">
      <c r="A730" s="114" t="s">
        <v>2200</v>
      </c>
      <c r="B730" s="115" t="s">
        <v>5443</v>
      </c>
      <c r="C730" s="116" t="s">
        <v>16</v>
      </c>
      <c r="D730" s="116">
        <v>0</v>
      </c>
      <c r="E730" s="136" t="s">
        <v>416</v>
      </c>
      <c r="F730" s="137" t="str">
        <f t="shared" si="33"/>
        <v/>
      </c>
      <c r="G730" s="138" t="e">
        <f>IF(A730&lt;&gt;"",IF(AND(#REF!="Padrão",$H$4=#REF!),BDI!$B$17,IF(AND(#REF!="Padrão",$H$4=#REF!),BDI!#REF!,IF(AND(#REF!="Diferenciado",$H$4=#REF!),BDI!$E$17,IF(AND(#REF!="Diferenciado",$H$4=#REF!),BDI!#REF!,IF(#REF!="ZERO",0))))),"")</f>
        <v>#REF!</v>
      </c>
      <c r="H730" s="139" t="str">
        <f t="shared" si="34"/>
        <v/>
      </c>
      <c r="I730" s="137" t="str">
        <f t="shared" si="35"/>
        <v/>
      </c>
      <c r="J730" s="117"/>
    </row>
    <row r="731" spans="1:10" hidden="1" x14ac:dyDescent="0.25">
      <c r="A731" s="114" t="s">
        <v>2201</v>
      </c>
      <c r="B731" s="115" t="s">
        <v>2202</v>
      </c>
      <c r="C731" s="116" t="s">
        <v>16</v>
      </c>
      <c r="D731" s="116">
        <v>0</v>
      </c>
      <c r="E731" s="136" t="s">
        <v>416</v>
      </c>
      <c r="F731" s="137" t="str">
        <f t="shared" si="33"/>
        <v/>
      </c>
      <c r="G731" s="138" t="e">
        <f>IF(A731&lt;&gt;"",IF(AND(#REF!="Padrão",$H$4=#REF!),BDI!$B$17,IF(AND(#REF!="Padrão",$H$4=#REF!),BDI!#REF!,IF(AND(#REF!="Diferenciado",$H$4=#REF!),BDI!$E$17,IF(AND(#REF!="Diferenciado",$H$4=#REF!),BDI!#REF!,IF(#REF!="ZERO",0))))),"")</f>
        <v>#REF!</v>
      </c>
      <c r="H731" s="139" t="str">
        <f t="shared" si="34"/>
        <v/>
      </c>
      <c r="I731" s="137" t="str">
        <f t="shared" si="35"/>
        <v/>
      </c>
      <c r="J731" s="117"/>
    </row>
    <row r="732" spans="1:10" hidden="1" x14ac:dyDescent="0.25">
      <c r="A732" s="114" t="s">
        <v>2203</v>
      </c>
      <c r="B732" s="115" t="s">
        <v>2204</v>
      </c>
      <c r="C732" s="116" t="s">
        <v>16</v>
      </c>
      <c r="D732" s="116">
        <v>0</v>
      </c>
      <c r="E732" s="136" t="s">
        <v>416</v>
      </c>
      <c r="F732" s="137" t="str">
        <f t="shared" si="33"/>
        <v/>
      </c>
      <c r="G732" s="138" t="e">
        <f>IF(A732&lt;&gt;"",IF(AND(#REF!="Padrão",$H$4=#REF!),BDI!$B$17,IF(AND(#REF!="Padrão",$H$4=#REF!),BDI!#REF!,IF(AND(#REF!="Diferenciado",$H$4=#REF!),BDI!$E$17,IF(AND(#REF!="Diferenciado",$H$4=#REF!),BDI!#REF!,IF(#REF!="ZERO",0))))),"")</f>
        <v>#REF!</v>
      </c>
      <c r="H732" s="139" t="str">
        <f t="shared" si="34"/>
        <v/>
      </c>
      <c r="I732" s="137" t="str">
        <f t="shared" si="35"/>
        <v/>
      </c>
      <c r="J732" s="117"/>
    </row>
    <row r="733" spans="1:10" hidden="1" x14ac:dyDescent="0.25">
      <c r="A733" s="114" t="s">
        <v>2205</v>
      </c>
      <c r="B733" s="115" t="s">
        <v>2206</v>
      </c>
      <c r="C733" s="116" t="s">
        <v>16</v>
      </c>
      <c r="D733" s="116">
        <v>0</v>
      </c>
      <c r="E733" s="136">
        <f ca="1">OFFSET(INDEX(Composições!A:J,MATCH(Orçamentária!A733,Composições!A:A,0),8),2,0)</f>
        <v>229.00700000000001</v>
      </c>
      <c r="F733" s="137">
        <f t="shared" ca="1" si="33"/>
        <v>0</v>
      </c>
      <c r="G733" s="138" t="e">
        <f>IF(A733&lt;&gt;"",IF(AND(#REF!="Padrão",$H$4=#REF!),BDI!$B$17,IF(AND(#REF!="Padrão",$H$4=#REF!),BDI!#REF!,IF(AND(#REF!="Diferenciado",$H$4=#REF!),BDI!$E$17,IF(AND(#REF!="Diferenciado",$H$4=#REF!),BDI!#REF!,IF(#REF!="ZERO",0))))),"")</f>
        <v>#REF!</v>
      </c>
      <c r="H733" s="139" t="e">
        <f t="shared" ca="1" si="34"/>
        <v>#REF!</v>
      </c>
      <c r="I733" s="137" t="e">
        <f t="shared" ca="1" si="35"/>
        <v>#REF!</v>
      </c>
      <c r="J733" s="117"/>
    </row>
    <row r="734" spans="1:10" hidden="1" x14ac:dyDescent="0.25">
      <c r="A734" s="114" t="s">
        <v>2207</v>
      </c>
      <c r="B734" s="115" t="s">
        <v>2208</v>
      </c>
      <c r="C734" s="116" t="s">
        <v>16</v>
      </c>
      <c r="D734" s="116">
        <v>0</v>
      </c>
      <c r="E734" s="136" t="s">
        <v>416</v>
      </c>
      <c r="F734" s="137" t="str">
        <f t="shared" si="33"/>
        <v/>
      </c>
      <c r="G734" s="138" t="e">
        <f>IF(A734&lt;&gt;"",IF(AND(#REF!="Padrão",$H$4=#REF!),BDI!$B$17,IF(AND(#REF!="Padrão",$H$4=#REF!),BDI!#REF!,IF(AND(#REF!="Diferenciado",$H$4=#REF!),BDI!$E$17,IF(AND(#REF!="Diferenciado",$H$4=#REF!),BDI!#REF!,IF(#REF!="ZERO",0))))),"")</f>
        <v>#REF!</v>
      </c>
      <c r="H734" s="139" t="str">
        <f t="shared" si="34"/>
        <v/>
      </c>
      <c r="I734" s="137" t="str">
        <f t="shared" si="35"/>
        <v/>
      </c>
      <c r="J734" s="117"/>
    </row>
    <row r="735" spans="1:10" hidden="1" x14ac:dyDescent="0.25">
      <c r="A735" s="114" t="s">
        <v>2209</v>
      </c>
      <c r="B735" s="115" t="s">
        <v>2210</v>
      </c>
      <c r="C735" s="116" t="s">
        <v>16</v>
      </c>
      <c r="D735" s="116">
        <v>0</v>
      </c>
      <c r="E735" s="136" t="s">
        <v>416</v>
      </c>
      <c r="F735" s="137" t="str">
        <f t="shared" si="33"/>
        <v/>
      </c>
      <c r="G735" s="138" t="e">
        <f>IF(A735&lt;&gt;"",IF(AND(#REF!="Padrão",$H$4=#REF!),BDI!$B$17,IF(AND(#REF!="Padrão",$H$4=#REF!),BDI!#REF!,IF(AND(#REF!="Diferenciado",$H$4=#REF!),BDI!$E$17,IF(AND(#REF!="Diferenciado",$H$4=#REF!),BDI!#REF!,IF(#REF!="ZERO",0))))),"")</f>
        <v>#REF!</v>
      </c>
      <c r="H735" s="139" t="str">
        <f t="shared" si="34"/>
        <v/>
      </c>
      <c r="I735" s="137" t="str">
        <f t="shared" si="35"/>
        <v/>
      </c>
      <c r="J735" s="117"/>
    </row>
    <row r="736" spans="1:10" hidden="1" x14ac:dyDescent="0.25">
      <c r="A736" s="114" t="s">
        <v>2211</v>
      </c>
      <c r="B736" s="115" t="s">
        <v>5444</v>
      </c>
      <c r="C736" s="116" t="s">
        <v>16</v>
      </c>
      <c r="D736" s="116">
        <v>0</v>
      </c>
      <c r="E736" s="136" t="s">
        <v>416</v>
      </c>
      <c r="F736" s="137" t="str">
        <f t="shared" si="33"/>
        <v/>
      </c>
      <c r="G736" s="138" t="e">
        <f>IF(A736&lt;&gt;"",IF(AND(#REF!="Padrão",$H$4=#REF!),BDI!$B$17,IF(AND(#REF!="Padrão",$H$4=#REF!),BDI!#REF!,IF(AND(#REF!="Diferenciado",$H$4=#REF!),BDI!$E$17,IF(AND(#REF!="Diferenciado",$H$4=#REF!),BDI!#REF!,IF(#REF!="ZERO",0))))),"")</f>
        <v>#REF!</v>
      </c>
      <c r="H736" s="139" t="str">
        <f t="shared" si="34"/>
        <v/>
      </c>
      <c r="I736" s="137" t="str">
        <f t="shared" si="35"/>
        <v/>
      </c>
      <c r="J736" s="117"/>
    </row>
    <row r="737" spans="1:10" hidden="1" x14ac:dyDescent="0.25">
      <c r="A737" s="114" t="s">
        <v>2212</v>
      </c>
      <c r="B737" s="115" t="s">
        <v>2213</v>
      </c>
      <c r="C737" s="116" t="s">
        <v>16</v>
      </c>
      <c r="D737" s="116">
        <v>0</v>
      </c>
      <c r="E737" s="136" t="s">
        <v>416</v>
      </c>
      <c r="F737" s="137" t="str">
        <f t="shared" si="33"/>
        <v/>
      </c>
      <c r="G737" s="138" t="e">
        <f>IF(A737&lt;&gt;"",IF(AND(#REF!="Padrão",$H$4=#REF!),BDI!$B$17,IF(AND(#REF!="Padrão",$H$4=#REF!),BDI!#REF!,IF(AND(#REF!="Diferenciado",$H$4=#REF!),BDI!$E$17,IF(AND(#REF!="Diferenciado",$H$4=#REF!),BDI!#REF!,IF(#REF!="ZERO",0))))),"")</f>
        <v>#REF!</v>
      </c>
      <c r="H737" s="139" t="str">
        <f t="shared" si="34"/>
        <v/>
      </c>
      <c r="I737" s="137" t="str">
        <f t="shared" si="35"/>
        <v/>
      </c>
      <c r="J737" s="117"/>
    </row>
    <row r="738" spans="1:10" hidden="1" x14ac:dyDescent="0.25">
      <c r="A738" s="114" t="s">
        <v>2214</v>
      </c>
      <c r="B738" s="115" t="s">
        <v>2215</v>
      </c>
      <c r="C738" s="116" t="s">
        <v>16</v>
      </c>
      <c r="D738" s="116">
        <v>0</v>
      </c>
      <c r="E738" s="136" t="s">
        <v>416</v>
      </c>
      <c r="F738" s="137" t="str">
        <f t="shared" si="33"/>
        <v/>
      </c>
      <c r="G738" s="138" t="e">
        <f>IF(A738&lt;&gt;"",IF(AND(#REF!="Padrão",$H$4=#REF!),BDI!$B$17,IF(AND(#REF!="Padrão",$H$4=#REF!),BDI!#REF!,IF(AND(#REF!="Diferenciado",$H$4=#REF!),BDI!$E$17,IF(AND(#REF!="Diferenciado",$H$4=#REF!),BDI!#REF!,IF(#REF!="ZERO",0))))),"")</f>
        <v>#REF!</v>
      </c>
      <c r="H738" s="139" t="str">
        <f t="shared" si="34"/>
        <v/>
      </c>
      <c r="I738" s="137" t="str">
        <f t="shared" si="35"/>
        <v/>
      </c>
      <c r="J738" s="117"/>
    </row>
    <row r="739" spans="1:10" hidden="1" x14ac:dyDescent="0.25">
      <c r="A739" s="114" t="s">
        <v>2216</v>
      </c>
      <c r="B739" s="115" t="s">
        <v>2217</v>
      </c>
      <c r="C739" s="116" t="s">
        <v>16</v>
      </c>
      <c r="D739" s="116">
        <v>0</v>
      </c>
      <c r="E739" s="136" t="s">
        <v>416</v>
      </c>
      <c r="F739" s="137" t="str">
        <f t="shared" si="33"/>
        <v/>
      </c>
      <c r="G739" s="138" t="e">
        <f>IF(A739&lt;&gt;"",IF(AND(#REF!="Padrão",$H$4=#REF!),BDI!$B$17,IF(AND(#REF!="Padrão",$H$4=#REF!),BDI!#REF!,IF(AND(#REF!="Diferenciado",$H$4=#REF!),BDI!$E$17,IF(AND(#REF!="Diferenciado",$H$4=#REF!),BDI!#REF!,IF(#REF!="ZERO",0))))),"")</f>
        <v>#REF!</v>
      </c>
      <c r="H739" s="139" t="str">
        <f t="shared" si="34"/>
        <v/>
      </c>
      <c r="I739" s="137" t="str">
        <f t="shared" si="35"/>
        <v/>
      </c>
      <c r="J739" s="117"/>
    </row>
    <row r="740" spans="1:10" hidden="1" x14ac:dyDescent="0.25">
      <c r="A740" s="114" t="s">
        <v>2218</v>
      </c>
      <c r="B740" s="115" t="s">
        <v>5506</v>
      </c>
      <c r="C740" s="116" t="s">
        <v>16</v>
      </c>
      <c r="D740" s="116">
        <v>0</v>
      </c>
      <c r="E740" s="136" t="s">
        <v>416</v>
      </c>
      <c r="F740" s="137" t="str">
        <f t="shared" si="33"/>
        <v/>
      </c>
      <c r="G740" s="138" t="e">
        <f>IF(A740&lt;&gt;"",IF(AND(#REF!="Padrão",$H$4=#REF!),BDI!$B$17,IF(AND(#REF!="Padrão",$H$4=#REF!),BDI!#REF!,IF(AND(#REF!="Diferenciado",$H$4=#REF!),BDI!$E$17,IF(AND(#REF!="Diferenciado",$H$4=#REF!),BDI!#REF!,IF(#REF!="ZERO",0))))),"")</f>
        <v>#REF!</v>
      </c>
      <c r="H740" s="139" t="str">
        <f t="shared" si="34"/>
        <v/>
      </c>
      <c r="I740" s="137" t="str">
        <f t="shared" si="35"/>
        <v/>
      </c>
      <c r="J740" s="117"/>
    </row>
    <row r="741" spans="1:10" hidden="1" x14ac:dyDescent="0.25">
      <c r="A741" s="114" t="s">
        <v>2219</v>
      </c>
      <c r="B741" s="115" t="s">
        <v>2220</v>
      </c>
      <c r="C741" s="116" t="s">
        <v>16</v>
      </c>
      <c r="D741" s="116">
        <v>0</v>
      </c>
      <c r="E741" s="136" t="s">
        <v>416</v>
      </c>
      <c r="F741" s="137" t="str">
        <f t="shared" si="33"/>
        <v/>
      </c>
      <c r="G741" s="138" t="e">
        <f>IF(A741&lt;&gt;"",IF(AND(#REF!="Padrão",$H$4=#REF!),BDI!$B$17,IF(AND(#REF!="Padrão",$H$4=#REF!),BDI!#REF!,IF(AND(#REF!="Diferenciado",$H$4=#REF!),BDI!$E$17,IF(AND(#REF!="Diferenciado",$H$4=#REF!),BDI!#REF!,IF(#REF!="ZERO",0))))),"")</f>
        <v>#REF!</v>
      </c>
      <c r="H741" s="139" t="str">
        <f t="shared" si="34"/>
        <v/>
      </c>
      <c r="I741" s="137" t="str">
        <f t="shared" si="35"/>
        <v/>
      </c>
      <c r="J741" s="117"/>
    </row>
    <row r="742" spans="1:10" hidden="1" x14ac:dyDescent="0.25">
      <c r="A742" s="114" t="s">
        <v>2221</v>
      </c>
      <c r="B742" s="115" t="s">
        <v>2222</v>
      </c>
      <c r="C742" s="116" t="s">
        <v>16</v>
      </c>
      <c r="D742" s="116">
        <v>0</v>
      </c>
      <c r="E742" s="136">
        <f ca="1">OFFSET(INDEX(Composições!A:J,MATCH(Orçamentária!A742,Composições!A:A,0),8),2,0)</f>
        <v>56.733999999999995</v>
      </c>
      <c r="F742" s="137">
        <f t="shared" ca="1" si="33"/>
        <v>0</v>
      </c>
      <c r="G742" s="138" t="e">
        <f>IF(A742&lt;&gt;"",IF(AND(#REF!="Padrão",$H$4=#REF!),BDI!$B$17,IF(AND(#REF!="Padrão",$H$4=#REF!),BDI!#REF!,IF(AND(#REF!="Diferenciado",$H$4=#REF!),BDI!$E$17,IF(AND(#REF!="Diferenciado",$H$4=#REF!),BDI!#REF!,IF(#REF!="ZERO",0))))),"")</f>
        <v>#REF!</v>
      </c>
      <c r="H742" s="139" t="e">
        <f t="shared" ca="1" si="34"/>
        <v>#REF!</v>
      </c>
      <c r="I742" s="137" t="e">
        <f t="shared" ca="1" si="35"/>
        <v>#REF!</v>
      </c>
      <c r="J742" s="117"/>
    </row>
    <row r="743" spans="1:10" hidden="1" x14ac:dyDescent="0.25">
      <c r="A743" s="114" t="s">
        <v>2223</v>
      </c>
      <c r="B743" s="115" t="s">
        <v>5445</v>
      </c>
      <c r="C743" s="116" t="s">
        <v>16</v>
      </c>
      <c r="D743" s="116">
        <v>0</v>
      </c>
      <c r="E743" s="136" t="s">
        <v>416</v>
      </c>
      <c r="F743" s="137" t="str">
        <f t="shared" si="33"/>
        <v/>
      </c>
      <c r="G743" s="138" t="e">
        <f>IF(A743&lt;&gt;"",IF(AND(#REF!="Padrão",$H$4=#REF!),BDI!$B$17,IF(AND(#REF!="Padrão",$H$4=#REF!),BDI!#REF!,IF(AND(#REF!="Diferenciado",$H$4=#REF!),BDI!$E$17,IF(AND(#REF!="Diferenciado",$H$4=#REF!),BDI!#REF!,IF(#REF!="ZERO",0))))),"")</f>
        <v>#REF!</v>
      </c>
      <c r="H743" s="139" t="str">
        <f t="shared" si="34"/>
        <v/>
      </c>
      <c r="I743" s="137" t="str">
        <f t="shared" si="35"/>
        <v/>
      </c>
      <c r="J743" s="117"/>
    </row>
    <row r="744" spans="1:10" hidden="1" x14ac:dyDescent="0.25">
      <c r="A744" s="114" t="s">
        <v>2224</v>
      </c>
      <c r="B744" s="115" t="s">
        <v>2225</v>
      </c>
      <c r="C744" s="116" t="s">
        <v>16</v>
      </c>
      <c r="D744" s="116">
        <v>0</v>
      </c>
      <c r="E744" s="136" t="s">
        <v>416</v>
      </c>
      <c r="F744" s="137" t="str">
        <f t="shared" si="33"/>
        <v/>
      </c>
      <c r="G744" s="138" t="e">
        <f>IF(A744&lt;&gt;"",IF(AND(#REF!="Padrão",$H$4=#REF!),BDI!$B$17,IF(AND(#REF!="Padrão",$H$4=#REF!),BDI!#REF!,IF(AND(#REF!="Diferenciado",$H$4=#REF!),BDI!$E$17,IF(AND(#REF!="Diferenciado",$H$4=#REF!),BDI!#REF!,IF(#REF!="ZERO",0))))),"")</f>
        <v>#REF!</v>
      </c>
      <c r="H744" s="139" t="str">
        <f t="shared" si="34"/>
        <v/>
      </c>
      <c r="I744" s="137" t="str">
        <f t="shared" si="35"/>
        <v/>
      </c>
      <c r="J744" s="117"/>
    </row>
    <row r="745" spans="1:10" hidden="1" x14ac:dyDescent="0.25">
      <c r="A745" s="114" t="s">
        <v>2226</v>
      </c>
      <c r="B745" s="115" t="s">
        <v>7663</v>
      </c>
      <c r="C745" s="116" t="s">
        <v>16</v>
      </c>
      <c r="D745" s="116">
        <v>0</v>
      </c>
      <c r="E745" s="136" t="s">
        <v>416</v>
      </c>
      <c r="F745" s="137" t="str">
        <f t="shared" si="33"/>
        <v/>
      </c>
      <c r="G745" s="138" t="e">
        <f>IF(A745&lt;&gt;"",IF(AND(#REF!="Padrão",$H$4=#REF!),BDI!$B$17,IF(AND(#REF!="Padrão",$H$4=#REF!),BDI!#REF!,IF(AND(#REF!="Diferenciado",$H$4=#REF!),BDI!$E$17,IF(AND(#REF!="Diferenciado",$H$4=#REF!),BDI!#REF!,IF(#REF!="ZERO",0))))),"")</f>
        <v>#REF!</v>
      </c>
      <c r="H745" s="139" t="str">
        <f t="shared" si="34"/>
        <v/>
      </c>
      <c r="I745" s="137" t="str">
        <f t="shared" si="35"/>
        <v/>
      </c>
      <c r="J745" s="117"/>
    </row>
    <row r="746" spans="1:10" hidden="1" x14ac:dyDescent="0.25">
      <c r="A746" s="114" t="s">
        <v>2227</v>
      </c>
      <c r="B746" s="115" t="s">
        <v>2228</v>
      </c>
      <c r="C746" s="116" t="s">
        <v>16</v>
      </c>
      <c r="D746" s="116">
        <v>0</v>
      </c>
      <c r="E746" s="136" t="s">
        <v>416</v>
      </c>
      <c r="F746" s="137" t="str">
        <f t="shared" si="33"/>
        <v/>
      </c>
      <c r="G746" s="138" t="e">
        <f>IF(A746&lt;&gt;"",IF(AND(#REF!="Padrão",$H$4=#REF!),BDI!$B$17,IF(AND(#REF!="Padrão",$H$4=#REF!),BDI!#REF!,IF(AND(#REF!="Diferenciado",$H$4=#REF!),BDI!$E$17,IF(AND(#REF!="Diferenciado",$H$4=#REF!),BDI!#REF!,IF(#REF!="ZERO",0))))),"")</f>
        <v>#REF!</v>
      </c>
      <c r="H746" s="139" t="str">
        <f t="shared" si="34"/>
        <v/>
      </c>
      <c r="I746" s="137" t="str">
        <f t="shared" si="35"/>
        <v/>
      </c>
      <c r="J746" s="117"/>
    </row>
    <row r="747" spans="1:10" hidden="1" x14ac:dyDescent="0.25">
      <c r="A747" s="114" t="s">
        <v>2229</v>
      </c>
      <c r="B747" s="115" t="s">
        <v>2230</v>
      </c>
      <c r="C747" s="116" t="s">
        <v>16</v>
      </c>
      <c r="D747" s="116">
        <v>0</v>
      </c>
      <c r="E747" s="136" t="s">
        <v>416</v>
      </c>
      <c r="F747" s="137" t="str">
        <f t="shared" si="33"/>
        <v/>
      </c>
      <c r="G747" s="138" t="e">
        <f>IF(A747&lt;&gt;"",IF(AND(#REF!="Padrão",$H$4=#REF!),BDI!$B$17,IF(AND(#REF!="Padrão",$H$4=#REF!),BDI!#REF!,IF(AND(#REF!="Diferenciado",$H$4=#REF!),BDI!$E$17,IF(AND(#REF!="Diferenciado",$H$4=#REF!),BDI!#REF!,IF(#REF!="ZERO",0))))),"")</f>
        <v>#REF!</v>
      </c>
      <c r="H747" s="139" t="str">
        <f t="shared" si="34"/>
        <v/>
      </c>
      <c r="I747" s="137" t="str">
        <f t="shared" si="35"/>
        <v/>
      </c>
      <c r="J747" s="117"/>
    </row>
    <row r="748" spans="1:10" hidden="1" x14ac:dyDescent="0.25">
      <c r="A748" s="114" t="s">
        <v>2231</v>
      </c>
      <c r="B748" s="115" t="s">
        <v>2232</v>
      </c>
      <c r="C748" s="116" t="s">
        <v>16</v>
      </c>
      <c r="D748" s="116">
        <v>0</v>
      </c>
      <c r="E748" s="136" t="s">
        <v>416</v>
      </c>
      <c r="F748" s="137" t="str">
        <f t="shared" si="33"/>
        <v/>
      </c>
      <c r="G748" s="138" t="e">
        <f>IF(A748&lt;&gt;"",IF(AND(#REF!="Padrão",$H$4=#REF!),BDI!$B$17,IF(AND(#REF!="Padrão",$H$4=#REF!),BDI!#REF!,IF(AND(#REF!="Diferenciado",$H$4=#REF!),BDI!$E$17,IF(AND(#REF!="Diferenciado",$H$4=#REF!),BDI!#REF!,IF(#REF!="ZERO",0))))),"")</f>
        <v>#REF!</v>
      </c>
      <c r="H748" s="139" t="str">
        <f t="shared" si="34"/>
        <v/>
      </c>
      <c r="I748" s="137" t="str">
        <f t="shared" si="35"/>
        <v/>
      </c>
      <c r="J748" s="117"/>
    </row>
    <row r="749" spans="1:10" hidden="1" x14ac:dyDescent="0.25">
      <c r="A749" s="114" t="s">
        <v>2233</v>
      </c>
      <c r="B749" s="115" t="s">
        <v>2234</v>
      </c>
      <c r="C749" s="116" t="s">
        <v>16</v>
      </c>
      <c r="D749" s="116">
        <v>0</v>
      </c>
      <c r="E749" s="136" t="s">
        <v>416</v>
      </c>
      <c r="F749" s="137" t="str">
        <f t="shared" si="33"/>
        <v/>
      </c>
      <c r="G749" s="138" t="e">
        <f>IF(A749&lt;&gt;"",IF(AND(#REF!="Padrão",$H$4=#REF!),BDI!$B$17,IF(AND(#REF!="Padrão",$H$4=#REF!),BDI!#REF!,IF(AND(#REF!="Diferenciado",$H$4=#REF!),BDI!$E$17,IF(AND(#REF!="Diferenciado",$H$4=#REF!),BDI!#REF!,IF(#REF!="ZERO",0))))),"")</f>
        <v>#REF!</v>
      </c>
      <c r="H749" s="139" t="str">
        <f t="shared" si="34"/>
        <v/>
      </c>
      <c r="I749" s="137" t="str">
        <f t="shared" si="35"/>
        <v/>
      </c>
      <c r="J749" s="117"/>
    </row>
    <row r="750" spans="1:10" hidden="1" x14ac:dyDescent="0.25">
      <c r="A750" s="114" t="s">
        <v>2235</v>
      </c>
      <c r="B750" s="115" t="s">
        <v>2236</v>
      </c>
      <c r="C750" s="116" t="s">
        <v>16</v>
      </c>
      <c r="D750" s="116">
        <v>0</v>
      </c>
      <c r="E750" s="136">
        <f ca="1">OFFSET(INDEX(Composições!A:J,MATCH(Orçamentária!A750,Composições!A:A,0),8),2,0)</f>
        <v>22.904499999999999</v>
      </c>
      <c r="F750" s="137">
        <f t="shared" ca="1" si="33"/>
        <v>0</v>
      </c>
      <c r="G750" s="138" t="e">
        <f>IF(A750&lt;&gt;"",IF(AND(#REF!="Padrão",$H$4=#REF!),BDI!$B$17,IF(AND(#REF!="Padrão",$H$4=#REF!),BDI!#REF!,IF(AND(#REF!="Diferenciado",$H$4=#REF!),BDI!$E$17,IF(AND(#REF!="Diferenciado",$H$4=#REF!),BDI!#REF!,IF(#REF!="ZERO",0))))),"")</f>
        <v>#REF!</v>
      </c>
      <c r="H750" s="139" t="e">
        <f t="shared" ca="1" si="34"/>
        <v>#REF!</v>
      </c>
      <c r="I750" s="137" t="e">
        <f t="shared" ca="1" si="35"/>
        <v>#REF!</v>
      </c>
      <c r="J750" s="117"/>
    </row>
    <row r="751" spans="1:10" hidden="1" x14ac:dyDescent="0.25">
      <c r="A751" s="114" t="s">
        <v>2237</v>
      </c>
      <c r="B751" s="115" t="s">
        <v>5446</v>
      </c>
      <c r="C751" s="116" t="s">
        <v>16</v>
      </c>
      <c r="D751" s="116">
        <v>0</v>
      </c>
      <c r="E751" s="136">
        <f ca="1">OFFSET(INDEX(Composições!A:J,MATCH(Orçamentária!A751,Composições!A:A,0),8),2,0)</f>
        <v>36.394500000000001</v>
      </c>
      <c r="F751" s="137">
        <f t="shared" ca="1" si="33"/>
        <v>0</v>
      </c>
      <c r="G751" s="138" t="e">
        <f>IF(A751&lt;&gt;"",IF(AND(#REF!="Padrão",$H$4=#REF!),BDI!$B$17,IF(AND(#REF!="Padrão",$H$4=#REF!),BDI!#REF!,IF(AND(#REF!="Diferenciado",$H$4=#REF!),BDI!$E$17,IF(AND(#REF!="Diferenciado",$H$4=#REF!),BDI!#REF!,IF(#REF!="ZERO",0))))),"")</f>
        <v>#REF!</v>
      </c>
      <c r="H751" s="139" t="e">
        <f t="shared" ca="1" si="34"/>
        <v>#REF!</v>
      </c>
      <c r="I751" s="137" t="e">
        <f t="shared" ca="1" si="35"/>
        <v>#REF!</v>
      </c>
      <c r="J751" s="117"/>
    </row>
    <row r="752" spans="1:10" hidden="1" x14ac:dyDescent="0.25">
      <c r="A752" s="114" t="s">
        <v>2238</v>
      </c>
      <c r="B752" s="115" t="s">
        <v>2239</v>
      </c>
      <c r="C752" s="116" t="s">
        <v>16</v>
      </c>
      <c r="D752" s="116">
        <v>0</v>
      </c>
      <c r="E752" s="136" t="s">
        <v>416</v>
      </c>
      <c r="F752" s="137" t="str">
        <f t="shared" si="33"/>
        <v/>
      </c>
      <c r="G752" s="138" t="e">
        <f>IF(A752&lt;&gt;"",IF(AND(#REF!="Padrão",$H$4=#REF!),BDI!$B$17,IF(AND(#REF!="Padrão",$H$4=#REF!),BDI!#REF!,IF(AND(#REF!="Diferenciado",$H$4=#REF!),BDI!$E$17,IF(AND(#REF!="Diferenciado",$H$4=#REF!),BDI!#REF!,IF(#REF!="ZERO",0))))),"")</f>
        <v>#REF!</v>
      </c>
      <c r="H752" s="139" t="str">
        <f t="shared" si="34"/>
        <v/>
      </c>
      <c r="I752" s="137" t="str">
        <f t="shared" si="35"/>
        <v/>
      </c>
      <c r="J752" s="117"/>
    </row>
    <row r="753" spans="1:10" hidden="1" x14ac:dyDescent="0.25">
      <c r="A753" s="114" t="s">
        <v>2240</v>
      </c>
      <c r="B753" s="115" t="s">
        <v>2241</v>
      </c>
      <c r="C753" s="116" t="s">
        <v>16</v>
      </c>
      <c r="D753" s="116">
        <v>0</v>
      </c>
      <c r="E753" s="136" t="s">
        <v>416</v>
      </c>
      <c r="F753" s="137" t="str">
        <f t="shared" si="33"/>
        <v/>
      </c>
      <c r="G753" s="138" t="e">
        <f>IF(A753&lt;&gt;"",IF(AND(#REF!="Padrão",$H$4=#REF!),BDI!$B$17,IF(AND(#REF!="Padrão",$H$4=#REF!),BDI!#REF!,IF(AND(#REF!="Diferenciado",$H$4=#REF!),BDI!$E$17,IF(AND(#REF!="Diferenciado",$H$4=#REF!),BDI!#REF!,IF(#REF!="ZERO",0))))),"")</f>
        <v>#REF!</v>
      </c>
      <c r="H753" s="139" t="str">
        <f t="shared" si="34"/>
        <v/>
      </c>
      <c r="I753" s="137" t="str">
        <f t="shared" si="35"/>
        <v/>
      </c>
      <c r="J753" s="117"/>
    </row>
    <row r="754" spans="1:10" hidden="1" x14ac:dyDescent="0.25">
      <c r="A754" s="114" t="s">
        <v>2242</v>
      </c>
      <c r="B754" s="115" t="s">
        <v>2243</v>
      </c>
      <c r="C754" s="116" t="s">
        <v>16</v>
      </c>
      <c r="D754" s="116">
        <v>0</v>
      </c>
      <c r="E754" s="136" t="s">
        <v>416</v>
      </c>
      <c r="F754" s="137" t="str">
        <f t="shared" si="33"/>
        <v/>
      </c>
      <c r="G754" s="138" t="e">
        <f>IF(A754&lt;&gt;"",IF(AND(#REF!="Padrão",$H$4=#REF!),BDI!$B$17,IF(AND(#REF!="Padrão",$H$4=#REF!),BDI!#REF!,IF(AND(#REF!="Diferenciado",$H$4=#REF!),BDI!$E$17,IF(AND(#REF!="Diferenciado",$H$4=#REF!),BDI!#REF!,IF(#REF!="ZERO",0))))),"")</f>
        <v>#REF!</v>
      </c>
      <c r="H754" s="139" t="str">
        <f t="shared" si="34"/>
        <v/>
      </c>
      <c r="I754" s="137" t="str">
        <f t="shared" si="35"/>
        <v/>
      </c>
      <c r="J754" s="117"/>
    </row>
    <row r="755" spans="1:10" hidden="1" x14ac:dyDescent="0.25">
      <c r="A755" s="114" t="s">
        <v>2244</v>
      </c>
      <c r="B755" s="115" t="s">
        <v>2245</v>
      </c>
      <c r="C755" s="116" t="s">
        <v>16</v>
      </c>
      <c r="D755" s="116">
        <v>0</v>
      </c>
      <c r="E755" s="136" t="s">
        <v>416</v>
      </c>
      <c r="F755" s="137" t="str">
        <f t="shared" si="33"/>
        <v/>
      </c>
      <c r="G755" s="138" t="e">
        <f>IF(A755&lt;&gt;"",IF(AND(#REF!="Padrão",$H$4=#REF!),BDI!$B$17,IF(AND(#REF!="Padrão",$H$4=#REF!),BDI!#REF!,IF(AND(#REF!="Diferenciado",$H$4=#REF!),BDI!$E$17,IF(AND(#REF!="Diferenciado",$H$4=#REF!),BDI!#REF!,IF(#REF!="ZERO",0))))),"")</f>
        <v>#REF!</v>
      </c>
      <c r="H755" s="139" t="str">
        <f t="shared" si="34"/>
        <v/>
      </c>
      <c r="I755" s="137" t="str">
        <f t="shared" si="35"/>
        <v/>
      </c>
      <c r="J755" s="117"/>
    </row>
    <row r="756" spans="1:10" hidden="1" x14ac:dyDescent="0.25">
      <c r="A756" s="114" t="s">
        <v>2246</v>
      </c>
      <c r="B756" s="115" t="s">
        <v>2247</v>
      </c>
      <c r="C756" s="116" t="s">
        <v>16</v>
      </c>
      <c r="D756" s="116">
        <v>0</v>
      </c>
      <c r="E756" s="136" t="s">
        <v>416</v>
      </c>
      <c r="F756" s="137" t="str">
        <f t="shared" si="33"/>
        <v/>
      </c>
      <c r="G756" s="138" t="e">
        <f>IF(A756&lt;&gt;"",IF(AND(#REF!="Padrão",$H$4=#REF!),BDI!$B$17,IF(AND(#REF!="Padrão",$H$4=#REF!),BDI!#REF!,IF(AND(#REF!="Diferenciado",$H$4=#REF!),BDI!$E$17,IF(AND(#REF!="Diferenciado",$H$4=#REF!),BDI!#REF!,IF(#REF!="ZERO",0))))),"")</f>
        <v>#REF!</v>
      </c>
      <c r="H756" s="139" t="str">
        <f t="shared" si="34"/>
        <v/>
      </c>
      <c r="I756" s="137" t="str">
        <f t="shared" si="35"/>
        <v/>
      </c>
      <c r="J756" s="117"/>
    </row>
    <row r="757" spans="1:10" hidden="1" x14ac:dyDescent="0.25">
      <c r="A757" s="114" t="s">
        <v>2248</v>
      </c>
      <c r="B757" s="115" t="s">
        <v>2249</v>
      </c>
      <c r="C757" s="116" t="s">
        <v>16</v>
      </c>
      <c r="D757" s="116">
        <v>0</v>
      </c>
      <c r="E757" s="136" t="s">
        <v>416</v>
      </c>
      <c r="F757" s="137" t="str">
        <f t="shared" si="33"/>
        <v/>
      </c>
      <c r="G757" s="138" t="e">
        <f>IF(A757&lt;&gt;"",IF(AND(#REF!="Padrão",$H$4=#REF!),BDI!$B$17,IF(AND(#REF!="Padrão",$H$4=#REF!),BDI!#REF!,IF(AND(#REF!="Diferenciado",$H$4=#REF!),BDI!$E$17,IF(AND(#REF!="Diferenciado",$H$4=#REF!),BDI!#REF!,IF(#REF!="ZERO",0))))),"")</f>
        <v>#REF!</v>
      </c>
      <c r="H757" s="139" t="str">
        <f t="shared" si="34"/>
        <v/>
      </c>
      <c r="I757" s="137" t="str">
        <f t="shared" si="35"/>
        <v/>
      </c>
      <c r="J757" s="117"/>
    </row>
    <row r="758" spans="1:10" hidden="1" x14ac:dyDescent="0.25">
      <c r="A758" s="114" t="s">
        <v>2250</v>
      </c>
      <c r="B758" s="115" t="s">
        <v>2251</v>
      </c>
      <c r="C758" s="116" t="s">
        <v>16</v>
      </c>
      <c r="D758" s="116">
        <v>0</v>
      </c>
      <c r="E758" s="136" t="s">
        <v>416</v>
      </c>
      <c r="F758" s="137" t="str">
        <f t="shared" si="33"/>
        <v/>
      </c>
      <c r="G758" s="138" t="e">
        <f>IF(A758&lt;&gt;"",IF(AND(#REF!="Padrão",$H$4=#REF!),BDI!$B$17,IF(AND(#REF!="Padrão",$H$4=#REF!),BDI!#REF!,IF(AND(#REF!="Diferenciado",$H$4=#REF!),BDI!$E$17,IF(AND(#REF!="Diferenciado",$H$4=#REF!),BDI!#REF!,IF(#REF!="ZERO",0))))),"")</f>
        <v>#REF!</v>
      </c>
      <c r="H758" s="139" t="str">
        <f t="shared" si="34"/>
        <v/>
      </c>
      <c r="I758" s="137" t="str">
        <f t="shared" si="35"/>
        <v/>
      </c>
      <c r="J758" s="117"/>
    </row>
    <row r="759" spans="1:10" hidden="1" x14ac:dyDescent="0.25">
      <c r="A759" s="114" t="s">
        <v>2252</v>
      </c>
      <c r="B759" s="115" t="s">
        <v>2253</v>
      </c>
      <c r="C759" s="116" t="s">
        <v>16</v>
      </c>
      <c r="D759" s="116">
        <v>0</v>
      </c>
      <c r="E759" s="136" t="s">
        <v>416</v>
      </c>
      <c r="F759" s="137" t="str">
        <f t="shared" si="33"/>
        <v/>
      </c>
      <c r="G759" s="138" t="e">
        <f>IF(A759&lt;&gt;"",IF(AND(#REF!="Padrão",$H$4=#REF!),BDI!$B$17,IF(AND(#REF!="Padrão",$H$4=#REF!),BDI!#REF!,IF(AND(#REF!="Diferenciado",$H$4=#REF!),BDI!$E$17,IF(AND(#REF!="Diferenciado",$H$4=#REF!),BDI!#REF!,IF(#REF!="ZERO",0))))),"")</f>
        <v>#REF!</v>
      </c>
      <c r="H759" s="139" t="str">
        <f t="shared" si="34"/>
        <v/>
      </c>
      <c r="I759" s="137" t="str">
        <f t="shared" si="35"/>
        <v/>
      </c>
      <c r="J759" s="117"/>
    </row>
    <row r="760" spans="1:10" hidden="1" x14ac:dyDescent="0.25">
      <c r="A760" s="114" t="s">
        <v>2254</v>
      </c>
      <c r="B760" s="115" t="s">
        <v>7664</v>
      </c>
      <c r="C760" s="116" t="s">
        <v>16</v>
      </c>
      <c r="D760" s="116">
        <v>0</v>
      </c>
      <c r="E760" s="136" t="s">
        <v>416</v>
      </c>
      <c r="F760" s="137" t="str">
        <f t="shared" si="33"/>
        <v/>
      </c>
      <c r="G760" s="138" t="e">
        <f>IF(A760&lt;&gt;"",IF(AND(#REF!="Padrão",$H$4=#REF!),BDI!$B$17,IF(AND(#REF!="Padrão",$H$4=#REF!),BDI!#REF!,IF(AND(#REF!="Diferenciado",$H$4=#REF!),BDI!$E$17,IF(AND(#REF!="Diferenciado",$H$4=#REF!),BDI!#REF!,IF(#REF!="ZERO",0))))),"")</f>
        <v>#REF!</v>
      </c>
      <c r="H760" s="139" t="str">
        <f t="shared" si="34"/>
        <v/>
      </c>
      <c r="I760" s="137" t="str">
        <f t="shared" si="35"/>
        <v/>
      </c>
      <c r="J760" s="117"/>
    </row>
    <row r="761" spans="1:10" hidden="1" x14ac:dyDescent="0.25">
      <c r="A761" s="114" t="s">
        <v>2255</v>
      </c>
      <c r="B761" s="115" t="s">
        <v>2256</v>
      </c>
      <c r="C761" s="116" t="s">
        <v>16</v>
      </c>
      <c r="D761" s="116">
        <v>0</v>
      </c>
      <c r="E761" s="136" t="s">
        <v>416</v>
      </c>
      <c r="F761" s="137" t="str">
        <f t="shared" si="33"/>
        <v/>
      </c>
      <c r="G761" s="138" t="e">
        <f>IF(A761&lt;&gt;"",IF(AND(#REF!="Padrão",$H$4=#REF!),BDI!$B$17,IF(AND(#REF!="Padrão",$H$4=#REF!),BDI!#REF!,IF(AND(#REF!="Diferenciado",$H$4=#REF!),BDI!$E$17,IF(AND(#REF!="Diferenciado",$H$4=#REF!),BDI!#REF!,IF(#REF!="ZERO",0))))),"")</f>
        <v>#REF!</v>
      </c>
      <c r="H761" s="139" t="str">
        <f t="shared" si="34"/>
        <v/>
      </c>
      <c r="I761" s="137" t="str">
        <f t="shared" si="35"/>
        <v/>
      </c>
      <c r="J761" s="117"/>
    </row>
    <row r="762" spans="1:10" hidden="1" x14ac:dyDescent="0.25">
      <c r="A762" s="114" t="s">
        <v>2257</v>
      </c>
      <c r="B762" s="115" t="s">
        <v>7665</v>
      </c>
      <c r="C762" s="116" t="s">
        <v>16</v>
      </c>
      <c r="D762" s="116">
        <v>0</v>
      </c>
      <c r="E762" s="136" t="s">
        <v>416</v>
      </c>
      <c r="F762" s="137" t="str">
        <f t="shared" si="33"/>
        <v/>
      </c>
      <c r="G762" s="138" t="e">
        <f>IF(A762&lt;&gt;"",IF(AND(#REF!="Padrão",$H$4=#REF!),BDI!$B$17,IF(AND(#REF!="Padrão",$H$4=#REF!),BDI!#REF!,IF(AND(#REF!="Diferenciado",$H$4=#REF!),BDI!$E$17,IF(AND(#REF!="Diferenciado",$H$4=#REF!),BDI!#REF!,IF(#REF!="ZERO",0))))),"")</f>
        <v>#REF!</v>
      </c>
      <c r="H762" s="139" t="str">
        <f t="shared" si="34"/>
        <v/>
      </c>
      <c r="I762" s="137" t="str">
        <f t="shared" si="35"/>
        <v/>
      </c>
      <c r="J762" s="117"/>
    </row>
    <row r="763" spans="1:10" hidden="1" x14ac:dyDescent="0.25">
      <c r="A763" s="114" t="s">
        <v>2258</v>
      </c>
      <c r="B763" s="115" t="s">
        <v>7666</v>
      </c>
      <c r="C763" s="116" t="s">
        <v>16</v>
      </c>
      <c r="D763" s="116">
        <v>0</v>
      </c>
      <c r="E763" s="136" t="s">
        <v>416</v>
      </c>
      <c r="F763" s="137" t="str">
        <f t="shared" si="33"/>
        <v/>
      </c>
      <c r="G763" s="138" t="e">
        <f>IF(A763&lt;&gt;"",IF(AND(#REF!="Padrão",$H$4=#REF!),BDI!$B$17,IF(AND(#REF!="Padrão",$H$4=#REF!),BDI!#REF!,IF(AND(#REF!="Diferenciado",$H$4=#REF!),BDI!$E$17,IF(AND(#REF!="Diferenciado",$H$4=#REF!),BDI!#REF!,IF(#REF!="ZERO",0))))),"")</f>
        <v>#REF!</v>
      </c>
      <c r="H763" s="139" t="str">
        <f t="shared" si="34"/>
        <v/>
      </c>
      <c r="I763" s="137" t="str">
        <f t="shared" si="35"/>
        <v/>
      </c>
      <c r="J763" s="117"/>
    </row>
    <row r="764" spans="1:10" hidden="1" x14ac:dyDescent="0.25">
      <c r="A764" s="114" t="s">
        <v>2259</v>
      </c>
      <c r="B764" s="115" t="s">
        <v>7667</v>
      </c>
      <c r="C764" s="116" t="s">
        <v>16</v>
      </c>
      <c r="D764" s="116">
        <v>0</v>
      </c>
      <c r="E764" s="136" t="s">
        <v>416</v>
      </c>
      <c r="F764" s="137" t="str">
        <f t="shared" si="33"/>
        <v/>
      </c>
      <c r="G764" s="138" t="e">
        <f>IF(A764&lt;&gt;"",IF(AND(#REF!="Padrão",$H$4=#REF!),BDI!$B$17,IF(AND(#REF!="Padrão",$H$4=#REF!),BDI!#REF!,IF(AND(#REF!="Diferenciado",$H$4=#REF!),BDI!$E$17,IF(AND(#REF!="Diferenciado",$H$4=#REF!),BDI!#REF!,IF(#REF!="ZERO",0))))),"")</f>
        <v>#REF!</v>
      </c>
      <c r="H764" s="139" t="str">
        <f t="shared" si="34"/>
        <v/>
      </c>
      <c r="I764" s="137" t="str">
        <f t="shared" si="35"/>
        <v/>
      </c>
      <c r="J764" s="117"/>
    </row>
    <row r="765" spans="1:10" hidden="1" x14ac:dyDescent="0.25">
      <c r="A765" s="114" t="s">
        <v>2260</v>
      </c>
      <c r="B765" s="115" t="s">
        <v>5447</v>
      </c>
      <c r="C765" s="116" t="s">
        <v>16</v>
      </c>
      <c r="D765" s="116">
        <v>0</v>
      </c>
      <c r="E765" s="136" t="s">
        <v>416</v>
      </c>
      <c r="F765" s="137" t="str">
        <f t="shared" si="33"/>
        <v/>
      </c>
      <c r="G765" s="138" t="e">
        <f>IF(A765&lt;&gt;"",IF(AND(#REF!="Padrão",$H$4=#REF!),BDI!$B$17,IF(AND(#REF!="Padrão",$H$4=#REF!),BDI!#REF!,IF(AND(#REF!="Diferenciado",$H$4=#REF!),BDI!$E$17,IF(AND(#REF!="Diferenciado",$H$4=#REF!),BDI!#REF!,IF(#REF!="ZERO",0))))),"")</f>
        <v>#REF!</v>
      </c>
      <c r="H765" s="139" t="str">
        <f t="shared" si="34"/>
        <v/>
      </c>
      <c r="I765" s="137" t="str">
        <f t="shared" si="35"/>
        <v/>
      </c>
      <c r="J765" s="117"/>
    </row>
    <row r="766" spans="1:10" hidden="1" x14ac:dyDescent="0.25">
      <c r="A766" s="114" t="s">
        <v>2261</v>
      </c>
      <c r="B766" s="115" t="s">
        <v>2262</v>
      </c>
      <c r="C766" s="116" t="s">
        <v>16</v>
      </c>
      <c r="D766" s="116">
        <v>0</v>
      </c>
      <c r="E766" s="136" t="s">
        <v>416</v>
      </c>
      <c r="F766" s="137" t="str">
        <f t="shared" si="33"/>
        <v/>
      </c>
      <c r="G766" s="138" t="e">
        <f>IF(A766&lt;&gt;"",IF(AND(#REF!="Padrão",$H$4=#REF!),BDI!$B$17,IF(AND(#REF!="Padrão",$H$4=#REF!),BDI!#REF!,IF(AND(#REF!="Diferenciado",$H$4=#REF!),BDI!$E$17,IF(AND(#REF!="Diferenciado",$H$4=#REF!),BDI!#REF!,IF(#REF!="ZERO",0))))),"")</f>
        <v>#REF!</v>
      </c>
      <c r="H766" s="139" t="str">
        <f t="shared" si="34"/>
        <v/>
      </c>
      <c r="I766" s="137" t="str">
        <f t="shared" si="35"/>
        <v/>
      </c>
      <c r="J766" s="117"/>
    </row>
    <row r="767" spans="1:10" hidden="1" x14ac:dyDescent="0.25">
      <c r="A767" s="114" t="s">
        <v>2263</v>
      </c>
      <c r="B767" s="115" t="s">
        <v>2264</v>
      </c>
      <c r="C767" s="116" t="s">
        <v>16</v>
      </c>
      <c r="D767" s="116">
        <v>0</v>
      </c>
      <c r="E767" s="136" t="s">
        <v>416</v>
      </c>
      <c r="F767" s="137" t="str">
        <f t="shared" si="33"/>
        <v/>
      </c>
      <c r="G767" s="138" t="e">
        <f>IF(A767&lt;&gt;"",IF(AND(#REF!="Padrão",$H$4=#REF!),BDI!$B$17,IF(AND(#REF!="Padrão",$H$4=#REF!),BDI!#REF!,IF(AND(#REF!="Diferenciado",$H$4=#REF!),BDI!$E$17,IF(AND(#REF!="Diferenciado",$H$4=#REF!),BDI!#REF!,IF(#REF!="ZERO",0))))),"")</f>
        <v>#REF!</v>
      </c>
      <c r="H767" s="139" t="str">
        <f t="shared" si="34"/>
        <v/>
      </c>
      <c r="I767" s="137" t="str">
        <f t="shared" si="35"/>
        <v/>
      </c>
      <c r="J767" s="117"/>
    </row>
    <row r="768" spans="1:10" hidden="1" x14ac:dyDescent="0.25">
      <c r="A768" s="114" t="s">
        <v>2265</v>
      </c>
      <c r="B768" s="115" t="s">
        <v>2266</v>
      </c>
      <c r="C768" s="116" t="s">
        <v>16</v>
      </c>
      <c r="D768" s="116">
        <v>0</v>
      </c>
      <c r="E768" s="136" t="s">
        <v>416</v>
      </c>
      <c r="F768" s="137" t="str">
        <f t="shared" si="33"/>
        <v/>
      </c>
      <c r="G768" s="138" t="e">
        <f>IF(A768&lt;&gt;"",IF(AND(#REF!="Padrão",$H$4=#REF!),BDI!$B$17,IF(AND(#REF!="Padrão",$H$4=#REF!),BDI!#REF!,IF(AND(#REF!="Diferenciado",$H$4=#REF!),BDI!$E$17,IF(AND(#REF!="Diferenciado",$H$4=#REF!),BDI!#REF!,IF(#REF!="ZERO",0))))),"")</f>
        <v>#REF!</v>
      </c>
      <c r="H768" s="139" t="str">
        <f t="shared" si="34"/>
        <v/>
      </c>
      <c r="I768" s="137" t="str">
        <f t="shared" si="35"/>
        <v/>
      </c>
      <c r="J768" s="117"/>
    </row>
    <row r="769" spans="1:10" hidden="1" x14ac:dyDescent="0.25">
      <c r="A769" s="114" t="s">
        <v>2267</v>
      </c>
      <c r="B769" s="115" t="s">
        <v>2268</v>
      </c>
      <c r="C769" s="116" t="s">
        <v>16</v>
      </c>
      <c r="D769" s="116">
        <v>0</v>
      </c>
      <c r="E769" s="136" t="s">
        <v>416</v>
      </c>
      <c r="F769" s="137" t="str">
        <f t="shared" si="33"/>
        <v/>
      </c>
      <c r="G769" s="138" t="e">
        <f>IF(A769&lt;&gt;"",IF(AND(#REF!="Padrão",$H$4=#REF!),BDI!$B$17,IF(AND(#REF!="Padrão",$H$4=#REF!),BDI!#REF!,IF(AND(#REF!="Diferenciado",$H$4=#REF!),BDI!$E$17,IF(AND(#REF!="Diferenciado",$H$4=#REF!),BDI!#REF!,IF(#REF!="ZERO",0))))),"")</f>
        <v>#REF!</v>
      </c>
      <c r="H769" s="139" t="str">
        <f t="shared" si="34"/>
        <v/>
      </c>
      <c r="I769" s="137" t="str">
        <f t="shared" si="35"/>
        <v/>
      </c>
      <c r="J769" s="117"/>
    </row>
    <row r="770" spans="1:10" hidden="1" x14ac:dyDescent="0.25">
      <c r="A770" s="114" t="s">
        <v>2269</v>
      </c>
      <c r="B770" s="115" t="s">
        <v>2270</v>
      </c>
      <c r="C770" s="116" t="s">
        <v>16</v>
      </c>
      <c r="D770" s="116">
        <v>0</v>
      </c>
      <c r="E770" s="136" t="s">
        <v>416</v>
      </c>
      <c r="F770" s="137" t="str">
        <f t="shared" si="33"/>
        <v/>
      </c>
      <c r="G770" s="138" t="e">
        <f>IF(A770&lt;&gt;"",IF(AND(#REF!="Padrão",$H$4=#REF!),BDI!$B$17,IF(AND(#REF!="Padrão",$H$4=#REF!),BDI!#REF!,IF(AND(#REF!="Diferenciado",$H$4=#REF!),BDI!$E$17,IF(AND(#REF!="Diferenciado",$H$4=#REF!),BDI!#REF!,IF(#REF!="ZERO",0))))),"")</f>
        <v>#REF!</v>
      </c>
      <c r="H770" s="139" t="str">
        <f t="shared" si="34"/>
        <v/>
      </c>
      <c r="I770" s="137" t="str">
        <f t="shared" si="35"/>
        <v/>
      </c>
      <c r="J770" s="117"/>
    </row>
    <row r="771" spans="1:10" hidden="1" x14ac:dyDescent="0.25">
      <c r="A771" s="114" t="s">
        <v>2271</v>
      </c>
      <c r="B771" s="115" t="s">
        <v>2272</v>
      </c>
      <c r="C771" s="116" t="s">
        <v>16</v>
      </c>
      <c r="D771" s="116">
        <v>0</v>
      </c>
      <c r="E771" s="136" t="s">
        <v>416</v>
      </c>
      <c r="F771" s="137" t="str">
        <f t="shared" si="33"/>
        <v/>
      </c>
      <c r="G771" s="138" t="e">
        <f>IF(A771&lt;&gt;"",IF(AND(#REF!="Padrão",$H$4=#REF!),BDI!$B$17,IF(AND(#REF!="Padrão",$H$4=#REF!),BDI!#REF!,IF(AND(#REF!="Diferenciado",$H$4=#REF!),BDI!$E$17,IF(AND(#REF!="Diferenciado",$H$4=#REF!),BDI!#REF!,IF(#REF!="ZERO",0))))),"")</f>
        <v>#REF!</v>
      </c>
      <c r="H771" s="139" t="str">
        <f t="shared" si="34"/>
        <v/>
      </c>
      <c r="I771" s="137" t="str">
        <f t="shared" si="35"/>
        <v/>
      </c>
      <c r="J771" s="117"/>
    </row>
    <row r="772" spans="1:10" hidden="1" x14ac:dyDescent="0.25">
      <c r="A772" s="114" t="s">
        <v>2273</v>
      </c>
      <c r="B772" s="115" t="s">
        <v>2274</v>
      </c>
      <c r="C772" s="116" t="s">
        <v>16</v>
      </c>
      <c r="D772" s="116">
        <v>0</v>
      </c>
      <c r="E772" s="136" t="s">
        <v>416</v>
      </c>
      <c r="F772" s="137" t="str">
        <f t="shared" si="33"/>
        <v/>
      </c>
      <c r="G772" s="138" t="e">
        <f>IF(A772&lt;&gt;"",IF(AND(#REF!="Padrão",$H$4=#REF!),BDI!$B$17,IF(AND(#REF!="Padrão",$H$4=#REF!),BDI!#REF!,IF(AND(#REF!="Diferenciado",$H$4=#REF!),BDI!$E$17,IF(AND(#REF!="Diferenciado",$H$4=#REF!),BDI!#REF!,IF(#REF!="ZERO",0))))),"")</f>
        <v>#REF!</v>
      </c>
      <c r="H772" s="139" t="str">
        <f t="shared" si="34"/>
        <v/>
      </c>
      <c r="I772" s="137" t="str">
        <f t="shared" si="35"/>
        <v/>
      </c>
      <c r="J772" s="117"/>
    </row>
    <row r="773" spans="1:10" hidden="1" x14ac:dyDescent="0.25">
      <c r="A773" s="114" t="s">
        <v>2275</v>
      </c>
      <c r="B773" s="115" t="s">
        <v>2276</v>
      </c>
      <c r="C773" s="116" t="s">
        <v>16</v>
      </c>
      <c r="D773" s="116">
        <v>0</v>
      </c>
      <c r="E773" s="136" t="s">
        <v>416</v>
      </c>
      <c r="F773" s="137" t="str">
        <f t="shared" si="33"/>
        <v/>
      </c>
      <c r="G773" s="138" t="e">
        <f>IF(A773&lt;&gt;"",IF(AND(#REF!="Padrão",$H$4=#REF!),BDI!$B$17,IF(AND(#REF!="Padrão",$H$4=#REF!),BDI!#REF!,IF(AND(#REF!="Diferenciado",$H$4=#REF!),BDI!$E$17,IF(AND(#REF!="Diferenciado",$H$4=#REF!),BDI!#REF!,IF(#REF!="ZERO",0))))),"")</f>
        <v>#REF!</v>
      </c>
      <c r="H773" s="139" t="str">
        <f t="shared" si="34"/>
        <v/>
      </c>
      <c r="I773" s="137" t="str">
        <f t="shared" si="35"/>
        <v/>
      </c>
      <c r="J773" s="117"/>
    </row>
    <row r="774" spans="1:10" hidden="1" x14ac:dyDescent="0.25">
      <c r="A774" s="114" t="s">
        <v>2277</v>
      </c>
      <c r="B774" s="115" t="s">
        <v>2278</v>
      </c>
      <c r="C774" s="116" t="s">
        <v>16</v>
      </c>
      <c r="D774" s="116">
        <v>0</v>
      </c>
      <c r="E774" s="136">
        <f ca="1">OFFSET(INDEX(Composições!A:J,MATCH(Orçamentária!A774,Composições!A:A,0),8),2,0)</f>
        <v>46.036999999999999</v>
      </c>
      <c r="F774" s="137">
        <f t="shared" ca="1" si="33"/>
        <v>0</v>
      </c>
      <c r="G774" s="138" t="e">
        <f>IF(A774&lt;&gt;"",IF(AND(#REF!="Padrão",$H$4=#REF!),BDI!$B$17,IF(AND(#REF!="Padrão",$H$4=#REF!),BDI!#REF!,IF(AND(#REF!="Diferenciado",$H$4=#REF!),BDI!$E$17,IF(AND(#REF!="Diferenciado",$H$4=#REF!),BDI!#REF!,IF(#REF!="ZERO",0))))),"")</f>
        <v>#REF!</v>
      </c>
      <c r="H774" s="139" t="e">
        <f t="shared" ca="1" si="34"/>
        <v>#REF!</v>
      </c>
      <c r="I774" s="137" t="e">
        <f t="shared" ca="1" si="35"/>
        <v>#REF!</v>
      </c>
      <c r="J774" s="117"/>
    </row>
    <row r="775" spans="1:10" hidden="1" x14ac:dyDescent="0.25">
      <c r="A775" s="114" t="s">
        <v>2279</v>
      </c>
      <c r="B775" s="115" t="s">
        <v>2280</v>
      </c>
      <c r="C775" s="116" t="s">
        <v>16</v>
      </c>
      <c r="D775" s="116">
        <v>0</v>
      </c>
      <c r="E775" s="136">
        <f ca="1">OFFSET(INDEX(Composições!A:J,MATCH(Orçamentária!A775,Composições!A:A,0),8),2,0)</f>
        <v>52.487499999999997</v>
      </c>
      <c r="F775" s="137">
        <f t="shared" ref="F775:F838" ca="1" si="36">IF(ISNUMBER(E775),D775*E775,"")</f>
        <v>0</v>
      </c>
      <c r="G775" s="138" t="e">
        <f>IF(A775&lt;&gt;"",IF(AND(#REF!="Padrão",$H$4=#REF!),BDI!$B$17,IF(AND(#REF!="Padrão",$H$4=#REF!),BDI!#REF!,IF(AND(#REF!="Diferenciado",$H$4=#REF!),BDI!$E$17,IF(AND(#REF!="Diferenciado",$H$4=#REF!),BDI!#REF!,IF(#REF!="ZERO",0))))),"")</f>
        <v>#REF!</v>
      </c>
      <c r="H775" s="139" t="e">
        <f t="shared" ref="H775:H838" ca="1" si="37">IF(ISNUMBER(E775),ROUND(E775*(1+G775),2),"")</f>
        <v>#REF!</v>
      </c>
      <c r="I775" s="137" t="e">
        <f t="shared" ref="I775:I838" ca="1" si="38">IF(ISNUMBER(E775),ROUND(H775*D775,2),"")</f>
        <v>#REF!</v>
      </c>
      <c r="J775" s="117"/>
    </row>
    <row r="776" spans="1:10" hidden="1" x14ac:dyDescent="0.25">
      <c r="A776" s="114" t="s">
        <v>2281</v>
      </c>
      <c r="B776" s="115" t="s">
        <v>5448</v>
      </c>
      <c r="C776" s="116" t="s">
        <v>16</v>
      </c>
      <c r="D776" s="116">
        <v>0</v>
      </c>
      <c r="E776" s="136" t="s">
        <v>416</v>
      </c>
      <c r="F776" s="137" t="str">
        <f t="shared" si="36"/>
        <v/>
      </c>
      <c r="G776" s="138" t="e">
        <f>IF(A776&lt;&gt;"",IF(AND(#REF!="Padrão",$H$4=#REF!),BDI!$B$17,IF(AND(#REF!="Padrão",$H$4=#REF!),BDI!#REF!,IF(AND(#REF!="Diferenciado",$H$4=#REF!),BDI!$E$17,IF(AND(#REF!="Diferenciado",$H$4=#REF!),BDI!#REF!,IF(#REF!="ZERO",0))))),"")</f>
        <v>#REF!</v>
      </c>
      <c r="H776" s="139" t="str">
        <f t="shared" si="37"/>
        <v/>
      </c>
      <c r="I776" s="137" t="str">
        <f t="shared" si="38"/>
        <v/>
      </c>
      <c r="J776" s="117"/>
    </row>
    <row r="777" spans="1:10" hidden="1" x14ac:dyDescent="0.25">
      <c r="A777" s="114" t="s">
        <v>2282</v>
      </c>
      <c r="B777" s="115" t="s">
        <v>7668</v>
      </c>
      <c r="C777" s="116" t="s">
        <v>16</v>
      </c>
      <c r="D777" s="116">
        <v>0</v>
      </c>
      <c r="E777" s="136">
        <f ca="1">OFFSET(INDEX(Composições!A:J,MATCH(Orçamentária!A777,Composições!A:A,0),8),2,0)</f>
        <v>123.17699999999999</v>
      </c>
      <c r="F777" s="137">
        <f t="shared" ca="1" si="36"/>
        <v>0</v>
      </c>
      <c r="G777" s="138" t="e">
        <f>IF(A777&lt;&gt;"",IF(AND(#REF!="Padrão",$H$4=#REF!),BDI!$B$17,IF(AND(#REF!="Padrão",$H$4=#REF!),BDI!#REF!,IF(AND(#REF!="Diferenciado",$H$4=#REF!),BDI!$E$17,IF(AND(#REF!="Diferenciado",$H$4=#REF!),BDI!#REF!,IF(#REF!="ZERO",0))))),"")</f>
        <v>#REF!</v>
      </c>
      <c r="H777" s="139" t="e">
        <f t="shared" ca="1" si="37"/>
        <v>#REF!</v>
      </c>
      <c r="I777" s="137" t="e">
        <f t="shared" ca="1" si="38"/>
        <v>#REF!</v>
      </c>
      <c r="J777" s="117"/>
    </row>
    <row r="778" spans="1:10" hidden="1" x14ac:dyDescent="0.25">
      <c r="A778" s="114" t="s">
        <v>2283</v>
      </c>
      <c r="B778" s="115" t="s">
        <v>5507</v>
      </c>
      <c r="C778" s="116" t="s">
        <v>16</v>
      </c>
      <c r="D778" s="116">
        <v>0</v>
      </c>
      <c r="E778" s="136" t="s">
        <v>416</v>
      </c>
      <c r="F778" s="137" t="str">
        <f t="shared" si="36"/>
        <v/>
      </c>
      <c r="G778" s="138" t="e">
        <f>IF(A778&lt;&gt;"",IF(AND(#REF!="Padrão",$H$4=#REF!),BDI!$B$17,IF(AND(#REF!="Padrão",$H$4=#REF!),BDI!#REF!,IF(AND(#REF!="Diferenciado",$H$4=#REF!),BDI!$E$17,IF(AND(#REF!="Diferenciado",$H$4=#REF!),BDI!#REF!,IF(#REF!="ZERO",0))))),"")</f>
        <v>#REF!</v>
      </c>
      <c r="H778" s="139" t="str">
        <f t="shared" si="37"/>
        <v/>
      </c>
      <c r="I778" s="137" t="str">
        <f t="shared" si="38"/>
        <v/>
      </c>
      <c r="J778" s="117"/>
    </row>
    <row r="779" spans="1:10" hidden="1" x14ac:dyDescent="0.25">
      <c r="A779" s="114" t="s">
        <v>2284</v>
      </c>
      <c r="B779" s="115" t="s">
        <v>2285</v>
      </c>
      <c r="C779" s="116" t="s">
        <v>16</v>
      </c>
      <c r="D779" s="116">
        <v>0</v>
      </c>
      <c r="E779" s="136" t="s">
        <v>416</v>
      </c>
      <c r="F779" s="137" t="str">
        <f t="shared" si="36"/>
        <v/>
      </c>
      <c r="G779" s="138" t="e">
        <f>IF(A779&lt;&gt;"",IF(AND(#REF!="Padrão",$H$4=#REF!),BDI!$B$17,IF(AND(#REF!="Padrão",$H$4=#REF!),BDI!#REF!,IF(AND(#REF!="Diferenciado",$H$4=#REF!),BDI!$E$17,IF(AND(#REF!="Diferenciado",$H$4=#REF!),BDI!#REF!,IF(#REF!="ZERO",0))))),"")</f>
        <v>#REF!</v>
      </c>
      <c r="H779" s="139" t="str">
        <f t="shared" si="37"/>
        <v/>
      </c>
      <c r="I779" s="137" t="str">
        <f t="shared" si="38"/>
        <v/>
      </c>
      <c r="J779" s="117"/>
    </row>
    <row r="780" spans="1:10" hidden="1" x14ac:dyDescent="0.25">
      <c r="A780" s="114" t="s">
        <v>2286</v>
      </c>
      <c r="B780" s="115" t="s">
        <v>5449</v>
      </c>
      <c r="C780" s="116" t="s">
        <v>16</v>
      </c>
      <c r="D780" s="116">
        <v>0</v>
      </c>
      <c r="E780" s="136" t="s">
        <v>416</v>
      </c>
      <c r="F780" s="137" t="str">
        <f t="shared" si="36"/>
        <v/>
      </c>
      <c r="G780" s="138" t="e">
        <f>IF(A780&lt;&gt;"",IF(AND(#REF!="Padrão",$H$4=#REF!),BDI!$B$17,IF(AND(#REF!="Padrão",$H$4=#REF!),BDI!#REF!,IF(AND(#REF!="Diferenciado",$H$4=#REF!),BDI!$E$17,IF(AND(#REF!="Diferenciado",$H$4=#REF!),BDI!#REF!,IF(#REF!="ZERO",0))))),"")</f>
        <v>#REF!</v>
      </c>
      <c r="H780" s="139" t="str">
        <f t="shared" si="37"/>
        <v/>
      </c>
      <c r="I780" s="137" t="str">
        <f t="shared" si="38"/>
        <v/>
      </c>
      <c r="J780" s="117"/>
    </row>
    <row r="781" spans="1:10" hidden="1" x14ac:dyDescent="0.25">
      <c r="A781" s="114" t="s">
        <v>2287</v>
      </c>
      <c r="B781" s="115" t="s">
        <v>2288</v>
      </c>
      <c r="C781" s="116" t="s">
        <v>16</v>
      </c>
      <c r="D781" s="116">
        <v>0</v>
      </c>
      <c r="E781" s="136" t="s">
        <v>416</v>
      </c>
      <c r="F781" s="137" t="str">
        <f t="shared" si="36"/>
        <v/>
      </c>
      <c r="G781" s="138" t="e">
        <f>IF(A781&lt;&gt;"",IF(AND(#REF!="Padrão",$H$4=#REF!),BDI!$B$17,IF(AND(#REF!="Padrão",$H$4=#REF!),BDI!#REF!,IF(AND(#REF!="Diferenciado",$H$4=#REF!),BDI!$E$17,IF(AND(#REF!="Diferenciado",$H$4=#REF!),BDI!#REF!,IF(#REF!="ZERO",0))))),"")</f>
        <v>#REF!</v>
      </c>
      <c r="H781" s="139" t="str">
        <f t="shared" si="37"/>
        <v/>
      </c>
      <c r="I781" s="137" t="str">
        <f t="shared" si="38"/>
        <v/>
      </c>
      <c r="J781" s="117"/>
    </row>
    <row r="782" spans="1:10" hidden="1" x14ac:dyDescent="0.25">
      <c r="A782" s="114" t="s">
        <v>2289</v>
      </c>
      <c r="B782" s="115" t="s">
        <v>5508</v>
      </c>
      <c r="C782" s="116" t="s">
        <v>16</v>
      </c>
      <c r="D782" s="116">
        <v>0</v>
      </c>
      <c r="E782" s="136" t="s">
        <v>416</v>
      </c>
      <c r="F782" s="137" t="str">
        <f t="shared" si="36"/>
        <v/>
      </c>
      <c r="G782" s="138" t="e">
        <f>IF(A782&lt;&gt;"",IF(AND(#REF!="Padrão",$H$4=#REF!),BDI!$B$17,IF(AND(#REF!="Padrão",$H$4=#REF!),BDI!#REF!,IF(AND(#REF!="Diferenciado",$H$4=#REF!),BDI!$E$17,IF(AND(#REF!="Diferenciado",$H$4=#REF!),BDI!#REF!,IF(#REF!="ZERO",0))))),"")</f>
        <v>#REF!</v>
      </c>
      <c r="H782" s="139" t="str">
        <f t="shared" si="37"/>
        <v/>
      </c>
      <c r="I782" s="137" t="str">
        <f t="shared" si="38"/>
        <v/>
      </c>
      <c r="J782" s="117"/>
    </row>
    <row r="783" spans="1:10" hidden="1" x14ac:dyDescent="0.25">
      <c r="A783" s="114" t="s">
        <v>2290</v>
      </c>
      <c r="B783" s="115" t="s">
        <v>2291</v>
      </c>
      <c r="C783" s="116" t="s">
        <v>16</v>
      </c>
      <c r="D783" s="116">
        <v>0</v>
      </c>
      <c r="E783" s="136" t="s">
        <v>416</v>
      </c>
      <c r="F783" s="137" t="str">
        <f t="shared" si="36"/>
        <v/>
      </c>
      <c r="G783" s="138" t="e">
        <f>IF(A783&lt;&gt;"",IF(AND(#REF!="Padrão",$H$4=#REF!),BDI!$B$17,IF(AND(#REF!="Padrão",$H$4=#REF!),BDI!#REF!,IF(AND(#REF!="Diferenciado",$H$4=#REF!),BDI!$E$17,IF(AND(#REF!="Diferenciado",$H$4=#REF!),BDI!#REF!,IF(#REF!="ZERO",0))))),"")</f>
        <v>#REF!</v>
      </c>
      <c r="H783" s="139" t="str">
        <f t="shared" si="37"/>
        <v/>
      </c>
      <c r="I783" s="137" t="str">
        <f t="shared" si="38"/>
        <v/>
      </c>
      <c r="J783" s="117"/>
    </row>
    <row r="784" spans="1:10" hidden="1" x14ac:dyDescent="0.25">
      <c r="A784" s="114" t="s">
        <v>2292</v>
      </c>
      <c r="B784" s="115" t="s">
        <v>2293</v>
      </c>
      <c r="C784" s="116" t="s">
        <v>16</v>
      </c>
      <c r="D784" s="116">
        <v>0</v>
      </c>
      <c r="E784" s="136" t="s">
        <v>416</v>
      </c>
      <c r="F784" s="137" t="str">
        <f t="shared" si="36"/>
        <v/>
      </c>
      <c r="G784" s="138" t="e">
        <f>IF(A784&lt;&gt;"",IF(AND(#REF!="Padrão",$H$4=#REF!),BDI!$B$17,IF(AND(#REF!="Padrão",$H$4=#REF!),BDI!#REF!,IF(AND(#REF!="Diferenciado",$H$4=#REF!),BDI!$E$17,IF(AND(#REF!="Diferenciado",$H$4=#REF!),BDI!#REF!,IF(#REF!="ZERO",0))))),"")</f>
        <v>#REF!</v>
      </c>
      <c r="H784" s="139" t="str">
        <f t="shared" si="37"/>
        <v/>
      </c>
      <c r="I784" s="137" t="str">
        <f t="shared" si="38"/>
        <v/>
      </c>
      <c r="J784" s="117"/>
    </row>
    <row r="785" spans="1:10" hidden="1" x14ac:dyDescent="0.25">
      <c r="A785" s="114" t="s">
        <v>2294</v>
      </c>
      <c r="B785" s="115" t="s">
        <v>2295</v>
      </c>
      <c r="C785" s="116" t="s">
        <v>16</v>
      </c>
      <c r="D785" s="116">
        <v>0</v>
      </c>
      <c r="E785" s="136" t="s">
        <v>416</v>
      </c>
      <c r="F785" s="137" t="str">
        <f t="shared" si="36"/>
        <v/>
      </c>
      <c r="G785" s="138" t="e">
        <f>IF(A785&lt;&gt;"",IF(AND(#REF!="Padrão",$H$4=#REF!),BDI!$B$17,IF(AND(#REF!="Padrão",$H$4=#REF!),BDI!#REF!,IF(AND(#REF!="Diferenciado",$H$4=#REF!),BDI!$E$17,IF(AND(#REF!="Diferenciado",$H$4=#REF!),BDI!#REF!,IF(#REF!="ZERO",0))))),"")</f>
        <v>#REF!</v>
      </c>
      <c r="H785" s="139" t="str">
        <f t="shared" si="37"/>
        <v/>
      </c>
      <c r="I785" s="137" t="str">
        <f t="shared" si="38"/>
        <v/>
      </c>
      <c r="J785" s="117"/>
    </row>
    <row r="786" spans="1:10" hidden="1" x14ac:dyDescent="0.25">
      <c r="A786" s="114" t="s">
        <v>2296</v>
      </c>
      <c r="B786" s="115" t="s">
        <v>2297</v>
      </c>
      <c r="C786" s="116" t="s">
        <v>16</v>
      </c>
      <c r="D786" s="116">
        <v>0</v>
      </c>
      <c r="E786" s="136" t="s">
        <v>416</v>
      </c>
      <c r="F786" s="137" t="str">
        <f t="shared" si="36"/>
        <v/>
      </c>
      <c r="G786" s="138" t="e">
        <f>IF(A786&lt;&gt;"",IF(AND(#REF!="Padrão",$H$4=#REF!),BDI!$B$17,IF(AND(#REF!="Padrão",$H$4=#REF!),BDI!#REF!,IF(AND(#REF!="Diferenciado",$H$4=#REF!),BDI!$E$17,IF(AND(#REF!="Diferenciado",$H$4=#REF!),BDI!#REF!,IF(#REF!="ZERO",0))))),"")</f>
        <v>#REF!</v>
      </c>
      <c r="H786" s="139" t="str">
        <f t="shared" si="37"/>
        <v/>
      </c>
      <c r="I786" s="137" t="str">
        <f t="shared" si="38"/>
        <v/>
      </c>
      <c r="J786" s="117"/>
    </row>
    <row r="787" spans="1:10" hidden="1" x14ac:dyDescent="0.25">
      <c r="A787" s="114" t="s">
        <v>2298</v>
      </c>
      <c r="B787" s="115" t="s">
        <v>2299</v>
      </c>
      <c r="C787" s="116" t="s">
        <v>16</v>
      </c>
      <c r="D787" s="116">
        <v>0</v>
      </c>
      <c r="E787" s="136" t="s">
        <v>416</v>
      </c>
      <c r="F787" s="137" t="str">
        <f t="shared" si="36"/>
        <v/>
      </c>
      <c r="G787" s="138" t="e">
        <f>IF(A787&lt;&gt;"",IF(AND(#REF!="Padrão",$H$4=#REF!),BDI!$B$17,IF(AND(#REF!="Padrão",$H$4=#REF!),BDI!#REF!,IF(AND(#REF!="Diferenciado",$H$4=#REF!),BDI!$E$17,IF(AND(#REF!="Diferenciado",$H$4=#REF!),BDI!#REF!,IF(#REF!="ZERO",0))))),"")</f>
        <v>#REF!</v>
      </c>
      <c r="H787" s="139" t="str">
        <f t="shared" si="37"/>
        <v/>
      </c>
      <c r="I787" s="137" t="str">
        <f t="shared" si="38"/>
        <v/>
      </c>
      <c r="J787" s="117"/>
    </row>
    <row r="788" spans="1:10" hidden="1" x14ac:dyDescent="0.25">
      <c r="A788" s="114" t="s">
        <v>2300</v>
      </c>
      <c r="B788" s="115" t="s">
        <v>2301</v>
      </c>
      <c r="C788" s="116" t="s">
        <v>16</v>
      </c>
      <c r="D788" s="116">
        <v>0</v>
      </c>
      <c r="E788" s="136" t="s">
        <v>416</v>
      </c>
      <c r="F788" s="137" t="str">
        <f t="shared" si="36"/>
        <v/>
      </c>
      <c r="G788" s="138" t="e">
        <f>IF(A788&lt;&gt;"",IF(AND(#REF!="Padrão",$H$4=#REF!),BDI!$B$17,IF(AND(#REF!="Padrão",$H$4=#REF!),BDI!#REF!,IF(AND(#REF!="Diferenciado",$H$4=#REF!),BDI!$E$17,IF(AND(#REF!="Diferenciado",$H$4=#REF!),BDI!#REF!,IF(#REF!="ZERO",0))))),"")</f>
        <v>#REF!</v>
      </c>
      <c r="H788" s="139" t="str">
        <f t="shared" si="37"/>
        <v/>
      </c>
      <c r="I788" s="137" t="str">
        <f t="shared" si="38"/>
        <v/>
      </c>
      <c r="J788" s="117"/>
    </row>
    <row r="789" spans="1:10" hidden="1" x14ac:dyDescent="0.25">
      <c r="A789" s="114" t="s">
        <v>2302</v>
      </c>
      <c r="B789" s="115" t="s">
        <v>2303</v>
      </c>
      <c r="C789" s="116" t="s">
        <v>16</v>
      </c>
      <c r="D789" s="116">
        <v>0</v>
      </c>
      <c r="E789" s="136" t="s">
        <v>416</v>
      </c>
      <c r="F789" s="137" t="str">
        <f t="shared" si="36"/>
        <v/>
      </c>
      <c r="G789" s="138" t="e">
        <f>IF(A789&lt;&gt;"",IF(AND(#REF!="Padrão",$H$4=#REF!),BDI!$B$17,IF(AND(#REF!="Padrão",$H$4=#REF!),BDI!#REF!,IF(AND(#REF!="Diferenciado",$H$4=#REF!),BDI!$E$17,IF(AND(#REF!="Diferenciado",$H$4=#REF!),BDI!#REF!,IF(#REF!="ZERO",0))))),"")</f>
        <v>#REF!</v>
      </c>
      <c r="H789" s="139" t="str">
        <f t="shared" si="37"/>
        <v/>
      </c>
      <c r="I789" s="137" t="str">
        <f t="shared" si="38"/>
        <v/>
      </c>
      <c r="J789" s="117"/>
    </row>
    <row r="790" spans="1:10" hidden="1" x14ac:dyDescent="0.25">
      <c r="A790" s="114" t="s">
        <v>2304</v>
      </c>
      <c r="B790" s="115" t="s">
        <v>2305</v>
      </c>
      <c r="C790" s="116" t="s">
        <v>16</v>
      </c>
      <c r="D790" s="116">
        <v>0</v>
      </c>
      <c r="E790" s="136" t="s">
        <v>416</v>
      </c>
      <c r="F790" s="137" t="str">
        <f t="shared" si="36"/>
        <v/>
      </c>
      <c r="G790" s="138" t="e">
        <f>IF(A790&lt;&gt;"",IF(AND(#REF!="Padrão",$H$4=#REF!),BDI!$B$17,IF(AND(#REF!="Padrão",$H$4=#REF!),BDI!#REF!,IF(AND(#REF!="Diferenciado",$H$4=#REF!),BDI!$E$17,IF(AND(#REF!="Diferenciado",$H$4=#REF!),BDI!#REF!,IF(#REF!="ZERO",0))))),"")</f>
        <v>#REF!</v>
      </c>
      <c r="H790" s="139" t="str">
        <f t="shared" si="37"/>
        <v/>
      </c>
      <c r="I790" s="137" t="str">
        <f t="shared" si="38"/>
        <v/>
      </c>
      <c r="J790" s="117"/>
    </row>
    <row r="791" spans="1:10" hidden="1" x14ac:dyDescent="0.25">
      <c r="A791" s="114" t="s">
        <v>2306</v>
      </c>
      <c r="B791" s="115" t="s">
        <v>2307</v>
      </c>
      <c r="C791" s="116" t="s">
        <v>16</v>
      </c>
      <c r="D791" s="116">
        <v>0</v>
      </c>
      <c r="E791" s="136" t="s">
        <v>416</v>
      </c>
      <c r="F791" s="137" t="str">
        <f t="shared" si="36"/>
        <v/>
      </c>
      <c r="G791" s="138" t="e">
        <f>IF(A791&lt;&gt;"",IF(AND(#REF!="Padrão",$H$4=#REF!),BDI!$B$17,IF(AND(#REF!="Padrão",$H$4=#REF!),BDI!#REF!,IF(AND(#REF!="Diferenciado",$H$4=#REF!),BDI!$E$17,IF(AND(#REF!="Diferenciado",$H$4=#REF!),BDI!#REF!,IF(#REF!="ZERO",0))))),"")</f>
        <v>#REF!</v>
      </c>
      <c r="H791" s="139" t="str">
        <f t="shared" si="37"/>
        <v/>
      </c>
      <c r="I791" s="137" t="str">
        <f t="shared" si="38"/>
        <v/>
      </c>
      <c r="J791" s="117"/>
    </row>
    <row r="792" spans="1:10" hidden="1" x14ac:dyDescent="0.25">
      <c r="A792" s="114" t="s">
        <v>2308</v>
      </c>
      <c r="B792" s="115" t="s">
        <v>2309</v>
      </c>
      <c r="C792" s="116" t="s">
        <v>16</v>
      </c>
      <c r="D792" s="116">
        <v>0</v>
      </c>
      <c r="E792" s="136" t="s">
        <v>416</v>
      </c>
      <c r="F792" s="137" t="str">
        <f t="shared" si="36"/>
        <v/>
      </c>
      <c r="G792" s="138" t="e">
        <f>IF(A792&lt;&gt;"",IF(AND(#REF!="Padrão",$H$4=#REF!),BDI!$B$17,IF(AND(#REF!="Padrão",$H$4=#REF!),BDI!#REF!,IF(AND(#REF!="Diferenciado",$H$4=#REF!),BDI!$E$17,IF(AND(#REF!="Diferenciado",$H$4=#REF!),BDI!#REF!,IF(#REF!="ZERO",0))))),"")</f>
        <v>#REF!</v>
      </c>
      <c r="H792" s="139" t="str">
        <f t="shared" si="37"/>
        <v/>
      </c>
      <c r="I792" s="137" t="str">
        <f t="shared" si="38"/>
        <v/>
      </c>
      <c r="J792" s="117"/>
    </row>
    <row r="793" spans="1:10" hidden="1" x14ac:dyDescent="0.25">
      <c r="A793" s="114" t="s">
        <v>2310</v>
      </c>
      <c r="B793" s="115" t="s">
        <v>2311</v>
      </c>
      <c r="C793" s="116" t="s">
        <v>16</v>
      </c>
      <c r="D793" s="116">
        <v>0</v>
      </c>
      <c r="E793" s="136" t="s">
        <v>416</v>
      </c>
      <c r="F793" s="137" t="str">
        <f t="shared" si="36"/>
        <v/>
      </c>
      <c r="G793" s="138" t="e">
        <f>IF(A793&lt;&gt;"",IF(AND(#REF!="Padrão",$H$4=#REF!),BDI!$B$17,IF(AND(#REF!="Padrão",$H$4=#REF!),BDI!#REF!,IF(AND(#REF!="Diferenciado",$H$4=#REF!),BDI!$E$17,IF(AND(#REF!="Diferenciado",$H$4=#REF!),BDI!#REF!,IF(#REF!="ZERO",0))))),"")</f>
        <v>#REF!</v>
      </c>
      <c r="H793" s="139" t="str">
        <f t="shared" si="37"/>
        <v/>
      </c>
      <c r="I793" s="137" t="str">
        <f t="shared" si="38"/>
        <v/>
      </c>
      <c r="J793" s="117"/>
    </row>
    <row r="794" spans="1:10" hidden="1" x14ac:dyDescent="0.25">
      <c r="A794" s="114" t="s">
        <v>2312</v>
      </c>
      <c r="B794" s="115" t="s">
        <v>2313</v>
      </c>
      <c r="C794" s="116" t="s">
        <v>16</v>
      </c>
      <c r="D794" s="116">
        <v>0</v>
      </c>
      <c r="E794" s="136" t="s">
        <v>416</v>
      </c>
      <c r="F794" s="137" t="str">
        <f t="shared" si="36"/>
        <v/>
      </c>
      <c r="G794" s="138" t="e">
        <f>IF(A794&lt;&gt;"",IF(AND(#REF!="Padrão",$H$4=#REF!),BDI!$B$17,IF(AND(#REF!="Padrão",$H$4=#REF!),BDI!#REF!,IF(AND(#REF!="Diferenciado",$H$4=#REF!),BDI!$E$17,IF(AND(#REF!="Diferenciado",$H$4=#REF!),BDI!#REF!,IF(#REF!="ZERO",0))))),"")</f>
        <v>#REF!</v>
      </c>
      <c r="H794" s="139" t="str">
        <f t="shared" si="37"/>
        <v/>
      </c>
      <c r="I794" s="137" t="str">
        <f t="shared" si="38"/>
        <v/>
      </c>
      <c r="J794" s="117"/>
    </row>
    <row r="795" spans="1:10" hidden="1" x14ac:dyDescent="0.25">
      <c r="A795" s="114" t="s">
        <v>2314</v>
      </c>
      <c r="B795" s="115" t="s">
        <v>2315</v>
      </c>
      <c r="C795" s="116" t="s">
        <v>16</v>
      </c>
      <c r="D795" s="116">
        <v>0</v>
      </c>
      <c r="E795" s="136" t="s">
        <v>416</v>
      </c>
      <c r="F795" s="137" t="str">
        <f t="shared" si="36"/>
        <v/>
      </c>
      <c r="G795" s="138" t="e">
        <f>IF(A795&lt;&gt;"",IF(AND(#REF!="Padrão",$H$4=#REF!),BDI!$B$17,IF(AND(#REF!="Padrão",$H$4=#REF!),BDI!#REF!,IF(AND(#REF!="Diferenciado",$H$4=#REF!),BDI!$E$17,IF(AND(#REF!="Diferenciado",$H$4=#REF!),BDI!#REF!,IF(#REF!="ZERO",0))))),"")</f>
        <v>#REF!</v>
      </c>
      <c r="H795" s="139" t="str">
        <f t="shared" si="37"/>
        <v/>
      </c>
      <c r="I795" s="137" t="str">
        <f t="shared" si="38"/>
        <v/>
      </c>
      <c r="J795" s="117"/>
    </row>
    <row r="796" spans="1:10" hidden="1" x14ac:dyDescent="0.25">
      <c r="A796" s="114" t="s">
        <v>2316</v>
      </c>
      <c r="B796" s="115" t="s">
        <v>2317</v>
      </c>
      <c r="C796" s="116" t="s">
        <v>16</v>
      </c>
      <c r="D796" s="116">
        <v>0</v>
      </c>
      <c r="E796" s="136" t="s">
        <v>416</v>
      </c>
      <c r="F796" s="137" t="str">
        <f t="shared" si="36"/>
        <v/>
      </c>
      <c r="G796" s="138" t="e">
        <f>IF(A796&lt;&gt;"",IF(AND(#REF!="Padrão",$H$4=#REF!),BDI!$B$17,IF(AND(#REF!="Padrão",$H$4=#REF!),BDI!#REF!,IF(AND(#REF!="Diferenciado",$H$4=#REF!),BDI!$E$17,IF(AND(#REF!="Diferenciado",$H$4=#REF!),BDI!#REF!,IF(#REF!="ZERO",0))))),"")</f>
        <v>#REF!</v>
      </c>
      <c r="H796" s="139" t="str">
        <f t="shared" si="37"/>
        <v/>
      </c>
      <c r="I796" s="137" t="str">
        <f t="shared" si="38"/>
        <v/>
      </c>
      <c r="J796" s="117"/>
    </row>
    <row r="797" spans="1:10" hidden="1" x14ac:dyDescent="0.25">
      <c r="A797" s="114" t="s">
        <v>2318</v>
      </c>
      <c r="B797" s="115" t="s">
        <v>2319</v>
      </c>
      <c r="C797" s="116" t="s">
        <v>16</v>
      </c>
      <c r="D797" s="116">
        <v>0</v>
      </c>
      <c r="E797" s="136" t="s">
        <v>416</v>
      </c>
      <c r="F797" s="137" t="str">
        <f t="shared" si="36"/>
        <v/>
      </c>
      <c r="G797" s="138" t="e">
        <f>IF(A797&lt;&gt;"",IF(AND(#REF!="Padrão",$H$4=#REF!),BDI!$B$17,IF(AND(#REF!="Padrão",$H$4=#REF!),BDI!#REF!,IF(AND(#REF!="Diferenciado",$H$4=#REF!),BDI!$E$17,IF(AND(#REF!="Diferenciado",$H$4=#REF!),BDI!#REF!,IF(#REF!="ZERO",0))))),"")</f>
        <v>#REF!</v>
      </c>
      <c r="H797" s="139" t="str">
        <f t="shared" si="37"/>
        <v/>
      </c>
      <c r="I797" s="137" t="str">
        <f t="shared" si="38"/>
        <v/>
      </c>
      <c r="J797" s="117"/>
    </row>
    <row r="798" spans="1:10" hidden="1" x14ac:dyDescent="0.25">
      <c r="A798" s="114" t="s">
        <v>2320</v>
      </c>
      <c r="B798" s="115" t="s">
        <v>2321</v>
      </c>
      <c r="C798" s="116" t="s">
        <v>16</v>
      </c>
      <c r="D798" s="116">
        <v>0</v>
      </c>
      <c r="E798" s="136" t="s">
        <v>416</v>
      </c>
      <c r="F798" s="137" t="str">
        <f t="shared" si="36"/>
        <v/>
      </c>
      <c r="G798" s="138" t="e">
        <f>IF(A798&lt;&gt;"",IF(AND(#REF!="Padrão",$H$4=#REF!),BDI!$B$17,IF(AND(#REF!="Padrão",$H$4=#REF!),BDI!#REF!,IF(AND(#REF!="Diferenciado",$H$4=#REF!),BDI!$E$17,IF(AND(#REF!="Diferenciado",$H$4=#REF!),BDI!#REF!,IF(#REF!="ZERO",0))))),"")</f>
        <v>#REF!</v>
      </c>
      <c r="H798" s="139" t="str">
        <f t="shared" si="37"/>
        <v/>
      </c>
      <c r="I798" s="137" t="str">
        <f t="shared" si="38"/>
        <v/>
      </c>
      <c r="J798" s="117"/>
    </row>
    <row r="799" spans="1:10" hidden="1" x14ac:dyDescent="0.25">
      <c r="A799" s="114" t="s">
        <v>2322</v>
      </c>
      <c r="B799" s="115" t="s">
        <v>2323</v>
      </c>
      <c r="C799" s="116" t="s">
        <v>16</v>
      </c>
      <c r="D799" s="116">
        <v>0</v>
      </c>
      <c r="E799" s="136" t="s">
        <v>416</v>
      </c>
      <c r="F799" s="137" t="str">
        <f t="shared" si="36"/>
        <v/>
      </c>
      <c r="G799" s="138" t="e">
        <f>IF(A799&lt;&gt;"",IF(AND(#REF!="Padrão",$H$4=#REF!),BDI!$B$17,IF(AND(#REF!="Padrão",$H$4=#REF!),BDI!#REF!,IF(AND(#REF!="Diferenciado",$H$4=#REF!),BDI!$E$17,IF(AND(#REF!="Diferenciado",$H$4=#REF!),BDI!#REF!,IF(#REF!="ZERO",0))))),"")</f>
        <v>#REF!</v>
      </c>
      <c r="H799" s="139" t="str">
        <f t="shared" si="37"/>
        <v/>
      </c>
      <c r="I799" s="137" t="str">
        <f t="shared" si="38"/>
        <v/>
      </c>
      <c r="J799" s="117"/>
    </row>
    <row r="800" spans="1:10" hidden="1" x14ac:dyDescent="0.25">
      <c r="A800" s="114" t="s">
        <v>2324</v>
      </c>
      <c r="B800" s="115" t="s">
        <v>2325</v>
      </c>
      <c r="C800" s="116" t="s">
        <v>16</v>
      </c>
      <c r="D800" s="116">
        <v>0</v>
      </c>
      <c r="E800" s="136" t="s">
        <v>416</v>
      </c>
      <c r="F800" s="137" t="str">
        <f t="shared" si="36"/>
        <v/>
      </c>
      <c r="G800" s="138" t="e">
        <f>IF(A800&lt;&gt;"",IF(AND(#REF!="Padrão",$H$4=#REF!),BDI!$B$17,IF(AND(#REF!="Padrão",$H$4=#REF!),BDI!#REF!,IF(AND(#REF!="Diferenciado",$H$4=#REF!),BDI!$E$17,IF(AND(#REF!="Diferenciado",$H$4=#REF!),BDI!#REF!,IF(#REF!="ZERO",0))))),"")</f>
        <v>#REF!</v>
      </c>
      <c r="H800" s="139" t="str">
        <f t="shared" si="37"/>
        <v/>
      </c>
      <c r="I800" s="137" t="str">
        <f t="shared" si="38"/>
        <v/>
      </c>
      <c r="J800" s="117"/>
    </row>
    <row r="801" spans="1:10" hidden="1" x14ac:dyDescent="0.25">
      <c r="A801" s="114" t="s">
        <v>2326</v>
      </c>
      <c r="B801" s="115" t="s">
        <v>2327</v>
      </c>
      <c r="C801" s="116" t="s">
        <v>16</v>
      </c>
      <c r="D801" s="116">
        <v>0</v>
      </c>
      <c r="E801" s="136" t="s">
        <v>416</v>
      </c>
      <c r="F801" s="137" t="str">
        <f t="shared" si="36"/>
        <v/>
      </c>
      <c r="G801" s="138" t="e">
        <f>IF(A801&lt;&gt;"",IF(AND(#REF!="Padrão",$H$4=#REF!),BDI!$B$17,IF(AND(#REF!="Padrão",$H$4=#REF!),BDI!#REF!,IF(AND(#REF!="Diferenciado",$H$4=#REF!),BDI!$E$17,IF(AND(#REF!="Diferenciado",$H$4=#REF!),BDI!#REF!,IF(#REF!="ZERO",0))))),"")</f>
        <v>#REF!</v>
      </c>
      <c r="H801" s="139" t="str">
        <f t="shared" si="37"/>
        <v/>
      </c>
      <c r="I801" s="137" t="str">
        <f t="shared" si="38"/>
        <v/>
      </c>
      <c r="J801" s="117"/>
    </row>
    <row r="802" spans="1:10" hidden="1" x14ac:dyDescent="0.25">
      <c r="A802" s="114" t="s">
        <v>2328</v>
      </c>
      <c r="B802" s="115" t="s">
        <v>2329</v>
      </c>
      <c r="C802" s="116" t="s">
        <v>16</v>
      </c>
      <c r="D802" s="116">
        <v>0</v>
      </c>
      <c r="E802" s="136" t="s">
        <v>416</v>
      </c>
      <c r="F802" s="137" t="str">
        <f t="shared" si="36"/>
        <v/>
      </c>
      <c r="G802" s="138" t="e">
        <f>IF(A802&lt;&gt;"",IF(AND(#REF!="Padrão",$H$4=#REF!),BDI!$B$17,IF(AND(#REF!="Padrão",$H$4=#REF!),BDI!#REF!,IF(AND(#REF!="Diferenciado",$H$4=#REF!),BDI!$E$17,IF(AND(#REF!="Diferenciado",$H$4=#REF!),BDI!#REF!,IF(#REF!="ZERO",0))))),"")</f>
        <v>#REF!</v>
      </c>
      <c r="H802" s="139" t="str">
        <f t="shared" si="37"/>
        <v/>
      </c>
      <c r="I802" s="137" t="str">
        <f t="shared" si="38"/>
        <v/>
      </c>
      <c r="J802" s="117"/>
    </row>
    <row r="803" spans="1:10" hidden="1" x14ac:dyDescent="0.25">
      <c r="A803" s="114" t="s">
        <v>2330</v>
      </c>
      <c r="B803" s="115" t="s">
        <v>2331</v>
      </c>
      <c r="C803" s="116" t="s">
        <v>16</v>
      </c>
      <c r="D803" s="116">
        <v>0</v>
      </c>
      <c r="E803" s="136" t="s">
        <v>416</v>
      </c>
      <c r="F803" s="137" t="str">
        <f t="shared" si="36"/>
        <v/>
      </c>
      <c r="G803" s="138" t="e">
        <f>IF(A803&lt;&gt;"",IF(AND(#REF!="Padrão",$H$4=#REF!),BDI!$B$17,IF(AND(#REF!="Padrão",$H$4=#REF!),BDI!#REF!,IF(AND(#REF!="Diferenciado",$H$4=#REF!),BDI!$E$17,IF(AND(#REF!="Diferenciado",$H$4=#REF!),BDI!#REF!,IF(#REF!="ZERO",0))))),"")</f>
        <v>#REF!</v>
      </c>
      <c r="H803" s="139" t="str">
        <f t="shared" si="37"/>
        <v/>
      </c>
      <c r="I803" s="137" t="str">
        <f t="shared" si="38"/>
        <v/>
      </c>
      <c r="J803" s="117"/>
    </row>
    <row r="804" spans="1:10" hidden="1" x14ac:dyDescent="0.25">
      <c r="A804" s="114" t="s">
        <v>2332</v>
      </c>
      <c r="B804" s="115" t="s">
        <v>2333</v>
      </c>
      <c r="C804" s="116" t="s">
        <v>16</v>
      </c>
      <c r="D804" s="116">
        <v>0</v>
      </c>
      <c r="E804" s="136" t="s">
        <v>416</v>
      </c>
      <c r="F804" s="137" t="str">
        <f t="shared" si="36"/>
        <v/>
      </c>
      <c r="G804" s="138" t="e">
        <f>IF(A804&lt;&gt;"",IF(AND(#REF!="Padrão",$H$4=#REF!),BDI!$B$17,IF(AND(#REF!="Padrão",$H$4=#REF!),BDI!#REF!,IF(AND(#REF!="Diferenciado",$H$4=#REF!),BDI!$E$17,IF(AND(#REF!="Diferenciado",$H$4=#REF!),BDI!#REF!,IF(#REF!="ZERO",0))))),"")</f>
        <v>#REF!</v>
      </c>
      <c r="H804" s="139" t="str">
        <f t="shared" si="37"/>
        <v/>
      </c>
      <c r="I804" s="137" t="str">
        <f t="shared" si="38"/>
        <v/>
      </c>
      <c r="J804" s="117"/>
    </row>
    <row r="805" spans="1:10" hidden="1" x14ac:dyDescent="0.25">
      <c r="A805" s="114" t="s">
        <v>2334</v>
      </c>
      <c r="B805" s="115" t="s">
        <v>2335</v>
      </c>
      <c r="C805" s="116" t="s">
        <v>16</v>
      </c>
      <c r="D805" s="116">
        <v>0</v>
      </c>
      <c r="E805" s="136" t="s">
        <v>416</v>
      </c>
      <c r="F805" s="137" t="str">
        <f t="shared" si="36"/>
        <v/>
      </c>
      <c r="G805" s="138" t="e">
        <f>IF(A805&lt;&gt;"",IF(AND(#REF!="Padrão",$H$4=#REF!),BDI!$B$17,IF(AND(#REF!="Padrão",$H$4=#REF!),BDI!#REF!,IF(AND(#REF!="Diferenciado",$H$4=#REF!),BDI!$E$17,IF(AND(#REF!="Diferenciado",$H$4=#REF!),BDI!#REF!,IF(#REF!="ZERO",0))))),"")</f>
        <v>#REF!</v>
      </c>
      <c r="H805" s="139" t="str">
        <f t="shared" si="37"/>
        <v/>
      </c>
      <c r="I805" s="137" t="str">
        <f t="shared" si="38"/>
        <v/>
      </c>
      <c r="J805" s="117"/>
    </row>
    <row r="806" spans="1:10" hidden="1" x14ac:dyDescent="0.25">
      <c r="A806" s="114" t="s">
        <v>2336</v>
      </c>
      <c r="B806" s="115" t="s">
        <v>2337</v>
      </c>
      <c r="C806" s="116" t="s">
        <v>16</v>
      </c>
      <c r="D806" s="116">
        <v>0</v>
      </c>
      <c r="E806" s="136" t="s">
        <v>416</v>
      </c>
      <c r="F806" s="137" t="str">
        <f t="shared" si="36"/>
        <v/>
      </c>
      <c r="G806" s="138" t="e">
        <f>IF(A806&lt;&gt;"",IF(AND(#REF!="Padrão",$H$4=#REF!),BDI!$B$17,IF(AND(#REF!="Padrão",$H$4=#REF!),BDI!#REF!,IF(AND(#REF!="Diferenciado",$H$4=#REF!),BDI!$E$17,IF(AND(#REF!="Diferenciado",$H$4=#REF!),BDI!#REF!,IF(#REF!="ZERO",0))))),"")</f>
        <v>#REF!</v>
      </c>
      <c r="H806" s="139" t="str">
        <f t="shared" si="37"/>
        <v/>
      </c>
      <c r="I806" s="137" t="str">
        <f t="shared" si="38"/>
        <v/>
      </c>
      <c r="J806" s="117"/>
    </row>
    <row r="807" spans="1:10" hidden="1" x14ac:dyDescent="0.25">
      <c r="A807" s="114" t="s">
        <v>2338</v>
      </c>
      <c r="B807" s="115" t="s">
        <v>2339</v>
      </c>
      <c r="C807" s="116" t="s">
        <v>16</v>
      </c>
      <c r="D807" s="116">
        <v>0</v>
      </c>
      <c r="E807" s="136" t="s">
        <v>416</v>
      </c>
      <c r="F807" s="137" t="str">
        <f t="shared" si="36"/>
        <v/>
      </c>
      <c r="G807" s="138" t="e">
        <f>IF(A807&lt;&gt;"",IF(AND(#REF!="Padrão",$H$4=#REF!),BDI!$B$17,IF(AND(#REF!="Padrão",$H$4=#REF!),BDI!#REF!,IF(AND(#REF!="Diferenciado",$H$4=#REF!),BDI!$E$17,IF(AND(#REF!="Diferenciado",$H$4=#REF!),BDI!#REF!,IF(#REF!="ZERO",0))))),"")</f>
        <v>#REF!</v>
      </c>
      <c r="H807" s="139" t="str">
        <f t="shared" si="37"/>
        <v/>
      </c>
      <c r="I807" s="137" t="str">
        <f t="shared" si="38"/>
        <v/>
      </c>
      <c r="J807" s="117"/>
    </row>
    <row r="808" spans="1:10" hidden="1" x14ac:dyDescent="0.25">
      <c r="A808" s="114" t="s">
        <v>2340</v>
      </c>
      <c r="B808" s="115" t="s">
        <v>2341</v>
      </c>
      <c r="C808" s="116" t="s">
        <v>16</v>
      </c>
      <c r="D808" s="116">
        <v>0</v>
      </c>
      <c r="E808" s="136" t="s">
        <v>416</v>
      </c>
      <c r="F808" s="137" t="str">
        <f t="shared" si="36"/>
        <v/>
      </c>
      <c r="G808" s="138" t="e">
        <f>IF(A808&lt;&gt;"",IF(AND(#REF!="Padrão",$H$4=#REF!),BDI!$B$17,IF(AND(#REF!="Padrão",$H$4=#REF!),BDI!#REF!,IF(AND(#REF!="Diferenciado",$H$4=#REF!),BDI!$E$17,IF(AND(#REF!="Diferenciado",$H$4=#REF!),BDI!#REF!,IF(#REF!="ZERO",0))))),"")</f>
        <v>#REF!</v>
      </c>
      <c r="H808" s="139" t="str">
        <f t="shared" si="37"/>
        <v/>
      </c>
      <c r="I808" s="137" t="str">
        <f t="shared" si="38"/>
        <v/>
      </c>
      <c r="J808" s="117"/>
    </row>
    <row r="809" spans="1:10" hidden="1" x14ac:dyDescent="0.25">
      <c r="A809" s="114" t="s">
        <v>2342</v>
      </c>
      <c r="B809" s="115" t="s">
        <v>2343</v>
      </c>
      <c r="C809" s="116" t="s">
        <v>16</v>
      </c>
      <c r="D809" s="116">
        <v>0</v>
      </c>
      <c r="E809" s="136" t="s">
        <v>416</v>
      </c>
      <c r="F809" s="137" t="str">
        <f t="shared" si="36"/>
        <v/>
      </c>
      <c r="G809" s="138" t="e">
        <f>IF(A809&lt;&gt;"",IF(AND(#REF!="Padrão",$H$4=#REF!),BDI!$B$17,IF(AND(#REF!="Padrão",$H$4=#REF!),BDI!#REF!,IF(AND(#REF!="Diferenciado",$H$4=#REF!),BDI!$E$17,IF(AND(#REF!="Diferenciado",$H$4=#REF!),BDI!#REF!,IF(#REF!="ZERO",0))))),"")</f>
        <v>#REF!</v>
      </c>
      <c r="H809" s="139" t="str">
        <f t="shared" si="37"/>
        <v/>
      </c>
      <c r="I809" s="137" t="str">
        <f t="shared" si="38"/>
        <v/>
      </c>
      <c r="J809" s="117"/>
    </row>
    <row r="810" spans="1:10" hidden="1" x14ac:dyDescent="0.25">
      <c r="A810" s="114" t="s">
        <v>2344</v>
      </c>
      <c r="B810" s="115" t="s">
        <v>7669</v>
      </c>
      <c r="C810" s="116" t="s">
        <v>16</v>
      </c>
      <c r="D810" s="116">
        <v>0</v>
      </c>
      <c r="E810" s="136" t="s">
        <v>416</v>
      </c>
      <c r="F810" s="137" t="str">
        <f t="shared" si="36"/>
        <v/>
      </c>
      <c r="G810" s="138" t="e">
        <f>IF(A810&lt;&gt;"",IF(AND(#REF!="Padrão",$H$4=#REF!),BDI!$B$17,IF(AND(#REF!="Padrão",$H$4=#REF!),BDI!#REF!,IF(AND(#REF!="Diferenciado",$H$4=#REF!),BDI!$E$17,IF(AND(#REF!="Diferenciado",$H$4=#REF!),BDI!#REF!,IF(#REF!="ZERO",0))))),"")</f>
        <v>#REF!</v>
      </c>
      <c r="H810" s="139" t="str">
        <f t="shared" si="37"/>
        <v/>
      </c>
      <c r="I810" s="137" t="str">
        <f t="shared" si="38"/>
        <v/>
      </c>
      <c r="J810" s="117"/>
    </row>
    <row r="811" spans="1:10" hidden="1" x14ac:dyDescent="0.25">
      <c r="A811" s="114" t="s">
        <v>2345</v>
      </c>
      <c r="B811" s="115" t="s">
        <v>2346</v>
      </c>
      <c r="C811" s="116" t="s">
        <v>16</v>
      </c>
      <c r="D811" s="116">
        <v>0</v>
      </c>
      <c r="E811" s="136" t="s">
        <v>416</v>
      </c>
      <c r="F811" s="137" t="str">
        <f t="shared" si="36"/>
        <v/>
      </c>
      <c r="G811" s="138" t="e">
        <f>IF(A811&lt;&gt;"",IF(AND(#REF!="Padrão",$H$4=#REF!),BDI!$B$17,IF(AND(#REF!="Padrão",$H$4=#REF!),BDI!#REF!,IF(AND(#REF!="Diferenciado",$H$4=#REF!),BDI!$E$17,IF(AND(#REF!="Diferenciado",$H$4=#REF!),BDI!#REF!,IF(#REF!="ZERO",0))))),"")</f>
        <v>#REF!</v>
      </c>
      <c r="H811" s="139" t="str">
        <f t="shared" si="37"/>
        <v/>
      </c>
      <c r="I811" s="137" t="str">
        <f t="shared" si="38"/>
        <v/>
      </c>
      <c r="J811" s="117"/>
    </row>
    <row r="812" spans="1:10" hidden="1" x14ac:dyDescent="0.25">
      <c r="A812" s="114" t="s">
        <v>2347</v>
      </c>
      <c r="B812" s="115" t="s">
        <v>7670</v>
      </c>
      <c r="C812" s="116" t="s">
        <v>16</v>
      </c>
      <c r="D812" s="116">
        <v>0</v>
      </c>
      <c r="E812" s="136" t="s">
        <v>416</v>
      </c>
      <c r="F812" s="137" t="str">
        <f t="shared" si="36"/>
        <v/>
      </c>
      <c r="G812" s="138" t="e">
        <f>IF(A812&lt;&gt;"",IF(AND(#REF!="Padrão",$H$4=#REF!),BDI!$B$17,IF(AND(#REF!="Padrão",$H$4=#REF!),BDI!#REF!,IF(AND(#REF!="Diferenciado",$H$4=#REF!),BDI!$E$17,IF(AND(#REF!="Diferenciado",$H$4=#REF!),BDI!#REF!,IF(#REF!="ZERO",0))))),"")</f>
        <v>#REF!</v>
      </c>
      <c r="H812" s="139" t="str">
        <f t="shared" si="37"/>
        <v/>
      </c>
      <c r="I812" s="137" t="str">
        <f t="shared" si="38"/>
        <v/>
      </c>
      <c r="J812" s="117"/>
    </row>
    <row r="813" spans="1:10" hidden="1" x14ac:dyDescent="0.25">
      <c r="A813" s="114" t="s">
        <v>2348</v>
      </c>
      <c r="B813" s="115" t="s">
        <v>7671</v>
      </c>
      <c r="C813" s="116" t="s">
        <v>16</v>
      </c>
      <c r="D813" s="116">
        <v>0</v>
      </c>
      <c r="E813" s="136" t="s">
        <v>416</v>
      </c>
      <c r="F813" s="137" t="str">
        <f t="shared" si="36"/>
        <v/>
      </c>
      <c r="G813" s="138" t="e">
        <f>IF(A813&lt;&gt;"",IF(AND(#REF!="Padrão",$H$4=#REF!),BDI!$B$17,IF(AND(#REF!="Padrão",$H$4=#REF!),BDI!#REF!,IF(AND(#REF!="Diferenciado",$H$4=#REF!),BDI!$E$17,IF(AND(#REF!="Diferenciado",$H$4=#REF!),BDI!#REF!,IF(#REF!="ZERO",0))))),"")</f>
        <v>#REF!</v>
      </c>
      <c r="H813" s="139" t="str">
        <f t="shared" si="37"/>
        <v/>
      </c>
      <c r="I813" s="137" t="str">
        <f t="shared" si="38"/>
        <v/>
      </c>
      <c r="J813" s="117"/>
    </row>
    <row r="814" spans="1:10" hidden="1" x14ac:dyDescent="0.25">
      <c r="A814" s="114" t="s">
        <v>2349</v>
      </c>
      <c r="B814" s="115" t="s">
        <v>2350</v>
      </c>
      <c r="C814" s="116" t="s">
        <v>16</v>
      </c>
      <c r="D814" s="116">
        <v>0</v>
      </c>
      <c r="E814" s="136" t="s">
        <v>416</v>
      </c>
      <c r="F814" s="137" t="str">
        <f t="shared" si="36"/>
        <v/>
      </c>
      <c r="G814" s="138" t="e">
        <f>IF(A814&lt;&gt;"",IF(AND(#REF!="Padrão",$H$4=#REF!),BDI!$B$17,IF(AND(#REF!="Padrão",$H$4=#REF!),BDI!#REF!,IF(AND(#REF!="Diferenciado",$H$4=#REF!),BDI!$E$17,IF(AND(#REF!="Diferenciado",$H$4=#REF!),BDI!#REF!,IF(#REF!="ZERO",0))))),"")</f>
        <v>#REF!</v>
      </c>
      <c r="H814" s="139" t="str">
        <f t="shared" si="37"/>
        <v/>
      </c>
      <c r="I814" s="137" t="str">
        <f t="shared" si="38"/>
        <v/>
      </c>
      <c r="J814" s="117"/>
    </row>
    <row r="815" spans="1:10" hidden="1" x14ac:dyDescent="0.25">
      <c r="A815" s="114" t="s">
        <v>2351</v>
      </c>
      <c r="B815" s="115" t="s">
        <v>2352</v>
      </c>
      <c r="C815" s="116" t="s">
        <v>16</v>
      </c>
      <c r="D815" s="116">
        <v>0</v>
      </c>
      <c r="E815" s="136" t="s">
        <v>416</v>
      </c>
      <c r="F815" s="137" t="str">
        <f t="shared" si="36"/>
        <v/>
      </c>
      <c r="G815" s="138" t="e">
        <f>IF(A815&lt;&gt;"",IF(AND(#REF!="Padrão",$H$4=#REF!),BDI!$B$17,IF(AND(#REF!="Padrão",$H$4=#REF!),BDI!#REF!,IF(AND(#REF!="Diferenciado",$H$4=#REF!),BDI!$E$17,IF(AND(#REF!="Diferenciado",$H$4=#REF!),BDI!#REF!,IF(#REF!="ZERO",0))))),"")</f>
        <v>#REF!</v>
      </c>
      <c r="H815" s="139" t="str">
        <f t="shared" si="37"/>
        <v/>
      </c>
      <c r="I815" s="137" t="str">
        <f t="shared" si="38"/>
        <v/>
      </c>
      <c r="J815" s="117"/>
    </row>
    <row r="816" spans="1:10" hidden="1" x14ac:dyDescent="0.25">
      <c r="A816" s="114" t="s">
        <v>2353</v>
      </c>
      <c r="B816" s="115" t="s">
        <v>2354</v>
      </c>
      <c r="C816" s="116" t="s">
        <v>16</v>
      </c>
      <c r="D816" s="116">
        <v>0</v>
      </c>
      <c r="E816" s="136" t="s">
        <v>416</v>
      </c>
      <c r="F816" s="137" t="str">
        <f t="shared" si="36"/>
        <v/>
      </c>
      <c r="G816" s="138" t="e">
        <f>IF(A816&lt;&gt;"",IF(AND(#REF!="Padrão",$H$4=#REF!),BDI!$B$17,IF(AND(#REF!="Padrão",$H$4=#REF!),BDI!#REF!,IF(AND(#REF!="Diferenciado",$H$4=#REF!),BDI!$E$17,IF(AND(#REF!="Diferenciado",$H$4=#REF!),BDI!#REF!,IF(#REF!="ZERO",0))))),"")</f>
        <v>#REF!</v>
      </c>
      <c r="H816" s="139" t="str">
        <f t="shared" si="37"/>
        <v/>
      </c>
      <c r="I816" s="137" t="str">
        <f t="shared" si="38"/>
        <v/>
      </c>
      <c r="J816" s="117"/>
    </row>
    <row r="817" spans="1:10" hidden="1" x14ac:dyDescent="0.25">
      <c r="A817" s="114" t="s">
        <v>2355</v>
      </c>
      <c r="B817" s="115" t="s">
        <v>2356</v>
      </c>
      <c r="C817" s="116" t="s">
        <v>16</v>
      </c>
      <c r="D817" s="116">
        <v>0</v>
      </c>
      <c r="E817" s="136" t="s">
        <v>416</v>
      </c>
      <c r="F817" s="137" t="str">
        <f t="shared" si="36"/>
        <v/>
      </c>
      <c r="G817" s="138" t="e">
        <f>IF(A817&lt;&gt;"",IF(AND(#REF!="Padrão",$H$4=#REF!),BDI!$B$17,IF(AND(#REF!="Padrão",$H$4=#REF!),BDI!#REF!,IF(AND(#REF!="Diferenciado",$H$4=#REF!),BDI!$E$17,IF(AND(#REF!="Diferenciado",$H$4=#REF!),BDI!#REF!,IF(#REF!="ZERO",0))))),"")</f>
        <v>#REF!</v>
      </c>
      <c r="H817" s="139" t="str">
        <f t="shared" si="37"/>
        <v/>
      </c>
      <c r="I817" s="137" t="str">
        <f t="shared" si="38"/>
        <v/>
      </c>
      <c r="J817" s="117"/>
    </row>
    <row r="818" spans="1:10" hidden="1" x14ac:dyDescent="0.25">
      <c r="A818" s="114" t="s">
        <v>2357</v>
      </c>
      <c r="B818" s="115" t="s">
        <v>2358</v>
      </c>
      <c r="C818" s="116" t="s">
        <v>16</v>
      </c>
      <c r="D818" s="116">
        <v>0</v>
      </c>
      <c r="E818" s="136" t="s">
        <v>416</v>
      </c>
      <c r="F818" s="137" t="str">
        <f t="shared" si="36"/>
        <v/>
      </c>
      <c r="G818" s="138" t="e">
        <f>IF(A818&lt;&gt;"",IF(AND(#REF!="Padrão",$H$4=#REF!),BDI!$B$17,IF(AND(#REF!="Padrão",$H$4=#REF!),BDI!#REF!,IF(AND(#REF!="Diferenciado",$H$4=#REF!),BDI!$E$17,IF(AND(#REF!="Diferenciado",$H$4=#REF!),BDI!#REF!,IF(#REF!="ZERO",0))))),"")</f>
        <v>#REF!</v>
      </c>
      <c r="H818" s="139" t="str">
        <f t="shared" si="37"/>
        <v/>
      </c>
      <c r="I818" s="137" t="str">
        <f t="shared" si="38"/>
        <v/>
      </c>
      <c r="J818" s="117"/>
    </row>
    <row r="819" spans="1:10" hidden="1" x14ac:dyDescent="0.25">
      <c r="A819" s="114" t="s">
        <v>2359</v>
      </c>
      <c r="B819" s="115" t="s">
        <v>2360</v>
      </c>
      <c r="C819" s="116" t="s">
        <v>16</v>
      </c>
      <c r="D819" s="116">
        <v>0</v>
      </c>
      <c r="E819" s="136">
        <f ca="1">OFFSET(INDEX(Composições!A:J,MATCH(Orçamentária!A819,Composições!A:A,0),8),2,0)</f>
        <v>22.923499999999997</v>
      </c>
      <c r="F819" s="137">
        <f t="shared" ca="1" si="36"/>
        <v>0</v>
      </c>
      <c r="G819" s="138" t="e">
        <f>IF(A819&lt;&gt;"",IF(AND(#REF!="Padrão",$H$4=#REF!),BDI!$B$17,IF(AND(#REF!="Padrão",$H$4=#REF!),BDI!#REF!,IF(AND(#REF!="Diferenciado",$H$4=#REF!),BDI!$E$17,IF(AND(#REF!="Diferenciado",$H$4=#REF!),BDI!#REF!,IF(#REF!="ZERO",0))))),"")</f>
        <v>#REF!</v>
      </c>
      <c r="H819" s="139" t="e">
        <f t="shared" ca="1" si="37"/>
        <v>#REF!</v>
      </c>
      <c r="I819" s="137" t="e">
        <f t="shared" ca="1" si="38"/>
        <v>#REF!</v>
      </c>
      <c r="J819" s="117"/>
    </row>
    <row r="820" spans="1:10" hidden="1" x14ac:dyDescent="0.25">
      <c r="A820" s="114" t="s">
        <v>2361</v>
      </c>
      <c r="B820" s="115" t="s">
        <v>2362</v>
      </c>
      <c r="C820" s="116" t="s">
        <v>16</v>
      </c>
      <c r="D820" s="116">
        <v>0</v>
      </c>
      <c r="E820" s="136">
        <f ca="1">OFFSET(INDEX(Composições!A:J,MATCH(Orçamentária!A820,Composições!A:A,0),8),2,0)</f>
        <v>19.57</v>
      </c>
      <c r="F820" s="137">
        <f t="shared" ca="1" si="36"/>
        <v>0</v>
      </c>
      <c r="G820" s="138" t="e">
        <f>IF(A820&lt;&gt;"",IF(AND(#REF!="Padrão",$H$4=#REF!),BDI!$B$17,IF(AND(#REF!="Padrão",$H$4=#REF!),BDI!#REF!,IF(AND(#REF!="Diferenciado",$H$4=#REF!),BDI!$E$17,IF(AND(#REF!="Diferenciado",$H$4=#REF!),BDI!#REF!,IF(#REF!="ZERO",0))))),"")</f>
        <v>#REF!</v>
      </c>
      <c r="H820" s="139" t="e">
        <f t="shared" ca="1" si="37"/>
        <v>#REF!</v>
      </c>
      <c r="I820" s="137" t="e">
        <f t="shared" ca="1" si="38"/>
        <v>#REF!</v>
      </c>
      <c r="J820" s="117"/>
    </row>
    <row r="821" spans="1:10" hidden="1" x14ac:dyDescent="0.25">
      <c r="A821" s="114" t="s">
        <v>2363</v>
      </c>
      <c r="B821" s="115" t="s">
        <v>2364</v>
      </c>
      <c r="C821" s="116" t="s">
        <v>16</v>
      </c>
      <c r="D821" s="116">
        <v>0</v>
      </c>
      <c r="E821" s="136" t="s">
        <v>416</v>
      </c>
      <c r="F821" s="137" t="str">
        <f t="shared" si="36"/>
        <v/>
      </c>
      <c r="G821" s="138" t="e">
        <f>IF(A821&lt;&gt;"",IF(AND(#REF!="Padrão",$H$4=#REF!),BDI!$B$17,IF(AND(#REF!="Padrão",$H$4=#REF!),BDI!#REF!,IF(AND(#REF!="Diferenciado",$H$4=#REF!),BDI!$E$17,IF(AND(#REF!="Diferenciado",$H$4=#REF!),BDI!#REF!,IF(#REF!="ZERO",0))))),"")</f>
        <v>#REF!</v>
      </c>
      <c r="H821" s="139" t="str">
        <f t="shared" si="37"/>
        <v/>
      </c>
      <c r="I821" s="137" t="str">
        <f t="shared" si="38"/>
        <v/>
      </c>
      <c r="J821" s="117"/>
    </row>
    <row r="822" spans="1:10" hidden="1" x14ac:dyDescent="0.25">
      <c r="A822" s="114" t="s">
        <v>2365</v>
      </c>
      <c r="B822" s="115" t="s">
        <v>2366</v>
      </c>
      <c r="C822" s="116" t="s">
        <v>16</v>
      </c>
      <c r="D822" s="116">
        <v>0</v>
      </c>
      <c r="E822" s="136" t="s">
        <v>416</v>
      </c>
      <c r="F822" s="137" t="str">
        <f t="shared" si="36"/>
        <v/>
      </c>
      <c r="G822" s="138" t="e">
        <f>IF(A822&lt;&gt;"",IF(AND(#REF!="Padrão",$H$4=#REF!),BDI!$B$17,IF(AND(#REF!="Padrão",$H$4=#REF!),BDI!#REF!,IF(AND(#REF!="Diferenciado",$H$4=#REF!),BDI!$E$17,IF(AND(#REF!="Diferenciado",$H$4=#REF!),BDI!#REF!,IF(#REF!="ZERO",0))))),"")</f>
        <v>#REF!</v>
      </c>
      <c r="H822" s="139" t="str">
        <f t="shared" si="37"/>
        <v/>
      </c>
      <c r="I822" s="137" t="str">
        <f t="shared" si="38"/>
        <v/>
      </c>
      <c r="J822" s="117"/>
    </row>
    <row r="823" spans="1:10" hidden="1" x14ac:dyDescent="0.25">
      <c r="A823" s="114" t="s">
        <v>2367</v>
      </c>
      <c r="B823" s="115" t="s">
        <v>7672</v>
      </c>
      <c r="C823" s="116" t="s">
        <v>16</v>
      </c>
      <c r="D823" s="116">
        <v>0</v>
      </c>
      <c r="E823" s="136" t="s">
        <v>416</v>
      </c>
      <c r="F823" s="137" t="str">
        <f t="shared" si="36"/>
        <v/>
      </c>
      <c r="G823" s="138" t="e">
        <f>IF(A823&lt;&gt;"",IF(AND(#REF!="Padrão",$H$4=#REF!),BDI!$B$17,IF(AND(#REF!="Padrão",$H$4=#REF!),BDI!#REF!,IF(AND(#REF!="Diferenciado",$H$4=#REF!),BDI!$E$17,IF(AND(#REF!="Diferenciado",$H$4=#REF!),BDI!#REF!,IF(#REF!="ZERO",0))))),"")</f>
        <v>#REF!</v>
      </c>
      <c r="H823" s="139" t="str">
        <f t="shared" si="37"/>
        <v/>
      </c>
      <c r="I823" s="137" t="str">
        <f t="shared" si="38"/>
        <v/>
      </c>
      <c r="J823" s="117"/>
    </row>
    <row r="824" spans="1:10" hidden="1" x14ac:dyDescent="0.25">
      <c r="A824" s="114" t="s">
        <v>2368</v>
      </c>
      <c r="B824" s="115" t="s">
        <v>7673</v>
      </c>
      <c r="C824" s="116" t="s">
        <v>16</v>
      </c>
      <c r="D824" s="116">
        <v>0</v>
      </c>
      <c r="E824" s="136" t="s">
        <v>416</v>
      </c>
      <c r="F824" s="137" t="str">
        <f t="shared" si="36"/>
        <v/>
      </c>
      <c r="G824" s="138" t="e">
        <f>IF(A824&lt;&gt;"",IF(AND(#REF!="Padrão",$H$4=#REF!),BDI!$B$17,IF(AND(#REF!="Padrão",$H$4=#REF!),BDI!#REF!,IF(AND(#REF!="Diferenciado",$H$4=#REF!),BDI!$E$17,IF(AND(#REF!="Diferenciado",$H$4=#REF!),BDI!#REF!,IF(#REF!="ZERO",0))))),"")</f>
        <v>#REF!</v>
      </c>
      <c r="H824" s="139" t="str">
        <f t="shared" si="37"/>
        <v/>
      </c>
      <c r="I824" s="137" t="str">
        <f t="shared" si="38"/>
        <v/>
      </c>
      <c r="J824" s="117"/>
    </row>
    <row r="825" spans="1:10" hidden="1" x14ac:dyDescent="0.25">
      <c r="A825" s="114" t="s">
        <v>2369</v>
      </c>
      <c r="B825" s="115" t="s">
        <v>2370</v>
      </c>
      <c r="C825" s="116" t="s">
        <v>16</v>
      </c>
      <c r="D825" s="116">
        <v>0</v>
      </c>
      <c r="E825" s="136" t="s">
        <v>416</v>
      </c>
      <c r="F825" s="137" t="str">
        <f t="shared" si="36"/>
        <v/>
      </c>
      <c r="G825" s="138" t="e">
        <f>IF(A825&lt;&gt;"",IF(AND(#REF!="Padrão",$H$4=#REF!),BDI!$B$17,IF(AND(#REF!="Padrão",$H$4=#REF!),BDI!#REF!,IF(AND(#REF!="Diferenciado",$H$4=#REF!),BDI!$E$17,IF(AND(#REF!="Diferenciado",$H$4=#REF!),BDI!#REF!,IF(#REF!="ZERO",0))))),"")</f>
        <v>#REF!</v>
      </c>
      <c r="H825" s="139" t="str">
        <f t="shared" si="37"/>
        <v/>
      </c>
      <c r="I825" s="137" t="str">
        <f t="shared" si="38"/>
        <v/>
      </c>
      <c r="J825" s="117"/>
    </row>
    <row r="826" spans="1:10" hidden="1" x14ac:dyDescent="0.25">
      <c r="A826" s="114" t="s">
        <v>2371</v>
      </c>
      <c r="B826" s="115" t="s">
        <v>2372</v>
      </c>
      <c r="C826" s="116" t="s">
        <v>2373</v>
      </c>
      <c r="D826" s="116">
        <v>0</v>
      </c>
      <c r="E826" s="136" t="s">
        <v>416</v>
      </c>
      <c r="F826" s="137" t="str">
        <f t="shared" si="36"/>
        <v/>
      </c>
      <c r="G826" s="138" t="e">
        <f>IF(A826&lt;&gt;"",IF(AND(#REF!="Padrão",$H$4=#REF!),BDI!$B$17,IF(AND(#REF!="Padrão",$H$4=#REF!),BDI!#REF!,IF(AND(#REF!="Diferenciado",$H$4=#REF!),BDI!$E$17,IF(AND(#REF!="Diferenciado",$H$4=#REF!),BDI!#REF!,IF(#REF!="ZERO",0))))),"")</f>
        <v>#REF!</v>
      </c>
      <c r="H826" s="139" t="str">
        <f t="shared" si="37"/>
        <v/>
      </c>
      <c r="I826" s="137" t="str">
        <f t="shared" si="38"/>
        <v/>
      </c>
      <c r="J826" s="117"/>
    </row>
    <row r="827" spans="1:10" hidden="1" x14ac:dyDescent="0.25">
      <c r="A827" s="114" t="s">
        <v>2374</v>
      </c>
      <c r="B827" s="115" t="s">
        <v>5450</v>
      </c>
      <c r="C827" s="116" t="s">
        <v>16</v>
      </c>
      <c r="D827" s="116">
        <v>0</v>
      </c>
      <c r="E827" s="136" t="s">
        <v>416</v>
      </c>
      <c r="F827" s="137" t="str">
        <f t="shared" si="36"/>
        <v/>
      </c>
      <c r="G827" s="138" t="e">
        <f>IF(A827&lt;&gt;"",IF(AND(#REF!="Padrão",$H$4=#REF!),BDI!$B$17,IF(AND(#REF!="Padrão",$H$4=#REF!),BDI!#REF!,IF(AND(#REF!="Diferenciado",$H$4=#REF!),BDI!$E$17,IF(AND(#REF!="Diferenciado",$H$4=#REF!),BDI!#REF!,IF(#REF!="ZERO",0))))),"")</f>
        <v>#REF!</v>
      </c>
      <c r="H827" s="139" t="str">
        <f t="shared" si="37"/>
        <v/>
      </c>
      <c r="I827" s="137" t="str">
        <f t="shared" si="38"/>
        <v/>
      </c>
      <c r="J827" s="117"/>
    </row>
    <row r="828" spans="1:10" ht="25.5" hidden="1" x14ac:dyDescent="0.25">
      <c r="A828" s="114" t="s">
        <v>2375</v>
      </c>
      <c r="B828" s="115" t="s">
        <v>2376</v>
      </c>
      <c r="C828" s="116" t="s">
        <v>2377</v>
      </c>
      <c r="D828" s="116">
        <v>0</v>
      </c>
      <c r="E828" s="136" t="s">
        <v>416</v>
      </c>
      <c r="F828" s="137" t="str">
        <f t="shared" si="36"/>
        <v/>
      </c>
      <c r="G828" s="138" t="e">
        <f>IF(A828&lt;&gt;"",IF(AND(#REF!="Padrão",$H$4=#REF!),BDI!$B$17,IF(AND(#REF!="Padrão",$H$4=#REF!),BDI!#REF!,IF(AND(#REF!="Diferenciado",$H$4=#REF!),BDI!$E$17,IF(AND(#REF!="Diferenciado",$H$4=#REF!),BDI!#REF!,IF(#REF!="ZERO",0))))),"")</f>
        <v>#REF!</v>
      </c>
      <c r="H828" s="139" t="str">
        <f t="shared" si="37"/>
        <v/>
      </c>
      <c r="I828" s="137" t="str">
        <f t="shared" si="38"/>
        <v/>
      </c>
      <c r="J828" s="117"/>
    </row>
    <row r="829" spans="1:10" ht="25.5" hidden="1" x14ac:dyDescent="0.25">
      <c r="A829" s="114" t="s">
        <v>2378</v>
      </c>
      <c r="B829" s="115" t="s">
        <v>2379</v>
      </c>
      <c r="C829" s="116" t="s">
        <v>2377</v>
      </c>
      <c r="D829" s="116">
        <v>0</v>
      </c>
      <c r="E829" s="136" t="s">
        <v>416</v>
      </c>
      <c r="F829" s="137" t="str">
        <f t="shared" si="36"/>
        <v/>
      </c>
      <c r="G829" s="138" t="e">
        <f>IF(A829&lt;&gt;"",IF(AND(#REF!="Padrão",$H$4=#REF!),BDI!$B$17,IF(AND(#REF!="Padrão",$H$4=#REF!),BDI!#REF!,IF(AND(#REF!="Diferenciado",$H$4=#REF!),BDI!$E$17,IF(AND(#REF!="Diferenciado",$H$4=#REF!),BDI!#REF!,IF(#REF!="ZERO",0))))),"")</f>
        <v>#REF!</v>
      </c>
      <c r="H829" s="139" t="str">
        <f t="shared" si="37"/>
        <v/>
      </c>
      <c r="I829" s="137" t="str">
        <f t="shared" si="38"/>
        <v/>
      </c>
      <c r="J829" s="117"/>
    </row>
    <row r="830" spans="1:10" hidden="1" x14ac:dyDescent="0.25">
      <c r="A830" s="114" t="s">
        <v>2380</v>
      </c>
      <c r="B830" s="115" t="s">
        <v>5451</v>
      </c>
      <c r="C830" s="116" t="s">
        <v>16</v>
      </c>
      <c r="D830" s="116">
        <v>0</v>
      </c>
      <c r="E830" s="136" t="s">
        <v>416</v>
      </c>
      <c r="F830" s="137" t="str">
        <f t="shared" si="36"/>
        <v/>
      </c>
      <c r="G830" s="138" t="e">
        <f>IF(A830&lt;&gt;"",IF(AND(#REF!="Padrão",$H$4=#REF!),BDI!$B$17,IF(AND(#REF!="Padrão",$H$4=#REF!),BDI!#REF!,IF(AND(#REF!="Diferenciado",$H$4=#REF!),BDI!$E$17,IF(AND(#REF!="Diferenciado",$H$4=#REF!),BDI!#REF!,IF(#REF!="ZERO",0))))),"")</f>
        <v>#REF!</v>
      </c>
      <c r="H830" s="139" t="str">
        <f t="shared" si="37"/>
        <v/>
      </c>
      <c r="I830" s="137" t="str">
        <f t="shared" si="38"/>
        <v/>
      </c>
      <c r="J830" s="117"/>
    </row>
    <row r="831" spans="1:10" hidden="1" x14ac:dyDescent="0.25">
      <c r="A831" s="114" t="s">
        <v>2381</v>
      </c>
      <c r="B831" s="115" t="s">
        <v>2382</v>
      </c>
      <c r="C831" s="116" t="s">
        <v>2377</v>
      </c>
      <c r="D831" s="116">
        <v>0</v>
      </c>
      <c r="E831" s="136" t="s">
        <v>416</v>
      </c>
      <c r="F831" s="137" t="str">
        <f t="shared" si="36"/>
        <v/>
      </c>
      <c r="G831" s="138" t="e">
        <f>IF(A831&lt;&gt;"",IF(AND(#REF!="Padrão",$H$4=#REF!),BDI!$B$17,IF(AND(#REF!="Padrão",$H$4=#REF!),BDI!#REF!,IF(AND(#REF!="Diferenciado",$H$4=#REF!),BDI!$E$17,IF(AND(#REF!="Diferenciado",$H$4=#REF!),BDI!#REF!,IF(#REF!="ZERO",0))))),"")</f>
        <v>#REF!</v>
      </c>
      <c r="H831" s="139" t="str">
        <f t="shared" si="37"/>
        <v/>
      </c>
      <c r="I831" s="137" t="str">
        <f t="shared" si="38"/>
        <v/>
      </c>
      <c r="J831" s="117"/>
    </row>
    <row r="832" spans="1:10" hidden="1" x14ac:dyDescent="0.25">
      <c r="A832" s="114" t="s">
        <v>2383</v>
      </c>
      <c r="B832" s="115" t="s">
        <v>5452</v>
      </c>
      <c r="C832" s="116" t="s">
        <v>1683</v>
      </c>
      <c r="D832" s="116">
        <v>0</v>
      </c>
      <c r="E832" s="136" t="s">
        <v>416</v>
      </c>
      <c r="F832" s="137" t="str">
        <f t="shared" si="36"/>
        <v/>
      </c>
      <c r="G832" s="138" t="e">
        <f>IF(A832&lt;&gt;"",IF(AND(#REF!="Padrão",$H$4=#REF!),BDI!$B$17,IF(AND(#REF!="Padrão",$H$4=#REF!),BDI!#REF!,IF(AND(#REF!="Diferenciado",$H$4=#REF!),BDI!$E$17,IF(AND(#REF!="Diferenciado",$H$4=#REF!),BDI!#REF!,IF(#REF!="ZERO",0))))),"")</f>
        <v>#REF!</v>
      </c>
      <c r="H832" s="139" t="str">
        <f t="shared" si="37"/>
        <v/>
      </c>
      <c r="I832" s="137" t="str">
        <f t="shared" si="38"/>
        <v/>
      </c>
      <c r="J832" s="117"/>
    </row>
    <row r="833" spans="1:10" hidden="1" x14ac:dyDescent="0.25">
      <c r="A833" s="114" t="s">
        <v>2384</v>
      </c>
      <c r="B833" s="115" t="s">
        <v>5453</v>
      </c>
      <c r="C833" s="116" t="s">
        <v>1683</v>
      </c>
      <c r="D833" s="116">
        <v>0</v>
      </c>
      <c r="E833" s="136">
        <f ca="1">OFFSET(INDEX(Composições!A:J,MATCH(Orçamentária!A833,Composições!A:A,0),8),2,0)</f>
        <v>38.959499999999998</v>
      </c>
      <c r="F833" s="137">
        <f t="shared" ca="1" si="36"/>
        <v>0</v>
      </c>
      <c r="G833" s="138" t="e">
        <f>IF(A833&lt;&gt;"",IF(AND(#REF!="Padrão",$H$4=#REF!),BDI!$B$17,IF(AND(#REF!="Padrão",$H$4=#REF!),BDI!#REF!,IF(AND(#REF!="Diferenciado",$H$4=#REF!),BDI!$E$17,IF(AND(#REF!="Diferenciado",$H$4=#REF!),BDI!#REF!,IF(#REF!="ZERO",0))))),"")</f>
        <v>#REF!</v>
      </c>
      <c r="H833" s="139" t="e">
        <f t="shared" ca="1" si="37"/>
        <v>#REF!</v>
      </c>
      <c r="I833" s="137" t="e">
        <f t="shared" ca="1" si="38"/>
        <v>#REF!</v>
      </c>
      <c r="J833" s="117"/>
    </row>
    <row r="834" spans="1:10" hidden="1" x14ac:dyDescent="0.25">
      <c r="A834" s="114" t="s">
        <v>2385</v>
      </c>
      <c r="B834" s="115" t="s">
        <v>2386</v>
      </c>
      <c r="C834" s="116" t="s">
        <v>16</v>
      </c>
      <c r="D834" s="116">
        <v>0</v>
      </c>
      <c r="E834" s="136">
        <f ca="1">OFFSET(INDEX(Composições!A:J,MATCH(Orçamentária!A834,Composições!A:A,0),8),2,0)</f>
        <v>17.584500000000002</v>
      </c>
      <c r="F834" s="137">
        <f t="shared" ca="1" si="36"/>
        <v>0</v>
      </c>
      <c r="G834" s="138" t="e">
        <f>IF(A834&lt;&gt;"",IF(AND(#REF!="Padrão",$H$4=#REF!),BDI!$B$17,IF(AND(#REF!="Padrão",$H$4=#REF!),BDI!#REF!,IF(AND(#REF!="Diferenciado",$H$4=#REF!),BDI!$E$17,IF(AND(#REF!="Diferenciado",$H$4=#REF!),BDI!#REF!,IF(#REF!="ZERO",0))))),"")</f>
        <v>#REF!</v>
      </c>
      <c r="H834" s="139" t="e">
        <f t="shared" ca="1" si="37"/>
        <v>#REF!</v>
      </c>
      <c r="I834" s="137" t="e">
        <f t="shared" ca="1" si="38"/>
        <v>#REF!</v>
      </c>
      <c r="J834" s="117"/>
    </row>
    <row r="835" spans="1:10" hidden="1" x14ac:dyDescent="0.25">
      <c r="A835" s="114" t="s">
        <v>2387</v>
      </c>
      <c r="B835" s="115" t="s">
        <v>2388</v>
      </c>
      <c r="C835" s="116" t="s">
        <v>16</v>
      </c>
      <c r="D835" s="116">
        <v>0</v>
      </c>
      <c r="E835" s="136" t="s">
        <v>416</v>
      </c>
      <c r="F835" s="137" t="str">
        <f t="shared" si="36"/>
        <v/>
      </c>
      <c r="G835" s="138" t="e">
        <f>IF(A835&lt;&gt;"",IF(AND(#REF!="Padrão",$H$4=#REF!),BDI!$B$17,IF(AND(#REF!="Padrão",$H$4=#REF!),BDI!#REF!,IF(AND(#REF!="Diferenciado",$H$4=#REF!),BDI!$E$17,IF(AND(#REF!="Diferenciado",$H$4=#REF!),BDI!#REF!,IF(#REF!="ZERO",0))))),"")</f>
        <v>#REF!</v>
      </c>
      <c r="H835" s="139" t="str">
        <f t="shared" si="37"/>
        <v/>
      </c>
      <c r="I835" s="137" t="str">
        <f t="shared" si="38"/>
        <v/>
      </c>
      <c r="J835" s="117"/>
    </row>
    <row r="836" spans="1:10" hidden="1" x14ac:dyDescent="0.25">
      <c r="A836" s="114" t="s">
        <v>2389</v>
      </c>
      <c r="B836" s="115" t="s">
        <v>2390</v>
      </c>
      <c r="C836" s="116" t="s">
        <v>16</v>
      </c>
      <c r="D836" s="116">
        <v>0</v>
      </c>
      <c r="E836" s="136" t="s">
        <v>416</v>
      </c>
      <c r="F836" s="137" t="str">
        <f t="shared" si="36"/>
        <v/>
      </c>
      <c r="G836" s="138" t="e">
        <f>IF(A836&lt;&gt;"",IF(AND(#REF!="Padrão",$H$4=#REF!),BDI!$B$17,IF(AND(#REF!="Padrão",$H$4=#REF!),BDI!#REF!,IF(AND(#REF!="Diferenciado",$H$4=#REF!),BDI!$E$17,IF(AND(#REF!="Diferenciado",$H$4=#REF!),BDI!#REF!,IF(#REF!="ZERO",0))))),"")</f>
        <v>#REF!</v>
      </c>
      <c r="H836" s="139" t="str">
        <f t="shared" si="37"/>
        <v/>
      </c>
      <c r="I836" s="137" t="str">
        <f t="shared" si="38"/>
        <v/>
      </c>
      <c r="J836" s="117"/>
    </row>
    <row r="837" spans="1:10" hidden="1" x14ac:dyDescent="0.25">
      <c r="A837" s="114" t="s">
        <v>2391</v>
      </c>
      <c r="B837" s="115" t="s">
        <v>2392</v>
      </c>
      <c r="C837" s="116" t="s">
        <v>2377</v>
      </c>
      <c r="D837" s="116">
        <v>0</v>
      </c>
      <c r="E837" s="136" t="s">
        <v>416</v>
      </c>
      <c r="F837" s="137" t="str">
        <f t="shared" si="36"/>
        <v/>
      </c>
      <c r="G837" s="138" t="e">
        <f>IF(A837&lt;&gt;"",IF(AND(#REF!="Padrão",$H$4=#REF!),BDI!$B$17,IF(AND(#REF!="Padrão",$H$4=#REF!),BDI!#REF!,IF(AND(#REF!="Diferenciado",$H$4=#REF!),BDI!$E$17,IF(AND(#REF!="Diferenciado",$H$4=#REF!),BDI!#REF!,IF(#REF!="ZERO",0))))),"")</f>
        <v>#REF!</v>
      </c>
      <c r="H837" s="139" t="str">
        <f t="shared" si="37"/>
        <v/>
      </c>
      <c r="I837" s="137" t="str">
        <f t="shared" si="38"/>
        <v/>
      </c>
      <c r="J837" s="117"/>
    </row>
    <row r="838" spans="1:10" hidden="1" x14ac:dyDescent="0.25">
      <c r="A838" s="114" t="s">
        <v>2393</v>
      </c>
      <c r="B838" s="115" t="s">
        <v>2394</v>
      </c>
      <c r="C838" s="116" t="s">
        <v>2377</v>
      </c>
      <c r="D838" s="116">
        <v>0</v>
      </c>
      <c r="E838" s="136" t="s">
        <v>416</v>
      </c>
      <c r="F838" s="137" t="str">
        <f t="shared" si="36"/>
        <v/>
      </c>
      <c r="G838" s="138" t="e">
        <f>IF(A838&lt;&gt;"",IF(AND(#REF!="Padrão",$H$4=#REF!),BDI!$B$17,IF(AND(#REF!="Padrão",$H$4=#REF!),BDI!#REF!,IF(AND(#REF!="Diferenciado",$H$4=#REF!),BDI!$E$17,IF(AND(#REF!="Diferenciado",$H$4=#REF!),BDI!#REF!,IF(#REF!="ZERO",0))))),"")</f>
        <v>#REF!</v>
      </c>
      <c r="H838" s="139" t="str">
        <f t="shared" si="37"/>
        <v/>
      </c>
      <c r="I838" s="137" t="str">
        <f t="shared" si="38"/>
        <v/>
      </c>
      <c r="J838" s="117"/>
    </row>
    <row r="839" spans="1:10" hidden="1" x14ac:dyDescent="0.25">
      <c r="A839" s="114" t="s">
        <v>2395</v>
      </c>
      <c r="B839" s="115" t="s">
        <v>2396</v>
      </c>
      <c r="C839" s="116" t="s">
        <v>1683</v>
      </c>
      <c r="D839" s="116">
        <v>0</v>
      </c>
      <c r="E839" s="136" t="s">
        <v>416</v>
      </c>
      <c r="F839" s="137" t="str">
        <f t="shared" ref="F839:F902" si="39">IF(ISNUMBER(E839),D839*E839,"")</f>
        <v/>
      </c>
      <c r="G839" s="138" t="e">
        <f>IF(A839&lt;&gt;"",IF(AND(#REF!="Padrão",$H$4=#REF!),BDI!$B$17,IF(AND(#REF!="Padrão",$H$4=#REF!),BDI!#REF!,IF(AND(#REF!="Diferenciado",$H$4=#REF!),BDI!$E$17,IF(AND(#REF!="Diferenciado",$H$4=#REF!),BDI!#REF!,IF(#REF!="ZERO",0))))),"")</f>
        <v>#REF!</v>
      </c>
      <c r="H839" s="139" t="str">
        <f t="shared" ref="H839:H902" si="40">IF(ISNUMBER(E839),ROUND(E839*(1+G839),2),"")</f>
        <v/>
      </c>
      <c r="I839" s="137" t="str">
        <f t="shared" ref="I839:I902" si="41">IF(ISNUMBER(E839),ROUND(H839*D839,2),"")</f>
        <v/>
      </c>
      <c r="J839" s="117"/>
    </row>
    <row r="840" spans="1:10" hidden="1" x14ac:dyDescent="0.25">
      <c r="A840" s="114" t="s">
        <v>2397</v>
      </c>
      <c r="B840" s="115" t="s">
        <v>2398</v>
      </c>
      <c r="C840" s="116" t="s">
        <v>2377</v>
      </c>
      <c r="D840" s="116">
        <v>0</v>
      </c>
      <c r="E840" s="136" t="s">
        <v>416</v>
      </c>
      <c r="F840" s="137" t="str">
        <f t="shared" si="39"/>
        <v/>
      </c>
      <c r="G840" s="138" t="e">
        <f>IF(A840&lt;&gt;"",IF(AND(#REF!="Padrão",$H$4=#REF!),BDI!$B$17,IF(AND(#REF!="Padrão",$H$4=#REF!),BDI!#REF!,IF(AND(#REF!="Diferenciado",$H$4=#REF!),BDI!$E$17,IF(AND(#REF!="Diferenciado",$H$4=#REF!),BDI!#REF!,IF(#REF!="ZERO",0))))),"")</f>
        <v>#REF!</v>
      </c>
      <c r="H840" s="139" t="str">
        <f t="shared" si="40"/>
        <v/>
      </c>
      <c r="I840" s="137" t="str">
        <f t="shared" si="41"/>
        <v/>
      </c>
      <c r="J840" s="117"/>
    </row>
    <row r="841" spans="1:10" hidden="1" x14ac:dyDescent="0.25">
      <c r="A841" s="114" t="s">
        <v>2399</v>
      </c>
      <c r="B841" s="115" t="s">
        <v>5454</v>
      </c>
      <c r="C841" s="116" t="s">
        <v>16</v>
      </c>
      <c r="D841" s="116">
        <v>0</v>
      </c>
      <c r="E841" s="136" t="s">
        <v>416</v>
      </c>
      <c r="F841" s="137" t="str">
        <f t="shared" si="39"/>
        <v/>
      </c>
      <c r="G841" s="138" t="e">
        <f>IF(A841&lt;&gt;"",IF(AND(#REF!="Padrão",$H$4=#REF!),BDI!$B$17,IF(AND(#REF!="Padrão",$H$4=#REF!),BDI!#REF!,IF(AND(#REF!="Diferenciado",$H$4=#REF!),BDI!$E$17,IF(AND(#REF!="Diferenciado",$H$4=#REF!),BDI!#REF!,IF(#REF!="ZERO",0))))),"")</f>
        <v>#REF!</v>
      </c>
      <c r="H841" s="139" t="str">
        <f t="shared" si="40"/>
        <v/>
      </c>
      <c r="I841" s="137" t="str">
        <f t="shared" si="41"/>
        <v/>
      </c>
      <c r="J841" s="117"/>
    </row>
    <row r="842" spans="1:10" hidden="1" x14ac:dyDescent="0.25">
      <c r="A842" s="114" t="s">
        <v>2400</v>
      </c>
      <c r="B842" s="115" t="s">
        <v>5509</v>
      </c>
      <c r="C842" s="116" t="s">
        <v>16</v>
      </c>
      <c r="D842" s="116">
        <v>0</v>
      </c>
      <c r="E842" s="136" t="s">
        <v>416</v>
      </c>
      <c r="F842" s="137" t="str">
        <f t="shared" si="39"/>
        <v/>
      </c>
      <c r="G842" s="138" t="e">
        <f>IF(A842&lt;&gt;"",IF(AND(#REF!="Padrão",$H$4=#REF!),BDI!$B$17,IF(AND(#REF!="Padrão",$H$4=#REF!),BDI!#REF!,IF(AND(#REF!="Diferenciado",$H$4=#REF!),BDI!$E$17,IF(AND(#REF!="Diferenciado",$H$4=#REF!),BDI!#REF!,IF(#REF!="ZERO",0))))),"")</f>
        <v>#REF!</v>
      </c>
      <c r="H842" s="139" t="str">
        <f t="shared" si="40"/>
        <v/>
      </c>
      <c r="I842" s="137" t="str">
        <f t="shared" si="41"/>
        <v/>
      </c>
      <c r="J842" s="117"/>
    </row>
    <row r="843" spans="1:10" hidden="1" x14ac:dyDescent="0.25">
      <c r="A843" s="114" t="s">
        <v>2401</v>
      </c>
      <c r="B843" s="115" t="s">
        <v>2402</v>
      </c>
      <c r="C843" s="116" t="s">
        <v>16</v>
      </c>
      <c r="D843" s="116">
        <v>0</v>
      </c>
      <c r="E843" s="136" t="s">
        <v>416</v>
      </c>
      <c r="F843" s="137" t="str">
        <f t="shared" si="39"/>
        <v/>
      </c>
      <c r="G843" s="138" t="e">
        <f>IF(A843&lt;&gt;"",IF(AND(#REF!="Padrão",$H$4=#REF!),BDI!$B$17,IF(AND(#REF!="Padrão",$H$4=#REF!),BDI!#REF!,IF(AND(#REF!="Diferenciado",$H$4=#REF!),BDI!$E$17,IF(AND(#REF!="Diferenciado",$H$4=#REF!),BDI!#REF!,IF(#REF!="ZERO",0))))),"")</f>
        <v>#REF!</v>
      </c>
      <c r="H843" s="139" t="str">
        <f t="shared" si="40"/>
        <v/>
      </c>
      <c r="I843" s="137" t="str">
        <f t="shared" si="41"/>
        <v/>
      </c>
      <c r="J843" s="117"/>
    </row>
    <row r="844" spans="1:10" hidden="1" x14ac:dyDescent="0.25">
      <c r="A844" s="114" t="s">
        <v>2403</v>
      </c>
      <c r="B844" s="115" t="s">
        <v>5510</v>
      </c>
      <c r="C844" s="116" t="s">
        <v>16</v>
      </c>
      <c r="D844" s="116">
        <v>0</v>
      </c>
      <c r="E844" s="136" t="s">
        <v>416</v>
      </c>
      <c r="F844" s="137" t="str">
        <f t="shared" si="39"/>
        <v/>
      </c>
      <c r="G844" s="138" t="e">
        <f>IF(A844&lt;&gt;"",IF(AND(#REF!="Padrão",$H$4=#REF!),BDI!$B$17,IF(AND(#REF!="Padrão",$H$4=#REF!),BDI!#REF!,IF(AND(#REF!="Diferenciado",$H$4=#REF!),BDI!$E$17,IF(AND(#REF!="Diferenciado",$H$4=#REF!),BDI!#REF!,IF(#REF!="ZERO",0))))),"")</f>
        <v>#REF!</v>
      </c>
      <c r="H844" s="139" t="str">
        <f t="shared" si="40"/>
        <v/>
      </c>
      <c r="I844" s="137" t="str">
        <f t="shared" si="41"/>
        <v/>
      </c>
      <c r="J844" s="117"/>
    </row>
    <row r="845" spans="1:10" hidden="1" x14ac:dyDescent="0.25">
      <c r="A845" s="114" t="s">
        <v>2404</v>
      </c>
      <c r="B845" s="115" t="s">
        <v>2405</v>
      </c>
      <c r="C845" s="116" t="s">
        <v>16</v>
      </c>
      <c r="D845" s="116">
        <v>0</v>
      </c>
      <c r="E845" s="136">
        <f ca="1">OFFSET(INDEX(Composições!A:J,MATCH(Orçamentária!A845,Composições!A:A,0),8),2,0)</f>
        <v>180.93700000000001</v>
      </c>
      <c r="F845" s="137">
        <f t="shared" ca="1" si="39"/>
        <v>0</v>
      </c>
      <c r="G845" s="138" t="e">
        <f>IF(A845&lt;&gt;"",IF(AND(#REF!="Padrão",$H$4=#REF!),BDI!$B$17,IF(AND(#REF!="Padrão",$H$4=#REF!),BDI!#REF!,IF(AND(#REF!="Diferenciado",$H$4=#REF!),BDI!$E$17,IF(AND(#REF!="Diferenciado",$H$4=#REF!),BDI!#REF!,IF(#REF!="ZERO",0))))),"")</f>
        <v>#REF!</v>
      </c>
      <c r="H845" s="139" t="e">
        <f t="shared" ca="1" si="40"/>
        <v>#REF!</v>
      </c>
      <c r="I845" s="137" t="e">
        <f t="shared" ca="1" si="41"/>
        <v>#REF!</v>
      </c>
      <c r="J845" s="117"/>
    </row>
    <row r="846" spans="1:10" hidden="1" x14ac:dyDescent="0.25">
      <c r="A846" s="114" t="s">
        <v>2406</v>
      </c>
      <c r="B846" s="115" t="s">
        <v>5511</v>
      </c>
      <c r="C846" s="116" t="s">
        <v>16</v>
      </c>
      <c r="D846" s="116">
        <v>0</v>
      </c>
      <c r="E846" s="136">
        <f ca="1">OFFSET(INDEX(Composições!A:J,MATCH(Orçamentária!A846,Composições!A:A,0),8),2,0)</f>
        <v>158.95399999999998</v>
      </c>
      <c r="F846" s="137">
        <f t="shared" ca="1" si="39"/>
        <v>0</v>
      </c>
      <c r="G846" s="138" t="e">
        <f>IF(A846&lt;&gt;"",IF(AND(#REF!="Padrão",$H$4=#REF!),BDI!$B$17,IF(AND(#REF!="Padrão",$H$4=#REF!),BDI!#REF!,IF(AND(#REF!="Diferenciado",$H$4=#REF!),BDI!$E$17,IF(AND(#REF!="Diferenciado",$H$4=#REF!),BDI!#REF!,IF(#REF!="ZERO",0))))),"")</f>
        <v>#REF!</v>
      </c>
      <c r="H846" s="139" t="e">
        <f t="shared" ca="1" si="40"/>
        <v>#REF!</v>
      </c>
      <c r="I846" s="137" t="e">
        <f t="shared" ca="1" si="41"/>
        <v>#REF!</v>
      </c>
      <c r="J846" s="117"/>
    </row>
    <row r="847" spans="1:10" hidden="1" x14ac:dyDescent="0.25">
      <c r="A847" s="114" t="s">
        <v>2407</v>
      </c>
      <c r="B847" s="115" t="s">
        <v>5512</v>
      </c>
      <c r="C847" s="116" t="s">
        <v>16</v>
      </c>
      <c r="D847" s="116">
        <v>0</v>
      </c>
      <c r="E847" s="136" t="s">
        <v>416</v>
      </c>
      <c r="F847" s="137" t="str">
        <f t="shared" si="39"/>
        <v/>
      </c>
      <c r="G847" s="138" t="e">
        <f>IF(A847&lt;&gt;"",IF(AND(#REF!="Padrão",$H$4=#REF!),BDI!$B$17,IF(AND(#REF!="Padrão",$H$4=#REF!),BDI!#REF!,IF(AND(#REF!="Diferenciado",$H$4=#REF!),BDI!$E$17,IF(AND(#REF!="Diferenciado",$H$4=#REF!),BDI!#REF!,IF(#REF!="ZERO",0))))),"")</f>
        <v>#REF!</v>
      </c>
      <c r="H847" s="139" t="str">
        <f t="shared" si="40"/>
        <v/>
      </c>
      <c r="I847" s="137" t="str">
        <f t="shared" si="41"/>
        <v/>
      </c>
      <c r="J847" s="117"/>
    </row>
    <row r="848" spans="1:10" hidden="1" x14ac:dyDescent="0.25">
      <c r="A848" s="114" t="s">
        <v>2408</v>
      </c>
      <c r="B848" s="115" t="s">
        <v>2409</v>
      </c>
      <c r="C848" s="116" t="s">
        <v>2377</v>
      </c>
      <c r="D848" s="116">
        <v>0</v>
      </c>
      <c r="E848" s="136" t="s">
        <v>416</v>
      </c>
      <c r="F848" s="137" t="str">
        <f t="shared" si="39"/>
        <v/>
      </c>
      <c r="G848" s="138" t="e">
        <f>IF(A848&lt;&gt;"",IF(AND(#REF!="Padrão",$H$4=#REF!),BDI!$B$17,IF(AND(#REF!="Padrão",$H$4=#REF!),BDI!#REF!,IF(AND(#REF!="Diferenciado",$H$4=#REF!),BDI!$E$17,IF(AND(#REF!="Diferenciado",$H$4=#REF!),BDI!#REF!,IF(#REF!="ZERO",0))))),"")</f>
        <v>#REF!</v>
      </c>
      <c r="H848" s="139" t="str">
        <f t="shared" si="40"/>
        <v/>
      </c>
      <c r="I848" s="137" t="str">
        <f t="shared" si="41"/>
        <v/>
      </c>
      <c r="J848" s="117"/>
    </row>
    <row r="849" spans="1:10" hidden="1" x14ac:dyDescent="0.25">
      <c r="A849" s="114" t="s">
        <v>668</v>
      </c>
      <c r="B849" s="115" t="s">
        <v>2410</v>
      </c>
      <c r="C849" s="116" t="s">
        <v>70</v>
      </c>
      <c r="D849" s="116">
        <v>0</v>
      </c>
      <c r="E849" s="136">
        <f ca="1">OFFSET(INDEX(Composições!A:J,MATCH(Orçamentária!A849,Composições!A:A,0),8),2,0)</f>
        <v>33.933999999999997</v>
      </c>
      <c r="F849" s="137">
        <f t="shared" ca="1" si="39"/>
        <v>0</v>
      </c>
      <c r="G849" s="138" t="e">
        <f>IF(A849&lt;&gt;"",IF(AND(#REF!="Padrão",$H$4=#REF!),BDI!$B$17,IF(AND(#REF!="Padrão",$H$4=#REF!),BDI!#REF!,IF(AND(#REF!="Diferenciado",$H$4=#REF!),BDI!$E$17,IF(AND(#REF!="Diferenciado",$H$4=#REF!),BDI!#REF!,IF(#REF!="ZERO",0))))),"")</f>
        <v>#REF!</v>
      </c>
      <c r="H849" s="139" t="e">
        <f t="shared" ca="1" si="40"/>
        <v>#REF!</v>
      </c>
      <c r="I849" s="137" t="e">
        <f t="shared" ca="1" si="41"/>
        <v>#REF!</v>
      </c>
      <c r="J849" s="117"/>
    </row>
    <row r="850" spans="1:10" hidden="1" x14ac:dyDescent="0.25">
      <c r="A850" s="114" t="s">
        <v>670</v>
      </c>
      <c r="B850" s="115" t="s">
        <v>2411</v>
      </c>
      <c r="C850" s="116" t="s">
        <v>70</v>
      </c>
      <c r="D850" s="116">
        <v>0</v>
      </c>
      <c r="E850" s="136">
        <f ca="1">OFFSET(INDEX(Composições!A:J,MATCH(Orçamentária!A850,Composições!A:A,0),8),2,0)</f>
        <v>275.42850299999998</v>
      </c>
      <c r="F850" s="137">
        <f t="shared" ca="1" si="39"/>
        <v>0</v>
      </c>
      <c r="G850" s="138" t="e">
        <f>IF(A850&lt;&gt;"",IF(AND(#REF!="Padrão",$H$4=#REF!),BDI!$B$17,IF(AND(#REF!="Padrão",$H$4=#REF!),BDI!#REF!,IF(AND(#REF!="Diferenciado",$H$4=#REF!),BDI!$E$17,IF(AND(#REF!="Diferenciado",$H$4=#REF!),BDI!#REF!,IF(#REF!="ZERO",0))))),"")</f>
        <v>#REF!</v>
      </c>
      <c r="H850" s="139" t="e">
        <f t="shared" ca="1" si="40"/>
        <v>#REF!</v>
      </c>
      <c r="I850" s="137" t="e">
        <f t="shared" ca="1" si="41"/>
        <v>#REF!</v>
      </c>
      <c r="J850" s="117"/>
    </row>
    <row r="851" spans="1:10" hidden="1" x14ac:dyDescent="0.25">
      <c r="A851" s="114" t="s">
        <v>672</v>
      </c>
      <c r="B851" s="115" t="s">
        <v>2412</v>
      </c>
      <c r="C851" s="116" t="s">
        <v>70</v>
      </c>
      <c r="D851" s="116">
        <v>0</v>
      </c>
      <c r="E851" s="136">
        <f ca="1">OFFSET(INDEX(Composições!A:J,MATCH(Orçamentária!A851,Composições!A:A,0),8),2,0)</f>
        <v>115.28249999999998</v>
      </c>
      <c r="F851" s="137">
        <f t="shared" ca="1" si="39"/>
        <v>0</v>
      </c>
      <c r="G851" s="138" t="e">
        <f>IF(A851&lt;&gt;"",IF(AND(#REF!="Padrão",$H$4=#REF!),BDI!$B$17,IF(AND(#REF!="Padrão",$H$4=#REF!),BDI!#REF!,IF(AND(#REF!="Diferenciado",$H$4=#REF!),BDI!$E$17,IF(AND(#REF!="Diferenciado",$H$4=#REF!),BDI!#REF!,IF(#REF!="ZERO",0))))),"")</f>
        <v>#REF!</v>
      </c>
      <c r="H851" s="139" t="e">
        <f t="shared" ca="1" si="40"/>
        <v>#REF!</v>
      </c>
      <c r="I851" s="137" t="e">
        <f t="shared" ca="1" si="41"/>
        <v>#REF!</v>
      </c>
      <c r="J851" s="117"/>
    </row>
    <row r="852" spans="1:10" hidden="1" x14ac:dyDescent="0.25">
      <c r="A852" s="114" t="s">
        <v>2413</v>
      </c>
      <c r="B852" s="115" t="s">
        <v>2414</v>
      </c>
      <c r="C852" s="116" t="s">
        <v>69</v>
      </c>
      <c r="D852" s="116">
        <v>0</v>
      </c>
      <c r="E852" s="136">
        <f ca="1">OFFSET(INDEX(Composições!A:J,MATCH(Orçamentária!A852,Composições!A:A,0),8),2,0)</f>
        <v>22.643249999999995</v>
      </c>
      <c r="F852" s="137">
        <f t="shared" ca="1" si="39"/>
        <v>0</v>
      </c>
      <c r="G852" s="138" t="e">
        <f>IF(A852&lt;&gt;"",IF(AND(#REF!="Padrão",$H$4=#REF!),BDI!$B$17,IF(AND(#REF!="Padrão",$H$4=#REF!),BDI!#REF!,IF(AND(#REF!="Diferenciado",$H$4=#REF!),BDI!$E$17,IF(AND(#REF!="Diferenciado",$H$4=#REF!),BDI!#REF!,IF(#REF!="ZERO",0))))),"")</f>
        <v>#REF!</v>
      </c>
      <c r="H852" s="139" t="e">
        <f t="shared" ca="1" si="40"/>
        <v>#REF!</v>
      </c>
      <c r="I852" s="137" t="e">
        <f t="shared" ca="1" si="41"/>
        <v>#REF!</v>
      </c>
      <c r="J852" s="117"/>
    </row>
    <row r="853" spans="1:10" hidden="1" x14ac:dyDescent="0.25">
      <c r="A853" s="114" t="s">
        <v>2415</v>
      </c>
      <c r="B853" s="115" t="s">
        <v>2416</v>
      </c>
      <c r="C853" s="116" t="s">
        <v>69</v>
      </c>
      <c r="D853" s="116">
        <v>0</v>
      </c>
      <c r="E853" s="136">
        <f ca="1">OFFSET(INDEX(Composições!A:J,MATCH(Orçamentária!A853,Composições!A:A,0),8),2,0)</f>
        <v>33.964874999999992</v>
      </c>
      <c r="F853" s="137">
        <f t="shared" ca="1" si="39"/>
        <v>0</v>
      </c>
      <c r="G853" s="138" t="e">
        <f>IF(A853&lt;&gt;"",IF(AND(#REF!="Padrão",$H$4=#REF!),BDI!$B$17,IF(AND(#REF!="Padrão",$H$4=#REF!),BDI!#REF!,IF(AND(#REF!="Diferenciado",$H$4=#REF!),BDI!$E$17,IF(AND(#REF!="Diferenciado",$H$4=#REF!),BDI!#REF!,IF(#REF!="ZERO",0))))),"")</f>
        <v>#REF!</v>
      </c>
      <c r="H853" s="139" t="e">
        <f t="shared" ca="1" si="40"/>
        <v>#REF!</v>
      </c>
      <c r="I853" s="137" t="e">
        <f t="shared" ca="1" si="41"/>
        <v>#REF!</v>
      </c>
      <c r="J853" s="117"/>
    </row>
    <row r="854" spans="1:10" hidden="1" x14ac:dyDescent="0.25">
      <c r="A854" s="114" t="s">
        <v>674</v>
      </c>
      <c r="B854" s="115" t="s">
        <v>2417</v>
      </c>
      <c r="C854" s="116" t="s">
        <v>70</v>
      </c>
      <c r="D854" s="116">
        <v>0</v>
      </c>
      <c r="E854" s="136">
        <f ca="1">OFFSET(INDEX(Composições!A:J,MATCH(Orçamentária!A854,Composições!A:A,0),8),2,0)</f>
        <v>313.38504049999995</v>
      </c>
      <c r="F854" s="137">
        <f t="shared" ca="1" si="39"/>
        <v>0</v>
      </c>
      <c r="G854" s="138" t="e">
        <f>IF(A854&lt;&gt;"",IF(AND(#REF!="Padrão",$H$4=#REF!),BDI!$B$17,IF(AND(#REF!="Padrão",$H$4=#REF!),BDI!#REF!,IF(AND(#REF!="Diferenciado",$H$4=#REF!),BDI!$E$17,IF(AND(#REF!="Diferenciado",$H$4=#REF!),BDI!#REF!,IF(#REF!="ZERO",0))))),"")</f>
        <v>#REF!</v>
      </c>
      <c r="H854" s="139" t="e">
        <f t="shared" ca="1" si="40"/>
        <v>#REF!</v>
      </c>
      <c r="I854" s="137" t="e">
        <f t="shared" ca="1" si="41"/>
        <v>#REF!</v>
      </c>
      <c r="J854" s="117"/>
    </row>
    <row r="855" spans="1:10" hidden="1" x14ac:dyDescent="0.25">
      <c r="A855" s="114" t="s">
        <v>676</v>
      </c>
      <c r="B855" s="115" t="s">
        <v>2418</v>
      </c>
      <c r="C855" s="116" t="s">
        <v>16</v>
      </c>
      <c r="D855" s="116">
        <v>0</v>
      </c>
      <c r="E855" s="136">
        <f ca="1">OFFSET(INDEX(Composições!A:J,MATCH(Orçamentária!A855,Composições!A:A,0),8),2,0)</f>
        <v>3.7591499999999991</v>
      </c>
      <c r="F855" s="137">
        <f t="shared" ca="1" si="39"/>
        <v>0</v>
      </c>
      <c r="G855" s="138" t="e">
        <f>IF(A855&lt;&gt;"",IF(AND(#REF!="Padrão",$H$4=#REF!),BDI!$B$17,IF(AND(#REF!="Padrão",$H$4=#REF!),BDI!#REF!,IF(AND(#REF!="Diferenciado",$H$4=#REF!),BDI!$E$17,IF(AND(#REF!="Diferenciado",$H$4=#REF!),BDI!#REF!,IF(#REF!="ZERO",0))))),"")</f>
        <v>#REF!</v>
      </c>
      <c r="H855" s="139" t="e">
        <f t="shared" ca="1" si="40"/>
        <v>#REF!</v>
      </c>
      <c r="I855" s="137" t="e">
        <f t="shared" ca="1" si="41"/>
        <v>#REF!</v>
      </c>
      <c r="J855" s="117"/>
    </row>
    <row r="856" spans="1:10" hidden="1" x14ac:dyDescent="0.25">
      <c r="A856" s="114" t="s">
        <v>678</v>
      </c>
      <c r="B856" s="115" t="s">
        <v>2419</v>
      </c>
      <c r="C856" s="116" t="s">
        <v>16</v>
      </c>
      <c r="D856" s="116">
        <v>0</v>
      </c>
      <c r="E856" s="136">
        <f ca="1">OFFSET(INDEX(Composições!A:J,MATCH(Orçamentária!A856,Composições!A:A,0),8),2,0)</f>
        <v>7.5182999999999982</v>
      </c>
      <c r="F856" s="137">
        <f t="shared" ca="1" si="39"/>
        <v>0</v>
      </c>
      <c r="G856" s="138" t="e">
        <f>IF(A856&lt;&gt;"",IF(AND(#REF!="Padrão",$H$4=#REF!),BDI!$B$17,IF(AND(#REF!="Padrão",$H$4=#REF!),BDI!#REF!,IF(AND(#REF!="Diferenciado",$H$4=#REF!),BDI!$E$17,IF(AND(#REF!="Diferenciado",$H$4=#REF!),BDI!#REF!,IF(#REF!="ZERO",0))))),"")</f>
        <v>#REF!</v>
      </c>
      <c r="H856" s="139" t="e">
        <f t="shared" ca="1" si="40"/>
        <v>#REF!</v>
      </c>
      <c r="I856" s="137" t="e">
        <f t="shared" ca="1" si="41"/>
        <v>#REF!</v>
      </c>
      <c r="J856" s="117"/>
    </row>
    <row r="857" spans="1:10" hidden="1" x14ac:dyDescent="0.25">
      <c r="A857" s="114" t="s">
        <v>680</v>
      </c>
      <c r="B857" s="115" t="s">
        <v>2420</v>
      </c>
      <c r="C857" s="116" t="s">
        <v>16</v>
      </c>
      <c r="D857" s="116">
        <v>0</v>
      </c>
      <c r="E857" s="136">
        <f ca="1">OFFSET(INDEX(Composições!A:J,MATCH(Orçamentária!A857,Composições!A:A,0),8),2,0)</f>
        <v>3.7591499999999991</v>
      </c>
      <c r="F857" s="137">
        <f t="shared" ca="1" si="39"/>
        <v>0</v>
      </c>
      <c r="G857" s="138" t="e">
        <f>IF(A857&lt;&gt;"",IF(AND(#REF!="Padrão",$H$4=#REF!),BDI!$B$17,IF(AND(#REF!="Padrão",$H$4=#REF!),BDI!#REF!,IF(AND(#REF!="Diferenciado",$H$4=#REF!),BDI!$E$17,IF(AND(#REF!="Diferenciado",$H$4=#REF!),BDI!#REF!,IF(#REF!="ZERO",0))))),"")</f>
        <v>#REF!</v>
      </c>
      <c r="H857" s="139" t="e">
        <f t="shared" ca="1" si="40"/>
        <v>#REF!</v>
      </c>
      <c r="I857" s="137" t="e">
        <f t="shared" ca="1" si="41"/>
        <v>#REF!</v>
      </c>
      <c r="J857" s="117"/>
    </row>
    <row r="858" spans="1:10" hidden="1" x14ac:dyDescent="0.25">
      <c r="A858" s="114" t="s">
        <v>682</v>
      </c>
      <c r="B858" s="115" t="s">
        <v>2421</v>
      </c>
      <c r="C858" s="116" t="s">
        <v>16</v>
      </c>
      <c r="D858" s="116">
        <v>0</v>
      </c>
      <c r="E858" s="136">
        <f ca="1">OFFSET(INDEX(Composições!A:J,MATCH(Orçamentária!A858,Composições!A:A,0),8),2,0)</f>
        <v>7.5182999999999982</v>
      </c>
      <c r="F858" s="137">
        <f t="shared" ca="1" si="39"/>
        <v>0</v>
      </c>
      <c r="G858" s="138" t="e">
        <f>IF(A858&lt;&gt;"",IF(AND(#REF!="Padrão",$H$4=#REF!),BDI!$B$17,IF(AND(#REF!="Padrão",$H$4=#REF!),BDI!#REF!,IF(AND(#REF!="Diferenciado",$H$4=#REF!),BDI!$E$17,IF(AND(#REF!="Diferenciado",$H$4=#REF!),BDI!#REF!,IF(#REF!="ZERO",0))))),"")</f>
        <v>#REF!</v>
      </c>
      <c r="H858" s="139" t="e">
        <f t="shared" ca="1" si="40"/>
        <v>#REF!</v>
      </c>
      <c r="I858" s="137" t="e">
        <f t="shared" ca="1" si="41"/>
        <v>#REF!</v>
      </c>
      <c r="J858" s="117"/>
    </row>
    <row r="859" spans="1:10" hidden="1" x14ac:dyDescent="0.25">
      <c r="A859" s="114" t="s">
        <v>685</v>
      </c>
      <c r="B859" s="115" t="s">
        <v>2422</v>
      </c>
      <c r="C859" s="116" t="s">
        <v>16</v>
      </c>
      <c r="D859" s="116">
        <v>0</v>
      </c>
      <c r="E859" s="136">
        <f ca="1">OFFSET(INDEX(Composições!A:J,MATCH(Orçamentária!A859,Composições!A:A,0),8),2,0)</f>
        <v>3.7591499999999991</v>
      </c>
      <c r="F859" s="137">
        <f t="shared" ca="1" si="39"/>
        <v>0</v>
      </c>
      <c r="G859" s="138" t="e">
        <f>IF(A859&lt;&gt;"",IF(AND(#REF!="Padrão",$H$4=#REF!),BDI!$B$17,IF(AND(#REF!="Padrão",$H$4=#REF!),BDI!#REF!,IF(AND(#REF!="Diferenciado",$H$4=#REF!),BDI!$E$17,IF(AND(#REF!="Diferenciado",$H$4=#REF!),BDI!#REF!,IF(#REF!="ZERO",0))))),"")</f>
        <v>#REF!</v>
      </c>
      <c r="H859" s="139" t="e">
        <f t="shared" ca="1" si="40"/>
        <v>#REF!</v>
      </c>
      <c r="I859" s="137" t="e">
        <f t="shared" ca="1" si="41"/>
        <v>#REF!</v>
      </c>
      <c r="J859" s="117"/>
    </row>
    <row r="860" spans="1:10" hidden="1" x14ac:dyDescent="0.25">
      <c r="A860" s="114" t="s">
        <v>687</v>
      </c>
      <c r="B860" s="115" t="s">
        <v>2423</v>
      </c>
      <c r="C860" s="116" t="s">
        <v>16</v>
      </c>
      <c r="D860" s="116">
        <v>0</v>
      </c>
      <c r="E860" s="136">
        <f ca="1">OFFSET(INDEX(Composições!A:J,MATCH(Orçamentária!A860,Composições!A:A,0),8),2,0)</f>
        <v>10.0244</v>
      </c>
      <c r="F860" s="137">
        <f t="shared" ca="1" si="39"/>
        <v>0</v>
      </c>
      <c r="G860" s="138" t="e">
        <f>IF(A860&lt;&gt;"",IF(AND(#REF!="Padrão",$H$4=#REF!),BDI!$B$17,IF(AND(#REF!="Padrão",$H$4=#REF!),BDI!#REF!,IF(AND(#REF!="Diferenciado",$H$4=#REF!),BDI!$E$17,IF(AND(#REF!="Diferenciado",$H$4=#REF!),BDI!#REF!,IF(#REF!="ZERO",0))))),"")</f>
        <v>#REF!</v>
      </c>
      <c r="H860" s="139" t="e">
        <f t="shared" ca="1" si="40"/>
        <v>#REF!</v>
      </c>
      <c r="I860" s="137" t="e">
        <f t="shared" ca="1" si="41"/>
        <v>#REF!</v>
      </c>
      <c r="J860" s="117"/>
    </row>
    <row r="861" spans="1:10" hidden="1" x14ac:dyDescent="0.25">
      <c r="A861" s="114" t="s">
        <v>689</v>
      </c>
      <c r="B861" s="115" t="s">
        <v>2424</v>
      </c>
      <c r="C861" s="116" t="s">
        <v>16</v>
      </c>
      <c r="D861" s="116">
        <v>0</v>
      </c>
      <c r="E861" s="136">
        <f ca="1">OFFSET(INDEX(Composições!A:J,MATCH(Orçamentária!A861,Composições!A:A,0),8),2,0)</f>
        <v>10.0244</v>
      </c>
      <c r="F861" s="137">
        <f t="shared" ca="1" si="39"/>
        <v>0</v>
      </c>
      <c r="G861" s="138" t="e">
        <f>IF(A861&lt;&gt;"",IF(AND(#REF!="Padrão",$H$4=#REF!),BDI!$B$17,IF(AND(#REF!="Padrão",$H$4=#REF!),BDI!#REF!,IF(AND(#REF!="Diferenciado",$H$4=#REF!),BDI!$E$17,IF(AND(#REF!="Diferenciado",$H$4=#REF!),BDI!#REF!,IF(#REF!="ZERO",0))))),"")</f>
        <v>#REF!</v>
      </c>
      <c r="H861" s="139" t="e">
        <f t="shared" ca="1" si="40"/>
        <v>#REF!</v>
      </c>
      <c r="I861" s="137" t="e">
        <f t="shared" ca="1" si="41"/>
        <v>#REF!</v>
      </c>
      <c r="J861" s="117"/>
    </row>
    <row r="862" spans="1:10" hidden="1" x14ac:dyDescent="0.25">
      <c r="A862" s="114" t="s">
        <v>691</v>
      </c>
      <c r="B862" s="115" t="s">
        <v>2425</v>
      </c>
      <c r="C862" s="116" t="s">
        <v>16</v>
      </c>
      <c r="D862" s="116">
        <v>0</v>
      </c>
      <c r="E862" s="136">
        <f ca="1">OFFSET(INDEX(Composições!A:J,MATCH(Orçamentária!A862,Composições!A:A,0),8),2,0)</f>
        <v>10.0244</v>
      </c>
      <c r="F862" s="137">
        <f t="shared" ca="1" si="39"/>
        <v>0</v>
      </c>
      <c r="G862" s="138" t="e">
        <f>IF(A862&lt;&gt;"",IF(AND(#REF!="Padrão",$H$4=#REF!),BDI!$B$17,IF(AND(#REF!="Padrão",$H$4=#REF!),BDI!#REF!,IF(AND(#REF!="Diferenciado",$H$4=#REF!),BDI!$E$17,IF(AND(#REF!="Diferenciado",$H$4=#REF!),BDI!#REF!,IF(#REF!="ZERO",0))))),"")</f>
        <v>#REF!</v>
      </c>
      <c r="H862" s="139" t="e">
        <f t="shared" ca="1" si="40"/>
        <v>#REF!</v>
      </c>
      <c r="I862" s="137" t="e">
        <f t="shared" ca="1" si="41"/>
        <v>#REF!</v>
      </c>
      <c r="J862" s="117"/>
    </row>
    <row r="863" spans="1:10" hidden="1" x14ac:dyDescent="0.25">
      <c r="A863" s="114" t="s">
        <v>693</v>
      </c>
      <c r="B863" s="115" t="s">
        <v>2426</v>
      </c>
      <c r="C863" s="116" t="s">
        <v>16</v>
      </c>
      <c r="D863" s="116">
        <v>0</v>
      </c>
      <c r="E863" s="136">
        <f ca="1">OFFSET(INDEX(Composições!A:J,MATCH(Orçamentária!A863,Composições!A:A,0),8),2,0)</f>
        <v>6.2652499999999991</v>
      </c>
      <c r="F863" s="137">
        <f t="shared" ca="1" si="39"/>
        <v>0</v>
      </c>
      <c r="G863" s="138" t="e">
        <f>IF(A863&lt;&gt;"",IF(AND(#REF!="Padrão",$H$4=#REF!),BDI!$B$17,IF(AND(#REF!="Padrão",$H$4=#REF!),BDI!#REF!,IF(AND(#REF!="Diferenciado",$H$4=#REF!),BDI!$E$17,IF(AND(#REF!="Diferenciado",$H$4=#REF!),BDI!#REF!,IF(#REF!="ZERO",0))))),"")</f>
        <v>#REF!</v>
      </c>
      <c r="H863" s="139" t="e">
        <f t="shared" ca="1" si="40"/>
        <v>#REF!</v>
      </c>
      <c r="I863" s="137" t="e">
        <f t="shared" ca="1" si="41"/>
        <v>#REF!</v>
      </c>
      <c r="J863" s="117"/>
    </row>
    <row r="864" spans="1:10" hidden="1" x14ac:dyDescent="0.25">
      <c r="A864" s="114" t="s">
        <v>695</v>
      </c>
      <c r="B864" s="115" t="s">
        <v>2427</v>
      </c>
      <c r="C864" s="116" t="s">
        <v>16</v>
      </c>
      <c r="D864" s="116">
        <v>0</v>
      </c>
      <c r="E864" s="136">
        <f ca="1">OFFSET(INDEX(Composições!A:J,MATCH(Orçamentária!A864,Composições!A:A,0),8),2,0)</f>
        <v>6.2652499999999991</v>
      </c>
      <c r="F864" s="137">
        <f t="shared" ca="1" si="39"/>
        <v>0</v>
      </c>
      <c r="G864" s="138" t="e">
        <f>IF(A864&lt;&gt;"",IF(AND(#REF!="Padrão",$H$4=#REF!),BDI!$B$17,IF(AND(#REF!="Padrão",$H$4=#REF!),BDI!#REF!,IF(AND(#REF!="Diferenciado",$H$4=#REF!),BDI!$E$17,IF(AND(#REF!="Diferenciado",$H$4=#REF!),BDI!#REF!,IF(#REF!="ZERO",0))))),"")</f>
        <v>#REF!</v>
      </c>
      <c r="H864" s="139" t="e">
        <f t="shared" ca="1" si="40"/>
        <v>#REF!</v>
      </c>
      <c r="I864" s="137" t="e">
        <f t="shared" ca="1" si="41"/>
        <v>#REF!</v>
      </c>
      <c r="J864" s="117"/>
    </row>
    <row r="865" spans="1:10" hidden="1" x14ac:dyDescent="0.25">
      <c r="A865" s="114" t="s">
        <v>697</v>
      </c>
      <c r="B865" s="115" t="s">
        <v>2428</v>
      </c>
      <c r="C865" s="116" t="s">
        <v>16</v>
      </c>
      <c r="D865" s="116">
        <v>0</v>
      </c>
      <c r="E865" s="136">
        <f ca="1">OFFSET(INDEX(Composições!A:J,MATCH(Orçamentária!A865,Composições!A:A,0),8),2,0)</f>
        <v>6.2652499999999991</v>
      </c>
      <c r="F865" s="137">
        <f t="shared" ca="1" si="39"/>
        <v>0</v>
      </c>
      <c r="G865" s="138" t="e">
        <f>IF(A865&lt;&gt;"",IF(AND(#REF!="Padrão",$H$4=#REF!),BDI!$B$17,IF(AND(#REF!="Padrão",$H$4=#REF!),BDI!#REF!,IF(AND(#REF!="Diferenciado",$H$4=#REF!),BDI!$E$17,IF(AND(#REF!="Diferenciado",$H$4=#REF!),BDI!#REF!,IF(#REF!="ZERO",0))))),"")</f>
        <v>#REF!</v>
      </c>
      <c r="H865" s="139" t="e">
        <f t="shared" ca="1" si="40"/>
        <v>#REF!</v>
      </c>
      <c r="I865" s="137" t="e">
        <f t="shared" ca="1" si="41"/>
        <v>#REF!</v>
      </c>
      <c r="J865" s="117"/>
    </row>
    <row r="866" spans="1:10" hidden="1" x14ac:dyDescent="0.25">
      <c r="A866" s="114" t="s">
        <v>699</v>
      </c>
      <c r="B866" s="115" t="s">
        <v>2429</v>
      </c>
      <c r="C866" s="116" t="s">
        <v>16</v>
      </c>
      <c r="D866" s="116">
        <v>0</v>
      </c>
      <c r="E866" s="136">
        <f ca="1">OFFSET(INDEX(Composições!A:J,MATCH(Orçamentária!A866,Composições!A:A,0),8),2,0)</f>
        <v>6.2652499999999991</v>
      </c>
      <c r="F866" s="137">
        <f t="shared" ca="1" si="39"/>
        <v>0</v>
      </c>
      <c r="G866" s="138" t="e">
        <f>IF(A866&lt;&gt;"",IF(AND(#REF!="Padrão",$H$4=#REF!),BDI!$B$17,IF(AND(#REF!="Padrão",$H$4=#REF!),BDI!#REF!,IF(AND(#REF!="Diferenciado",$H$4=#REF!),BDI!$E$17,IF(AND(#REF!="Diferenciado",$H$4=#REF!),BDI!#REF!,IF(#REF!="ZERO",0))))),"")</f>
        <v>#REF!</v>
      </c>
      <c r="H866" s="139" t="e">
        <f t="shared" ca="1" si="40"/>
        <v>#REF!</v>
      </c>
      <c r="I866" s="137" t="e">
        <f t="shared" ca="1" si="41"/>
        <v>#REF!</v>
      </c>
      <c r="J866" s="117"/>
    </row>
    <row r="867" spans="1:10" hidden="1" x14ac:dyDescent="0.25">
      <c r="A867" s="114" t="s">
        <v>701</v>
      </c>
      <c r="B867" s="115" t="s">
        <v>2430</v>
      </c>
      <c r="C867" s="116" t="s">
        <v>16</v>
      </c>
      <c r="D867" s="116">
        <v>0</v>
      </c>
      <c r="E867" s="136">
        <f ca="1">OFFSET(INDEX(Composições!A:J,MATCH(Orçamentária!A867,Composições!A:A,0),8),2,0)</f>
        <v>81.299356499999988</v>
      </c>
      <c r="F867" s="137">
        <f t="shared" ca="1" si="39"/>
        <v>0</v>
      </c>
      <c r="G867" s="138" t="e">
        <f>IF(A867&lt;&gt;"",IF(AND(#REF!="Padrão",$H$4=#REF!),BDI!$B$17,IF(AND(#REF!="Padrão",$H$4=#REF!),BDI!#REF!,IF(AND(#REF!="Diferenciado",$H$4=#REF!),BDI!$E$17,IF(AND(#REF!="Diferenciado",$H$4=#REF!),BDI!#REF!,IF(#REF!="ZERO",0))))),"")</f>
        <v>#REF!</v>
      </c>
      <c r="H867" s="139" t="e">
        <f t="shared" ca="1" si="40"/>
        <v>#REF!</v>
      </c>
      <c r="I867" s="137" t="e">
        <f t="shared" ca="1" si="41"/>
        <v>#REF!</v>
      </c>
      <c r="J867" s="117"/>
    </row>
    <row r="868" spans="1:10" hidden="1" x14ac:dyDescent="0.25">
      <c r="A868" s="114" t="s">
        <v>702</v>
      </c>
      <c r="B868" s="115" t="s">
        <v>2431</v>
      </c>
      <c r="C868" s="116" t="s">
        <v>16</v>
      </c>
      <c r="D868" s="116">
        <v>0</v>
      </c>
      <c r="E868" s="136">
        <f ca="1">OFFSET(INDEX(Composições!A:J,MATCH(Orçamentária!A868,Composições!A:A,0),8),2,0)</f>
        <v>5.0122</v>
      </c>
      <c r="F868" s="137">
        <f t="shared" ca="1" si="39"/>
        <v>0</v>
      </c>
      <c r="G868" s="138" t="e">
        <f>IF(A868&lt;&gt;"",IF(AND(#REF!="Padrão",$H$4=#REF!),BDI!$B$17,IF(AND(#REF!="Padrão",$H$4=#REF!),BDI!#REF!,IF(AND(#REF!="Diferenciado",$H$4=#REF!),BDI!$E$17,IF(AND(#REF!="Diferenciado",$H$4=#REF!),BDI!#REF!,IF(#REF!="ZERO",0))))),"")</f>
        <v>#REF!</v>
      </c>
      <c r="H868" s="139" t="e">
        <f t="shared" ca="1" si="40"/>
        <v>#REF!</v>
      </c>
      <c r="I868" s="137" t="e">
        <f t="shared" ca="1" si="41"/>
        <v>#REF!</v>
      </c>
      <c r="J868" s="117"/>
    </row>
    <row r="869" spans="1:10" hidden="1" x14ac:dyDescent="0.25">
      <c r="A869" s="114" t="s">
        <v>704</v>
      </c>
      <c r="B869" s="115" t="s">
        <v>2432</v>
      </c>
      <c r="C869" s="116" t="s">
        <v>16</v>
      </c>
      <c r="D869" s="116">
        <v>0</v>
      </c>
      <c r="E869" s="136">
        <f ca="1">OFFSET(INDEX(Composições!A:J,MATCH(Orçamentária!A869,Composições!A:A,0),8),2,0)</f>
        <v>10.0244</v>
      </c>
      <c r="F869" s="137">
        <f t="shared" ca="1" si="39"/>
        <v>0</v>
      </c>
      <c r="G869" s="138" t="e">
        <f>IF(A869&lt;&gt;"",IF(AND(#REF!="Padrão",$H$4=#REF!),BDI!$B$17,IF(AND(#REF!="Padrão",$H$4=#REF!),BDI!#REF!,IF(AND(#REF!="Diferenciado",$H$4=#REF!),BDI!$E$17,IF(AND(#REF!="Diferenciado",$H$4=#REF!),BDI!#REF!,IF(#REF!="ZERO",0))))),"")</f>
        <v>#REF!</v>
      </c>
      <c r="H869" s="139" t="e">
        <f t="shared" ca="1" si="40"/>
        <v>#REF!</v>
      </c>
      <c r="I869" s="137" t="e">
        <f t="shared" ca="1" si="41"/>
        <v>#REF!</v>
      </c>
      <c r="J869" s="117"/>
    </row>
    <row r="870" spans="1:10" hidden="1" x14ac:dyDescent="0.25">
      <c r="A870" s="114" t="s">
        <v>706</v>
      </c>
      <c r="B870" s="115" t="s">
        <v>2433</v>
      </c>
      <c r="C870" s="116" t="s">
        <v>16</v>
      </c>
      <c r="D870" s="116">
        <v>0</v>
      </c>
      <c r="E870" s="136">
        <f ca="1">OFFSET(INDEX(Composições!A:J,MATCH(Orçamentária!A870,Composições!A:A,0),8),2,0)</f>
        <v>7.5182999999999982</v>
      </c>
      <c r="F870" s="137">
        <f t="shared" ca="1" si="39"/>
        <v>0</v>
      </c>
      <c r="G870" s="138" t="e">
        <f>IF(A870&lt;&gt;"",IF(AND(#REF!="Padrão",$H$4=#REF!),BDI!$B$17,IF(AND(#REF!="Padrão",$H$4=#REF!),BDI!#REF!,IF(AND(#REF!="Diferenciado",$H$4=#REF!),BDI!$E$17,IF(AND(#REF!="Diferenciado",$H$4=#REF!),BDI!#REF!,IF(#REF!="ZERO",0))))),"")</f>
        <v>#REF!</v>
      </c>
      <c r="H870" s="139" t="e">
        <f t="shared" ca="1" si="40"/>
        <v>#REF!</v>
      </c>
      <c r="I870" s="137" t="e">
        <f t="shared" ca="1" si="41"/>
        <v>#REF!</v>
      </c>
      <c r="J870" s="117"/>
    </row>
    <row r="871" spans="1:10" hidden="1" x14ac:dyDescent="0.25">
      <c r="A871" s="114" t="s">
        <v>708</v>
      </c>
      <c r="B871" s="115" t="s">
        <v>7675</v>
      </c>
      <c r="C871" s="116" t="s">
        <v>69</v>
      </c>
      <c r="D871" s="116">
        <v>0</v>
      </c>
      <c r="E871" s="136">
        <f ca="1">OFFSET(INDEX(Composições!A:J,MATCH(Orçamentária!A871,Composições!A:A,0),8),2,0)</f>
        <v>12.434359999999998</v>
      </c>
      <c r="F871" s="137">
        <f t="shared" ca="1" si="39"/>
        <v>0</v>
      </c>
      <c r="G871" s="138" t="e">
        <f>IF(A871&lt;&gt;"",IF(AND(#REF!="Padrão",$H$4=#REF!),BDI!$B$17,IF(AND(#REF!="Padrão",$H$4=#REF!),BDI!#REF!,IF(AND(#REF!="Diferenciado",$H$4=#REF!),BDI!$E$17,IF(AND(#REF!="Diferenciado",$H$4=#REF!),BDI!#REF!,IF(#REF!="ZERO",0))))),"")</f>
        <v>#REF!</v>
      </c>
      <c r="H871" s="139" t="e">
        <f t="shared" ca="1" si="40"/>
        <v>#REF!</v>
      </c>
      <c r="I871" s="137" t="e">
        <f t="shared" ca="1" si="41"/>
        <v>#REF!</v>
      </c>
      <c r="J871" s="117"/>
    </row>
    <row r="872" spans="1:10" hidden="1" x14ac:dyDescent="0.25">
      <c r="A872" s="114" t="s">
        <v>712</v>
      </c>
      <c r="B872" s="115" t="s">
        <v>7674</v>
      </c>
      <c r="C872" s="116" t="s">
        <v>69</v>
      </c>
      <c r="D872" s="116">
        <v>0</v>
      </c>
      <c r="E872" s="136">
        <f ca="1">OFFSET(INDEX(Composições!A:J,MATCH(Orçamentária!A872,Composições!A:A,0),8),2,0)</f>
        <v>37.714771999999996</v>
      </c>
      <c r="F872" s="137">
        <f t="shared" ca="1" si="39"/>
        <v>0</v>
      </c>
      <c r="G872" s="138" t="e">
        <f>IF(A872&lt;&gt;"",IF(AND(#REF!="Padrão",$H$4=#REF!),BDI!$B$17,IF(AND(#REF!="Padrão",$H$4=#REF!),BDI!#REF!,IF(AND(#REF!="Diferenciado",$H$4=#REF!),BDI!$E$17,IF(AND(#REF!="Diferenciado",$H$4=#REF!),BDI!#REF!,IF(#REF!="ZERO",0))))),"")</f>
        <v>#REF!</v>
      </c>
      <c r="H872" s="139" t="e">
        <f t="shared" ca="1" si="40"/>
        <v>#REF!</v>
      </c>
      <c r="I872" s="137" t="e">
        <f t="shared" ca="1" si="41"/>
        <v>#REF!</v>
      </c>
      <c r="J872" s="117"/>
    </row>
    <row r="873" spans="1:10" hidden="1" x14ac:dyDescent="0.25">
      <c r="A873" s="114" t="s">
        <v>715</v>
      </c>
      <c r="B873" s="115" t="s">
        <v>2434</v>
      </c>
      <c r="C873" s="116" t="s">
        <v>69</v>
      </c>
      <c r="D873" s="116">
        <v>0</v>
      </c>
      <c r="E873" s="136">
        <f ca="1">OFFSET(INDEX(Composições!A:J,MATCH(Orçamentária!A873,Composições!A:A,0),8),2,0)</f>
        <v>15.989184</v>
      </c>
      <c r="F873" s="137">
        <f t="shared" ca="1" si="39"/>
        <v>0</v>
      </c>
      <c r="G873" s="138" t="e">
        <f>IF(A873&lt;&gt;"",IF(AND(#REF!="Padrão",$H$4=#REF!),BDI!$B$17,IF(AND(#REF!="Padrão",$H$4=#REF!),BDI!#REF!,IF(AND(#REF!="Diferenciado",$H$4=#REF!),BDI!$E$17,IF(AND(#REF!="Diferenciado",$H$4=#REF!),BDI!#REF!,IF(#REF!="ZERO",0))))),"")</f>
        <v>#REF!</v>
      </c>
      <c r="H873" s="139" t="e">
        <f t="shared" ca="1" si="40"/>
        <v>#REF!</v>
      </c>
      <c r="I873" s="137" t="e">
        <f t="shared" ca="1" si="41"/>
        <v>#REF!</v>
      </c>
      <c r="J873" s="117"/>
    </row>
    <row r="874" spans="1:10" hidden="1" x14ac:dyDescent="0.25">
      <c r="A874" s="114" t="s">
        <v>717</v>
      </c>
      <c r="B874" s="115" t="s">
        <v>7676</v>
      </c>
      <c r="C874" s="116" t="s">
        <v>69</v>
      </c>
      <c r="D874" s="116">
        <v>0</v>
      </c>
      <c r="E874" s="136">
        <f ca="1">OFFSET(INDEX(Composições!A:J,MATCH(Orçamentária!A874,Composições!A:A,0),8),2,0)</f>
        <v>25.136163999999994</v>
      </c>
      <c r="F874" s="137">
        <f t="shared" ca="1" si="39"/>
        <v>0</v>
      </c>
      <c r="G874" s="138" t="e">
        <f>IF(A874&lt;&gt;"",IF(AND(#REF!="Padrão",$H$4=#REF!),BDI!$B$17,IF(AND(#REF!="Padrão",$H$4=#REF!),BDI!#REF!,IF(AND(#REF!="Diferenciado",$H$4=#REF!),BDI!$E$17,IF(AND(#REF!="Diferenciado",$H$4=#REF!),BDI!#REF!,IF(#REF!="ZERO",0))))),"")</f>
        <v>#REF!</v>
      </c>
      <c r="H874" s="139" t="e">
        <f t="shared" ca="1" si="40"/>
        <v>#REF!</v>
      </c>
      <c r="I874" s="137" t="e">
        <f t="shared" ca="1" si="41"/>
        <v>#REF!</v>
      </c>
      <c r="J874" s="117"/>
    </row>
    <row r="875" spans="1:10" hidden="1" x14ac:dyDescent="0.25">
      <c r="A875" s="114" t="s">
        <v>718</v>
      </c>
      <c r="B875" s="115" t="s">
        <v>2435</v>
      </c>
      <c r="C875" s="116" t="s">
        <v>69</v>
      </c>
      <c r="D875" s="116">
        <v>0</v>
      </c>
      <c r="E875" s="136">
        <f ca="1">OFFSET(INDEX(Composições!A:J,MATCH(Orçamentária!A875,Composições!A:A,0),8),2,0)</f>
        <v>8.0561899999999973</v>
      </c>
      <c r="F875" s="137">
        <f t="shared" ca="1" si="39"/>
        <v>0</v>
      </c>
      <c r="G875" s="138" t="e">
        <f>IF(A875&lt;&gt;"",IF(AND(#REF!="Padrão",$H$4=#REF!),BDI!$B$17,IF(AND(#REF!="Padrão",$H$4=#REF!),BDI!#REF!,IF(AND(#REF!="Diferenciado",$H$4=#REF!),BDI!$E$17,IF(AND(#REF!="Diferenciado",$H$4=#REF!),BDI!#REF!,IF(#REF!="ZERO",0))))),"")</f>
        <v>#REF!</v>
      </c>
      <c r="H875" s="139" t="e">
        <f t="shared" ca="1" si="40"/>
        <v>#REF!</v>
      </c>
      <c r="I875" s="137" t="e">
        <f t="shared" ca="1" si="41"/>
        <v>#REF!</v>
      </c>
      <c r="J875" s="117"/>
    </row>
    <row r="876" spans="1:10" hidden="1" x14ac:dyDescent="0.25">
      <c r="A876" s="114" t="s">
        <v>720</v>
      </c>
      <c r="B876" s="115" t="s">
        <v>2436</v>
      </c>
      <c r="C876" s="116" t="s">
        <v>16</v>
      </c>
      <c r="D876" s="116">
        <v>0</v>
      </c>
      <c r="E876" s="136">
        <f ca="1">OFFSET(INDEX(Composições!A:J,MATCH(Orçamentária!A876,Composições!A:A,0),8),2,0)</f>
        <v>7.5182999999999982</v>
      </c>
      <c r="F876" s="137">
        <f t="shared" ca="1" si="39"/>
        <v>0</v>
      </c>
      <c r="G876" s="138" t="e">
        <f>IF(A876&lt;&gt;"",IF(AND(#REF!="Padrão",$H$4=#REF!),BDI!$B$17,IF(AND(#REF!="Padrão",$H$4=#REF!),BDI!#REF!,IF(AND(#REF!="Diferenciado",$H$4=#REF!),BDI!$E$17,IF(AND(#REF!="Diferenciado",$H$4=#REF!),BDI!#REF!,IF(#REF!="ZERO",0))))),"")</f>
        <v>#REF!</v>
      </c>
      <c r="H876" s="139" t="e">
        <f t="shared" ca="1" si="40"/>
        <v>#REF!</v>
      </c>
      <c r="I876" s="137" t="e">
        <f t="shared" ca="1" si="41"/>
        <v>#REF!</v>
      </c>
      <c r="J876" s="117"/>
    </row>
    <row r="877" spans="1:10" hidden="1" x14ac:dyDescent="0.25">
      <c r="A877" s="114" t="s">
        <v>722</v>
      </c>
      <c r="B877" s="115" t="s">
        <v>2437</v>
      </c>
      <c r="C877" s="116" t="s">
        <v>69</v>
      </c>
      <c r="D877" s="116">
        <v>0</v>
      </c>
      <c r="E877" s="136">
        <f ca="1">OFFSET(INDEX(Composições!A:J,MATCH(Orçamentária!A877,Composições!A:A,0),8),2,0)</f>
        <v>7.5182999999999982</v>
      </c>
      <c r="F877" s="137">
        <f t="shared" ca="1" si="39"/>
        <v>0</v>
      </c>
      <c r="G877" s="138" t="e">
        <f>IF(A877&lt;&gt;"",IF(AND(#REF!="Padrão",$H$4=#REF!),BDI!$B$17,IF(AND(#REF!="Padrão",$H$4=#REF!),BDI!#REF!,IF(AND(#REF!="Diferenciado",$H$4=#REF!),BDI!$E$17,IF(AND(#REF!="Diferenciado",$H$4=#REF!),BDI!#REF!,IF(#REF!="ZERO",0))))),"")</f>
        <v>#REF!</v>
      </c>
      <c r="H877" s="139" t="e">
        <f t="shared" ca="1" si="40"/>
        <v>#REF!</v>
      </c>
      <c r="I877" s="137" t="e">
        <f t="shared" ca="1" si="41"/>
        <v>#REF!</v>
      </c>
      <c r="J877" s="117"/>
    </row>
    <row r="878" spans="1:10" hidden="1" x14ac:dyDescent="0.25">
      <c r="A878" s="114" t="s">
        <v>724</v>
      </c>
      <c r="B878" s="115" t="s">
        <v>2438</v>
      </c>
      <c r="C878" s="116" t="s">
        <v>16</v>
      </c>
      <c r="D878" s="116">
        <v>0</v>
      </c>
      <c r="E878" s="136">
        <f ca="1">OFFSET(INDEX(Composições!A:J,MATCH(Orçamentária!A878,Composições!A:A,0),8),2,0)</f>
        <v>3.7591499999999991</v>
      </c>
      <c r="F878" s="137">
        <f t="shared" ca="1" si="39"/>
        <v>0</v>
      </c>
      <c r="G878" s="138" t="e">
        <f>IF(A878&lt;&gt;"",IF(AND(#REF!="Padrão",$H$4=#REF!),BDI!$B$17,IF(AND(#REF!="Padrão",$H$4=#REF!),BDI!#REF!,IF(AND(#REF!="Diferenciado",$H$4=#REF!),BDI!$E$17,IF(AND(#REF!="Diferenciado",$H$4=#REF!),BDI!#REF!,IF(#REF!="ZERO",0))))),"")</f>
        <v>#REF!</v>
      </c>
      <c r="H878" s="139" t="e">
        <f t="shared" ca="1" si="40"/>
        <v>#REF!</v>
      </c>
      <c r="I878" s="137" t="e">
        <f t="shared" ca="1" si="41"/>
        <v>#REF!</v>
      </c>
      <c r="J878" s="117"/>
    </row>
    <row r="879" spans="1:10" hidden="1" x14ac:dyDescent="0.25">
      <c r="A879" s="114" t="s">
        <v>726</v>
      </c>
      <c r="B879" s="115" t="s">
        <v>2439</v>
      </c>
      <c r="C879" s="116" t="s">
        <v>16</v>
      </c>
      <c r="D879" s="116">
        <v>0</v>
      </c>
      <c r="E879" s="136">
        <f ca="1">OFFSET(INDEX(Composições!A:J,MATCH(Orçamentária!A879,Composições!A:A,0),8),2,0)</f>
        <v>3.7591499999999991</v>
      </c>
      <c r="F879" s="137">
        <f t="shared" ca="1" si="39"/>
        <v>0</v>
      </c>
      <c r="G879" s="138" t="e">
        <f>IF(A879&lt;&gt;"",IF(AND(#REF!="Padrão",$H$4=#REF!),BDI!$B$17,IF(AND(#REF!="Padrão",$H$4=#REF!),BDI!#REF!,IF(AND(#REF!="Diferenciado",$H$4=#REF!),BDI!$E$17,IF(AND(#REF!="Diferenciado",$H$4=#REF!),BDI!#REF!,IF(#REF!="ZERO",0))))),"")</f>
        <v>#REF!</v>
      </c>
      <c r="H879" s="139" t="e">
        <f t="shared" ca="1" si="40"/>
        <v>#REF!</v>
      </c>
      <c r="I879" s="137" t="e">
        <f t="shared" ca="1" si="41"/>
        <v>#REF!</v>
      </c>
      <c r="J879" s="117"/>
    </row>
    <row r="880" spans="1:10" hidden="1" x14ac:dyDescent="0.25">
      <c r="A880" s="114" t="s">
        <v>728</v>
      </c>
      <c r="B880" s="115" t="s">
        <v>2440</v>
      </c>
      <c r="C880" s="116" t="s">
        <v>16</v>
      </c>
      <c r="D880" s="116">
        <v>0</v>
      </c>
      <c r="E880" s="136">
        <f ca="1">OFFSET(INDEX(Composições!A:J,MATCH(Orçamentária!A880,Composições!A:A,0),8),2,0)</f>
        <v>2.5061</v>
      </c>
      <c r="F880" s="137">
        <f t="shared" ca="1" si="39"/>
        <v>0</v>
      </c>
      <c r="G880" s="138" t="e">
        <f>IF(A880&lt;&gt;"",IF(AND(#REF!="Padrão",$H$4=#REF!),BDI!$B$17,IF(AND(#REF!="Padrão",$H$4=#REF!),BDI!#REF!,IF(AND(#REF!="Diferenciado",$H$4=#REF!),BDI!$E$17,IF(AND(#REF!="Diferenciado",$H$4=#REF!),BDI!#REF!,IF(#REF!="ZERO",0))))),"")</f>
        <v>#REF!</v>
      </c>
      <c r="H880" s="139" t="e">
        <f t="shared" ca="1" si="40"/>
        <v>#REF!</v>
      </c>
      <c r="I880" s="137" t="e">
        <f t="shared" ca="1" si="41"/>
        <v>#REF!</v>
      </c>
      <c r="J880" s="117"/>
    </row>
    <row r="881" spans="1:10" hidden="1" x14ac:dyDescent="0.25">
      <c r="A881" s="114" t="s">
        <v>730</v>
      </c>
      <c r="B881" s="115" t="s">
        <v>2441</v>
      </c>
      <c r="C881" s="116" t="s">
        <v>16</v>
      </c>
      <c r="D881" s="116">
        <v>0</v>
      </c>
      <c r="E881" s="136">
        <f ca="1">OFFSET(INDEX(Composições!A:J,MATCH(Orçamentária!A881,Composições!A:A,0),8),2,0)</f>
        <v>10.0244</v>
      </c>
      <c r="F881" s="137">
        <f t="shared" ca="1" si="39"/>
        <v>0</v>
      </c>
      <c r="G881" s="138" t="e">
        <f>IF(A881&lt;&gt;"",IF(AND(#REF!="Padrão",$H$4=#REF!),BDI!$B$17,IF(AND(#REF!="Padrão",$H$4=#REF!),BDI!#REF!,IF(AND(#REF!="Diferenciado",$H$4=#REF!),BDI!$E$17,IF(AND(#REF!="Diferenciado",$H$4=#REF!),BDI!#REF!,IF(#REF!="ZERO",0))))),"")</f>
        <v>#REF!</v>
      </c>
      <c r="H881" s="139" t="e">
        <f t="shared" ca="1" si="40"/>
        <v>#REF!</v>
      </c>
      <c r="I881" s="137" t="e">
        <f t="shared" ca="1" si="41"/>
        <v>#REF!</v>
      </c>
      <c r="J881" s="117"/>
    </row>
    <row r="882" spans="1:10" hidden="1" x14ac:dyDescent="0.25">
      <c r="A882" s="114" t="s">
        <v>732</v>
      </c>
      <c r="B882" s="115" t="s">
        <v>2442</v>
      </c>
      <c r="C882" s="116" t="s">
        <v>16</v>
      </c>
      <c r="D882" s="116">
        <v>0</v>
      </c>
      <c r="E882" s="136">
        <f ca="1">OFFSET(INDEX(Composições!A:J,MATCH(Orçamentária!A882,Composições!A:A,0),8),2,0)</f>
        <v>10.0244</v>
      </c>
      <c r="F882" s="137">
        <f t="shared" ca="1" si="39"/>
        <v>0</v>
      </c>
      <c r="G882" s="138" t="e">
        <f>IF(A882&lt;&gt;"",IF(AND(#REF!="Padrão",$H$4=#REF!),BDI!$B$17,IF(AND(#REF!="Padrão",$H$4=#REF!),BDI!#REF!,IF(AND(#REF!="Diferenciado",$H$4=#REF!),BDI!$E$17,IF(AND(#REF!="Diferenciado",$H$4=#REF!),BDI!#REF!,IF(#REF!="ZERO",0))))),"")</f>
        <v>#REF!</v>
      </c>
      <c r="H882" s="139" t="e">
        <f t="shared" ca="1" si="40"/>
        <v>#REF!</v>
      </c>
      <c r="I882" s="137" t="e">
        <f t="shared" ca="1" si="41"/>
        <v>#REF!</v>
      </c>
      <c r="J882" s="117"/>
    </row>
    <row r="883" spans="1:10" hidden="1" x14ac:dyDescent="0.25">
      <c r="A883" s="114" t="s">
        <v>734</v>
      </c>
      <c r="B883" s="115" t="s">
        <v>2443</v>
      </c>
      <c r="C883" s="116" t="s">
        <v>16</v>
      </c>
      <c r="D883" s="116">
        <v>0</v>
      </c>
      <c r="E883" s="136">
        <f ca="1">OFFSET(INDEX(Composições!A:J,MATCH(Orçamentária!A883,Composições!A:A,0),8),2,0)</f>
        <v>7.5182999999999982</v>
      </c>
      <c r="F883" s="137">
        <f t="shared" ca="1" si="39"/>
        <v>0</v>
      </c>
      <c r="G883" s="138" t="e">
        <f>IF(A883&lt;&gt;"",IF(AND(#REF!="Padrão",$H$4=#REF!),BDI!$B$17,IF(AND(#REF!="Padrão",$H$4=#REF!),BDI!#REF!,IF(AND(#REF!="Diferenciado",$H$4=#REF!),BDI!$E$17,IF(AND(#REF!="Diferenciado",$H$4=#REF!),BDI!#REF!,IF(#REF!="ZERO",0))))),"")</f>
        <v>#REF!</v>
      </c>
      <c r="H883" s="139" t="e">
        <f t="shared" ca="1" si="40"/>
        <v>#REF!</v>
      </c>
      <c r="I883" s="137" t="e">
        <f t="shared" ca="1" si="41"/>
        <v>#REF!</v>
      </c>
      <c r="J883" s="117"/>
    </row>
    <row r="884" spans="1:10" hidden="1" x14ac:dyDescent="0.25">
      <c r="A884" s="114" t="s">
        <v>736</v>
      </c>
      <c r="B884" s="115" t="s">
        <v>2444</v>
      </c>
      <c r="C884" s="116" t="s">
        <v>16</v>
      </c>
      <c r="D884" s="116">
        <v>0</v>
      </c>
      <c r="E884" s="136">
        <f ca="1">OFFSET(INDEX(Composições!A:J,MATCH(Orçamentária!A884,Composições!A:A,0),8),2,0)</f>
        <v>5.0122</v>
      </c>
      <c r="F884" s="137">
        <f t="shared" ca="1" si="39"/>
        <v>0</v>
      </c>
      <c r="G884" s="138" t="e">
        <f>IF(A884&lt;&gt;"",IF(AND(#REF!="Padrão",$H$4=#REF!),BDI!$B$17,IF(AND(#REF!="Padrão",$H$4=#REF!),BDI!#REF!,IF(AND(#REF!="Diferenciado",$H$4=#REF!),BDI!$E$17,IF(AND(#REF!="Diferenciado",$H$4=#REF!),BDI!#REF!,IF(#REF!="ZERO",0))))),"")</f>
        <v>#REF!</v>
      </c>
      <c r="H884" s="139" t="e">
        <f t="shared" ca="1" si="40"/>
        <v>#REF!</v>
      </c>
      <c r="I884" s="137" t="e">
        <f t="shared" ca="1" si="41"/>
        <v>#REF!</v>
      </c>
      <c r="J884" s="117"/>
    </row>
    <row r="885" spans="1:10" hidden="1" x14ac:dyDescent="0.25">
      <c r="A885" s="114" t="s">
        <v>738</v>
      </c>
      <c r="B885" s="115" t="s">
        <v>2445</v>
      </c>
      <c r="C885" s="116" t="s">
        <v>16</v>
      </c>
      <c r="D885" s="116">
        <v>0</v>
      </c>
      <c r="E885" s="136">
        <f ca="1">OFFSET(INDEX(Composições!A:J,MATCH(Orçamentária!A885,Composições!A:A,0),8),2,0)</f>
        <v>5.0122</v>
      </c>
      <c r="F885" s="137">
        <f t="shared" ca="1" si="39"/>
        <v>0</v>
      </c>
      <c r="G885" s="138" t="e">
        <f>IF(A885&lt;&gt;"",IF(AND(#REF!="Padrão",$H$4=#REF!),BDI!$B$17,IF(AND(#REF!="Padrão",$H$4=#REF!),BDI!#REF!,IF(AND(#REF!="Diferenciado",$H$4=#REF!),BDI!$E$17,IF(AND(#REF!="Diferenciado",$H$4=#REF!),BDI!#REF!,IF(#REF!="ZERO",0))))),"")</f>
        <v>#REF!</v>
      </c>
      <c r="H885" s="139" t="e">
        <f t="shared" ca="1" si="40"/>
        <v>#REF!</v>
      </c>
      <c r="I885" s="137" t="e">
        <f t="shared" ca="1" si="41"/>
        <v>#REF!</v>
      </c>
      <c r="J885" s="117"/>
    </row>
    <row r="886" spans="1:10" hidden="1" x14ac:dyDescent="0.25">
      <c r="A886" s="114" t="s">
        <v>740</v>
      </c>
      <c r="B886" s="115" t="s">
        <v>741</v>
      </c>
      <c r="C886" s="116" t="s">
        <v>70</v>
      </c>
      <c r="D886" s="116">
        <v>0</v>
      </c>
      <c r="E886" s="136">
        <f ca="1">OFFSET(INDEX(Composições!A:J,MATCH(Orçamentária!A886,Composições!A:A,0),8),2,0)</f>
        <v>509.24296849999996</v>
      </c>
      <c r="F886" s="137">
        <f t="shared" ca="1" si="39"/>
        <v>0</v>
      </c>
      <c r="G886" s="138" t="e">
        <f>IF(A886&lt;&gt;"",IF(AND(#REF!="Padrão",$H$4=#REF!),BDI!$B$17,IF(AND(#REF!="Padrão",$H$4=#REF!),BDI!#REF!,IF(AND(#REF!="Diferenciado",$H$4=#REF!),BDI!$E$17,IF(AND(#REF!="Diferenciado",$H$4=#REF!),BDI!#REF!,IF(#REF!="ZERO",0))))),"")</f>
        <v>#REF!</v>
      </c>
      <c r="H886" s="139" t="e">
        <f t="shared" ca="1" si="40"/>
        <v>#REF!</v>
      </c>
      <c r="I886" s="137" t="e">
        <f t="shared" ca="1" si="41"/>
        <v>#REF!</v>
      </c>
      <c r="J886" s="117"/>
    </row>
    <row r="887" spans="1:10" hidden="1" x14ac:dyDescent="0.25">
      <c r="A887" s="114" t="s">
        <v>2446</v>
      </c>
      <c r="B887" s="115" t="s">
        <v>2447</v>
      </c>
      <c r="C887" s="116" t="s">
        <v>16</v>
      </c>
      <c r="D887" s="116">
        <v>0</v>
      </c>
      <c r="E887" s="136" t="s">
        <v>416</v>
      </c>
      <c r="F887" s="137" t="str">
        <f t="shared" si="39"/>
        <v/>
      </c>
      <c r="G887" s="138" t="e">
        <f>IF(A887&lt;&gt;"",IF(AND(#REF!="Padrão",$H$4=#REF!),BDI!$B$17,IF(AND(#REF!="Padrão",$H$4=#REF!),BDI!#REF!,IF(AND(#REF!="Diferenciado",$H$4=#REF!),BDI!$E$17,IF(AND(#REF!="Diferenciado",$H$4=#REF!),BDI!#REF!,IF(#REF!="ZERO",0))))),"")</f>
        <v>#REF!</v>
      </c>
      <c r="H887" s="139" t="str">
        <f t="shared" si="40"/>
        <v/>
      </c>
      <c r="I887" s="137" t="str">
        <f t="shared" si="41"/>
        <v/>
      </c>
      <c r="J887" s="117"/>
    </row>
    <row r="888" spans="1:10" hidden="1" x14ac:dyDescent="0.25">
      <c r="A888" s="114" t="s">
        <v>742</v>
      </c>
      <c r="B888" s="115" t="s">
        <v>5455</v>
      </c>
      <c r="C888" s="116" t="s">
        <v>16</v>
      </c>
      <c r="D888" s="116">
        <v>0</v>
      </c>
      <c r="E888" s="136">
        <f ca="1">OFFSET(INDEX(Composições!A:J,MATCH(Orçamentária!A888,Composições!A:A,0),8),2,0)</f>
        <v>5.0122</v>
      </c>
      <c r="F888" s="137">
        <f t="shared" ca="1" si="39"/>
        <v>0</v>
      </c>
      <c r="G888" s="138" t="e">
        <f>IF(A888&lt;&gt;"",IF(AND(#REF!="Padrão",$H$4=#REF!),BDI!$B$17,IF(AND(#REF!="Padrão",$H$4=#REF!),BDI!#REF!,IF(AND(#REF!="Diferenciado",$H$4=#REF!),BDI!$E$17,IF(AND(#REF!="Diferenciado",$H$4=#REF!),BDI!#REF!,IF(#REF!="ZERO",0))))),"")</f>
        <v>#REF!</v>
      </c>
      <c r="H888" s="139" t="e">
        <f t="shared" ca="1" si="40"/>
        <v>#REF!</v>
      </c>
      <c r="I888" s="137" t="e">
        <f t="shared" ca="1" si="41"/>
        <v>#REF!</v>
      </c>
      <c r="J888" s="117"/>
    </row>
    <row r="889" spans="1:10" hidden="1" x14ac:dyDescent="0.25">
      <c r="A889" s="114" t="s">
        <v>744</v>
      </c>
      <c r="B889" s="115" t="s">
        <v>2448</v>
      </c>
      <c r="C889" s="116" t="s">
        <v>16</v>
      </c>
      <c r="D889" s="116">
        <v>0</v>
      </c>
      <c r="E889" s="136">
        <f ca="1">OFFSET(INDEX(Composições!A:J,MATCH(Orçamentária!A889,Composições!A:A,0),8),2,0)</f>
        <v>5.0122</v>
      </c>
      <c r="F889" s="137">
        <f t="shared" ca="1" si="39"/>
        <v>0</v>
      </c>
      <c r="G889" s="138" t="e">
        <f>IF(A889&lt;&gt;"",IF(AND(#REF!="Padrão",$H$4=#REF!),BDI!$B$17,IF(AND(#REF!="Padrão",$H$4=#REF!),BDI!#REF!,IF(AND(#REF!="Diferenciado",$H$4=#REF!),BDI!$E$17,IF(AND(#REF!="Diferenciado",$H$4=#REF!),BDI!#REF!,IF(#REF!="ZERO",0))))),"")</f>
        <v>#REF!</v>
      </c>
      <c r="H889" s="139" t="e">
        <f t="shared" ca="1" si="40"/>
        <v>#REF!</v>
      </c>
      <c r="I889" s="137" t="e">
        <f t="shared" ca="1" si="41"/>
        <v>#REF!</v>
      </c>
      <c r="J889" s="117"/>
    </row>
    <row r="890" spans="1:10" hidden="1" x14ac:dyDescent="0.25">
      <c r="A890" s="114" t="s">
        <v>746</v>
      </c>
      <c r="B890" s="115" t="s">
        <v>2449</v>
      </c>
      <c r="C890" s="116" t="s">
        <v>16</v>
      </c>
      <c r="D890" s="116">
        <v>0</v>
      </c>
      <c r="E890" s="136">
        <f ca="1">OFFSET(INDEX(Composições!A:J,MATCH(Orçamentária!A890,Composições!A:A,0),8),2,0)</f>
        <v>5.0122</v>
      </c>
      <c r="F890" s="137">
        <f t="shared" ca="1" si="39"/>
        <v>0</v>
      </c>
      <c r="G890" s="138" t="e">
        <f>IF(A890&lt;&gt;"",IF(AND(#REF!="Padrão",$H$4=#REF!),BDI!$B$17,IF(AND(#REF!="Padrão",$H$4=#REF!),BDI!#REF!,IF(AND(#REF!="Diferenciado",$H$4=#REF!),BDI!$E$17,IF(AND(#REF!="Diferenciado",$H$4=#REF!),BDI!#REF!,IF(#REF!="ZERO",0))))),"")</f>
        <v>#REF!</v>
      </c>
      <c r="H890" s="139" t="e">
        <f t="shared" ca="1" si="40"/>
        <v>#REF!</v>
      </c>
      <c r="I890" s="137" t="e">
        <f t="shared" ca="1" si="41"/>
        <v>#REF!</v>
      </c>
      <c r="J890" s="117"/>
    </row>
    <row r="891" spans="1:10" hidden="1" x14ac:dyDescent="0.25">
      <c r="A891" s="114" t="s">
        <v>748</v>
      </c>
      <c r="B891" s="115" t="s">
        <v>2450</v>
      </c>
      <c r="C891" s="116" t="s">
        <v>16</v>
      </c>
      <c r="D891" s="116">
        <v>0</v>
      </c>
      <c r="E891" s="136">
        <f ca="1">OFFSET(INDEX(Composições!A:J,MATCH(Orçamentária!A891,Composições!A:A,0),8),2,0)</f>
        <v>37.591499999999996</v>
      </c>
      <c r="F891" s="137">
        <f t="shared" ca="1" si="39"/>
        <v>0</v>
      </c>
      <c r="G891" s="138" t="e">
        <f>IF(A891&lt;&gt;"",IF(AND(#REF!="Padrão",$H$4=#REF!),BDI!$B$17,IF(AND(#REF!="Padrão",$H$4=#REF!),BDI!#REF!,IF(AND(#REF!="Diferenciado",$H$4=#REF!),BDI!$E$17,IF(AND(#REF!="Diferenciado",$H$4=#REF!),BDI!#REF!,IF(#REF!="ZERO",0))))),"")</f>
        <v>#REF!</v>
      </c>
      <c r="H891" s="139" t="e">
        <f t="shared" ca="1" si="40"/>
        <v>#REF!</v>
      </c>
      <c r="I891" s="137" t="e">
        <f t="shared" ca="1" si="41"/>
        <v>#REF!</v>
      </c>
      <c r="J891" s="117"/>
    </row>
    <row r="892" spans="1:10" hidden="1" x14ac:dyDescent="0.25">
      <c r="A892" s="114" t="s">
        <v>750</v>
      </c>
      <c r="B892" s="115" t="s">
        <v>2451</v>
      </c>
      <c r="C892" s="116" t="s">
        <v>16</v>
      </c>
      <c r="D892" s="116">
        <v>0</v>
      </c>
      <c r="E892" s="136">
        <f ca="1">OFFSET(INDEX(Composições!A:J,MATCH(Orçamentária!A892,Composições!A:A,0),8),2,0)</f>
        <v>37.591499999999996</v>
      </c>
      <c r="F892" s="137">
        <f t="shared" ca="1" si="39"/>
        <v>0</v>
      </c>
      <c r="G892" s="138" t="e">
        <f>IF(A892&lt;&gt;"",IF(AND(#REF!="Padrão",$H$4=#REF!),BDI!$B$17,IF(AND(#REF!="Padrão",$H$4=#REF!),BDI!#REF!,IF(AND(#REF!="Diferenciado",$H$4=#REF!),BDI!$E$17,IF(AND(#REF!="Diferenciado",$H$4=#REF!),BDI!#REF!,IF(#REF!="ZERO",0))))),"")</f>
        <v>#REF!</v>
      </c>
      <c r="H892" s="139" t="e">
        <f t="shared" ca="1" si="40"/>
        <v>#REF!</v>
      </c>
      <c r="I892" s="137" t="e">
        <f t="shared" ca="1" si="41"/>
        <v>#REF!</v>
      </c>
      <c r="J892" s="117"/>
    </row>
    <row r="893" spans="1:10" hidden="1" x14ac:dyDescent="0.25">
      <c r="A893" s="114" t="s">
        <v>752</v>
      </c>
      <c r="B893" s="115" t="s">
        <v>2452</v>
      </c>
      <c r="C893" s="116" t="s">
        <v>16</v>
      </c>
      <c r="D893" s="116">
        <v>0</v>
      </c>
      <c r="E893" s="136">
        <f ca="1">OFFSET(INDEX(Composições!A:J,MATCH(Orçamentária!A893,Composições!A:A,0),8),2,0)</f>
        <v>25.060999999999996</v>
      </c>
      <c r="F893" s="137">
        <f t="shared" ca="1" si="39"/>
        <v>0</v>
      </c>
      <c r="G893" s="138" t="e">
        <f>IF(A893&lt;&gt;"",IF(AND(#REF!="Padrão",$H$4=#REF!),BDI!$B$17,IF(AND(#REF!="Padrão",$H$4=#REF!),BDI!#REF!,IF(AND(#REF!="Diferenciado",$H$4=#REF!),BDI!$E$17,IF(AND(#REF!="Diferenciado",$H$4=#REF!),BDI!#REF!,IF(#REF!="ZERO",0))))),"")</f>
        <v>#REF!</v>
      </c>
      <c r="H893" s="139" t="e">
        <f t="shared" ca="1" si="40"/>
        <v>#REF!</v>
      </c>
      <c r="I893" s="137" t="e">
        <f t="shared" ca="1" si="41"/>
        <v>#REF!</v>
      </c>
      <c r="J893" s="117"/>
    </row>
    <row r="894" spans="1:10" hidden="1" x14ac:dyDescent="0.25">
      <c r="A894" s="114" t="s">
        <v>754</v>
      </c>
      <c r="B894" s="115" t="s">
        <v>2453</v>
      </c>
      <c r="C894" s="116" t="s">
        <v>16</v>
      </c>
      <c r="D894" s="116">
        <v>0</v>
      </c>
      <c r="E894" s="136">
        <f ca="1">OFFSET(INDEX(Composições!A:J,MATCH(Orçamentária!A894,Composições!A:A,0),8),2,0)</f>
        <v>2.5061</v>
      </c>
      <c r="F894" s="137">
        <f t="shared" ca="1" si="39"/>
        <v>0</v>
      </c>
      <c r="G894" s="138" t="e">
        <f>IF(A894&lt;&gt;"",IF(AND(#REF!="Padrão",$H$4=#REF!),BDI!$B$17,IF(AND(#REF!="Padrão",$H$4=#REF!),BDI!#REF!,IF(AND(#REF!="Diferenciado",$H$4=#REF!),BDI!$E$17,IF(AND(#REF!="Diferenciado",$H$4=#REF!),BDI!#REF!,IF(#REF!="ZERO",0))))),"")</f>
        <v>#REF!</v>
      </c>
      <c r="H894" s="139" t="e">
        <f t="shared" ca="1" si="40"/>
        <v>#REF!</v>
      </c>
      <c r="I894" s="137" t="e">
        <f t="shared" ca="1" si="41"/>
        <v>#REF!</v>
      </c>
      <c r="J894" s="117"/>
    </row>
    <row r="895" spans="1:10" hidden="1" x14ac:dyDescent="0.25">
      <c r="A895" s="114" t="s">
        <v>756</v>
      </c>
      <c r="B895" s="115" t="s">
        <v>7677</v>
      </c>
      <c r="C895" s="116" t="s">
        <v>16</v>
      </c>
      <c r="D895" s="116">
        <v>0</v>
      </c>
      <c r="E895" s="136">
        <f ca="1">OFFSET(INDEX(Composições!A:J,MATCH(Orçamentária!A895,Composições!A:A,0),8),2,0)</f>
        <v>5.0122</v>
      </c>
      <c r="F895" s="137">
        <f t="shared" ca="1" si="39"/>
        <v>0</v>
      </c>
      <c r="G895" s="138" t="e">
        <f>IF(A895&lt;&gt;"",IF(AND(#REF!="Padrão",$H$4=#REF!),BDI!$B$17,IF(AND(#REF!="Padrão",$H$4=#REF!),BDI!#REF!,IF(AND(#REF!="Diferenciado",$H$4=#REF!),BDI!$E$17,IF(AND(#REF!="Diferenciado",$H$4=#REF!),BDI!#REF!,IF(#REF!="ZERO",0))))),"")</f>
        <v>#REF!</v>
      </c>
      <c r="H895" s="139" t="e">
        <f t="shared" ca="1" si="40"/>
        <v>#REF!</v>
      </c>
      <c r="I895" s="137" t="e">
        <f t="shared" ca="1" si="41"/>
        <v>#REF!</v>
      </c>
      <c r="J895" s="117"/>
    </row>
    <row r="896" spans="1:10" hidden="1" x14ac:dyDescent="0.25">
      <c r="A896" s="114" t="s">
        <v>758</v>
      </c>
      <c r="B896" s="115" t="s">
        <v>2454</v>
      </c>
      <c r="C896" s="116" t="s">
        <v>16</v>
      </c>
      <c r="D896" s="116">
        <v>0</v>
      </c>
      <c r="E896" s="136">
        <f ca="1">OFFSET(INDEX(Composições!A:J,MATCH(Orçamentária!A896,Composições!A:A,0),8),2,0)</f>
        <v>5.0122</v>
      </c>
      <c r="F896" s="137">
        <f t="shared" ca="1" si="39"/>
        <v>0</v>
      </c>
      <c r="G896" s="138" t="e">
        <f>IF(A896&lt;&gt;"",IF(AND(#REF!="Padrão",$H$4=#REF!),BDI!$B$17,IF(AND(#REF!="Padrão",$H$4=#REF!),BDI!#REF!,IF(AND(#REF!="Diferenciado",$H$4=#REF!),BDI!$E$17,IF(AND(#REF!="Diferenciado",$H$4=#REF!),BDI!#REF!,IF(#REF!="ZERO",0))))),"")</f>
        <v>#REF!</v>
      </c>
      <c r="H896" s="139" t="e">
        <f t="shared" ca="1" si="40"/>
        <v>#REF!</v>
      </c>
      <c r="I896" s="137" t="e">
        <f t="shared" ca="1" si="41"/>
        <v>#REF!</v>
      </c>
      <c r="J896" s="117"/>
    </row>
    <row r="897" spans="1:10" hidden="1" x14ac:dyDescent="0.25">
      <c r="A897" s="114" t="s">
        <v>760</v>
      </c>
      <c r="B897" s="115" t="s">
        <v>7679</v>
      </c>
      <c r="C897" s="116" t="s">
        <v>69</v>
      </c>
      <c r="D897" s="116">
        <v>0</v>
      </c>
      <c r="E897" s="136">
        <f ca="1">OFFSET(INDEX(Composições!A:J,MATCH(Orçamentária!A897,Composições!A:A,0),8),2,0)</f>
        <v>39.586841999999997</v>
      </c>
      <c r="F897" s="137">
        <f t="shared" ca="1" si="39"/>
        <v>0</v>
      </c>
      <c r="G897" s="138" t="e">
        <f>IF(A897&lt;&gt;"",IF(AND(#REF!="Padrão",$H$4=#REF!),BDI!$B$17,IF(AND(#REF!="Padrão",$H$4=#REF!),BDI!#REF!,IF(AND(#REF!="Diferenciado",$H$4=#REF!),BDI!$E$17,IF(AND(#REF!="Diferenciado",$H$4=#REF!),BDI!#REF!,IF(#REF!="ZERO",0))))),"")</f>
        <v>#REF!</v>
      </c>
      <c r="H897" s="139" t="e">
        <f t="shared" ca="1" si="40"/>
        <v>#REF!</v>
      </c>
      <c r="I897" s="137" t="e">
        <f t="shared" ca="1" si="41"/>
        <v>#REF!</v>
      </c>
      <c r="J897" s="117"/>
    </row>
    <row r="898" spans="1:10" hidden="1" x14ac:dyDescent="0.25">
      <c r="A898" s="114" t="s">
        <v>762</v>
      </c>
      <c r="B898" s="115" t="s">
        <v>2455</v>
      </c>
      <c r="C898" s="116" t="s">
        <v>69</v>
      </c>
      <c r="D898" s="116">
        <v>0</v>
      </c>
      <c r="E898" s="136">
        <f ca="1">OFFSET(INDEX(Composições!A:J,MATCH(Orçamentária!A898,Composições!A:A,0),8),2,0)</f>
        <v>5.0122</v>
      </c>
      <c r="F898" s="137">
        <f t="shared" ca="1" si="39"/>
        <v>0</v>
      </c>
      <c r="G898" s="138" t="e">
        <f>IF(A898&lt;&gt;"",IF(AND(#REF!="Padrão",$H$4=#REF!),BDI!$B$17,IF(AND(#REF!="Padrão",$H$4=#REF!),BDI!#REF!,IF(AND(#REF!="Diferenciado",$H$4=#REF!),BDI!$E$17,IF(AND(#REF!="Diferenciado",$H$4=#REF!),BDI!#REF!,IF(#REF!="ZERO",0))))),"")</f>
        <v>#REF!</v>
      </c>
      <c r="H898" s="139" t="e">
        <f t="shared" ca="1" si="40"/>
        <v>#REF!</v>
      </c>
      <c r="I898" s="137" t="e">
        <f t="shared" ca="1" si="41"/>
        <v>#REF!</v>
      </c>
      <c r="J898" s="117"/>
    </row>
    <row r="899" spans="1:10" hidden="1" x14ac:dyDescent="0.25">
      <c r="A899" s="114" t="s">
        <v>764</v>
      </c>
      <c r="B899" s="115" t="s">
        <v>7678</v>
      </c>
      <c r="C899" s="116" t="s">
        <v>69</v>
      </c>
      <c r="D899" s="116">
        <v>0</v>
      </c>
      <c r="E899" s="136">
        <f ca="1">OFFSET(INDEX(Composições!A:J,MATCH(Orçamentária!A899,Composições!A:A,0),8),2,0)</f>
        <v>12.166915999999997</v>
      </c>
      <c r="F899" s="137">
        <f t="shared" ca="1" si="39"/>
        <v>0</v>
      </c>
      <c r="G899" s="138" t="e">
        <f>IF(A899&lt;&gt;"",IF(AND(#REF!="Padrão",$H$4=#REF!),BDI!$B$17,IF(AND(#REF!="Padrão",$H$4=#REF!),BDI!#REF!,IF(AND(#REF!="Diferenciado",$H$4=#REF!),BDI!$E$17,IF(AND(#REF!="Diferenciado",$H$4=#REF!),BDI!#REF!,IF(#REF!="ZERO",0))))),"")</f>
        <v>#REF!</v>
      </c>
      <c r="H899" s="139" t="e">
        <f t="shared" ca="1" si="40"/>
        <v>#REF!</v>
      </c>
      <c r="I899" s="137" t="e">
        <f t="shared" ca="1" si="41"/>
        <v>#REF!</v>
      </c>
      <c r="J899" s="117"/>
    </row>
    <row r="900" spans="1:10" hidden="1" x14ac:dyDescent="0.25">
      <c r="A900" s="114" t="s">
        <v>767</v>
      </c>
      <c r="B900" s="115" t="s">
        <v>2456</v>
      </c>
      <c r="C900" s="116" t="s">
        <v>16</v>
      </c>
      <c r="D900" s="116">
        <v>0</v>
      </c>
      <c r="E900" s="136">
        <f ca="1">OFFSET(INDEX(Composições!A:J,MATCH(Orçamentária!A900,Composições!A:A,0),8),2,0)</f>
        <v>37.591499999999996</v>
      </c>
      <c r="F900" s="137">
        <f t="shared" ca="1" si="39"/>
        <v>0</v>
      </c>
      <c r="G900" s="138" t="e">
        <f>IF(A900&lt;&gt;"",IF(AND(#REF!="Padrão",$H$4=#REF!),BDI!$B$17,IF(AND(#REF!="Padrão",$H$4=#REF!),BDI!#REF!,IF(AND(#REF!="Diferenciado",$H$4=#REF!),BDI!$E$17,IF(AND(#REF!="Diferenciado",$H$4=#REF!),BDI!#REF!,IF(#REF!="ZERO",0))))),"")</f>
        <v>#REF!</v>
      </c>
      <c r="H900" s="139" t="e">
        <f t="shared" ca="1" si="40"/>
        <v>#REF!</v>
      </c>
      <c r="I900" s="137" t="e">
        <f t="shared" ca="1" si="41"/>
        <v>#REF!</v>
      </c>
      <c r="J900" s="117"/>
    </row>
    <row r="901" spans="1:10" hidden="1" x14ac:dyDescent="0.25">
      <c r="A901" s="114" t="s">
        <v>768</v>
      </c>
      <c r="B901" s="115" t="s">
        <v>7681</v>
      </c>
      <c r="C901" s="116" t="s">
        <v>70</v>
      </c>
      <c r="D901" s="116">
        <v>0</v>
      </c>
      <c r="E901" s="136">
        <f ca="1">OFFSET(INDEX(Composições!A:J,MATCH(Orçamentária!A901,Composições!A:A,0),8),2,0)</f>
        <v>105.68020399999999</v>
      </c>
      <c r="F901" s="137">
        <f t="shared" ca="1" si="39"/>
        <v>0</v>
      </c>
      <c r="G901" s="138" t="e">
        <f>IF(A901&lt;&gt;"",IF(AND(#REF!="Padrão",$H$4=#REF!),BDI!$B$17,IF(AND(#REF!="Padrão",$H$4=#REF!),BDI!#REF!,IF(AND(#REF!="Diferenciado",$H$4=#REF!),BDI!$E$17,IF(AND(#REF!="Diferenciado",$H$4=#REF!),BDI!#REF!,IF(#REF!="ZERO",0))))),"")</f>
        <v>#REF!</v>
      </c>
      <c r="H901" s="139" t="e">
        <f t="shared" ca="1" si="40"/>
        <v>#REF!</v>
      </c>
      <c r="I901" s="137" t="e">
        <f t="shared" ca="1" si="41"/>
        <v>#REF!</v>
      </c>
      <c r="J901" s="117"/>
    </row>
    <row r="902" spans="1:10" hidden="1" x14ac:dyDescent="0.25">
      <c r="A902" s="114" t="s">
        <v>770</v>
      </c>
      <c r="B902" s="115" t="s">
        <v>2457</v>
      </c>
      <c r="C902" s="116" t="s">
        <v>16</v>
      </c>
      <c r="D902" s="116">
        <v>0</v>
      </c>
      <c r="E902" s="136">
        <f ca="1">OFFSET(INDEX(Composições!A:J,MATCH(Orçamentária!A902,Composições!A:A,0),8),2,0)</f>
        <v>10.0244</v>
      </c>
      <c r="F902" s="137">
        <f t="shared" ca="1" si="39"/>
        <v>0</v>
      </c>
      <c r="G902" s="138" t="e">
        <f>IF(A902&lt;&gt;"",IF(AND(#REF!="Padrão",$H$4=#REF!),BDI!$B$17,IF(AND(#REF!="Padrão",$H$4=#REF!),BDI!#REF!,IF(AND(#REF!="Diferenciado",$H$4=#REF!),BDI!$E$17,IF(AND(#REF!="Diferenciado",$H$4=#REF!),BDI!#REF!,IF(#REF!="ZERO",0))))),"")</f>
        <v>#REF!</v>
      </c>
      <c r="H902" s="139" t="e">
        <f t="shared" ca="1" si="40"/>
        <v>#REF!</v>
      </c>
      <c r="I902" s="137" t="e">
        <f t="shared" ca="1" si="41"/>
        <v>#REF!</v>
      </c>
      <c r="J902" s="117"/>
    </row>
    <row r="903" spans="1:10" hidden="1" x14ac:dyDescent="0.25">
      <c r="A903" s="114" t="s">
        <v>772</v>
      </c>
      <c r="B903" s="115" t="s">
        <v>7680</v>
      </c>
      <c r="C903" s="116" t="s">
        <v>28</v>
      </c>
      <c r="D903" s="116">
        <v>0</v>
      </c>
      <c r="E903" s="136">
        <f ca="1">OFFSET(INDEX(Composições!A:J,MATCH(Orçamentária!A903,Composições!A:A,0),8),2,0)</f>
        <v>13.973526249999999</v>
      </c>
      <c r="F903" s="137">
        <f t="shared" ref="F903:F966" ca="1" si="42">IF(ISNUMBER(E903),D903*E903,"")</f>
        <v>0</v>
      </c>
      <c r="G903" s="138" t="e">
        <f>IF(A903&lt;&gt;"",IF(AND(#REF!="Padrão",$H$4=#REF!),BDI!$B$17,IF(AND(#REF!="Padrão",$H$4=#REF!),BDI!#REF!,IF(AND(#REF!="Diferenciado",$H$4=#REF!),BDI!$E$17,IF(AND(#REF!="Diferenciado",$H$4=#REF!),BDI!#REF!,IF(#REF!="ZERO",0))))),"")</f>
        <v>#REF!</v>
      </c>
      <c r="H903" s="139" t="e">
        <f t="shared" ref="H903:H966" ca="1" si="43">IF(ISNUMBER(E903),ROUND(E903*(1+G903),2),"")</f>
        <v>#REF!</v>
      </c>
      <c r="I903" s="137" t="e">
        <f t="shared" ref="I903:I966" ca="1" si="44">IF(ISNUMBER(E903),ROUND(H903*D903,2),"")</f>
        <v>#REF!</v>
      </c>
      <c r="J903" s="117"/>
    </row>
    <row r="904" spans="1:10" hidden="1" x14ac:dyDescent="0.25">
      <c r="A904" s="114" t="s">
        <v>777</v>
      </c>
      <c r="B904" s="115" t="s">
        <v>2458</v>
      </c>
      <c r="C904" s="116" t="s">
        <v>16</v>
      </c>
      <c r="D904" s="116">
        <v>0</v>
      </c>
      <c r="E904" s="136">
        <f ca="1">OFFSET(INDEX(Composições!A:J,MATCH(Orçamentária!A904,Composições!A:A,0),8),2,0)</f>
        <v>5.0122</v>
      </c>
      <c r="F904" s="137">
        <f t="shared" ca="1" si="42"/>
        <v>0</v>
      </c>
      <c r="G904" s="138" t="e">
        <f>IF(A904&lt;&gt;"",IF(AND(#REF!="Padrão",$H$4=#REF!),BDI!$B$17,IF(AND(#REF!="Padrão",$H$4=#REF!),BDI!#REF!,IF(AND(#REF!="Diferenciado",$H$4=#REF!),BDI!$E$17,IF(AND(#REF!="Diferenciado",$H$4=#REF!),BDI!#REF!,IF(#REF!="ZERO",0))))),"")</f>
        <v>#REF!</v>
      </c>
      <c r="H904" s="139" t="e">
        <f t="shared" ca="1" si="43"/>
        <v>#REF!</v>
      </c>
      <c r="I904" s="137" t="e">
        <f t="shared" ca="1" si="44"/>
        <v>#REF!</v>
      </c>
      <c r="J904" s="117"/>
    </row>
    <row r="905" spans="1:10" hidden="1" x14ac:dyDescent="0.25">
      <c r="A905" s="114" t="s">
        <v>779</v>
      </c>
      <c r="B905" s="115" t="s">
        <v>2459</v>
      </c>
      <c r="C905" s="116" t="s">
        <v>16</v>
      </c>
      <c r="D905" s="116">
        <v>0</v>
      </c>
      <c r="E905" s="136">
        <f ca="1">OFFSET(INDEX(Composições!A:J,MATCH(Orçamentária!A905,Composições!A:A,0),8),2,0)</f>
        <v>7.5182999999999982</v>
      </c>
      <c r="F905" s="137">
        <f t="shared" ca="1" si="42"/>
        <v>0</v>
      </c>
      <c r="G905" s="138" t="e">
        <f>IF(A905&lt;&gt;"",IF(AND(#REF!="Padrão",$H$4=#REF!),BDI!$B$17,IF(AND(#REF!="Padrão",$H$4=#REF!),BDI!#REF!,IF(AND(#REF!="Diferenciado",$H$4=#REF!),BDI!$E$17,IF(AND(#REF!="Diferenciado",$H$4=#REF!),BDI!#REF!,IF(#REF!="ZERO",0))))),"")</f>
        <v>#REF!</v>
      </c>
      <c r="H905" s="139" t="e">
        <f t="shared" ca="1" si="43"/>
        <v>#REF!</v>
      </c>
      <c r="I905" s="137" t="e">
        <f t="shared" ca="1" si="44"/>
        <v>#REF!</v>
      </c>
      <c r="J905" s="117"/>
    </row>
    <row r="906" spans="1:10" hidden="1" x14ac:dyDescent="0.25">
      <c r="A906" s="114" t="s">
        <v>781</v>
      </c>
      <c r="B906" s="115" t="s">
        <v>2460</v>
      </c>
      <c r="C906" s="116" t="s">
        <v>16</v>
      </c>
      <c r="D906" s="116">
        <v>0</v>
      </c>
      <c r="E906" s="136">
        <f ca="1">OFFSET(INDEX(Composições!A:J,MATCH(Orçamentária!A906,Composições!A:A,0),8),2,0)</f>
        <v>7.5182999999999982</v>
      </c>
      <c r="F906" s="137">
        <f t="shared" ca="1" si="42"/>
        <v>0</v>
      </c>
      <c r="G906" s="138" t="e">
        <f>IF(A906&lt;&gt;"",IF(AND(#REF!="Padrão",$H$4=#REF!),BDI!$B$17,IF(AND(#REF!="Padrão",$H$4=#REF!),BDI!#REF!,IF(AND(#REF!="Diferenciado",$H$4=#REF!),BDI!$E$17,IF(AND(#REF!="Diferenciado",$H$4=#REF!),BDI!#REF!,IF(#REF!="ZERO",0))))),"")</f>
        <v>#REF!</v>
      </c>
      <c r="H906" s="139" t="e">
        <f t="shared" ca="1" si="43"/>
        <v>#REF!</v>
      </c>
      <c r="I906" s="137" t="e">
        <f t="shared" ca="1" si="44"/>
        <v>#REF!</v>
      </c>
      <c r="J906" s="117"/>
    </row>
    <row r="907" spans="1:10" hidden="1" x14ac:dyDescent="0.25">
      <c r="A907" s="114" t="s">
        <v>783</v>
      </c>
      <c r="B907" s="115" t="s">
        <v>2461</v>
      </c>
      <c r="C907" s="116" t="s">
        <v>16</v>
      </c>
      <c r="D907" s="116">
        <v>0</v>
      </c>
      <c r="E907" s="136">
        <f ca="1">OFFSET(INDEX(Composições!A:J,MATCH(Orçamentária!A907,Composições!A:A,0),8),2,0)</f>
        <v>7.5182999999999982</v>
      </c>
      <c r="F907" s="137">
        <f t="shared" ca="1" si="42"/>
        <v>0</v>
      </c>
      <c r="G907" s="138" t="e">
        <f>IF(A907&lt;&gt;"",IF(AND(#REF!="Padrão",$H$4=#REF!),BDI!$B$17,IF(AND(#REF!="Padrão",$H$4=#REF!),BDI!#REF!,IF(AND(#REF!="Diferenciado",$H$4=#REF!),BDI!$E$17,IF(AND(#REF!="Diferenciado",$H$4=#REF!),BDI!#REF!,IF(#REF!="ZERO",0))))),"")</f>
        <v>#REF!</v>
      </c>
      <c r="H907" s="139" t="e">
        <f t="shared" ca="1" si="43"/>
        <v>#REF!</v>
      </c>
      <c r="I907" s="137" t="e">
        <f t="shared" ca="1" si="44"/>
        <v>#REF!</v>
      </c>
      <c r="J907" s="117"/>
    </row>
    <row r="908" spans="1:10" hidden="1" x14ac:dyDescent="0.25">
      <c r="A908" s="114" t="s">
        <v>785</v>
      </c>
      <c r="B908" s="115" t="s">
        <v>2462</v>
      </c>
      <c r="C908" s="116" t="s">
        <v>16</v>
      </c>
      <c r="D908" s="116">
        <v>0</v>
      </c>
      <c r="E908" s="136">
        <f ca="1">OFFSET(INDEX(Composições!A:J,MATCH(Orçamentária!A908,Composições!A:A,0),8),2,0)</f>
        <v>3.7591499999999991</v>
      </c>
      <c r="F908" s="137">
        <f t="shared" ca="1" si="42"/>
        <v>0</v>
      </c>
      <c r="G908" s="138" t="e">
        <f>IF(A908&lt;&gt;"",IF(AND(#REF!="Padrão",$H$4=#REF!),BDI!$B$17,IF(AND(#REF!="Padrão",$H$4=#REF!),BDI!#REF!,IF(AND(#REF!="Diferenciado",$H$4=#REF!),BDI!$E$17,IF(AND(#REF!="Diferenciado",$H$4=#REF!),BDI!#REF!,IF(#REF!="ZERO",0))))),"")</f>
        <v>#REF!</v>
      </c>
      <c r="H908" s="139" t="e">
        <f t="shared" ca="1" si="43"/>
        <v>#REF!</v>
      </c>
      <c r="I908" s="137" t="e">
        <f t="shared" ca="1" si="44"/>
        <v>#REF!</v>
      </c>
      <c r="J908" s="117"/>
    </row>
    <row r="909" spans="1:10" hidden="1" x14ac:dyDescent="0.25">
      <c r="A909" s="114" t="s">
        <v>787</v>
      </c>
      <c r="B909" s="115" t="s">
        <v>2463</v>
      </c>
      <c r="C909" s="116" t="s">
        <v>16</v>
      </c>
      <c r="D909" s="116">
        <v>0</v>
      </c>
      <c r="E909" s="136">
        <f ca="1">OFFSET(INDEX(Composições!A:J,MATCH(Orçamentária!A909,Composições!A:A,0),8),2,0)</f>
        <v>3.7591499999999991</v>
      </c>
      <c r="F909" s="137">
        <f t="shared" ca="1" si="42"/>
        <v>0</v>
      </c>
      <c r="G909" s="138" t="e">
        <f>IF(A909&lt;&gt;"",IF(AND(#REF!="Padrão",$H$4=#REF!),BDI!$B$17,IF(AND(#REF!="Padrão",$H$4=#REF!),BDI!#REF!,IF(AND(#REF!="Diferenciado",$H$4=#REF!),BDI!$E$17,IF(AND(#REF!="Diferenciado",$H$4=#REF!),BDI!#REF!,IF(#REF!="ZERO",0))))),"")</f>
        <v>#REF!</v>
      </c>
      <c r="H909" s="139" t="e">
        <f t="shared" ca="1" si="43"/>
        <v>#REF!</v>
      </c>
      <c r="I909" s="137" t="e">
        <f t="shared" ca="1" si="44"/>
        <v>#REF!</v>
      </c>
      <c r="J909" s="117"/>
    </row>
    <row r="910" spans="1:10" hidden="1" x14ac:dyDescent="0.25">
      <c r="A910" s="114" t="s">
        <v>789</v>
      </c>
      <c r="B910" s="115" t="s">
        <v>2464</v>
      </c>
      <c r="C910" s="116" t="s">
        <v>16</v>
      </c>
      <c r="D910" s="116">
        <v>0</v>
      </c>
      <c r="E910" s="136">
        <f ca="1">OFFSET(INDEX(Composições!A:J,MATCH(Orçamentária!A910,Composições!A:A,0),8),2,0)</f>
        <v>3.7591499999999991</v>
      </c>
      <c r="F910" s="137">
        <f t="shared" ca="1" si="42"/>
        <v>0</v>
      </c>
      <c r="G910" s="138" t="e">
        <f>IF(A910&lt;&gt;"",IF(AND(#REF!="Padrão",$H$4=#REF!),BDI!$B$17,IF(AND(#REF!="Padrão",$H$4=#REF!),BDI!#REF!,IF(AND(#REF!="Diferenciado",$H$4=#REF!),BDI!$E$17,IF(AND(#REF!="Diferenciado",$H$4=#REF!),BDI!#REF!,IF(#REF!="ZERO",0))))),"")</f>
        <v>#REF!</v>
      </c>
      <c r="H910" s="139" t="e">
        <f t="shared" ca="1" si="43"/>
        <v>#REF!</v>
      </c>
      <c r="I910" s="137" t="e">
        <f t="shared" ca="1" si="44"/>
        <v>#REF!</v>
      </c>
      <c r="J910" s="117"/>
    </row>
    <row r="911" spans="1:10" hidden="1" x14ac:dyDescent="0.25">
      <c r="A911" s="114" t="s">
        <v>791</v>
      </c>
      <c r="B911" s="115" t="s">
        <v>2465</v>
      </c>
      <c r="C911" s="116" t="s">
        <v>16</v>
      </c>
      <c r="D911" s="116">
        <v>0</v>
      </c>
      <c r="E911" s="136">
        <f ca="1">OFFSET(INDEX(Composições!A:J,MATCH(Orçamentária!A911,Composições!A:A,0),8),2,0)</f>
        <v>3.7591499999999991</v>
      </c>
      <c r="F911" s="137">
        <f t="shared" ca="1" si="42"/>
        <v>0</v>
      </c>
      <c r="G911" s="138" t="e">
        <f>IF(A911&lt;&gt;"",IF(AND(#REF!="Padrão",$H$4=#REF!),BDI!$B$17,IF(AND(#REF!="Padrão",$H$4=#REF!),BDI!#REF!,IF(AND(#REF!="Diferenciado",$H$4=#REF!),BDI!$E$17,IF(AND(#REF!="Diferenciado",$H$4=#REF!),BDI!#REF!,IF(#REF!="ZERO",0))))),"")</f>
        <v>#REF!</v>
      </c>
      <c r="H911" s="139" t="e">
        <f t="shared" ca="1" si="43"/>
        <v>#REF!</v>
      </c>
      <c r="I911" s="137" t="e">
        <f t="shared" ca="1" si="44"/>
        <v>#REF!</v>
      </c>
      <c r="J911" s="117"/>
    </row>
    <row r="912" spans="1:10" hidden="1" x14ac:dyDescent="0.25">
      <c r="A912" s="114" t="s">
        <v>793</v>
      </c>
      <c r="B912" s="115" t="s">
        <v>2466</v>
      </c>
      <c r="C912" s="116" t="s">
        <v>16</v>
      </c>
      <c r="D912" s="116">
        <v>0</v>
      </c>
      <c r="E912" s="136">
        <f ca="1">OFFSET(INDEX(Composições!A:J,MATCH(Orçamentária!A912,Composições!A:A,0),8),2,0)</f>
        <v>10.0244</v>
      </c>
      <c r="F912" s="137">
        <f t="shared" ca="1" si="42"/>
        <v>0</v>
      </c>
      <c r="G912" s="138" t="e">
        <f>IF(A912&lt;&gt;"",IF(AND(#REF!="Padrão",$H$4=#REF!),BDI!$B$17,IF(AND(#REF!="Padrão",$H$4=#REF!),BDI!#REF!,IF(AND(#REF!="Diferenciado",$H$4=#REF!),BDI!$E$17,IF(AND(#REF!="Diferenciado",$H$4=#REF!),BDI!#REF!,IF(#REF!="ZERO",0))))),"")</f>
        <v>#REF!</v>
      </c>
      <c r="H912" s="139" t="e">
        <f t="shared" ca="1" si="43"/>
        <v>#REF!</v>
      </c>
      <c r="I912" s="137" t="e">
        <f t="shared" ca="1" si="44"/>
        <v>#REF!</v>
      </c>
      <c r="J912" s="117"/>
    </row>
    <row r="913" spans="1:10" hidden="1" x14ac:dyDescent="0.25">
      <c r="A913" s="114" t="s">
        <v>795</v>
      </c>
      <c r="B913" s="115" t="s">
        <v>2467</v>
      </c>
      <c r="C913" s="116" t="s">
        <v>2468</v>
      </c>
      <c r="D913" s="116">
        <v>0</v>
      </c>
      <c r="E913" s="136">
        <f ca="1">OFFSET(INDEX(Composições!A:J,MATCH(Orçamentária!A913,Composições!A:A,0),8),2,0)</f>
        <v>59.078685499999985</v>
      </c>
      <c r="F913" s="137">
        <f t="shared" ca="1" si="42"/>
        <v>0</v>
      </c>
      <c r="G913" s="138" t="e">
        <f>IF(A913&lt;&gt;"",IF(AND(#REF!="Padrão",$H$4=#REF!),BDI!$B$17,IF(AND(#REF!="Padrão",$H$4=#REF!),BDI!#REF!,IF(AND(#REF!="Diferenciado",$H$4=#REF!),BDI!$E$17,IF(AND(#REF!="Diferenciado",$H$4=#REF!),BDI!#REF!,IF(#REF!="ZERO",0))))),"")</f>
        <v>#REF!</v>
      </c>
      <c r="H913" s="139" t="e">
        <f t="shared" ca="1" si="43"/>
        <v>#REF!</v>
      </c>
      <c r="I913" s="137" t="e">
        <f t="shared" ca="1" si="44"/>
        <v>#REF!</v>
      </c>
      <c r="J913" s="117"/>
    </row>
    <row r="914" spans="1:10" hidden="1" x14ac:dyDescent="0.25">
      <c r="A914" s="114" t="s">
        <v>796</v>
      </c>
      <c r="B914" s="115" t="s">
        <v>7683</v>
      </c>
      <c r="C914" s="116" t="s">
        <v>70</v>
      </c>
      <c r="D914" s="116">
        <v>0</v>
      </c>
      <c r="E914" s="136">
        <f ca="1">OFFSET(INDEX(Composições!A:J,MATCH(Orçamentária!A914,Composições!A:A,0),8),2,0)</f>
        <v>115.91899999999998</v>
      </c>
      <c r="F914" s="137">
        <f t="shared" ca="1" si="42"/>
        <v>0</v>
      </c>
      <c r="G914" s="138" t="e">
        <f>IF(A914&lt;&gt;"",IF(AND(#REF!="Padrão",$H$4=#REF!),BDI!$B$17,IF(AND(#REF!="Padrão",$H$4=#REF!),BDI!#REF!,IF(AND(#REF!="Diferenciado",$H$4=#REF!),BDI!$E$17,IF(AND(#REF!="Diferenciado",$H$4=#REF!),BDI!#REF!,IF(#REF!="ZERO",0))))),"")</f>
        <v>#REF!</v>
      </c>
      <c r="H914" s="139" t="e">
        <f t="shared" ca="1" si="43"/>
        <v>#REF!</v>
      </c>
      <c r="I914" s="137" t="e">
        <f t="shared" ca="1" si="44"/>
        <v>#REF!</v>
      </c>
      <c r="J914" s="117"/>
    </row>
    <row r="915" spans="1:10" hidden="1" x14ac:dyDescent="0.25">
      <c r="A915" s="114" t="s">
        <v>798</v>
      </c>
      <c r="B915" s="115" t="s">
        <v>7682</v>
      </c>
      <c r="C915" s="116" t="s">
        <v>70</v>
      </c>
      <c r="D915" s="116">
        <v>0</v>
      </c>
      <c r="E915" s="136">
        <f ca="1">OFFSET(INDEX(Composições!A:J,MATCH(Orçamentária!A915,Composições!A:A,0),8),2,0)</f>
        <v>158.17499999999998</v>
      </c>
      <c r="F915" s="137">
        <f t="shared" ca="1" si="42"/>
        <v>0</v>
      </c>
      <c r="G915" s="138" t="e">
        <f>IF(A915&lt;&gt;"",IF(AND(#REF!="Padrão",$H$4=#REF!),BDI!$B$17,IF(AND(#REF!="Padrão",$H$4=#REF!),BDI!#REF!,IF(AND(#REF!="Diferenciado",$H$4=#REF!),BDI!$E$17,IF(AND(#REF!="Diferenciado",$H$4=#REF!),BDI!#REF!,IF(#REF!="ZERO",0))))),"")</f>
        <v>#REF!</v>
      </c>
      <c r="H915" s="139" t="e">
        <f t="shared" ca="1" si="43"/>
        <v>#REF!</v>
      </c>
      <c r="I915" s="137" t="e">
        <f t="shared" ca="1" si="44"/>
        <v>#REF!</v>
      </c>
      <c r="J915" s="117"/>
    </row>
    <row r="916" spans="1:10" hidden="1" x14ac:dyDescent="0.25">
      <c r="A916" s="114" t="s">
        <v>800</v>
      </c>
      <c r="B916" s="115" t="s">
        <v>2469</v>
      </c>
      <c r="C916" s="116" t="s">
        <v>69</v>
      </c>
      <c r="D916" s="116">
        <v>0</v>
      </c>
      <c r="E916" s="136">
        <f ca="1">OFFSET(INDEX(Composições!A:J,MATCH(Orçamentária!A916,Composições!A:A,0),8),2,0)</f>
        <v>26.459874999999997</v>
      </c>
      <c r="F916" s="137">
        <f t="shared" ca="1" si="42"/>
        <v>0</v>
      </c>
      <c r="G916" s="138" t="e">
        <f>IF(A916&lt;&gt;"",IF(AND(#REF!="Padrão",$H$4=#REF!),BDI!$B$17,IF(AND(#REF!="Padrão",$H$4=#REF!),BDI!#REF!,IF(AND(#REF!="Diferenciado",$H$4=#REF!),BDI!$E$17,IF(AND(#REF!="Diferenciado",$H$4=#REF!),BDI!#REF!,IF(#REF!="ZERO",0))))),"")</f>
        <v>#REF!</v>
      </c>
      <c r="H916" s="139" t="e">
        <f t="shared" ca="1" si="43"/>
        <v>#REF!</v>
      </c>
      <c r="I916" s="137" t="e">
        <f t="shared" ca="1" si="44"/>
        <v>#REF!</v>
      </c>
      <c r="J916" s="117"/>
    </row>
    <row r="917" spans="1:10" hidden="1" x14ac:dyDescent="0.25">
      <c r="A917" s="114" t="s">
        <v>801</v>
      </c>
      <c r="B917" s="115" t="s">
        <v>2470</v>
      </c>
      <c r="C917" s="116" t="s">
        <v>70</v>
      </c>
      <c r="D917" s="116">
        <v>0</v>
      </c>
      <c r="E917" s="136">
        <f ca="1">OFFSET(INDEX(Composições!A:J,MATCH(Orçamentária!A917,Composições!A:A,0),8),2,0)</f>
        <v>57.816999999999993</v>
      </c>
      <c r="F917" s="137">
        <f t="shared" ca="1" si="42"/>
        <v>0</v>
      </c>
      <c r="G917" s="138" t="e">
        <f>IF(A917&lt;&gt;"",IF(AND(#REF!="Padrão",$H$4=#REF!),BDI!$B$17,IF(AND(#REF!="Padrão",$H$4=#REF!),BDI!#REF!,IF(AND(#REF!="Diferenciado",$H$4=#REF!),BDI!$E$17,IF(AND(#REF!="Diferenciado",$H$4=#REF!),BDI!#REF!,IF(#REF!="ZERO",0))))),"")</f>
        <v>#REF!</v>
      </c>
      <c r="H917" s="139" t="e">
        <f t="shared" ca="1" si="43"/>
        <v>#REF!</v>
      </c>
      <c r="I917" s="137" t="e">
        <f t="shared" ca="1" si="44"/>
        <v>#REF!</v>
      </c>
      <c r="J917" s="117"/>
    </row>
    <row r="918" spans="1:10" hidden="1" x14ac:dyDescent="0.25">
      <c r="A918" s="114" t="s">
        <v>802</v>
      </c>
      <c r="B918" s="115" t="s">
        <v>803</v>
      </c>
      <c r="C918" s="116" t="s">
        <v>70</v>
      </c>
      <c r="D918" s="116">
        <v>0</v>
      </c>
      <c r="E918" s="136">
        <f ca="1">OFFSET(INDEX(Composições!A:J,MATCH(Orçamentária!A918,Composições!A:A,0),8),2,0)</f>
        <v>57.816999999999993</v>
      </c>
      <c r="F918" s="137">
        <f t="shared" ca="1" si="42"/>
        <v>0</v>
      </c>
      <c r="G918" s="138" t="e">
        <f>IF(A918&lt;&gt;"",IF(AND(#REF!="Padrão",$H$4=#REF!),BDI!$B$17,IF(AND(#REF!="Padrão",$H$4=#REF!),BDI!#REF!,IF(AND(#REF!="Diferenciado",$H$4=#REF!),BDI!$E$17,IF(AND(#REF!="Diferenciado",$H$4=#REF!),BDI!#REF!,IF(#REF!="ZERO",0))))),"")</f>
        <v>#REF!</v>
      </c>
      <c r="H918" s="139" t="e">
        <f t="shared" ca="1" si="43"/>
        <v>#REF!</v>
      </c>
      <c r="I918" s="137" t="e">
        <f t="shared" ca="1" si="44"/>
        <v>#REF!</v>
      </c>
      <c r="J918" s="117"/>
    </row>
    <row r="919" spans="1:10" hidden="1" x14ac:dyDescent="0.25">
      <c r="A919" s="114" t="s">
        <v>804</v>
      </c>
      <c r="B919" s="115" t="s">
        <v>2471</v>
      </c>
      <c r="C919" s="116" t="s">
        <v>16</v>
      </c>
      <c r="D919" s="116">
        <v>0</v>
      </c>
      <c r="E919" s="136">
        <f ca="1">OFFSET(INDEX(Composições!A:J,MATCH(Orçamentária!A919,Composições!A:A,0),8),2,0)</f>
        <v>9.9445999999999994</v>
      </c>
      <c r="F919" s="137">
        <f t="shared" ca="1" si="42"/>
        <v>0</v>
      </c>
      <c r="G919" s="138" t="e">
        <f>IF(A919&lt;&gt;"",IF(AND(#REF!="Padrão",$H$4=#REF!),BDI!$B$17,IF(AND(#REF!="Padrão",$H$4=#REF!),BDI!#REF!,IF(AND(#REF!="Diferenciado",$H$4=#REF!),BDI!$E$17,IF(AND(#REF!="Diferenciado",$H$4=#REF!),BDI!#REF!,IF(#REF!="ZERO",0))))),"")</f>
        <v>#REF!</v>
      </c>
      <c r="H919" s="139" t="e">
        <f t="shared" ca="1" si="43"/>
        <v>#REF!</v>
      </c>
      <c r="I919" s="137" t="e">
        <f t="shared" ca="1" si="44"/>
        <v>#REF!</v>
      </c>
      <c r="J919" s="117"/>
    </row>
    <row r="920" spans="1:10" hidden="1" x14ac:dyDescent="0.25">
      <c r="A920" s="114" t="s">
        <v>805</v>
      </c>
      <c r="B920" s="115" t="s">
        <v>5456</v>
      </c>
      <c r="C920" s="116" t="s">
        <v>80</v>
      </c>
      <c r="D920" s="116">
        <v>0</v>
      </c>
      <c r="E920" s="136">
        <f ca="1">OFFSET(INDEX(Composições!A:J,MATCH(Orçamentária!A920,Composições!A:A,0),8),2,0)</f>
        <v>4460.5988855999994</v>
      </c>
      <c r="F920" s="137">
        <f t="shared" ca="1" si="42"/>
        <v>0</v>
      </c>
      <c r="G920" s="138" t="e">
        <f>IF(A920&lt;&gt;"",IF(AND(#REF!="Padrão",$H$4=#REF!),BDI!$B$17,IF(AND(#REF!="Padrão",$H$4=#REF!),BDI!#REF!,IF(AND(#REF!="Diferenciado",$H$4=#REF!),BDI!$E$17,IF(AND(#REF!="Diferenciado",$H$4=#REF!),BDI!#REF!,IF(#REF!="ZERO",0))))),"")</f>
        <v>#REF!</v>
      </c>
      <c r="H920" s="139" t="e">
        <f t="shared" ca="1" si="43"/>
        <v>#REF!</v>
      </c>
      <c r="I920" s="137" t="e">
        <f t="shared" ca="1" si="44"/>
        <v>#REF!</v>
      </c>
      <c r="J920" s="117"/>
    </row>
    <row r="921" spans="1:10" hidden="1" x14ac:dyDescent="0.25">
      <c r="A921" s="114" t="s">
        <v>807</v>
      </c>
      <c r="B921" s="115" t="s">
        <v>5515</v>
      </c>
      <c r="C921" s="116" t="s">
        <v>28</v>
      </c>
      <c r="D921" s="116">
        <v>0</v>
      </c>
      <c r="E921" s="136">
        <f ca="1">OFFSET(INDEX(Composições!A:J,MATCH(Orçamentária!A921,Composições!A:A,0),8),2,0)</f>
        <v>10.595050750000002</v>
      </c>
      <c r="F921" s="137">
        <f t="shared" ca="1" si="42"/>
        <v>0</v>
      </c>
      <c r="G921" s="138" t="e">
        <f>IF(A921&lt;&gt;"",IF(AND(#REF!="Padrão",$H$4=#REF!),BDI!$B$17,IF(AND(#REF!="Padrão",$H$4=#REF!),BDI!#REF!,IF(AND(#REF!="Diferenciado",$H$4=#REF!),BDI!$E$17,IF(AND(#REF!="Diferenciado",$H$4=#REF!),BDI!#REF!,IF(#REF!="ZERO",0))))),"")</f>
        <v>#REF!</v>
      </c>
      <c r="H921" s="139" t="e">
        <f t="shared" ca="1" si="43"/>
        <v>#REF!</v>
      </c>
      <c r="I921" s="137" t="e">
        <f t="shared" ca="1" si="44"/>
        <v>#REF!</v>
      </c>
      <c r="J921" s="117"/>
    </row>
    <row r="922" spans="1:10" hidden="1" x14ac:dyDescent="0.25">
      <c r="A922" s="114" t="s">
        <v>808</v>
      </c>
      <c r="B922" s="115" t="s">
        <v>5516</v>
      </c>
      <c r="C922" s="116" t="s">
        <v>28</v>
      </c>
      <c r="D922" s="116">
        <v>0</v>
      </c>
      <c r="E922" s="136">
        <f ca="1">OFFSET(INDEX(Composições!A:J,MATCH(Orçamentária!A922,Composições!A:A,0),8),2,0)</f>
        <v>10.294354850000001</v>
      </c>
      <c r="F922" s="137">
        <f t="shared" ca="1" si="42"/>
        <v>0</v>
      </c>
      <c r="G922" s="138" t="e">
        <f>IF(A922&lt;&gt;"",IF(AND(#REF!="Padrão",$H$4=#REF!),BDI!$B$17,IF(AND(#REF!="Padrão",$H$4=#REF!),BDI!#REF!,IF(AND(#REF!="Diferenciado",$H$4=#REF!),BDI!$E$17,IF(AND(#REF!="Diferenciado",$H$4=#REF!),BDI!#REF!,IF(#REF!="ZERO",0))))),"")</f>
        <v>#REF!</v>
      </c>
      <c r="H922" s="139" t="e">
        <f t="shared" ca="1" si="43"/>
        <v>#REF!</v>
      </c>
      <c r="I922" s="137" t="e">
        <f t="shared" ca="1" si="44"/>
        <v>#REF!</v>
      </c>
      <c r="J922" s="117"/>
    </row>
    <row r="923" spans="1:10" hidden="1" x14ac:dyDescent="0.25">
      <c r="A923" s="114" t="s">
        <v>809</v>
      </c>
      <c r="B923" s="115" t="s">
        <v>2472</v>
      </c>
      <c r="C923" s="116" t="s">
        <v>16</v>
      </c>
      <c r="D923" s="116">
        <v>0</v>
      </c>
      <c r="E923" s="136">
        <f ca="1">OFFSET(INDEX(Composições!A:J,MATCH(Orçamentária!A923,Composições!A:A,0),8),2,0)</f>
        <v>24.907575000000001</v>
      </c>
      <c r="F923" s="137">
        <f t="shared" ca="1" si="42"/>
        <v>0</v>
      </c>
      <c r="G923" s="138" t="e">
        <f>IF(A923&lt;&gt;"",IF(AND(#REF!="Padrão",$H$4=#REF!),BDI!$B$17,IF(AND(#REF!="Padrão",$H$4=#REF!),BDI!#REF!,IF(AND(#REF!="Diferenciado",$H$4=#REF!),BDI!$E$17,IF(AND(#REF!="Diferenciado",$H$4=#REF!),BDI!#REF!,IF(#REF!="ZERO",0))))),"")</f>
        <v>#REF!</v>
      </c>
      <c r="H923" s="139" t="e">
        <f t="shared" ca="1" si="43"/>
        <v>#REF!</v>
      </c>
      <c r="I923" s="137" t="e">
        <f t="shared" ca="1" si="44"/>
        <v>#REF!</v>
      </c>
      <c r="J923" s="117"/>
    </row>
    <row r="924" spans="1:10" x14ac:dyDescent="0.25">
      <c r="A924" s="189" t="s">
        <v>810</v>
      </c>
      <c r="B924" s="190" t="s">
        <v>2473</v>
      </c>
      <c r="C924" s="191" t="s">
        <v>80</v>
      </c>
      <c r="D924" s="191">
        <v>24</v>
      </c>
      <c r="E924" s="136">
        <f ca="1">OFFSET(INDEX(Composições!A:J,MATCH(Orçamentária!A924,Composições!A:A,0),8),2,0)</f>
        <v>80.012077999999988</v>
      </c>
      <c r="F924" s="137">
        <f t="shared" ca="1" si="42"/>
        <v>1920.2898719999998</v>
      </c>
      <c r="G924" s="138">
        <f>BDI!$B$17</f>
        <v>0.191</v>
      </c>
      <c r="H924" s="139">
        <f t="shared" ca="1" si="43"/>
        <v>95.29</v>
      </c>
      <c r="I924" s="137">
        <f t="shared" ca="1" si="44"/>
        <v>2286.96</v>
      </c>
      <c r="J924" s="117"/>
    </row>
    <row r="925" spans="1:10" x14ac:dyDescent="0.25">
      <c r="A925" s="189" t="s">
        <v>811</v>
      </c>
      <c r="B925" s="190" t="s">
        <v>2474</v>
      </c>
      <c r="C925" s="191" t="s">
        <v>80</v>
      </c>
      <c r="D925" s="191">
        <v>12</v>
      </c>
      <c r="E925" s="136">
        <f ca="1">OFFSET(INDEX(Composições!A:J,MATCH(Orçamentária!A925,Composições!A:A,0),8),2,0)</f>
        <v>28.403945499999999</v>
      </c>
      <c r="F925" s="137">
        <f t="shared" ca="1" si="42"/>
        <v>340.84734600000002</v>
      </c>
      <c r="G925" s="138">
        <f>BDI!$B$17</f>
        <v>0.191</v>
      </c>
      <c r="H925" s="139">
        <f t="shared" ca="1" si="43"/>
        <v>33.83</v>
      </c>
      <c r="I925" s="137">
        <f t="shared" ca="1" si="44"/>
        <v>405.96</v>
      </c>
      <c r="J925" s="117"/>
    </row>
    <row r="926" spans="1:10" hidden="1" x14ac:dyDescent="0.25">
      <c r="A926" s="114" t="s">
        <v>817</v>
      </c>
      <c r="B926" s="115" t="s">
        <v>2475</v>
      </c>
      <c r="C926" s="116" t="s">
        <v>80</v>
      </c>
      <c r="D926" s="116">
        <v>0</v>
      </c>
      <c r="E926" s="136">
        <f ca="1">OFFSET(INDEX(Composições!A:J,MATCH(Orçamentária!A926,Composições!A:A,0),8),2,0)</f>
        <v>218.15851774999999</v>
      </c>
      <c r="F926" s="137">
        <f t="shared" ca="1" si="42"/>
        <v>0</v>
      </c>
      <c r="G926" s="138" t="e">
        <f>IF(A926&lt;&gt;"",IF(AND(#REF!="Padrão",$H$4=#REF!),BDI!$B$17,IF(AND(#REF!="Padrão",$H$4=#REF!),BDI!#REF!,IF(AND(#REF!="Diferenciado",$H$4=#REF!),BDI!$E$17,IF(AND(#REF!="Diferenciado",$H$4=#REF!),BDI!#REF!,IF(#REF!="ZERO",0))))),"")</f>
        <v>#REF!</v>
      </c>
      <c r="H926" s="139" t="e">
        <f t="shared" ca="1" si="43"/>
        <v>#REF!</v>
      </c>
      <c r="I926" s="137" t="e">
        <f t="shared" ca="1" si="44"/>
        <v>#REF!</v>
      </c>
      <c r="J926" s="117"/>
    </row>
    <row r="927" spans="1:10" hidden="1" x14ac:dyDescent="0.25">
      <c r="A927" s="114" t="s">
        <v>822</v>
      </c>
      <c r="B927" s="115" t="s">
        <v>5513</v>
      </c>
      <c r="C927" s="116" t="s">
        <v>69</v>
      </c>
      <c r="D927" s="116">
        <v>0</v>
      </c>
      <c r="E927" s="136">
        <f ca="1">OFFSET(INDEX(Composições!A:J,MATCH(Orçamentária!A927,Composições!A:A,0),8),2,0)</f>
        <v>64.188189249999994</v>
      </c>
      <c r="F927" s="137">
        <f t="shared" ca="1" si="42"/>
        <v>0</v>
      </c>
      <c r="G927" s="138" t="e">
        <f>IF(A927&lt;&gt;"",IF(AND(#REF!="Padrão",$H$4=#REF!),BDI!$B$17,IF(AND(#REF!="Padrão",$H$4=#REF!),BDI!#REF!,IF(AND(#REF!="Diferenciado",$H$4=#REF!),BDI!$E$17,IF(AND(#REF!="Diferenciado",$H$4=#REF!),BDI!#REF!,IF(#REF!="ZERO",0))))),"")</f>
        <v>#REF!</v>
      </c>
      <c r="H927" s="139" t="e">
        <f t="shared" ca="1" si="43"/>
        <v>#REF!</v>
      </c>
      <c r="I927" s="137" t="e">
        <f t="shared" ca="1" si="44"/>
        <v>#REF!</v>
      </c>
      <c r="J927" s="117"/>
    </row>
    <row r="928" spans="1:10" hidden="1" x14ac:dyDescent="0.25">
      <c r="A928" s="114" t="s">
        <v>826</v>
      </c>
      <c r="B928" s="115" t="s">
        <v>2476</v>
      </c>
      <c r="C928" s="116" t="s">
        <v>69</v>
      </c>
      <c r="D928" s="116">
        <v>0</v>
      </c>
      <c r="E928" s="136">
        <f ca="1">OFFSET(INDEX(Composições!A:J,MATCH(Orçamentária!A928,Composições!A:A,0),8),2,0)</f>
        <v>80.379352749999995</v>
      </c>
      <c r="F928" s="137">
        <f t="shared" ca="1" si="42"/>
        <v>0</v>
      </c>
      <c r="G928" s="138" t="e">
        <f>IF(A928&lt;&gt;"",IF(AND(#REF!="Padrão",$H$4=#REF!),BDI!$B$17,IF(AND(#REF!="Padrão",$H$4=#REF!),BDI!#REF!,IF(AND(#REF!="Diferenciado",$H$4=#REF!),BDI!$E$17,IF(AND(#REF!="Diferenciado",$H$4=#REF!),BDI!#REF!,IF(#REF!="ZERO",0))))),"")</f>
        <v>#REF!</v>
      </c>
      <c r="H928" s="139" t="e">
        <f t="shared" ca="1" si="43"/>
        <v>#REF!</v>
      </c>
      <c r="I928" s="137" t="e">
        <f t="shared" ca="1" si="44"/>
        <v>#REF!</v>
      </c>
      <c r="J928" s="117"/>
    </row>
    <row r="929" spans="1:10" hidden="1" x14ac:dyDescent="0.25">
      <c r="A929" s="114" t="s">
        <v>828</v>
      </c>
      <c r="B929" s="115" t="s">
        <v>5514</v>
      </c>
      <c r="C929" s="116" t="s">
        <v>69</v>
      </c>
      <c r="D929" s="116">
        <v>0</v>
      </c>
      <c r="E929" s="136">
        <f ca="1">OFFSET(INDEX(Composições!A:J,MATCH(Orçamentária!A929,Composições!A:A,0),8),2,0)</f>
        <v>146.22259209999999</v>
      </c>
      <c r="F929" s="137">
        <f t="shared" ca="1" si="42"/>
        <v>0</v>
      </c>
      <c r="G929" s="138" t="e">
        <f>IF(A929&lt;&gt;"",IF(AND(#REF!="Padrão",$H$4=#REF!),BDI!$B$17,IF(AND(#REF!="Padrão",$H$4=#REF!),BDI!#REF!,IF(AND(#REF!="Diferenciado",$H$4=#REF!),BDI!$E$17,IF(AND(#REF!="Diferenciado",$H$4=#REF!),BDI!#REF!,IF(#REF!="ZERO",0))))),"")</f>
        <v>#REF!</v>
      </c>
      <c r="H929" s="139" t="e">
        <f t="shared" ca="1" si="43"/>
        <v>#REF!</v>
      </c>
      <c r="I929" s="137" t="e">
        <f t="shared" ca="1" si="44"/>
        <v>#REF!</v>
      </c>
      <c r="J929" s="117"/>
    </row>
    <row r="930" spans="1:10" hidden="1" x14ac:dyDescent="0.25">
      <c r="A930" s="114" t="s">
        <v>830</v>
      </c>
      <c r="B930" s="115" t="s">
        <v>5517</v>
      </c>
      <c r="C930" s="116" t="s">
        <v>16</v>
      </c>
      <c r="D930" s="116">
        <v>0</v>
      </c>
      <c r="E930" s="136">
        <f ca="1">OFFSET(INDEX(Composições!A:J,MATCH(Orçamentária!A930,Composições!A:A,0),8),2,0)</f>
        <v>678.33500939999999</v>
      </c>
      <c r="F930" s="137">
        <f t="shared" ca="1" si="42"/>
        <v>0</v>
      </c>
      <c r="G930" s="138" t="e">
        <f>IF(A930&lt;&gt;"",IF(AND(#REF!="Padrão",$H$4=#REF!),BDI!$B$17,IF(AND(#REF!="Padrão",$H$4=#REF!),BDI!#REF!,IF(AND(#REF!="Diferenciado",$H$4=#REF!),BDI!$E$17,IF(AND(#REF!="Diferenciado",$H$4=#REF!),BDI!#REF!,IF(#REF!="ZERO",0))))),"")</f>
        <v>#REF!</v>
      </c>
      <c r="H930" s="139" t="e">
        <f t="shared" ca="1" si="43"/>
        <v>#REF!</v>
      </c>
      <c r="I930" s="137" t="e">
        <f t="shared" ca="1" si="44"/>
        <v>#REF!</v>
      </c>
      <c r="J930" s="117"/>
    </row>
    <row r="931" spans="1:10" hidden="1" x14ac:dyDescent="0.25">
      <c r="A931" s="114" t="s">
        <v>831</v>
      </c>
      <c r="B931" s="115" t="s">
        <v>2477</v>
      </c>
      <c r="C931" s="116" t="s">
        <v>16</v>
      </c>
      <c r="D931" s="116">
        <v>0</v>
      </c>
      <c r="E931" s="136">
        <f ca="1">OFFSET(INDEX(Composições!A:J,MATCH(Orçamentária!A931,Composições!A:A,0),8),2,0)</f>
        <v>2.0225499999999998</v>
      </c>
      <c r="F931" s="137">
        <f t="shared" ca="1" si="42"/>
        <v>0</v>
      </c>
      <c r="G931" s="138" t="e">
        <f>IF(A931&lt;&gt;"",IF(AND(#REF!="Padrão",$H$4=#REF!),BDI!$B$17,IF(AND(#REF!="Padrão",$H$4=#REF!),BDI!#REF!,IF(AND(#REF!="Diferenciado",$H$4=#REF!),BDI!$E$17,IF(AND(#REF!="Diferenciado",$H$4=#REF!),BDI!#REF!,IF(#REF!="ZERO",0))))),"")</f>
        <v>#REF!</v>
      </c>
      <c r="H931" s="139" t="e">
        <f t="shared" ca="1" si="43"/>
        <v>#REF!</v>
      </c>
      <c r="I931" s="137" t="e">
        <f t="shared" ca="1" si="44"/>
        <v>#REF!</v>
      </c>
      <c r="J931" s="117"/>
    </row>
    <row r="932" spans="1:10" hidden="1" x14ac:dyDescent="0.25">
      <c r="A932" s="114" t="s">
        <v>833</v>
      </c>
      <c r="B932" s="115" t="s">
        <v>2478</v>
      </c>
      <c r="C932" s="116" t="s">
        <v>16</v>
      </c>
      <c r="D932" s="116">
        <v>0</v>
      </c>
      <c r="E932" s="136">
        <f ca="1">OFFSET(INDEX(Composições!A:J,MATCH(Orçamentária!A932,Composições!A:A,0),8),2,0)</f>
        <v>12.915136949999999</v>
      </c>
      <c r="F932" s="137">
        <f t="shared" ca="1" si="42"/>
        <v>0</v>
      </c>
      <c r="G932" s="138" t="e">
        <f>IF(A932&lt;&gt;"",IF(AND(#REF!="Padrão",$H$4=#REF!),BDI!$B$17,IF(AND(#REF!="Padrão",$H$4=#REF!),BDI!#REF!,IF(AND(#REF!="Diferenciado",$H$4=#REF!),BDI!$E$17,IF(AND(#REF!="Diferenciado",$H$4=#REF!),BDI!#REF!,IF(#REF!="ZERO",0))))),"")</f>
        <v>#REF!</v>
      </c>
      <c r="H932" s="139" t="e">
        <f t="shared" ca="1" si="43"/>
        <v>#REF!</v>
      </c>
      <c r="I932" s="137" t="e">
        <f t="shared" ca="1" si="44"/>
        <v>#REF!</v>
      </c>
      <c r="J932" s="117"/>
    </row>
    <row r="933" spans="1:10" hidden="1" x14ac:dyDescent="0.25">
      <c r="A933" s="114" t="s">
        <v>835</v>
      </c>
      <c r="B933" s="115" t="s">
        <v>3496</v>
      </c>
      <c r="C933" s="116" t="s">
        <v>69</v>
      </c>
      <c r="D933" s="116">
        <v>0</v>
      </c>
      <c r="E933" s="136">
        <f ca="1">OFFSET(INDEX(Composições!A:J,MATCH(Orçamentária!A933,Composições!A:A,0),8),2,0)</f>
        <v>3.1980420000000001</v>
      </c>
      <c r="F933" s="137">
        <f t="shared" ca="1" si="42"/>
        <v>0</v>
      </c>
      <c r="G933" s="138" t="e">
        <f>IF(A933&lt;&gt;"",IF(AND(#REF!="Padrão",$H$4=#REF!),BDI!$B$17,IF(AND(#REF!="Padrão",$H$4=#REF!),BDI!#REF!,IF(AND(#REF!="Diferenciado",$H$4=#REF!),BDI!$E$17,IF(AND(#REF!="Diferenciado",$H$4=#REF!),BDI!#REF!,IF(#REF!="ZERO",0))))),"")</f>
        <v>#REF!</v>
      </c>
      <c r="H933" s="139" t="e">
        <f t="shared" ca="1" si="43"/>
        <v>#REF!</v>
      </c>
      <c r="I933" s="137" t="e">
        <f t="shared" ca="1" si="44"/>
        <v>#REF!</v>
      </c>
      <c r="J933" s="117"/>
    </row>
    <row r="934" spans="1:10" x14ac:dyDescent="0.25">
      <c r="A934" s="189" t="s">
        <v>837</v>
      </c>
      <c r="B934" s="190" t="s">
        <v>3497</v>
      </c>
      <c r="C934" s="191" t="s">
        <v>69</v>
      </c>
      <c r="D934" s="191">
        <v>122</v>
      </c>
      <c r="E934" s="136">
        <f ca="1">OFFSET(INDEX(Composições!A:J,MATCH(Orçamentária!A934,Composições!A:A,0),8),2,0)</f>
        <v>52.212085499999986</v>
      </c>
      <c r="F934" s="137">
        <f t="shared" ca="1" si="42"/>
        <v>6369.8744309999984</v>
      </c>
      <c r="G934" s="138">
        <f>BDI!$B$17</f>
        <v>0.191</v>
      </c>
      <c r="H934" s="139">
        <f t="shared" ca="1" si="43"/>
        <v>62.18</v>
      </c>
      <c r="I934" s="137">
        <f t="shared" ca="1" si="44"/>
        <v>7585.96</v>
      </c>
      <c r="J934" s="117"/>
    </row>
    <row r="935" spans="1:10" hidden="1" x14ac:dyDescent="0.25">
      <c r="A935" s="114" t="s">
        <v>839</v>
      </c>
      <c r="B935" s="115" t="s">
        <v>3498</v>
      </c>
      <c r="C935" s="116" t="s">
        <v>69</v>
      </c>
      <c r="D935" s="116">
        <v>0</v>
      </c>
      <c r="E935" s="136">
        <f ca="1">OFFSET(INDEX(Composições!A:J,MATCH(Orçamentária!A935,Composições!A:A,0),8),2,0)</f>
        <v>4.3346789999999995</v>
      </c>
      <c r="F935" s="137">
        <f t="shared" ca="1" si="42"/>
        <v>0</v>
      </c>
      <c r="G935" s="138" t="e">
        <f>IF(A935&lt;&gt;"",IF(AND(#REF!="Padrão",$H$4=#REF!),BDI!$B$17,IF(AND(#REF!="Padrão",$H$4=#REF!),BDI!#REF!,IF(AND(#REF!="Diferenciado",$H$4=#REF!),BDI!$E$17,IF(AND(#REF!="Diferenciado",$H$4=#REF!),BDI!#REF!,IF(#REF!="ZERO",0))))),"")</f>
        <v>#REF!</v>
      </c>
      <c r="H935" s="139" t="e">
        <f t="shared" ca="1" si="43"/>
        <v>#REF!</v>
      </c>
      <c r="I935" s="137" t="e">
        <f t="shared" ca="1" si="44"/>
        <v>#REF!</v>
      </c>
      <c r="J935" s="117"/>
    </row>
    <row r="936" spans="1:10" x14ac:dyDescent="0.25">
      <c r="A936" s="189" t="s">
        <v>841</v>
      </c>
      <c r="B936" s="190" t="s">
        <v>3499</v>
      </c>
      <c r="C936" s="191" t="s">
        <v>69</v>
      </c>
      <c r="D936" s="191">
        <v>504</v>
      </c>
      <c r="E936" s="136">
        <f ca="1">OFFSET(INDEX(Composições!A:J,MATCH(Orçamentária!A936,Composições!A:A,0),8),2,0)</f>
        <v>97.560800999999969</v>
      </c>
      <c r="F936" s="137">
        <f t="shared" ca="1" si="42"/>
        <v>49170.643703999987</v>
      </c>
      <c r="G936" s="138">
        <f>BDI!$B$17</f>
        <v>0.191</v>
      </c>
      <c r="H936" s="139">
        <f t="shared" ca="1" si="43"/>
        <v>116.19</v>
      </c>
      <c r="I936" s="137">
        <f t="shared" ca="1" si="44"/>
        <v>58559.76</v>
      </c>
      <c r="J936" s="117"/>
    </row>
    <row r="937" spans="1:10" hidden="1" x14ac:dyDescent="0.25">
      <c r="A937" s="114" t="s">
        <v>843</v>
      </c>
      <c r="B937" s="115" t="s">
        <v>3500</v>
      </c>
      <c r="C937" s="116" t="s">
        <v>69</v>
      </c>
      <c r="D937" s="116">
        <v>0</v>
      </c>
      <c r="E937" s="136">
        <f ca="1">OFFSET(INDEX(Composições!A:J,MATCH(Orçamentária!A937,Composições!A:A,0),8),2,0)</f>
        <v>6.3608580000000003</v>
      </c>
      <c r="F937" s="137">
        <f t="shared" ca="1" si="42"/>
        <v>0</v>
      </c>
      <c r="G937" s="138" t="e">
        <f>IF(A937&lt;&gt;"",IF(AND(#REF!="Padrão",$H$4=#REF!),BDI!$B$17,IF(AND(#REF!="Padrão",$H$4=#REF!),BDI!#REF!,IF(AND(#REF!="Diferenciado",$H$4=#REF!),BDI!$E$17,IF(AND(#REF!="Diferenciado",$H$4=#REF!),BDI!#REF!,IF(#REF!="ZERO",0))))),"")</f>
        <v>#REF!</v>
      </c>
      <c r="H937" s="139" t="e">
        <f t="shared" ca="1" si="43"/>
        <v>#REF!</v>
      </c>
      <c r="I937" s="137" t="e">
        <f t="shared" ca="1" si="44"/>
        <v>#REF!</v>
      </c>
      <c r="J937" s="117"/>
    </row>
    <row r="938" spans="1:10" hidden="1" x14ac:dyDescent="0.25">
      <c r="A938" s="114" t="s">
        <v>845</v>
      </c>
      <c r="B938" s="115" t="s">
        <v>3501</v>
      </c>
      <c r="C938" s="116" t="s">
        <v>69</v>
      </c>
      <c r="D938" s="116">
        <v>0</v>
      </c>
      <c r="E938" s="136">
        <f ca="1">OFFSET(INDEX(Composições!A:J,MATCH(Orçamentária!A938,Composições!A:A,0),8),2,0)</f>
        <v>7.5469140000000001</v>
      </c>
      <c r="F938" s="137">
        <f t="shared" ca="1" si="42"/>
        <v>0</v>
      </c>
      <c r="G938" s="138" t="e">
        <f>IF(A938&lt;&gt;"",IF(AND(#REF!="Padrão",$H$4=#REF!),BDI!$B$17,IF(AND(#REF!="Padrão",$H$4=#REF!),BDI!#REF!,IF(AND(#REF!="Diferenciado",$H$4=#REF!),BDI!$E$17,IF(AND(#REF!="Diferenciado",$H$4=#REF!),BDI!#REF!,IF(#REF!="ZERO",0))))),"")</f>
        <v>#REF!</v>
      </c>
      <c r="H938" s="139" t="e">
        <f t="shared" ca="1" si="43"/>
        <v>#REF!</v>
      </c>
      <c r="I938" s="137" t="e">
        <f t="shared" ca="1" si="44"/>
        <v>#REF!</v>
      </c>
      <c r="J938" s="117"/>
    </row>
    <row r="939" spans="1:10" hidden="1" x14ac:dyDescent="0.25">
      <c r="A939" s="114" t="s">
        <v>847</v>
      </c>
      <c r="B939" s="115" t="s">
        <v>3502</v>
      </c>
      <c r="C939" s="116" t="s">
        <v>69</v>
      </c>
      <c r="D939" s="116">
        <v>0</v>
      </c>
      <c r="E939" s="136">
        <f ca="1">OFFSET(INDEX(Composições!A:J,MATCH(Orçamentária!A939,Composições!A:A,0),8),2,0)</f>
        <v>8.8812270000000009</v>
      </c>
      <c r="F939" s="137">
        <f t="shared" ca="1" si="42"/>
        <v>0</v>
      </c>
      <c r="G939" s="138" t="e">
        <f>IF(A939&lt;&gt;"",IF(AND(#REF!="Padrão",$H$4=#REF!),BDI!$B$17,IF(AND(#REF!="Padrão",$H$4=#REF!),BDI!#REF!,IF(AND(#REF!="Diferenciado",$H$4=#REF!),BDI!$E$17,IF(AND(#REF!="Diferenciado",$H$4=#REF!),BDI!#REF!,IF(#REF!="ZERO",0))))),"")</f>
        <v>#REF!</v>
      </c>
      <c r="H939" s="139" t="e">
        <f t="shared" ca="1" si="43"/>
        <v>#REF!</v>
      </c>
      <c r="I939" s="137" t="e">
        <f t="shared" ca="1" si="44"/>
        <v>#REF!</v>
      </c>
      <c r="J939" s="117"/>
    </row>
    <row r="940" spans="1:10" hidden="1" x14ac:dyDescent="0.25">
      <c r="A940" s="114" t="s">
        <v>849</v>
      </c>
      <c r="B940" s="115" t="s">
        <v>3503</v>
      </c>
      <c r="C940" s="116" t="s">
        <v>69</v>
      </c>
      <c r="D940" s="116">
        <v>0</v>
      </c>
      <c r="E940" s="136">
        <f ca="1">OFFSET(INDEX(Composições!A:J,MATCH(Orçamentária!A940,Composições!A:A,0),8),2,0)</f>
        <v>10.512053999999999</v>
      </c>
      <c r="F940" s="137">
        <f t="shared" ca="1" si="42"/>
        <v>0</v>
      </c>
      <c r="G940" s="138" t="e">
        <f>IF(A940&lt;&gt;"",IF(AND(#REF!="Padrão",$H$4=#REF!),BDI!$B$17,IF(AND(#REF!="Padrão",$H$4=#REF!),BDI!#REF!,IF(AND(#REF!="Diferenciado",$H$4=#REF!),BDI!$E$17,IF(AND(#REF!="Diferenciado",$H$4=#REF!),BDI!#REF!,IF(#REF!="ZERO",0))))),"")</f>
        <v>#REF!</v>
      </c>
      <c r="H940" s="139" t="e">
        <f t="shared" ca="1" si="43"/>
        <v>#REF!</v>
      </c>
      <c r="I940" s="137" t="e">
        <f t="shared" ca="1" si="44"/>
        <v>#REF!</v>
      </c>
      <c r="J940" s="117"/>
    </row>
    <row r="941" spans="1:10" hidden="1" x14ac:dyDescent="0.25">
      <c r="A941" s="114" t="s">
        <v>851</v>
      </c>
      <c r="B941" s="115" t="s">
        <v>3504</v>
      </c>
      <c r="C941" s="116" t="s">
        <v>69</v>
      </c>
      <c r="D941" s="116">
        <v>0</v>
      </c>
      <c r="E941" s="136">
        <f ca="1">OFFSET(INDEX(Composições!A:J,MATCH(Orçamentária!A941,Composições!A:A,0),8),2,0)</f>
        <v>13.032423000000001</v>
      </c>
      <c r="F941" s="137">
        <f t="shared" ca="1" si="42"/>
        <v>0</v>
      </c>
      <c r="G941" s="138" t="e">
        <f>IF(A941&lt;&gt;"",IF(AND(#REF!="Padrão",$H$4=#REF!),BDI!$B$17,IF(AND(#REF!="Padrão",$H$4=#REF!),BDI!#REF!,IF(AND(#REF!="Diferenciado",$H$4=#REF!),BDI!$E$17,IF(AND(#REF!="Diferenciado",$H$4=#REF!),BDI!#REF!,IF(#REF!="ZERO",0))))),"")</f>
        <v>#REF!</v>
      </c>
      <c r="H941" s="139" t="e">
        <f t="shared" ca="1" si="43"/>
        <v>#REF!</v>
      </c>
      <c r="I941" s="137" t="e">
        <f t="shared" ca="1" si="44"/>
        <v>#REF!</v>
      </c>
      <c r="J941" s="117"/>
    </row>
    <row r="942" spans="1:10" hidden="1" x14ac:dyDescent="0.25">
      <c r="A942" s="114" t="s">
        <v>853</v>
      </c>
      <c r="B942" s="115" t="s">
        <v>2479</v>
      </c>
      <c r="C942" s="116" t="s">
        <v>70</v>
      </c>
      <c r="D942" s="116">
        <v>0</v>
      </c>
      <c r="E942" s="136">
        <f ca="1">OFFSET(INDEX(Composições!A:J,MATCH(Orçamentária!A942,Composições!A:A,0),8),2,0)</f>
        <v>9.3777926085699974</v>
      </c>
      <c r="F942" s="137">
        <f t="shared" ca="1" si="42"/>
        <v>0</v>
      </c>
      <c r="G942" s="138" t="e">
        <f>IF(A942&lt;&gt;"",IF(AND(#REF!="Padrão",$H$4=#REF!),BDI!$B$17,IF(AND(#REF!="Padrão",$H$4=#REF!),BDI!#REF!,IF(AND(#REF!="Diferenciado",$H$4=#REF!),BDI!$E$17,IF(AND(#REF!="Diferenciado",$H$4=#REF!),BDI!#REF!,IF(#REF!="ZERO",0))))),"")</f>
        <v>#REF!</v>
      </c>
      <c r="H942" s="139" t="e">
        <f t="shared" ca="1" si="43"/>
        <v>#REF!</v>
      </c>
      <c r="I942" s="137" t="e">
        <f t="shared" ca="1" si="44"/>
        <v>#REF!</v>
      </c>
      <c r="J942" s="117"/>
    </row>
    <row r="943" spans="1:10" hidden="1" x14ac:dyDescent="0.25">
      <c r="A943" s="114" t="s">
        <v>857</v>
      </c>
      <c r="B943" s="115" t="s">
        <v>2480</v>
      </c>
      <c r="C943" s="116" t="s">
        <v>69</v>
      </c>
      <c r="D943" s="116">
        <v>0</v>
      </c>
      <c r="E943" s="136">
        <f ca="1">OFFSET(INDEX(Composições!A:J,MATCH(Orçamentária!A943,Composições!A:A,0),8),2,0)</f>
        <v>17.356632281799996</v>
      </c>
      <c r="F943" s="137">
        <f t="shared" ca="1" si="42"/>
        <v>0</v>
      </c>
      <c r="G943" s="138" t="e">
        <f>IF(A943&lt;&gt;"",IF(AND(#REF!="Padrão",$H$4=#REF!),BDI!$B$17,IF(AND(#REF!="Padrão",$H$4=#REF!),BDI!#REF!,IF(AND(#REF!="Diferenciado",$H$4=#REF!),BDI!$E$17,IF(AND(#REF!="Diferenciado",$H$4=#REF!),BDI!#REF!,IF(#REF!="ZERO",0))))),"")</f>
        <v>#REF!</v>
      </c>
      <c r="H943" s="139" t="e">
        <f t="shared" ca="1" si="43"/>
        <v>#REF!</v>
      </c>
      <c r="I943" s="137" t="e">
        <f t="shared" ca="1" si="44"/>
        <v>#REF!</v>
      </c>
      <c r="J943" s="117"/>
    </row>
    <row r="944" spans="1:10" hidden="1" x14ac:dyDescent="0.25">
      <c r="A944" s="114" t="s">
        <v>2481</v>
      </c>
      <c r="B944" s="115" t="s">
        <v>2482</v>
      </c>
      <c r="C944" s="116" t="s">
        <v>16</v>
      </c>
      <c r="D944" s="116">
        <v>0</v>
      </c>
      <c r="E944" s="136" t="s">
        <v>416</v>
      </c>
      <c r="F944" s="137" t="str">
        <f t="shared" si="42"/>
        <v/>
      </c>
      <c r="G944" s="138" t="e">
        <f>IF(A944&lt;&gt;"",IF(AND(#REF!="Padrão",$H$4=#REF!),BDI!$B$17,IF(AND(#REF!="Padrão",$H$4=#REF!),BDI!#REF!,IF(AND(#REF!="Diferenciado",$H$4=#REF!),BDI!$E$17,IF(AND(#REF!="Diferenciado",$H$4=#REF!),BDI!#REF!,IF(#REF!="ZERO",0))))),"")</f>
        <v>#REF!</v>
      </c>
      <c r="H944" s="139" t="str">
        <f t="shared" si="43"/>
        <v/>
      </c>
      <c r="I944" s="137" t="str">
        <f t="shared" si="44"/>
        <v/>
      </c>
      <c r="J944" s="117"/>
    </row>
    <row r="945" spans="1:10" hidden="1" x14ac:dyDescent="0.25">
      <c r="A945" s="114" t="s">
        <v>858</v>
      </c>
      <c r="B945" s="115" t="s">
        <v>5457</v>
      </c>
      <c r="C945" s="116" t="s">
        <v>1334</v>
      </c>
      <c r="D945" s="116">
        <v>0</v>
      </c>
      <c r="E945" s="136">
        <f ca="1">OFFSET(INDEX(Composições!A:J,MATCH(Orçamentária!A945,Composições!A:A,0),8),2,0)</f>
        <v>4.6523342999999997</v>
      </c>
      <c r="F945" s="137">
        <f t="shared" ca="1" si="42"/>
        <v>0</v>
      </c>
      <c r="G945" s="138" t="e">
        <f>IF(A945&lt;&gt;"",IF(AND(#REF!="Padrão",$H$4=#REF!),BDI!$B$17,IF(AND(#REF!="Padrão",$H$4=#REF!),BDI!#REF!,IF(AND(#REF!="Diferenciado",$H$4=#REF!),BDI!$E$17,IF(AND(#REF!="Diferenciado",$H$4=#REF!),BDI!#REF!,IF(#REF!="ZERO",0))))),"")</f>
        <v>#REF!</v>
      </c>
      <c r="H945" s="139" t="e">
        <f t="shared" ca="1" si="43"/>
        <v>#REF!</v>
      </c>
      <c r="I945" s="137" t="e">
        <f t="shared" ca="1" si="44"/>
        <v>#REF!</v>
      </c>
      <c r="J945" s="117"/>
    </row>
    <row r="946" spans="1:10" hidden="1" x14ac:dyDescent="0.25">
      <c r="A946" s="114" t="s">
        <v>2483</v>
      </c>
      <c r="B946" s="115" t="s">
        <v>2484</v>
      </c>
      <c r="C946" s="116" t="s">
        <v>2373</v>
      </c>
      <c r="D946" s="116">
        <v>0</v>
      </c>
      <c r="E946" s="136" t="s">
        <v>416</v>
      </c>
      <c r="F946" s="137" t="str">
        <f t="shared" si="42"/>
        <v/>
      </c>
      <c r="G946" s="138" t="e">
        <f>IF(A946&lt;&gt;"",IF(AND(#REF!="Padrão",$H$4=#REF!),BDI!$B$17,IF(AND(#REF!="Padrão",$H$4=#REF!),BDI!#REF!,IF(AND(#REF!="Diferenciado",$H$4=#REF!),BDI!$E$17,IF(AND(#REF!="Diferenciado",$H$4=#REF!),BDI!#REF!,IF(#REF!="ZERO",0))))),"")</f>
        <v>#REF!</v>
      </c>
      <c r="H946" s="139" t="str">
        <f t="shared" si="43"/>
        <v/>
      </c>
      <c r="I946" s="137" t="str">
        <f t="shared" si="44"/>
        <v/>
      </c>
      <c r="J946" s="117"/>
    </row>
    <row r="947" spans="1:10" hidden="1" x14ac:dyDescent="0.25">
      <c r="A947" s="114" t="s">
        <v>864</v>
      </c>
      <c r="B947" s="115" t="s">
        <v>2485</v>
      </c>
      <c r="C947" s="116" t="s">
        <v>16</v>
      </c>
      <c r="D947" s="116">
        <v>0</v>
      </c>
      <c r="E947" s="136">
        <f ca="1">OFFSET(INDEX(Composições!A:J,MATCH(Orçamentária!A947,Composições!A:A,0),8),2,0)</f>
        <v>174.82374999999999</v>
      </c>
      <c r="F947" s="137">
        <f t="shared" ca="1" si="42"/>
        <v>0</v>
      </c>
      <c r="G947" s="138" t="e">
        <f>IF(A947&lt;&gt;"",IF(AND(#REF!="Padrão",$H$4=#REF!),BDI!$B$17,IF(AND(#REF!="Padrão",$H$4=#REF!),BDI!#REF!,IF(AND(#REF!="Diferenciado",$H$4=#REF!),BDI!$E$17,IF(AND(#REF!="Diferenciado",$H$4=#REF!),BDI!#REF!,IF(#REF!="ZERO",0))))),"")</f>
        <v>#REF!</v>
      </c>
      <c r="H947" s="139" t="e">
        <f t="shared" ca="1" si="43"/>
        <v>#REF!</v>
      </c>
      <c r="I947" s="137" t="e">
        <f t="shared" ca="1" si="44"/>
        <v>#REF!</v>
      </c>
      <c r="J947" s="117"/>
    </row>
    <row r="948" spans="1:10" hidden="1" x14ac:dyDescent="0.25">
      <c r="A948" s="114" t="s">
        <v>865</v>
      </c>
      <c r="B948" s="115" t="s">
        <v>2486</v>
      </c>
      <c r="C948" s="116" t="s">
        <v>16</v>
      </c>
      <c r="D948" s="116">
        <v>0</v>
      </c>
      <c r="E948" s="136">
        <f ca="1">OFFSET(INDEX(Composições!A:J,MATCH(Orçamentária!A948,Composições!A:A,0),8),2,0)</f>
        <v>7.3193785499999997</v>
      </c>
      <c r="F948" s="137">
        <f t="shared" ca="1" si="42"/>
        <v>0</v>
      </c>
      <c r="G948" s="138" t="e">
        <f>IF(A948&lt;&gt;"",IF(AND(#REF!="Padrão",$H$4=#REF!),BDI!$B$17,IF(AND(#REF!="Padrão",$H$4=#REF!),BDI!#REF!,IF(AND(#REF!="Diferenciado",$H$4=#REF!),BDI!$E$17,IF(AND(#REF!="Diferenciado",$H$4=#REF!),BDI!#REF!,IF(#REF!="ZERO",0))))),"")</f>
        <v>#REF!</v>
      </c>
      <c r="H948" s="139" t="e">
        <f t="shared" ca="1" si="43"/>
        <v>#REF!</v>
      </c>
      <c r="I948" s="137" t="e">
        <f t="shared" ca="1" si="44"/>
        <v>#REF!</v>
      </c>
      <c r="J948" s="117"/>
    </row>
    <row r="949" spans="1:10" hidden="1" x14ac:dyDescent="0.25">
      <c r="A949" s="114" t="s">
        <v>867</v>
      </c>
      <c r="B949" s="115" t="s">
        <v>2487</v>
      </c>
      <c r="C949" s="116" t="s">
        <v>16</v>
      </c>
      <c r="D949" s="116">
        <v>0</v>
      </c>
      <c r="E949" s="136">
        <f ca="1">OFFSET(INDEX(Composições!A:J,MATCH(Orçamentária!A949,Composições!A:A,0),8),2,0)</f>
        <v>5.4435950000000002</v>
      </c>
      <c r="F949" s="137">
        <f t="shared" ca="1" si="42"/>
        <v>0</v>
      </c>
      <c r="G949" s="138" t="e">
        <f>IF(A949&lt;&gt;"",IF(AND(#REF!="Padrão",$H$4=#REF!),BDI!$B$17,IF(AND(#REF!="Padrão",$H$4=#REF!),BDI!#REF!,IF(AND(#REF!="Diferenciado",$H$4=#REF!),BDI!$E$17,IF(AND(#REF!="Diferenciado",$H$4=#REF!),BDI!#REF!,IF(#REF!="ZERO",0))))),"")</f>
        <v>#REF!</v>
      </c>
      <c r="H949" s="139" t="e">
        <f t="shared" ca="1" si="43"/>
        <v>#REF!</v>
      </c>
      <c r="I949" s="137" t="e">
        <f t="shared" ca="1" si="44"/>
        <v>#REF!</v>
      </c>
      <c r="J949" s="117"/>
    </row>
    <row r="950" spans="1:10" hidden="1" x14ac:dyDescent="0.25">
      <c r="A950" s="114" t="s">
        <v>2488</v>
      </c>
      <c r="B950" s="115" t="s">
        <v>2489</v>
      </c>
      <c r="C950" s="116" t="s">
        <v>16</v>
      </c>
      <c r="D950" s="116">
        <v>0</v>
      </c>
      <c r="E950" s="136" t="s">
        <v>416</v>
      </c>
      <c r="F950" s="137" t="str">
        <f t="shared" si="42"/>
        <v/>
      </c>
      <c r="G950" s="138" t="e">
        <f>IF(A950&lt;&gt;"",IF(AND(#REF!="Padrão",$H$4=#REF!),BDI!$B$17,IF(AND(#REF!="Padrão",$H$4=#REF!),BDI!#REF!,IF(AND(#REF!="Diferenciado",$H$4=#REF!),BDI!$E$17,IF(AND(#REF!="Diferenciado",$H$4=#REF!),BDI!#REF!,IF(#REF!="ZERO",0))))),"")</f>
        <v>#REF!</v>
      </c>
      <c r="H950" s="139" t="str">
        <f t="shared" si="43"/>
        <v/>
      </c>
      <c r="I950" s="137" t="str">
        <f t="shared" si="44"/>
        <v/>
      </c>
      <c r="J950" s="117"/>
    </row>
    <row r="951" spans="1:10" hidden="1" x14ac:dyDescent="0.25">
      <c r="A951" s="114" t="s">
        <v>869</v>
      </c>
      <c r="B951" s="115" t="s">
        <v>7684</v>
      </c>
      <c r="C951" s="116" t="s">
        <v>16</v>
      </c>
      <c r="D951" s="116">
        <v>0</v>
      </c>
      <c r="E951" s="136">
        <f ca="1">OFFSET(INDEX(Composições!A:J,MATCH(Orçamentária!A951,Composições!A:A,0),8),2,0)</f>
        <v>283.45571341458941</v>
      </c>
      <c r="F951" s="137">
        <f t="shared" ca="1" si="42"/>
        <v>0</v>
      </c>
      <c r="G951" s="138" t="e">
        <f>IF(A951&lt;&gt;"",IF(AND(#REF!="Padrão",$H$4=#REF!),BDI!$B$17,IF(AND(#REF!="Padrão",$H$4=#REF!),BDI!#REF!,IF(AND(#REF!="Diferenciado",$H$4=#REF!),BDI!$E$17,IF(AND(#REF!="Diferenciado",$H$4=#REF!),BDI!#REF!,IF(#REF!="ZERO",0))))),"")</f>
        <v>#REF!</v>
      </c>
      <c r="H951" s="139" t="e">
        <f t="shared" ca="1" si="43"/>
        <v>#REF!</v>
      </c>
      <c r="I951" s="137" t="e">
        <f t="shared" ca="1" si="44"/>
        <v>#REF!</v>
      </c>
      <c r="J951" s="117"/>
    </row>
    <row r="952" spans="1:10" hidden="1" x14ac:dyDescent="0.25">
      <c r="A952" s="114" t="s">
        <v>872</v>
      </c>
      <c r="B952" s="115" t="s">
        <v>2490</v>
      </c>
      <c r="C952" s="116" t="s">
        <v>2491</v>
      </c>
      <c r="D952" s="116">
        <v>0</v>
      </c>
      <c r="E952" s="136">
        <f ca="1">OFFSET(INDEX(Composições!A:J,MATCH(Orçamentária!A952,Composições!A:A,0),8),2,0)</f>
        <v>108.16699999999999</v>
      </c>
      <c r="F952" s="137">
        <f t="shared" ca="1" si="42"/>
        <v>0</v>
      </c>
      <c r="G952" s="138" t="e">
        <f>IF(A952&lt;&gt;"",IF(AND(#REF!="Padrão",$H$4=#REF!),BDI!$B$17,IF(AND(#REF!="Padrão",$H$4=#REF!),BDI!#REF!,IF(AND(#REF!="Diferenciado",$H$4=#REF!),BDI!$E$17,IF(AND(#REF!="Diferenciado",$H$4=#REF!),BDI!#REF!,IF(#REF!="ZERO",0))))),"")</f>
        <v>#REF!</v>
      </c>
      <c r="H952" s="139" t="e">
        <f t="shared" ca="1" si="43"/>
        <v>#REF!</v>
      </c>
      <c r="I952" s="137" t="e">
        <f t="shared" ca="1" si="44"/>
        <v>#REF!</v>
      </c>
      <c r="J952" s="117"/>
    </row>
    <row r="953" spans="1:10" hidden="1" x14ac:dyDescent="0.25">
      <c r="A953" s="114" t="s">
        <v>873</v>
      </c>
      <c r="B953" s="115" t="s">
        <v>2492</v>
      </c>
      <c r="C953" s="116" t="s">
        <v>2493</v>
      </c>
      <c r="D953" s="116">
        <v>0</v>
      </c>
      <c r="E953" s="136">
        <f ca="1">OFFSET(INDEX(Composições!A:J,MATCH(Orçamentária!A953,Composições!A:A,0),8),2,0)</f>
        <v>581.4855</v>
      </c>
      <c r="F953" s="137">
        <f t="shared" ca="1" si="42"/>
        <v>0</v>
      </c>
      <c r="G953" s="138" t="e">
        <f>IF(A953&lt;&gt;"",IF(AND(#REF!="Padrão",$H$4=#REF!),BDI!$B$17,IF(AND(#REF!="Padrão",$H$4=#REF!),BDI!#REF!,IF(AND(#REF!="Diferenciado",$H$4=#REF!),BDI!$E$17,IF(AND(#REF!="Diferenciado",$H$4=#REF!),BDI!#REF!,IF(#REF!="ZERO",0))))),"")</f>
        <v>#REF!</v>
      </c>
      <c r="H953" s="139" t="e">
        <f t="shared" ca="1" si="43"/>
        <v>#REF!</v>
      </c>
      <c r="I953" s="137" t="e">
        <f t="shared" ca="1" si="44"/>
        <v>#REF!</v>
      </c>
      <c r="J953" s="117"/>
    </row>
    <row r="954" spans="1:10" hidden="1" x14ac:dyDescent="0.25">
      <c r="A954" s="114" t="s">
        <v>2494</v>
      </c>
      <c r="B954" s="115" t="s">
        <v>2495</v>
      </c>
      <c r="C954" s="116" t="s">
        <v>2493</v>
      </c>
      <c r="D954" s="116">
        <v>0</v>
      </c>
      <c r="E954" s="136" t="s">
        <v>416</v>
      </c>
      <c r="F954" s="137" t="str">
        <f t="shared" si="42"/>
        <v/>
      </c>
      <c r="G954" s="138" t="e">
        <f>IF(A954&lt;&gt;"",IF(AND(#REF!="Padrão",$H$4=#REF!),BDI!$B$17,IF(AND(#REF!="Padrão",$H$4=#REF!),BDI!#REF!,IF(AND(#REF!="Diferenciado",$H$4=#REF!),BDI!$E$17,IF(AND(#REF!="Diferenciado",$H$4=#REF!),BDI!#REF!,IF(#REF!="ZERO",0))))),"")</f>
        <v>#REF!</v>
      </c>
      <c r="H954" s="139" t="str">
        <f t="shared" si="43"/>
        <v/>
      </c>
      <c r="I954" s="137" t="str">
        <f t="shared" si="44"/>
        <v/>
      </c>
      <c r="J954" s="117"/>
    </row>
    <row r="955" spans="1:10" hidden="1" x14ac:dyDescent="0.25">
      <c r="A955" s="114" t="s">
        <v>875</v>
      </c>
      <c r="B955" s="115" t="s">
        <v>2496</v>
      </c>
      <c r="C955" s="116" t="s">
        <v>70</v>
      </c>
      <c r="D955" s="116">
        <v>0</v>
      </c>
      <c r="E955" s="136">
        <f ca="1">OFFSET(INDEX(Composições!A:J,MATCH(Orçamentária!A955,Composições!A:A,0),8),2,0)</f>
        <v>1.8466669999999996</v>
      </c>
      <c r="F955" s="137">
        <f t="shared" ca="1" si="42"/>
        <v>0</v>
      </c>
      <c r="G955" s="138" t="e">
        <f>IF(A955&lt;&gt;"",IF(AND(#REF!="Padrão",$H$4=#REF!),BDI!$B$17,IF(AND(#REF!="Padrão",$H$4=#REF!),BDI!#REF!,IF(AND(#REF!="Diferenciado",$H$4=#REF!),BDI!$E$17,IF(AND(#REF!="Diferenciado",$H$4=#REF!),BDI!#REF!,IF(#REF!="ZERO",0))))),"")</f>
        <v>#REF!</v>
      </c>
      <c r="H955" s="139" t="e">
        <f t="shared" ca="1" si="43"/>
        <v>#REF!</v>
      </c>
      <c r="I955" s="137" t="e">
        <f t="shared" ca="1" si="44"/>
        <v>#REF!</v>
      </c>
      <c r="J955" s="117"/>
    </row>
    <row r="956" spans="1:10" hidden="1" x14ac:dyDescent="0.25">
      <c r="A956" s="114" t="s">
        <v>877</v>
      </c>
      <c r="B956" s="115" t="s">
        <v>2497</v>
      </c>
      <c r="C956" s="116" t="s">
        <v>70</v>
      </c>
      <c r="D956" s="116">
        <v>0</v>
      </c>
      <c r="E956" s="136">
        <f ca="1">OFFSET(INDEX(Composições!A:J,MATCH(Orçamentária!A956,Composições!A:A,0),8),2,0)</f>
        <v>6.7592499999999998</v>
      </c>
      <c r="F956" s="137">
        <f t="shared" ca="1" si="42"/>
        <v>0</v>
      </c>
      <c r="G956" s="138" t="e">
        <f>IF(A956&lt;&gt;"",IF(AND(#REF!="Padrão",$H$4=#REF!),BDI!$B$17,IF(AND(#REF!="Padrão",$H$4=#REF!),BDI!#REF!,IF(AND(#REF!="Diferenciado",$H$4=#REF!),BDI!$E$17,IF(AND(#REF!="Diferenciado",$H$4=#REF!),BDI!#REF!,IF(#REF!="ZERO",0))))),"")</f>
        <v>#REF!</v>
      </c>
      <c r="H956" s="139" t="e">
        <f t="shared" ca="1" si="43"/>
        <v>#REF!</v>
      </c>
      <c r="I956" s="137" t="e">
        <f t="shared" ca="1" si="44"/>
        <v>#REF!</v>
      </c>
      <c r="J956" s="117"/>
    </row>
    <row r="957" spans="1:10" hidden="1" x14ac:dyDescent="0.25">
      <c r="A957" s="114" t="s">
        <v>878</v>
      </c>
      <c r="B957" s="115" t="s">
        <v>2498</v>
      </c>
      <c r="C957" s="116" t="s">
        <v>70</v>
      </c>
      <c r="D957" s="116">
        <v>0</v>
      </c>
      <c r="E957" s="136">
        <f ca="1">OFFSET(INDEX(Composições!A:J,MATCH(Orçamentária!A957,Composições!A:A,0),8),2,0)</f>
        <v>25.281874999999996</v>
      </c>
      <c r="F957" s="137">
        <f t="shared" ca="1" si="42"/>
        <v>0</v>
      </c>
      <c r="G957" s="138" t="e">
        <f>IF(A957&lt;&gt;"",IF(AND(#REF!="Padrão",$H$4=#REF!),BDI!$B$17,IF(AND(#REF!="Padrão",$H$4=#REF!),BDI!#REF!,IF(AND(#REF!="Diferenciado",$H$4=#REF!),BDI!$E$17,IF(AND(#REF!="Diferenciado",$H$4=#REF!),BDI!#REF!,IF(#REF!="ZERO",0))))),"")</f>
        <v>#REF!</v>
      </c>
      <c r="H957" s="139" t="e">
        <f t="shared" ca="1" si="43"/>
        <v>#REF!</v>
      </c>
      <c r="I957" s="137" t="e">
        <f t="shared" ca="1" si="44"/>
        <v>#REF!</v>
      </c>
      <c r="J957" s="117"/>
    </row>
    <row r="958" spans="1:10" hidden="1" x14ac:dyDescent="0.25">
      <c r="A958" s="114" t="s">
        <v>879</v>
      </c>
      <c r="B958" s="115" t="s">
        <v>2499</v>
      </c>
      <c r="C958" s="116" t="s">
        <v>70</v>
      </c>
      <c r="D958" s="116">
        <v>0</v>
      </c>
      <c r="E958" s="136">
        <f ca="1">OFFSET(INDEX(Composições!A:J,MATCH(Orçamentária!A958,Composições!A:A,0),8),2,0)</f>
        <v>50.121657999999996</v>
      </c>
      <c r="F958" s="137">
        <f t="shared" ca="1" si="42"/>
        <v>0</v>
      </c>
      <c r="G958" s="138" t="e">
        <f>IF(A958&lt;&gt;"",IF(AND(#REF!="Padrão",$H$4=#REF!),BDI!$B$17,IF(AND(#REF!="Padrão",$H$4=#REF!),BDI!#REF!,IF(AND(#REF!="Diferenciado",$H$4=#REF!),BDI!$E$17,IF(AND(#REF!="Diferenciado",$H$4=#REF!),BDI!#REF!,IF(#REF!="ZERO",0))))),"")</f>
        <v>#REF!</v>
      </c>
      <c r="H958" s="139" t="e">
        <f t="shared" ca="1" si="43"/>
        <v>#REF!</v>
      </c>
      <c r="I958" s="137" t="e">
        <f t="shared" ca="1" si="44"/>
        <v>#REF!</v>
      </c>
      <c r="J958" s="117"/>
    </row>
    <row r="959" spans="1:10" hidden="1" x14ac:dyDescent="0.25">
      <c r="A959" s="114" t="s">
        <v>882</v>
      </c>
      <c r="B959" s="115" t="s">
        <v>2500</v>
      </c>
      <c r="C959" s="116" t="s">
        <v>70</v>
      </c>
      <c r="D959" s="116">
        <v>0</v>
      </c>
      <c r="E959" s="136">
        <f ca="1">OFFSET(INDEX(Composições!A:J,MATCH(Orçamentária!A959,Composições!A:A,0),8),2,0)</f>
        <v>54.561234949062502</v>
      </c>
      <c r="F959" s="137">
        <f t="shared" ca="1" si="42"/>
        <v>0</v>
      </c>
      <c r="G959" s="138" t="e">
        <f>IF(A959&lt;&gt;"",IF(AND(#REF!="Padrão",$H$4=#REF!),BDI!$B$17,IF(AND(#REF!="Padrão",$H$4=#REF!),BDI!#REF!,IF(AND(#REF!="Diferenciado",$H$4=#REF!),BDI!$E$17,IF(AND(#REF!="Diferenciado",$H$4=#REF!),BDI!#REF!,IF(#REF!="ZERO",0))))),"")</f>
        <v>#REF!</v>
      </c>
      <c r="H959" s="139" t="e">
        <f t="shared" ca="1" si="43"/>
        <v>#REF!</v>
      </c>
      <c r="I959" s="137" t="e">
        <f t="shared" ca="1" si="44"/>
        <v>#REF!</v>
      </c>
      <c r="J959" s="117"/>
    </row>
    <row r="960" spans="1:10" hidden="1" x14ac:dyDescent="0.25">
      <c r="A960" s="114" t="s">
        <v>885</v>
      </c>
      <c r="B960" s="115" t="s">
        <v>2501</v>
      </c>
      <c r="C960" s="116" t="s">
        <v>70</v>
      </c>
      <c r="D960" s="116">
        <v>0</v>
      </c>
      <c r="E960" s="136">
        <f ca="1">OFFSET(INDEX(Composições!A:J,MATCH(Orçamentária!A960,Composições!A:A,0),8),2,0)</f>
        <v>68.835583449062497</v>
      </c>
      <c r="F960" s="137">
        <f t="shared" ca="1" si="42"/>
        <v>0</v>
      </c>
      <c r="G960" s="138" t="e">
        <f>IF(A960&lt;&gt;"",IF(AND(#REF!="Padrão",$H$4=#REF!),BDI!$B$17,IF(AND(#REF!="Padrão",$H$4=#REF!),BDI!#REF!,IF(AND(#REF!="Diferenciado",$H$4=#REF!),BDI!$E$17,IF(AND(#REF!="Diferenciado",$H$4=#REF!),BDI!#REF!,IF(#REF!="ZERO",0))))),"")</f>
        <v>#REF!</v>
      </c>
      <c r="H960" s="139" t="e">
        <f t="shared" ca="1" si="43"/>
        <v>#REF!</v>
      </c>
      <c r="I960" s="137" t="e">
        <f t="shared" ca="1" si="44"/>
        <v>#REF!</v>
      </c>
      <c r="J960" s="117"/>
    </row>
    <row r="961" spans="1:10" hidden="1" x14ac:dyDescent="0.25">
      <c r="A961" s="114" t="s">
        <v>887</v>
      </c>
      <c r="B961" s="115" t="s">
        <v>2502</v>
      </c>
      <c r="C961" s="116" t="s">
        <v>70</v>
      </c>
      <c r="D961" s="116">
        <v>0</v>
      </c>
      <c r="E961" s="136">
        <f ca="1">OFFSET(INDEX(Composições!A:J,MATCH(Orçamentária!A961,Composições!A:A,0),8),2,0)</f>
        <v>18.905000000000001</v>
      </c>
      <c r="F961" s="137">
        <f t="shared" ca="1" si="42"/>
        <v>0</v>
      </c>
      <c r="G961" s="138" t="e">
        <f>IF(A961&lt;&gt;"",IF(AND(#REF!="Padrão",$H$4=#REF!),BDI!$B$17,IF(AND(#REF!="Padrão",$H$4=#REF!),BDI!#REF!,IF(AND(#REF!="Diferenciado",$H$4=#REF!),BDI!$E$17,IF(AND(#REF!="Diferenciado",$H$4=#REF!),BDI!#REF!,IF(#REF!="ZERO",0))))),"")</f>
        <v>#REF!</v>
      </c>
      <c r="H961" s="139" t="e">
        <f t="shared" ca="1" si="43"/>
        <v>#REF!</v>
      </c>
      <c r="I961" s="137" t="e">
        <f t="shared" ca="1" si="44"/>
        <v>#REF!</v>
      </c>
      <c r="J961" s="117"/>
    </row>
    <row r="962" spans="1:10" hidden="1" x14ac:dyDescent="0.25">
      <c r="A962" s="114" t="s">
        <v>888</v>
      </c>
      <c r="B962" s="115" t="s">
        <v>2503</v>
      </c>
      <c r="C962" s="116" t="s">
        <v>70</v>
      </c>
      <c r="D962" s="116">
        <v>0</v>
      </c>
      <c r="E962" s="136">
        <f ca="1">OFFSET(INDEX(Composições!A:J,MATCH(Orçamentária!A962,Composições!A:A,0),8),2,0)</f>
        <v>56.714999999999989</v>
      </c>
      <c r="F962" s="137">
        <f t="shared" ca="1" si="42"/>
        <v>0</v>
      </c>
      <c r="G962" s="138" t="e">
        <f>IF(A962&lt;&gt;"",IF(AND(#REF!="Padrão",$H$4=#REF!),BDI!$B$17,IF(AND(#REF!="Padrão",$H$4=#REF!),BDI!#REF!,IF(AND(#REF!="Diferenciado",$H$4=#REF!),BDI!$E$17,IF(AND(#REF!="Diferenciado",$H$4=#REF!),BDI!#REF!,IF(#REF!="ZERO",0))))),"")</f>
        <v>#REF!</v>
      </c>
      <c r="H962" s="139" t="e">
        <f t="shared" ca="1" si="43"/>
        <v>#REF!</v>
      </c>
      <c r="I962" s="137" t="e">
        <f t="shared" ca="1" si="44"/>
        <v>#REF!</v>
      </c>
      <c r="J962" s="117"/>
    </row>
    <row r="963" spans="1:10" hidden="1" x14ac:dyDescent="0.25">
      <c r="A963" s="114" t="s">
        <v>889</v>
      </c>
      <c r="B963" s="115" t="s">
        <v>2504</v>
      </c>
      <c r="C963" s="116" t="s">
        <v>70</v>
      </c>
      <c r="D963" s="116">
        <v>0</v>
      </c>
      <c r="E963" s="136">
        <f ca="1">OFFSET(INDEX(Composições!A:J,MATCH(Orçamentária!A963,Composições!A:A,0),8),2,0)</f>
        <v>8.9428249999999991</v>
      </c>
      <c r="F963" s="137">
        <f t="shared" ca="1" si="42"/>
        <v>0</v>
      </c>
      <c r="G963" s="138" t="e">
        <f>IF(A963&lt;&gt;"",IF(AND(#REF!="Padrão",$H$4=#REF!),BDI!$B$17,IF(AND(#REF!="Padrão",$H$4=#REF!),BDI!#REF!,IF(AND(#REF!="Diferenciado",$H$4=#REF!),BDI!$E$17,IF(AND(#REF!="Diferenciado",$H$4=#REF!),BDI!#REF!,IF(#REF!="ZERO",0))))),"")</f>
        <v>#REF!</v>
      </c>
      <c r="H963" s="139" t="e">
        <f t="shared" ca="1" si="43"/>
        <v>#REF!</v>
      </c>
      <c r="I963" s="137" t="e">
        <f t="shared" ca="1" si="44"/>
        <v>#REF!</v>
      </c>
      <c r="J963" s="117"/>
    </row>
    <row r="964" spans="1:10" hidden="1" x14ac:dyDescent="0.25">
      <c r="A964" s="114" t="s">
        <v>890</v>
      </c>
      <c r="B964" s="115" t="s">
        <v>2505</v>
      </c>
      <c r="C964" s="116" t="s">
        <v>70</v>
      </c>
      <c r="D964" s="116">
        <v>0</v>
      </c>
      <c r="E964" s="136">
        <f ca="1">OFFSET(INDEX(Composições!A:J,MATCH(Orçamentária!A964,Composições!A:A,0),8),2,0)</f>
        <v>6.0676499999999987</v>
      </c>
      <c r="F964" s="137">
        <f t="shared" ca="1" si="42"/>
        <v>0</v>
      </c>
      <c r="G964" s="138" t="e">
        <f>IF(A964&lt;&gt;"",IF(AND(#REF!="Padrão",$H$4=#REF!),BDI!$B$17,IF(AND(#REF!="Padrão",$H$4=#REF!),BDI!#REF!,IF(AND(#REF!="Diferenciado",$H$4=#REF!),BDI!$E$17,IF(AND(#REF!="Diferenciado",$H$4=#REF!),BDI!#REF!,IF(#REF!="ZERO",0))))),"")</f>
        <v>#REF!</v>
      </c>
      <c r="H964" s="139" t="e">
        <f t="shared" ca="1" si="43"/>
        <v>#REF!</v>
      </c>
      <c r="I964" s="137" t="e">
        <f t="shared" ca="1" si="44"/>
        <v>#REF!</v>
      </c>
      <c r="J964" s="117"/>
    </row>
    <row r="965" spans="1:10" ht="25.5" hidden="1" x14ac:dyDescent="0.25">
      <c r="A965" s="114" t="s">
        <v>891</v>
      </c>
      <c r="B965" s="115" t="s">
        <v>2506</v>
      </c>
      <c r="C965" s="116" t="s">
        <v>16</v>
      </c>
      <c r="D965" s="116">
        <v>0</v>
      </c>
      <c r="E965" s="136">
        <f ca="1">OFFSET(INDEX(Composições!A:J,MATCH(Orçamentária!A965,Composições!A:A,0),8),2,0)</f>
        <v>2.0225499999999998</v>
      </c>
      <c r="F965" s="137">
        <f t="shared" ca="1" si="42"/>
        <v>0</v>
      </c>
      <c r="G965" s="138" t="e">
        <f>IF(A965&lt;&gt;"",IF(AND(#REF!="Padrão",$H$4=#REF!),BDI!$B$17,IF(AND(#REF!="Padrão",$H$4=#REF!),BDI!#REF!,IF(AND(#REF!="Diferenciado",$H$4=#REF!),BDI!$E$17,IF(AND(#REF!="Diferenciado",$H$4=#REF!),BDI!#REF!,IF(#REF!="ZERO",0))))),"")</f>
        <v>#REF!</v>
      </c>
      <c r="H965" s="139" t="e">
        <f t="shared" ca="1" si="43"/>
        <v>#REF!</v>
      </c>
      <c r="I965" s="137" t="e">
        <f t="shared" ca="1" si="44"/>
        <v>#REF!</v>
      </c>
      <c r="J965" s="117"/>
    </row>
    <row r="966" spans="1:10" ht="25.5" hidden="1" x14ac:dyDescent="0.25">
      <c r="A966" s="114" t="s">
        <v>892</v>
      </c>
      <c r="B966" s="115" t="s">
        <v>2507</v>
      </c>
      <c r="C966" s="116" t="s">
        <v>16</v>
      </c>
      <c r="D966" s="116">
        <v>0</v>
      </c>
      <c r="E966" s="136">
        <f ca="1">OFFSET(INDEX(Composições!A:J,MATCH(Orçamentária!A966,Composições!A:A,0),8),2,0)</f>
        <v>9.7687871391722965</v>
      </c>
      <c r="F966" s="137">
        <f t="shared" ca="1" si="42"/>
        <v>0</v>
      </c>
      <c r="G966" s="138" t="e">
        <f>IF(A966&lt;&gt;"",IF(AND(#REF!="Padrão",$H$4=#REF!),BDI!$B$17,IF(AND(#REF!="Padrão",$H$4=#REF!),BDI!#REF!,IF(AND(#REF!="Diferenciado",$H$4=#REF!),BDI!$E$17,IF(AND(#REF!="Diferenciado",$H$4=#REF!),BDI!#REF!,IF(#REF!="ZERO",0))))),"")</f>
        <v>#REF!</v>
      </c>
      <c r="H966" s="139" t="e">
        <f t="shared" ca="1" si="43"/>
        <v>#REF!</v>
      </c>
      <c r="I966" s="137" t="e">
        <f t="shared" ca="1" si="44"/>
        <v>#REF!</v>
      </c>
      <c r="J966" s="117"/>
    </row>
    <row r="967" spans="1:10" hidden="1" x14ac:dyDescent="0.25">
      <c r="A967" s="114" t="s">
        <v>898</v>
      </c>
      <c r="B967" s="115" t="s">
        <v>2508</v>
      </c>
      <c r="C967" s="116" t="s">
        <v>16</v>
      </c>
      <c r="D967" s="116">
        <v>0</v>
      </c>
      <c r="E967" s="136">
        <f ca="1">OFFSET(INDEX(Composições!A:J,MATCH(Orçamentária!A967,Composições!A:A,0),8),2,0)</f>
        <v>9.7687871391722965</v>
      </c>
      <c r="F967" s="137">
        <f t="shared" ref="F967:F1030" ca="1" si="45">IF(ISNUMBER(E967),D967*E967,"")</f>
        <v>0</v>
      </c>
      <c r="G967" s="138" t="e">
        <f>IF(A967&lt;&gt;"",IF(AND(#REF!="Padrão",$H$4=#REF!),BDI!$B$17,IF(AND(#REF!="Padrão",$H$4=#REF!),BDI!#REF!,IF(AND(#REF!="Diferenciado",$H$4=#REF!),BDI!$E$17,IF(AND(#REF!="Diferenciado",$H$4=#REF!),BDI!#REF!,IF(#REF!="ZERO",0))))),"")</f>
        <v>#REF!</v>
      </c>
      <c r="H967" s="139" t="e">
        <f t="shared" ref="H967:H1030" ca="1" si="46">IF(ISNUMBER(E967),ROUND(E967*(1+G967),2),"")</f>
        <v>#REF!</v>
      </c>
      <c r="I967" s="137" t="e">
        <f t="shared" ref="I967:I1030" ca="1" si="47">IF(ISNUMBER(E967),ROUND(H967*D967,2),"")</f>
        <v>#REF!</v>
      </c>
      <c r="J967" s="117"/>
    </row>
    <row r="968" spans="1:10" hidden="1" x14ac:dyDescent="0.25">
      <c r="A968" s="114" t="s">
        <v>2509</v>
      </c>
      <c r="B968" s="115" t="s">
        <v>2510</v>
      </c>
      <c r="C968" s="116" t="s">
        <v>16</v>
      </c>
      <c r="D968" s="116">
        <v>0</v>
      </c>
      <c r="E968" s="136">
        <f ca="1">OFFSET(INDEX(Composições!A:J,MATCH(Orçamentária!A968,Composições!A:A,0),8),2,0)</f>
        <v>9.7687871391722965</v>
      </c>
      <c r="F968" s="137">
        <f t="shared" ca="1" si="45"/>
        <v>0</v>
      </c>
      <c r="G968" s="138" t="e">
        <f>IF(A968&lt;&gt;"",IF(AND(#REF!="Padrão",$H$4=#REF!),BDI!$B$17,IF(AND(#REF!="Padrão",$H$4=#REF!),BDI!#REF!,IF(AND(#REF!="Diferenciado",$H$4=#REF!),BDI!$E$17,IF(AND(#REF!="Diferenciado",$H$4=#REF!),BDI!#REF!,IF(#REF!="ZERO",0))))),"")</f>
        <v>#REF!</v>
      </c>
      <c r="H968" s="139" t="e">
        <f t="shared" ca="1" si="46"/>
        <v>#REF!</v>
      </c>
      <c r="I968" s="137" t="e">
        <f t="shared" ca="1" si="47"/>
        <v>#REF!</v>
      </c>
      <c r="J968" s="117"/>
    </row>
    <row r="969" spans="1:10" hidden="1" x14ac:dyDescent="0.25">
      <c r="A969" s="114" t="s">
        <v>900</v>
      </c>
      <c r="B969" s="115" t="s">
        <v>5518</v>
      </c>
      <c r="C969" s="116" t="s">
        <v>70</v>
      </c>
      <c r="D969" s="116">
        <v>0</v>
      </c>
      <c r="E969" s="136">
        <f ca="1">OFFSET(INDEX(Composições!A:J,MATCH(Orçamentária!A969,Composições!A:A,0),8),2,0)</f>
        <v>57.79515</v>
      </c>
      <c r="F969" s="137">
        <f t="shared" ca="1" si="45"/>
        <v>0</v>
      </c>
      <c r="G969" s="138" t="e">
        <f>IF(A969&lt;&gt;"",IF(AND(#REF!="Padrão",$H$4=#REF!),BDI!$B$17,IF(AND(#REF!="Padrão",$H$4=#REF!),BDI!#REF!,IF(AND(#REF!="Diferenciado",$H$4=#REF!),BDI!$E$17,IF(AND(#REF!="Diferenciado",$H$4=#REF!),BDI!#REF!,IF(#REF!="ZERO",0))))),"")</f>
        <v>#REF!</v>
      </c>
      <c r="H969" s="139" t="e">
        <f t="shared" ca="1" si="46"/>
        <v>#REF!</v>
      </c>
      <c r="I969" s="137" t="e">
        <f t="shared" ca="1" si="47"/>
        <v>#REF!</v>
      </c>
      <c r="J969" s="117"/>
    </row>
    <row r="970" spans="1:10" hidden="1" x14ac:dyDescent="0.25">
      <c r="A970" s="114" t="s">
        <v>902</v>
      </c>
      <c r="B970" s="115" t="s">
        <v>5519</v>
      </c>
      <c r="C970" s="116" t="s">
        <v>70</v>
      </c>
      <c r="D970" s="116">
        <v>0</v>
      </c>
      <c r="E970" s="136">
        <f ca="1">OFFSET(INDEX(Composições!A:J,MATCH(Orçamentária!A970,Composições!A:A,0),8),2,0)</f>
        <v>79.769821784793081</v>
      </c>
      <c r="F970" s="137">
        <f t="shared" ca="1" si="45"/>
        <v>0</v>
      </c>
      <c r="G970" s="138" t="e">
        <f>IF(A970&lt;&gt;"",IF(AND(#REF!="Padrão",$H$4=#REF!),BDI!$B$17,IF(AND(#REF!="Padrão",$H$4=#REF!),BDI!#REF!,IF(AND(#REF!="Diferenciado",$H$4=#REF!),BDI!$E$17,IF(AND(#REF!="Diferenciado",$H$4=#REF!),BDI!#REF!,IF(#REF!="ZERO",0))))),"")</f>
        <v>#REF!</v>
      </c>
      <c r="H970" s="139" t="e">
        <f t="shared" ca="1" si="46"/>
        <v>#REF!</v>
      </c>
      <c r="I970" s="137" t="e">
        <f t="shared" ca="1" si="47"/>
        <v>#REF!</v>
      </c>
      <c r="J970" s="117"/>
    </row>
    <row r="971" spans="1:10" hidden="1" x14ac:dyDescent="0.25">
      <c r="A971" s="114" t="s">
        <v>907</v>
      </c>
      <c r="B971" s="115" t="s">
        <v>5520</v>
      </c>
      <c r="C971" s="116" t="s">
        <v>70</v>
      </c>
      <c r="D971" s="116">
        <v>0</v>
      </c>
      <c r="E971" s="136">
        <f ca="1">OFFSET(INDEX(Composições!A:J,MATCH(Orçamentária!A971,Composições!A:A,0),8),2,0)</f>
        <v>57.79515</v>
      </c>
      <c r="F971" s="137">
        <f t="shared" ca="1" si="45"/>
        <v>0</v>
      </c>
      <c r="G971" s="138" t="e">
        <f>IF(A971&lt;&gt;"",IF(AND(#REF!="Padrão",$H$4=#REF!),BDI!$B$17,IF(AND(#REF!="Padrão",$H$4=#REF!),BDI!#REF!,IF(AND(#REF!="Diferenciado",$H$4=#REF!),BDI!$E$17,IF(AND(#REF!="Diferenciado",$H$4=#REF!),BDI!#REF!,IF(#REF!="ZERO",0))))),"")</f>
        <v>#REF!</v>
      </c>
      <c r="H971" s="139" t="e">
        <f t="shared" ca="1" si="46"/>
        <v>#REF!</v>
      </c>
      <c r="I971" s="137" t="e">
        <f t="shared" ca="1" si="47"/>
        <v>#REF!</v>
      </c>
      <c r="J971" s="117"/>
    </row>
    <row r="972" spans="1:10" hidden="1" x14ac:dyDescent="0.25">
      <c r="A972" s="114" t="s">
        <v>909</v>
      </c>
      <c r="B972" s="115" t="s">
        <v>5521</v>
      </c>
      <c r="C972" s="116" t="s">
        <v>70</v>
      </c>
      <c r="D972" s="116">
        <v>0</v>
      </c>
      <c r="E972" s="136">
        <f ca="1">OFFSET(INDEX(Composições!A:J,MATCH(Orçamentária!A972,Composições!A:A,0),8),2,0)</f>
        <v>79.769821784793081</v>
      </c>
      <c r="F972" s="137">
        <f t="shared" ca="1" si="45"/>
        <v>0</v>
      </c>
      <c r="G972" s="138" t="e">
        <f>IF(A972&lt;&gt;"",IF(AND(#REF!="Padrão",$H$4=#REF!),BDI!$B$17,IF(AND(#REF!="Padrão",$H$4=#REF!),BDI!#REF!,IF(AND(#REF!="Diferenciado",$H$4=#REF!),BDI!$E$17,IF(AND(#REF!="Diferenciado",$H$4=#REF!),BDI!#REF!,IF(#REF!="ZERO",0))))),"")</f>
        <v>#REF!</v>
      </c>
      <c r="H972" s="139" t="e">
        <f t="shared" ca="1" si="46"/>
        <v>#REF!</v>
      </c>
      <c r="I972" s="137" t="e">
        <f t="shared" ca="1" si="47"/>
        <v>#REF!</v>
      </c>
      <c r="J972" s="117"/>
    </row>
    <row r="973" spans="1:10" ht="25.5" hidden="1" x14ac:dyDescent="0.25">
      <c r="A973" s="114" t="s">
        <v>910</v>
      </c>
      <c r="B973" s="115" t="s">
        <v>7685</v>
      </c>
      <c r="C973" s="116" t="s">
        <v>70</v>
      </c>
      <c r="D973" s="116">
        <v>0</v>
      </c>
      <c r="E973" s="136">
        <f ca="1">OFFSET(INDEX(Composições!A:J,MATCH(Orçamentária!A973,Composições!A:A,0),8),2,0)</f>
        <v>8.7818000000000005</v>
      </c>
      <c r="F973" s="137">
        <f t="shared" ca="1" si="45"/>
        <v>0</v>
      </c>
      <c r="G973" s="138" t="e">
        <f>IF(A973&lt;&gt;"",IF(AND(#REF!="Padrão",$H$4=#REF!),BDI!$B$17,IF(AND(#REF!="Padrão",$H$4=#REF!),BDI!#REF!,IF(AND(#REF!="Diferenciado",$H$4=#REF!),BDI!$E$17,IF(AND(#REF!="Diferenciado",$H$4=#REF!),BDI!#REF!,IF(#REF!="ZERO",0))))),"")</f>
        <v>#REF!</v>
      </c>
      <c r="H973" s="139" t="e">
        <f t="shared" ca="1" si="46"/>
        <v>#REF!</v>
      </c>
      <c r="I973" s="137" t="e">
        <f t="shared" ca="1" si="47"/>
        <v>#REF!</v>
      </c>
      <c r="J973" s="117"/>
    </row>
    <row r="974" spans="1:10" ht="25.5" hidden="1" x14ac:dyDescent="0.25">
      <c r="A974" s="114" t="s">
        <v>2511</v>
      </c>
      <c r="B974" s="115" t="s">
        <v>5522</v>
      </c>
      <c r="C974" s="116" t="s">
        <v>70</v>
      </c>
      <c r="D974" s="116">
        <v>0</v>
      </c>
      <c r="E974" s="136">
        <f ca="1">OFFSET(INDEX(Composições!A:J,MATCH(Orçamentária!A974,Composições!A:A,0),8),2,0)</f>
        <v>8.7818000000000005</v>
      </c>
      <c r="F974" s="137">
        <f t="shared" ca="1" si="45"/>
        <v>0</v>
      </c>
      <c r="G974" s="138" t="e">
        <f>IF(A974&lt;&gt;"",IF(AND(#REF!="Padrão",$H$4=#REF!),BDI!$B$17,IF(AND(#REF!="Padrão",$H$4=#REF!),BDI!#REF!,IF(AND(#REF!="Diferenciado",$H$4=#REF!),BDI!$E$17,IF(AND(#REF!="Diferenciado",$H$4=#REF!),BDI!#REF!,IF(#REF!="ZERO",0))))),"")</f>
        <v>#REF!</v>
      </c>
      <c r="H974" s="139" t="e">
        <f t="shared" ca="1" si="46"/>
        <v>#REF!</v>
      </c>
      <c r="I974" s="137" t="e">
        <f t="shared" ca="1" si="47"/>
        <v>#REF!</v>
      </c>
      <c r="J974" s="117"/>
    </row>
    <row r="975" spans="1:10" hidden="1" x14ac:dyDescent="0.25">
      <c r="A975" s="114" t="s">
        <v>912</v>
      </c>
      <c r="B975" s="115" t="s">
        <v>2512</v>
      </c>
      <c r="C975" s="116" t="s">
        <v>70</v>
      </c>
      <c r="D975" s="116">
        <v>0</v>
      </c>
      <c r="E975" s="136">
        <f ca="1">OFFSET(INDEX(Composições!A:J,MATCH(Orçamentária!A975,Composições!A:A,0),8),2,0)</f>
        <v>57.79515</v>
      </c>
      <c r="F975" s="137">
        <f t="shared" ca="1" si="45"/>
        <v>0</v>
      </c>
      <c r="G975" s="138" t="e">
        <f>IF(A975&lt;&gt;"",IF(AND(#REF!="Padrão",$H$4=#REF!),BDI!$B$17,IF(AND(#REF!="Padrão",$H$4=#REF!),BDI!#REF!,IF(AND(#REF!="Diferenciado",$H$4=#REF!),BDI!$E$17,IF(AND(#REF!="Diferenciado",$H$4=#REF!),BDI!#REF!,IF(#REF!="ZERO",0))))),"")</f>
        <v>#REF!</v>
      </c>
      <c r="H975" s="139" t="e">
        <f t="shared" ca="1" si="46"/>
        <v>#REF!</v>
      </c>
      <c r="I975" s="137" t="e">
        <f t="shared" ca="1" si="47"/>
        <v>#REF!</v>
      </c>
      <c r="J975" s="117"/>
    </row>
    <row r="976" spans="1:10" ht="25.5" hidden="1" x14ac:dyDescent="0.25">
      <c r="A976" s="114" t="s">
        <v>913</v>
      </c>
      <c r="B976" s="115" t="s">
        <v>2513</v>
      </c>
      <c r="C976" s="116" t="s">
        <v>70</v>
      </c>
      <c r="D976" s="116">
        <v>0</v>
      </c>
      <c r="E976" s="136">
        <f ca="1">OFFSET(INDEX(Composições!A:J,MATCH(Orçamentária!A976,Composições!A:A,0),8),2,0)</f>
        <v>79.769821784793081</v>
      </c>
      <c r="F976" s="137">
        <f t="shared" ca="1" si="45"/>
        <v>0</v>
      </c>
      <c r="G976" s="138" t="e">
        <f>IF(A976&lt;&gt;"",IF(AND(#REF!="Padrão",$H$4=#REF!),BDI!$B$17,IF(AND(#REF!="Padrão",$H$4=#REF!),BDI!#REF!,IF(AND(#REF!="Diferenciado",$H$4=#REF!),BDI!$E$17,IF(AND(#REF!="Diferenciado",$H$4=#REF!),BDI!#REF!,IF(#REF!="ZERO",0))))),"")</f>
        <v>#REF!</v>
      </c>
      <c r="H976" s="139" t="e">
        <f t="shared" ca="1" si="46"/>
        <v>#REF!</v>
      </c>
      <c r="I976" s="137" t="e">
        <f t="shared" ca="1" si="47"/>
        <v>#REF!</v>
      </c>
      <c r="J976" s="117"/>
    </row>
    <row r="977" spans="1:10" hidden="1" x14ac:dyDescent="0.25">
      <c r="A977" s="114" t="s">
        <v>914</v>
      </c>
      <c r="B977" s="115" t="s">
        <v>2514</v>
      </c>
      <c r="C977" s="116" t="s">
        <v>70</v>
      </c>
      <c r="D977" s="116">
        <v>0</v>
      </c>
      <c r="E977" s="136">
        <f ca="1">OFFSET(INDEX(Composições!A:J,MATCH(Orçamentária!A977,Composições!A:A,0),8),2,0)</f>
        <v>13.769300000000001</v>
      </c>
      <c r="F977" s="137">
        <f t="shared" ca="1" si="45"/>
        <v>0</v>
      </c>
      <c r="G977" s="138" t="e">
        <f>IF(A977&lt;&gt;"",IF(AND(#REF!="Padrão",$H$4=#REF!),BDI!$B$17,IF(AND(#REF!="Padrão",$H$4=#REF!),BDI!#REF!,IF(AND(#REF!="Diferenciado",$H$4=#REF!),BDI!$E$17,IF(AND(#REF!="Diferenciado",$H$4=#REF!),BDI!#REF!,IF(#REF!="ZERO",0))))),"")</f>
        <v>#REF!</v>
      </c>
      <c r="H977" s="139" t="e">
        <f t="shared" ca="1" si="46"/>
        <v>#REF!</v>
      </c>
      <c r="I977" s="137" t="e">
        <f t="shared" ca="1" si="47"/>
        <v>#REF!</v>
      </c>
      <c r="J977" s="117"/>
    </row>
    <row r="978" spans="1:10" hidden="1" x14ac:dyDescent="0.25">
      <c r="A978" s="114" t="s">
        <v>916</v>
      </c>
      <c r="B978" s="115" t="s">
        <v>2515</v>
      </c>
      <c r="C978" s="116" t="s">
        <v>69</v>
      </c>
      <c r="D978" s="116">
        <v>0</v>
      </c>
      <c r="E978" s="136">
        <f ca="1">OFFSET(INDEX(Composições!A:J,MATCH(Orçamentária!A978,Composições!A:A,0),8),2,0)</f>
        <v>24.312399999999997</v>
      </c>
      <c r="F978" s="137">
        <f t="shared" ca="1" si="45"/>
        <v>0</v>
      </c>
      <c r="G978" s="138" t="e">
        <f>IF(A978&lt;&gt;"",IF(AND(#REF!="Padrão",$H$4=#REF!),BDI!$B$17,IF(AND(#REF!="Padrão",$H$4=#REF!),BDI!#REF!,IF(AND(#REF!="Diferenciado",$H$4=#REF!),BDI!$E$17,IF(AND(#REF!="Diferenciado",$H$4=#REF!),BDI!#REF!,IF(#REF!="ZERO",0))))),"")</f>
        <v>#REF!</v>
      </c>
      <c r="H978" s="139" t="e">
        <f t="shared" ca="1" si="46"/>
        <v>#REF!</v>
      </c>
      <c r="I978" s="137" t="e">
        <f t="shared" ca="1" si="47"/>
        <v>#REF!</v>
      </c>
      <c r="J978" s="117"/>
    </row>
    <row r="979" spans="1:10" hidden="1" x14ac:dyDescent="0.25">
      <c r="A979" s="114" t="s">
        <v>918</v>
      </c>
      <c r="B979" s="115" t="s">
        <v>2516</v>
      </c>
      <c r="C979" s="116" t="s">
        <v>70</v>
      </c>
      <c r="D979" s="116">
        <v>0</v>
      </c>
      <c r="E979" s="136">
        <f ca="1">OFFSET(INDEX(Composições!A:J,MATCH(Orçamentária!A979,Composições!A:A,0),8),2,0)</f>
        <v>130.87674999999999</v>
      </c>
      <c r="F979" s="137">
        <f t="shared" ca="1" si="45"/>
        <v>0</v>
      </c>
      <c r="G979" s="138" t="e">
        <f>IF(A979&lt;&gt;"",IF(AND(#REF!="Padrão",$H$4=#REF!),BDI!$B$17,IF(AND(#REF!="Padrão",$H$4=#REF!),BDI!#REF!,IF(AND(#REF!="Diferenciado",$H$4=#REF!),BDI!$E$17,IF(AND(#REF!="Diferenciado",$H$4=#REF!),BDI!#REF!,IF(#REF!="ZERO",0))))),"")</f>
        <v>#REF!</v>
      </c>
      <c r="H979" s="139" t="e">
        <f t="shared" ca="1" si="46"/>
        <v>#REF!</v>
      </c>
      <c r="I979" s="137" t="e">
        <f t="shared" ca="1" si="47"/>
        <v>#REF!</v>
      </c>
      <c r="J979" s="117"/>
    </row>
    <row r="980" spans="1:10" ht="25.5" hidden="1" x14ac:dyDescent="0.25">
      <c r="A980" s="114" t="s">
        <v>920</v>
      </c>
      <c r="B980" s="115" t="s">
        <v>2517</v>
      </c>
      <c r="C980" s="116" t="s">
        <v>16</v>
      </c>
      <c r="D980" s="116">
        <v>0</v>
      </c>
      <c r="E980" s="136">
        <f ca="1">OFFSET(INDEX(Composições!A:J,MATCH(Orçamentária!A980,Composições!A:A,0),8),2,0)</f>
        <v>1.184175</v>
      </c>
      <c r="F980" s="137">
        <f t="shared" ca="1" si="45"/>
        <v>0</v>
      </c>
      <c r="G980" s="138" t="e">
        <f>IF(A980&lt;&gt;"",IF(AND(#REF!="Padrão",$H$4=#REF!),BDI!$B$17,IF(AND(#REF!="Padrão",$H$4=#REF!),BDI!#REF!,IF(AND(#REF!="Diferenciado",$H$4=#REF!),BDI!$E$17,IF(AND(#REF!="Diferenciado",$H$4=#REF!),BDI!#REF!,IF(#REF!="ZERO",0))))),"")</f>
        <v>#REF!</v>
      </c>
      <c r="H980" s="139" t="e">
        <f t="shared" ca="1" si="46"/>
        <v>#REF!</v>
      </c>
      <c r="I980" s="137" t="e">
        <f t="shared" ca="1" si="47"/>
        <v>#REF!</v>
      </c>
      <c r="J980" s="117"/>
    </row>
    <row r="981" spans="1:10" hidden="1" x14ac:dyDescent="0.25">
      <c r="A981" s="114" t="s">
        <v>924</v>
      </c>
      <c r="B981" s="115" t="s">
        <v>2518</v>
      </c>
      <c r="C981" s="116" t="s">
        <v>70</v>
      </c>
      <c r="D981" s="116">
        <v>0</v>
      </c>
      <c r="E981" s="136">
        <f ca="1">OFFSET(INDEX(Composições!A:J,MATCH(Orçamentária!A981,Composições!A:A,0),8),2,0)</f>
        <v>6.8856569999999993</v>
      </c>
      <c r="F981" s="137">
        <f t="shared" ca="1" si="45"/>
        <v>0</v>
      </c>
      <c r="G981" s="138" t="e">
        <f>IF(A981&lt;&gt;"",IF(AND(#REF!="Padrão",$H$4=#REF!),BDI!$B$17,IF(AND(#REF!="Padrão",$H$4=#REF!),BDI!#REF!,IF(AND(#REF!="Diferenciado",$H$4=#REF!),BDI!$E$17,IF(AND(#REF!="Diferenciado",$H$4=#REF!),BDI!#REF!,IF(#REF!="ZERO",0))))),"")</f>
        <v>#REF!</v>
      </c>
      <c r="H981" s="139" t="e">
        <f t="shared" ca="1" si="46"/>
        <v>#REF!</v>
      </c>
      <c r="I981" s="137" t="e">
        <f t="shared" ca="1" si="47"/>
        <v>#REF!</v>
      </c>
      <c r="J981" s="117"/>
    </row>
    <row r="982" spans="1:10" hidden="1" x14ac:dyDescent="0.25">
      <c r="A982" s="114" t="s">
        <v>925</v>
      </c>
      <c r="B982" s="115" t="s">
        <v>2519</v>
      </c>
      <c r="C982" s="116" t="s">
        <v>69</v>
      </c>
      <c r="D982" s="116">
        <v>0</v>
      </c>
      <c r="E982" s="136">
        <f ca="1">OFFSET(INDEX(Composições!A:J,MATCH(Orçamentária!A982,Composições!A:A,0),8),2,0)</f>
        <v>31.215534149999996</v>
      </c>
      <c r="F982" s="137">
        <f t="shared" ca="1" si="45"/>
        <v>0</v>
      </c>
      <c r="G982" s="138" t="e">
        <f>IF(A982&lt;&gt;"",IF(AND(#REF!="Padrão",$H$4=#REF!),BDI!$B$17,IF(AND(#REF!="Padrão",$H$4=#REF!),BDI!#REF!,IF(AND(#REF!="Diferenciado",$H$4=#REF!),BDI!$E$17,IF(AND(#REF!="Diferenciado",$H$4=#REF!),BDI!#REF!,IF(#REF!="ZERO",0))))),"")</f>
        <v>#REF!</v>
      </c>
      <c r="H982" s="139" t="e">
        <f t="shared" ca="1" si="46"/>
        <v>#REF!</v>
      </c>
      <c r="I982" s="137" t="e">
        <f t="shared" ca="1" si="47"/>
        <v>#REF!</v>
      </c>
      <c r="J982" s="117"/>
    </row>
    <row r="983" spans="1:10" hidden="1" x14ac:dyDescent="0.25">
      <c r="A983" s="114" t="s">
        <v>929</v>
      </c>
      <c r="B983" s="115" t="s">
        <v>2520</v>
      </c>
      <c r="C983" s="116" t="s">
        <v>69</v>
      </c>
      <c r="D983" s="116">
        <v>0</v>
      </c>
      <c r="E983" s="136">
        <f ca="1">OFFSET(INDEX(Composições!A:J,MATCH(Orçamentária!A983,Composições!A:A,0),8),2,0)</f>
        <v>19.681592699999999</v>
      </c>
      <c r="F983" s="137">
        <f t="shared" ca="1" si="45"/>
        <v>0</v>
      </c>
      <c r="G983" s="138" t="e">
        <f>IF(A983&lt;&gt;"",IF(AND(#REF!="Padrão",$H$4=#REF!),BDI!$B$17,IF(AND(#REF!="Padrão",$H$4=#REF!),BDI!#REF!,IF(AND(#REF!="Diferenciado",$H$4=#REF!),BDI!$E$17,IF(AND(#REF!="Diferenciado",$H$4=#REF!),BDI!#REF!,IF(#REF!="ZERO",0))))),"")</f>
        <v>#REF!</v>
      </c>
      <c r="H983" s="139" t="e">
        <f t="shared" ca="1" si="46"/>
        <v>#REF!</v>
      </c>
      <c r="I983" s="137" t="e">
        <f t="shared" ca="1" si="47"/>
        <v>#REF!</v>
      </c>
      <c r="J983" s="117"/>
    </row>
    <row r="984" spans="1:10" hidden="1" x14ac:dyDescent="0.25">
      <c r="A984" s="114" t="s">
        <v>2521</v>
      </c>
      <c r="B984" s="115" t="s">
        <v>2522</v>
      </c>
      <c r="C984" s="116" t="s">
        <v>16</v>
      </c>
      <c r="D984" s="116">
        <v>0</v>
      </c>
      <c r="E984" s="136" t="s">
        <v>416</v>
      </c>
      <c r="F984" s="137" t="str">
        <f t="shared" si="45"/>
        <v/>
      </c>
      <c r="G984" s="138" t="e">
        <f>IF(A984&lt;&gt;"",IF(AND(#REF!="Padrão",$H$4=#REF!),BDI!$B$17,IF(AND(#REF!="Padrão",$H$4=#REF!),BDI!#REF!,IF(AND(#REF!="Diferenciado",$H$4=#REF!),BDI!$E$17,IF(AND(#REF!="Diferenciado",$H$4=#REF!),BDI!#REF!,IF(#REF!="ZERO",0))))),"")</f>
        <v>#REF!</v>
      </c>
      <c r="H984" s="139" t="str">
        <f t="shared" si="46"/>
        <v/>
      </c>
      <c r="I984" s="137" t="str">
        <f t="shared" si="47"/>
        <v/>
      </c>
      <c r="J984" s="117"/>
    </row>
    <row r="985" spans="1:10" hidden="1" x14ac:dyDescent="0.25">
      <c r="A985" s="114" t="s">
        <v>930</v>
      </c>
      <c r="B985" s="115" t="s">
        <v>2523</v>
      </c>
      <c r="C985" s="116" t="s">
        <v>16</v>
      </c>
      <c r="D985" s="116">
        <v>0</v>
      </c>
      <c r="E985" s="136">
        <f ca="1">OFFSET(INDEX(Composições!A:J,MATCH(Orçamentária!A985,Composições!A:A,0),8),2,0)</f>
        <v>88.222852000000003</v>
      </c>
      <c r="F985" s="137">
        <f t="shared" ca="1" si="45"/>
        <v>0</v>
      </c>
      <c r="G985" s="138" t="e">
        <f>IF(A985&lt;&gt;"",IF(AND(#REF!="Padrão",$H$4=#REF!),BDI!$B$17,IF(AND(#REF!="Padrão",$H$4=#REF!),BDI!#REF!,IF(AND(#REF!="Diferenciado",$H$4=#REF!),BDI!$E$17,IF(AND(#REF!="Diferenciado",$H$4=#REF!),BDI!#REF!,IF(#REF!="ZERO",0))))),"")</f>
        <v>#REF!</v>
      </c>
      <c r="H985" s="139" t="e">
        <f t="shared" ca="1" si="46"/>
        <v>#REF!</v>
      </c>
      <c r="I985" s="137" t="e">
        <f t="shared" ca="1" si="47"/>
        <v>#REF!</v>
      </c>
      <c r="J985" s="117"/>
    </row>
    <row r="986" spans="1:10" hidden="1" x14ac:dyDescent="0.25">
      <c r="A986" s="114" t="s">
        <v>932</v>
      </c>
      <c r="B986" s="115" t="s">
        <v>5458</v>
      </c>
      <c r="C986" s="116" t="s">
        <v>2524</v>
      </c>
      <c r="D986" s="116">
        <v>0</v>
      </c>
      <c r="E986" s="136">
        <f ca="1">OFFSET(INDEX(Composições!A:J,MATCH(Orçamentária!A986,Composições!A:A,0),8),2,0)</f>
        <v>817.09119779767377</v>
      </c>
      <c r="F986" s="137">
        <f t="shared" ca="1" si="45"/>
        <v>0</v>
      </c>
      <c r="G986" s="138" t="e">
        <f>IF(A986&lt;&gt;"",IF(AND(#REF!="Padrão",$H$4=#REF!),BDI!$B$17,IF(AND(#REF!="Padrão",$H$4=#REF!),BDI!#REF!,IF(AND(#REF!="Diferenciado",$H$4=#REF!),BDI!$E$17,IF(AND(#REF!="Diferenciado",$H$4=#REF!),BDI!#REF!,IF(#REF!="ZERO",0))))),"")</f>
        <v>#REF!</v>
      </c>
      <c r="H986" s="139" t="e">
        <f t="shared" ca="1" si="46"/>
        <v>#REF!</v>
      </c>
      <c r="I986" s="137" t="e">
        <f t="shared" ca="1" si="47"/>
        <v>#REF!</v>
      </c>
      <c r="J986" s="117"/>
    </row>
    <row r="987" spans="1:10" hidden="1" x14ac:dyDescent="0.25">
      <c r="A987" s="114" t="s">
        <v>934</v>
      </c>
      <c r="B987" s="115" t="s">
        <v>2525</v>
      </c>
      <c r="C987" s="116" t="s">
        <v>70</v>
      </c>
      <c r="D987" s="116">
        <v>0</v>
      </c>
      <c r="E987" s="136">
        <f ca="1">OFFSET(INDEX(Composições!A:J,MATCH(Orçamentária!A987,Composições!A:A,0),8),2,0)</f>
        <v>112.92166354999999</v>
      </c>
      <c r="F987" s="137">
        <f t="shared" ca="1" si="45"/>
        <v>0</v>
      </c>
      <c r="G987" s="138" t="e">
        <f>IF(A987&lt;&gt;"",IF(AND(#REF!="Padrão",$H$4=#REF!),BDI!$B$17,IF(AND(#REF!="Padrão",$H$4=#REF!),BDI!#REF!,IF(AND(#REF!="Diferenciado",$H$4=#REF!),BDI!$E$17,IF(AND(#REF!="Diferenciado",$H$4=#REF!),BDI!#REF!,IF(#REF!="ZERO",0))))),"")</f>
        <v>#REF!</v>
      </c>
      <c r="H987" s="139" t="e">
        <f t="shared" ca="1" si="46"/>
        <v>#REF!</v>
      </c>
      <c r="I987" s="137" t="e">
        <f t="shared" ca="1" si="47"/>
        <v>#REF!</v>
      </c>
      <c r="J987" s="117"/>
    </row>
    <row r="988" spans="1:10" hidden="1" x14ac:dyDescent="0.25">
      <c r="A988" s="114" t="s">
        <v>937</v>
      </c>
      <c r="B988" s="115" t="s">
        <v>2526</v>
      </c>
      <c r="C988" s="116" t="s">
        <v>16</v>
      </c>
      <c r="D988" s="116">
        <v>0</v>
      </c>
      <c r="E988" s="136">
        <f ca="1">OFFSET(INDEX(Composições!A:J,MATCH(Orçamentária!A988,Composições!A:A,0),8),2,0)</f>
        <v>188.09999999999997</v>
      </c>
      <c r="F988" s="137">
        <f t="shared" ca="1" si="45"/>
        <v>0</v>
      </c>
      <c r="G988" s="138" t="e">
        <f>IF(A988&lt;&gt;"",IF(AND(#REF!="Padrão",$H$4=#REF!),BDI!$B$17,IF(AND(#REF!="Padrão",$H$4=#REF!),BDI!#REF!,IF(AND(#REF!="Diferenciado",$H$4=#REF!),BDI!$E$17,IF(AND(#REF!="Diferenciado",$H$4=#REF!),BDI!#REF!,IF(#REF!="ZERO",0))))),"")</f>
        <v>#REF!</v>
      </c>
      <c r="H988" s="139" t="e">
        <f t="shared" ca="1" si="46"/>
        <v>#REF!</v>
      </c>
      <c r="I988" s="137" t="e">
        <f t="shared" ca="1" si="47"/>
        <v>#REF!</v>
      </c>
      <c r="J988" s="117"/>
    </row>
    <row r="989" spans="1:10" hidden="1" x14ac:dyDescent="0.25">
      <c r="A989" s="114" t="s">
        <v>938</v>
      </c>
      <c r="B989" s="115" t="s">
        <v>2527</v>
      </c>
      <c r="C989" s="116" t="s">
        <v>2528</v>
      </c>
      <c r="D989" s="116">
        <v>0</v>
      </c>
      <c r="E989" s="136">
        <f ca="1">OFFSET(INDEX(Composições!A:J,MATCH(Orçamentária!A989,Composições!A:A,0),8),2,0)</f>
        <v>2.6576449499999999</v>
      </c>
      <c r="F989" s="137">
        <f t="shared" ca="1" si="45"/>
        <v>0</v>
      </c>
      <c r="G989" s="138" t="e">
        <f>IF(A989&lt;&gt;"",IF(AND(#REF!="Padrão",$H$4=#REF!),BDI!$B$17,IF(AND(#REF!="Padrão",$H$4=#REF!),BDI!#REF!,IF(AND(#REF!="Diferenciado",$H$4=#REF!),BDI!$E$17,IF(AND(#REF!="Diferenciado",$H$4=#REF!),BDI!#REF!,IF(#REF!="ZERO",0))))),"")</f>
        <v>#REF!</v>
      </c>
      <c r="H989" s="139" t="e">
        <f t="shared" ca="1" si="46"/>
        <v>#REF!</v>
      </c>
      <c r="I989" s="137" t="e">
        <f t="shared" ca="1" si="47"/>
        <v>#REF!</v>
      </c>
      <c r="J989" s="117"/>
    </row>
    <row r="990" spans="1:10" hidden="1" x14ac:dyDescent="0.25">
      <c r="A990" s="114" t="s">
        <v>2529</v>
      </c>
      <c r="B990" s="115" t="s">
        <v>2530</v>
      </c>
      <c r="C990" s="116" t="s">
        <v>2373</v>
      </c>
      <c r="D990" s="116">
        <v>0</v>
      </c>
      <c r="E990" s="136" t="s">
        <v>416</v>
      </c>
      <c r="F990" s="137" t="str">
        <f t="shared" si="45"/>
        <v/>
      </c>
      <c r="G990" s="138" t="e">
        <f>IF(A990&lt;&gt;"",IF(AND(#REF!="Padrão",$H$4=#REF!),BDI!$B$17,IF(AND(#REF!="Padrão",$H$4=#REF!),BDI!#REF!,IF(AND(#REF!="Diferenciado",$H$4=#REF!),BDI!$E$17,IF(AND(#REF!="Diferenciado",$H$4=#REF!),BDI!#REF!,IF(#REF!="ZERO",0))))),"")</f>
        <v>#REF!</v>
      </c>
      <c r="H990" s="139" t="str">
        <f t="shared" si="46"/>
        <v/>
      </c>
      <c r="I990" s="137" t="str">
        <f t="shared" si="47"/>
        <v/>
      </c>
      <c r="J990" s="117"/>
    </row>
    <row r="991" spans="1:10" hidden="1" x14ac:dyDescent="0.25">
      <c r="A991" s="114" t="s">
        <v>941</v>
      </c>
      <c r="B991" s="115" t="s">
        <v>2531</v>
      </c>
      <c r="C991" s="116" t="s">
        <v>2532</v>
      </c>
      <c r="D991" s="116">
        <v>0</v>
      </c>
      <c r="E991" s="136">
        <f ca="1">OFFSET(INDEX(Composições!A:J,MATCH(Orçamentária!A991,Composições!A:A,0),8),2,0)</f>
        <v>5.7235409999999991</v>
      </c>
      <c r="F991" s="137">
        <f t="shared" ca="1" si="45"/>
        <v>0</v>
      </c>
      <c r="G991" s="138" t="e">
        <f>IF(A991&lt;&gt;"",IF(AND(#REF!="Padrão",$H$4=#REF!),BDI!$B$17,IF(AND(#REF!="Padrão",$H$4=#REF!),BDI!#REF!,IF(AND(#REF!="Diferenciado",$H$4=#REF!),BDI!$E$17,IF(AND(#REF!="Diferenciado",$H$4=#REF!),BDI!#REF!,IF(#REF!="ZERO",0))))),"")</f>
        <v>#REF!</v>
      </c>
      <c r="H991" s="139" t="e">
        <f t="shared" ca="1" si="46"/>
        <v>#REF!</v>
      </c>
      <c r="I991" s="137" t="e">
        <f t="shared" ca="1" si="47"/>
        <v>#REF!</v>
      </c>
      <c r="J991" s="117"/>
    </row>
    <row r="992" spans="1:10" hidden="1" x14ac:dyDescent="0.25">
      <c r="A992" s="114" t="s">
        <v>943</v>
      </c>
      <c r="B992" s="115" t="s">
        <v>2533</v>
      </c>
      <c r="C992" s="116" t="s">
        <v>2524</v>
      </c>
      <c r="D992" s="116">
        <v>0</v>
      </c>
      <c r="E992" s="136">
        <f ca="1">OFFSET(INDEX(Composições!A:J,MATCH(Orçamentária!A992,Composições!A:A,0),8),2,0)</f>
        <v>86.969649999999987</v>
      </c>
      <c r="F992" s="137">
        <f t="shared" ca="1" si="45"/>
        <v>0</v>
      </c>
      <c r="G992" s="138" t="e">
        <f>IF(A992&lt;&gt;"",IF(AND(#REF!="Padrão",$H$4=#REF!),BDI!$B$17,IF(AND(#REF!="Padrão",$H$4=#REF!),BDI!#REF!,IF(AND(#REF!="Diferenciado",$H$4=#REF!),BDI!$E$17,IF(AND(#REF!="Diferenciado",$H$4=#REF!),BDI!#REF!,IF(#REF!="ZERO",0))))),"")</f>
        <v>#REF!</v>
      </c>
      <c r="H992" s="139" t="e">
        <f t="shared" ca="1" si="46"/>
        <v>#REF!</v>
      </c>
      <c r="I992" s="137" t="e">
        <f t="shared" ca="1" si="47"/>
        <v>#REF!</v>
      </c>
      <c r="J992" s="117"/>
    </row>
    <row r="993" spans="1:10" hidden="1" x14ac:dyDescent="0.25">
      <c r="A993" s="114" t="s">
        <v>944</v>
      </c>
      <c r="B993" s="115" t="s">
        <v>2534</v>
      </c>
      <c r="C993" s="116" t="s">
        <v>2524</v>
      </c>
      <c r="D993" s="116">
        <v>0</v>
      </c>
      <c r="E993" s="136">
        <f ca="1">OFFSET(INDEX(Composições!A:J,MATCH(Orçamentária!A993,Composições!A:A,0),8),2,0)</f>
        <v>6.0681392499999998</v>
      </c>
      <c r="F993" s="137">
        <f t="shared" ca="1" si="45"/>
        <v>0</v>
      </c>
      <c r="G993" s="138" t="e">
        <f>IF(A993&lt;&gt;"",IF(AND(#REF!="Padrão",$H$4=#REF!),BDI!$B$17,IF(AND(#REF!="Padrão",$H$4=#REF!),BDI!#REF!,IF(AND(#REF!="Diferenciado",$H$4=#REF!),BDI!$E$17,IF(AND(#REF!="Diferenciado",$H$4=#REF!),BDI!#REF!,IF(#REF!="ZERO",0))))),"")</f>
        <v>#REF!</v>
      </c>
      <c r="H993" s="139" t="e">
        <f t="shared" ca="1" si="46"/>
        <v>#REF!</v>
      </c>
      <c r="I993" s="137" t="e">
        <f t="shared" ca="1" si="47"/>
        <v>#REF!</v>
      </c>
      <c r="J993" s="117"/>
    </row>
    <row r="994" spans="1:10" hidden="1" x14ac:dyDescent="0.25">
      <c r="A994" s="114" t="s">
        <v>945</v>
      </c>
      <c r="B994" s="115" t="s">
        <v>2535</v>
      </c>
      <c r="C994" s="116" t="s">
        <v>70</v>
      </c>
      <c r="D994" s="116">
        <v>0</v>
      </c>
      <c r="E994" s="136">
        <f ca="1">OFFSET(INDEX(Composições!A:J,MATCH(Orçamentária!A994,Composições!A:A,0),8),2,0)</f>
        <v>60.054888284745992</v>
      </c>
      <c r="F994" s="137">
        <f t="shared" ca="1" si="45"/>
        <v>0</v>
      </c>
      <c r="G994" s="138" t="e">
        <f>IF(A994&lt;&gt;"",IF(AND(#REF!="Padrão",$H$4=#REF!),BDI!$B$17,IF(AND(#REF!="Padrão",$H$4=#REF!),BDI!#REF!,IF(AND(#REF!="Diferenciado",$H$4=#REF!),BDI!$E$17,IF(AND(#REF!="Diferenciado",$H$4=#REF!),BDI!#REF!,IF(#REF!="ZERO",0))))),"")</f>
        <v>#REF!</v>
      </c>
      <c r="H994" s="139" t="e">
        <f t="shared" ca="1" si="46"/>
        <v>#REF!</v>
      </c>
      <c r="I994" s="137" t="e">
        <f t="shared" ca="1" si="47"/>
        <v>#REF!</v>
      </c>
      <c r="J994" s="117"/>
    </row>
    <row r="995" spans="1:10" hidden="1" x14ac:dyDescent="0.25">
      <c r="A995" s="114" t="s">
        <v>954</v>
      </c>
      <c r="B995" s="115" t="s">
        <v>2536</v>
      </c>
      <c r="C995" s="116" t="s">
        <v>69</v>
      </c>
      <c r="D995" s="116">
        <v>0</v>
      </c>
      <c r="E995" s="136">
        <f ca="1">OFFSET(INDEX(Composições!A:J,MATCH(Orçamentária!A995,Composições!A:A,0),8),2,0)</f>
        <v>5.6853619249999996</v>
      </c>
      <c r="F995" s="137">
        <f t="shared" ca="1" si="45"/>
        <v>0</v>
      </c>
      <c r="G995" s="138" t="e">
        <f>IF(A995&lt;&gt;"",IF(AND(#REF!="Padrão",$H$4=#REF!),BDI!$B$17,IF(AND(#REF!="Padrão",$H$4=#REF!),BDI!#REF!,IF(AND(#REF!="Diferenciado",$H$4=#REF!),BDI!$E$17,IF(AND(#REF!="Diferenciado",$H$4=#REF!),BDI!#REF!,IF(#REF!="ZERO",0))))),"")</f>
        <v>#REF!</v>
      </c>
      <c r="H995" s="139" t="e">
        <f t="shared" ca="1" si="46"/>
        <v>#REF!</v>
      </c>
      <c r="I995" s="137" t="e">
        <f t="shared" ca="1" si="47"/>
        <v>#REF!</v>
      </c>
      <c r="J995" s="117"/>
    </row>
    <row r="996" spans="1:10" hidden="1" x14ac:dyDescent="0.25">
      <c r="A996" s="114" t="s">
        <v>958</v>
      </c>
      <c r="B996" s="115" t="s">
        <v>2537</v>
      </c>
      <c r="C996" s="116" t="s">
        <v>69</v>
      </c>
      <c r="D996" s="116">
        <v>0</v>
      </c>
      <c r="E996" s="136">
        <f ca="1">OFFSET(INDEX(Composições!A:J,MATCH(Orçamentária!A996,Composições!A:A,0),8),2,0)</f>
        <v>51.541540195776996</v>
      </c>
      <c r="F996" s="137">
        <f t="shared" ca="1" si="45"/>
        <v>0</v>
      </c>
      <c r="G996" s="138" t="e">
        <f>IF(A996&lt;&gt;"",IF(AND(#REF!="Padrão",$H$4=#REF!),BDI!$B$17,IF(AND(#REF!="Padrão",$H$4=#REF!),BDI!#REF!,IF(AND(#REF!="Diferenciado",$H$4=#REF!),BDI!$E$17,IF(AND(#REF!="Diferenciado",$H$4=#REF!),BDI!#REF!,IF(#REF!="ZERO",0))))),"")</f>
        <v>#REF!</v>
      </c>
      <c r="H996" s="139" t="e">
        <f t="shared" ca="1" si="46"/>
        <v>#REF!</v>
      </c>
      <c r="I996" s="137" t="e">
        <f t="shared" ca="1" si="47"/>
        <v>#REF!</v>
      </c>
      <c r="J996" s="117"/>
    </row>
    <row r="997" spans="1:10" hidden="1" x14ac:dyDescent="0.25">
      <c r="A997" s="114" t="s">
        <v>960</v>
      </c>
      <c r="B997" s="115" t="s">
        <v>2538</v>
      </c>
      <c r="C997" s="116" t="s">
        <v>69</v>
      </c>
      <c r="D997" s="116">
        <v>0</v>
      </c>
      <c r="E997" s="136">
        <f ca="1">OFFSET(INDEX(Composições!A:J,MATCH(Orçamentária!A997,Composições!A:A,0),8),2,0)</f>
        <v>146.31735129399999</v>
      </c>
      <c r="F997" s="137">
        <f t="shared" ca="1" si="45"/>
        <v>0</v>
      </c>
      <c r="G997" s="138" t="e">
        <f>IF(A997&lt;&gt;"",IF(AND(#REF!="Padrão",$H$4=#REF!),BDI!$B$17,IF(AND(#REF!="Padrão",$H$4=#REF!),BDI!#REF!,IF(AND(#REF!="Diferenciado",$H$4=#REF!),BDI!$E$17,IF(AND(#REF!="Diferenciado",$H$4=#REF!),BDI!#REF!,IF(#REF!="ZERO",0))))),"")</f>
        <v>#REF!</v>
      </c>
      <c r="H997" s="139" t="e">
        <f t="shared" ca="1" si="46"/>
        <v>#REF!</v>
      </c>
      <c r="I997" s="137" t="e">
        <f t="shared" ca="1" si="47"/>
        <v>#REF!</v>
      </c>
      <c r="J997" s="117"/>
    </row>
    <row r="998" spans="1:10" hidden="1" x14ac:dyDescent="0.25">
      <c r="A998" s="114" t="s">
        <v>2539</v>
      </c>
      <c r="B998" s="115" t="s">
        <v>2540</v>
      </c>
      <c r="C998" s="116" t="s">
        <v>70</v>
      </c>
      <c r="D998" s="116">
        <v>0</v>
      </c>
      <c r="E998" s="136" t="s">
        <v>416</v>
      </c>
      <c r="F998" s="137" t="str">
        <f t="shared" si="45"/>
        <v/>
      </c>
      <c r="G998" s="138" t="e">
        <f>IF(A998&lt;&gt;"",IF(AND(#REF!="Padrão",$H$4=#REF!),BDI!$B$17,IF(AND(#REF!="Padrão",$H$4=#REF!),BDI!#REF!,IF(AND(#REF!="Diferenciado",$H$4=#REF!),BDI!$E$17,IF(AND(#REF!="Diferenciado",$H$4=#REF!),BDI!#REF!,IF(#REF!="ZERO",0))))),"")</f>
        <v>#REF!</v>
      </c>
      <c r="H998" s="139" t="str">
        <f t="shared" si="46"/>
        <v/>
      </c>
      <c r="I998" s="137" t="str">
        <f t="shared" si="47"/>
        <v/>
      </c>
      <c r="J998" s="117"/>
    </row>
    <row r="999" spans="1:10" hidden="1" x14ac:dyDescent="0.25">
      <c r="A999" s="114" t="s">
        <v>965</v>
      </c>
      <c r="B999" s="115" t="s">
        <v>2541</v>
      </c>
      <c r="C999" s="116" t="s">
        <v>16</v>
      </c>
      <c r="D999" s="116">
        <v>0</v>
      </c>
      <c r="E999" s="136">
        <f ca="1">OFFSET(INDEX(Composições!A:J,MATCH(Orçamentária!A999,Composições!A:A,0),8),2,0)</f>
        <v>9.7687871391722965</v>
      </c>
      <c r="F999" s="137">
        <f t="shared" ca="1" si="45"/>
        <v>0</v>
      </c>
      <c r="G999" s="138" t="e">
        <f>IF(A999&lt;&gt;"",IF(AND(#REF!="Padrão",$H$4=#REF!),BDI!$B$17,IF(AND(#REF!="Padrão",$H$4=#REF!),BDI!#REF!,IF(AND(#REF!="Diferenciado",$H$4=#REF!),BDI!$E$17,IF(AND(#REF!="Diferenciado",$H$4=#REF!),BDI!#REF!,IF(#REF!="ZERO",0))))),"")</f>
        <v>#REF!</v>
      </c>
      <c r="H999" s="139" t="e">
        <f t="shared" ca="1" si="46"/>
        <v>#REF!</v>
      </c>
      <c r="I999" s="137" t="e">
        <f t="shared" ca="1" si="47"/>
        <v>#REF!</v>
      </c>
      <c r="J999" s="117"/>
    </row>
    <row r="1000" spans="1:10" hidden="1" x14ac:dyDescent="0.25">
      <c r="A1000" s="114" t="s">
        <v>2542</v>
      </c>
      <c r="B1000" s="115" t="s">
        <v>2543</v>
      </c>
      <c r="C1000" s="116" t="s">
        <v>16</v>
      </c>
      <c r="D1000" s="116">
        <v>0</v>
      </c>
      <c r="E1000" s="136" t="s">
        <v>416</v>
      </c>
      <c r="F1000" s="137" t="str">
        <f t="shared" si="45"/>
        <v/>
      </c>
      <c r="G1000" s="138" t="e">
        <f>IF(A1000&lt;&gt;"",IF(AND(#REF!="Padrão",$H$4=#REF!),BDI!$B$17,IF(AND(#REF!="Padrão",$H$4=#REF!),BDI!#REF!,IF(AND(#REF!="Diferenciado",$H$4=#REF!),BDI!$E$17,IF(AND(#REF!="Diferenciado",$H$4=#REF!),BDI!#REF!,IF(#REF!="ZERO",0))))),"")</f>
        <v>#REF!</v>
      </c>
      <c r="H1000" s="139" t="str">
        <f t="shared" si="46"/>
        <v/>
      </c>
      <c r="I1000" s="137" t="str">
        <f t="shared" si="47"/>
        <v/>
      </c>
      <c r="J1000" s="117"/>
    </row>
    <row r="1001" spans="1:10" hidden="1" x14ac:dyDescent="0.25">
      <c r="A1001" s="114" t="s">
        <v>2544</v>
      </c>
      <c r="B1001" s="115" t="s">
        <v>2545</v>
      </c>
      <c r="C1001" s="116" t="s">
        <v>16</v>
      </c>
      <c r="D1001" s="116">
        <v>0</v>
      </c>
      <c r="E1001" s="136" t="s">
        <v>416</v>
      </c>
      <c r="F1001" s="137" t="str">
        <f t="shared" si="45"/>
        <v/>
      </c>
      <c r="G1001" s="138" t="e">
        <f>IF(A1001&lt;&gt;"",IF(AND(#REF!="Padrão",$H$4=#REF!),BDI!$B$17,IF(AND(#REF!="Padrão",$H$4=#REF!),BDI!#REF!,IF(AND(#REF!="Diferenciado",$H$4=#REF!),BDI!$E$17,IF(AND(#REF!="Diferenciado",$H$4=#REF!),BDI!#REF!,IF(#REF!="ZERO",0))))),"")</f>
        <v>#REF!</v>
      </c>
      <c r="H1001" s="139" t="str">
        <f t="shared" si="46"/>
        <v/>
      </c>
      <c r="I1001" s="137" t="str">
        <f t="shared" si="47"/>
        <v/>
      </c>
      <c r="J1001" s="117"/>
    </row>
    <row r="1002" spans="1:10" hidden="1" x14ac:dyDescent="0.25">
      <c r="A1002" s="114" t="s">
        <v>2546</v>
      </c>
      <c r="B1002" s="115" t="s">
        <v>2547</v>
      </c>
      <c r="C1002" s="116" t="s">
        <v>16</v>
      </c>
      <c r="D1002" s="116">
        <v>0</v>
      </c>
      <c r="E1002" s="136" t="s">
        <v>416</v>
      </c>
      <c r="F1002" s="137" t="str">
        <f t="shared" si="45"/>
        <v/>
      </c>
      <c r="G1002" s="138" t="e">
        <f>IF(A1002&lt;&gt;"",IF(AND(#REF!="Padrão",$H$4=#REF!),BDI!$B$17,IF(AND(#REF!="Padrão",$H$4=#REF!),BDI!#REF!,IF(AND(#REF!="Diferenciado",$H$4=#REF!),BDI!$E$17,IF(AND(#REF!="Diferenciado",$H$4=#REF!),BDI!#REF!,IF(#REF!="ZERO",0))))),"")</f>
        <v>#REF!</v>
      </c>
      <c r="H1002" s="139" t="str">
        <f t="shared" si="46"/>
        <v/>
      </c>
      <c r="I1002" s="137" t="str">
        <f t="shared" si="47"/>
        <v/>
      </c>
      <c r="J1002" s="117"/>
    </row>
    <row r="1003" spans="1:10" hidden="1" x14ac:dyDescent="0.25">
      <c r="A1003" s="114" t="s">
        <v>2548</v>
      </c>
      <c r="B1003" s="115" t="s">
        <v>2549</v>
      </c>
      <c r="C1003" s="116" t="s">
        <v>2550</v>
      </c>
      <c r="D1003" s="116">
        <v>0</v>
      </c>
      <c r="E1003" s="136" t="s">
        <v>416</v>
      </c>
      <c r="F1003" s="137" t="str">
        <f t="shared" si="45"/>
        <v/>
      </c>
      <c r="G1003" s="138" t="e">
        <f>IF(A1003&lt;&gt;"",IF(AND(#REF!="Padrão",$H$4=#REF!),BDI!$B$17,IF(AND(#REF!="Padrão",$H$4=#REF!),BDI!#REF!,IF(AND(#REF!="Diferenciado",$H$4=#REF!),BDI!$E$17,IF(AND(#REF!="Diferenciado",$H$4=#REF!),BDI!#REF!,IF(#REF!="ZERO",0))))),"")</f>
        <v>#REF!</v>
      </c>
      <c r="H1003" s="139" t="str">
        <f t="shared" si="46"/>
        <v/>
      </c>
      <c r="I1003" s="137" t="str">
        <f t="shared" si="47"/>
        <v/>
      </c>
      <c r="J1003" s="117"/>
    </row>
    <row r="1004" spans="1:10" hidden="1" x14ac:dyDescent="0.25">
      <c r="A1004" s="114" t="s">
        <v>2551</v>
      </c>
      <c r="B1004" s="115" t="s">
        <v>2552</v>
      </c>
      <c r="C1004" s="116" t="s">
        <v>16</v>
      </c>
      <c r="D1004" s="116">
        <v>0</v>
      </c>
      <c r="E1004" s="136" t="s">
        <v>416</v>
      </c>
      <c r="F1004" s="137" t="str">
        <f t="shared" si="45"/>
        <v/>
      </c>
      <c r="G1004" s="138" t="e">
        <f>IF(A1004&lt;&gt;"",IF(AND(#REF!="Padrão",$H$4=#REF!),BDI!$B$17,IF(AND(#REF!="Padrão",$H$4=#REF!),BDI!#REF!,IF(AND(#REF!="Diferenciado",$H$4=#REF!),BDI!$E$17,IF(AND(#REF!="Diferenciado",$H$4=#REF!),BDI!#REF!,IF(#REF!="ZERO",0))))),"")</f>
        <v>#REF!</v>
      </c>
      <c r="H1004" s="139" t="str">
        <f t="shared" si="46"/>
        <v/>
      </c>
      <c r="I1004" s="137" t="str">
        <f t="shared" si="47"/>
        <v/>
      </c>
      <c r="J1004" s="117"/>
    </row>
    <row r="1005" spans="1:10" hidden="1" x14ac:dyDescent="0.25">
      <c r="A1005" s="114" t="s">
        <v>2553</v>
      </c>
      <c r="B1005" s="115" t="s">
        <v>7686</v>
      </c>
      <c r="C1005" s="116" t="s">
        <v>69</v>
      </c>
      <c r="D1005" s="116">
        <v>0</v>
      </c>
      <c r="E1005" s="136" t="s">
        <v>416</v>
      </c>
      <c r="F1005" s="137" t="str">
        <f t="shared" si="45"/>
        <v/>
      </c>
      <c r="G1005" s="138" t="e">
        <f>IF(A1005&lt;&gt;"",IF(AND(#REF!="Padrão",$H$4=#REF!),BDI!$B$17,IF(AND(#REF!="Padrão",$H$4=#REF!),BDI!#REF!,IF(AND(#REF!="Diferenciado",$H$4=#REF!),BDI!$E$17,IF(AND(#REF!="Diferenciado",$H$4=#REF!),BDI!#REF!,IF(#REF!="ZERO",0))))),"")</f>
        <v>#REF!</v>
      </c>
      <c r="H1005" s="139" t="str">
        <f t="shared" si="46"/>
        <v/>
      </c>
      <c r="I1005" s="137" t="str">
        <f t="shared" si="47"/>
        <v/>
      </c>
      <c r="J1005" s="117"/>
    </row>
    <row r="1006" spans="1:10" hidden="1" x14ac:dyDescent="0.25">
      <c r="A1006" s="114" t="s">
        <v>967</v>
      </c>
      <c r="B1006" s="115" t="s">
        <v>2554</v>
      </c>
      <c r="C1006" s="116" t="s">
        <v>2555</v>
      </c>
      <c r="D1006" s="116">
        <v>0</v>
      </c>
      <c r="E1006" s="136">
        <f ca="1">OFFSET(INDEX(Composições!A:J,MATCH(Orçamentária!A1006,Composições!A:A,0),8),2,0)</f>
        <v>1163.75</v>
      </c>
      <c r="F1006" s="137">
        <f t="shared" ca="1" si="45"/>
        <v>0</v>
      </c>
      <c r="G1006" s="138" t="e">
        <f>IF(A1006&lt;&gt;"",IF(AND(#REF!="Padrão",$H$4=#REF!),BDI!$B$17,IF(AND(#REF!="Padrão",$H$4=#REF!),BDI!#REF!,IF(AND(#REF!="Diferenciado",$H$4=#REF!),BDI!$E$17,IF(AND(#REF!="Diferenciado",$H$4=#REF!),BDI!#REF!,IF(#REF!="ZERO",0))))),"")</f>
        <v>#REF!</v>
      </c>
      <c r="H1006" s="139" t="e">
        <f t="shared" ca="1" si="46"/>
        <v>#REF!</v>
      </c>
      <c r="I1006" s="137" t="e">
        <f t="shared" ca="1" si="47"/>
        <v>#REF!</v>
      </c>
      <c r="J1006" s="117"/>
    </row>
    <row r="1007" spans="1:10" hidden="1" x14ac:dyDescent="0.25">
      <c r="A1007" s="114" t="s">
        <v>2556</v>
      </c>
      <c r="B1007" s="115" t="s">
        <v>2557</v>
      </c>
      <c r="C1007" s="116" t="s">
        <v>69</v>
      </c>
      <c r="D1007" s="116">
        <v>0</v>
      </c>
      <c r="E1007" s="136" t="s">
        <v>416</v>
      </c>
      <c r="F1007" s="137" t="str">
        <f t="shared" si="45"/>
        <v/>
      </c>
      <c r="G1007" s="138" t="e">
        <f>IF(A1007&lt;&gt;"",IF(AND(#REF!="Padrão",$H$4=#REF!),BDI!$B$17,IF(AND(#REF!="Padrão",$H$4=#REF!),BDI!#REF!,IF(AND(#REF!="Diferenciado",$H$4=#REF!),BDI!$E$17,IF(AND(#REF!="Diferenciado",$H$4=#REF!),BDI!#REF!,IF(#REF!="ZERO",0))))),"")</f>
        <v>#REF!</v>
      </c>
      <c r="H1007" s="139" t="str">
        <f t="shared" si="46"/>
        <v/>
      </c>
      <c r="I1007" s="137" t="str">
        <f t="shared" si="47"/>
        <v/>
      </c>
      <c r="J1007" s="117"/>
    </row>
    <row r="1008" spans="1:10" hidden="1" x14ac:dyDescent="0.25">
      <c r="A1008" s="114" t="s">
        <v>2558</v>
      </c>
      <c r="B1008" s="115" t="s">
        <v>3260</v>
      </c>
      <c r="C1008" s="116" t="s">
        <v>70</v>
      </c>
      <c r="D1008" s="116">
        <v>0</v>
      </c>
      <c r="E1008" s="136" t="s">
        <v>416</v>
      </c>
      <c r="F1008" s="137" t="str">
        <f t="shared" si="45"/>
        <v/>
      </c>
      <c r="G1008" s="138" t="e">
        <f>IF(A1008&lt;&gt;"",IF(AND(#REF!="Padrão",$H$4=#REF!),BDI!$B$17,IF(AND(#REF!="Padrão",$H$4=#REF!),BDI!#REF!,IF(AND(#REF!="Diferenciado",$H$4=#REF!),BDI!$E$17,IF(AND(#REF!="Diferenciado",$H$4=#REF!),BDI!#REF!,IF(#REF!="ZERO",0))))),"")</f>
        <v>#REF!</v>
      </c>
      <c r="H1008" s="139" t="str">
        <f t="shared" si="46"/>
        <v/>
      </c>
      <c r="I1008" s="137" t="str">
        <f t="shared" si="47"/>
        <v/>
      </c>
      <c r="J1008" s="117"/>
    </row>
    <row r="1009" spans="1:10" hidden="1" x14ac:dyDescent="0.25">
      <c r="A1009" s="114" t="s">
        <v>2559</v>
      </c>
      <c r="B1009" s="115" t="s">
        <v>2560</v>
      </c>
      <c r="C1009" s="116" t="s">
        <v>70</v>
      </c>
      <c r="D1009" s="116">
        <v>0</v>
      </c>
      <c r="E1009" s="136" t="s">
        <v>416</v>
      </c>
      <c r="F1009" s="137" t="str">
        <f t="shared" si="45"/>
        <v/>
      </c>
      <c r="G1009" s="138" t="e">
        <f>IF(A1009&lt;&gt;"",IF(AND(#REF!="Padrão",$H$4=#REF!),BDI!$B$17,IF(AND(#REF!="Padrão",$H$4=#REF!),BDI!#REF!,IF(AND(#REF!="Diferenciado",$H$4=#REF!),BDI!$E$17,IF(AND(#REF!="Diferenciado",$H$4=#REF!),BDI!#REF!,IF(#REF!="ZERO",0))))),"")</f>
        <v>#REF!</v>
      </c>
      <c r="H1009" s="139" t="str">
        <f t="shared" si="46"/>
        <v/>
      </c>
      <c r="I1009" s="137" t="str">
        <f t="shared" si="47"/>
        <v/>
      </c>
      <c r="J1009" s="117"/>
    </row>
    <row r="1010" spans="1:10" hidden="1" x14ac:dyDescent="0.25">
      <c r="A1010" s="114" t="s">
        <v>2561</v>
      </c>
      <c r="B1010" s="115" t="s">
        <v>3261</v>
      </c>
      <c r="C1010" s="116" t="s">
        <v>70</v>
      </c>
      <c r="D1010" s="116">
        <v>0</v>
      </c>
      <c r="E1010" s="136" t="s">
        <v>416</v>
      </c>
      <c r="F1010" s="137" t="str">
        <f t="shared" si="45"/>
        <v/>
      </c>
      <c r="G1010" s="138" t="e">
        <f>IF(A1010&lt;&gt;"",IF(AND(#REF!="Padrão",$H$4=#REF!),BDI!$B$17,IF(AND(#REF!="Padrão",$H$4=#REF!),BDI!#REF!,IF(AND(#REF!="Diferenciado",$H$4=#REF!),BDI!$E$17,IF(AND(#REF!="Diferenciado",$H$4=#REF!),BDI!#REF!,IF(#REF!="ZERO",0))))),"")</f>
        <v>#REF!</v>
      </c>
      <c r="H1010" s="139" t="str">
        <f t="shared" si="46"/>
        <v/>
      </c>
      <c r="I1010" s="137" t="str">
        <f t="shared" si="47"/>
        <v/>
      </c>
      <c r="J1010" s="117"/>
    </row>
    <row r="1011" spans="1:10" hidden="1" x14ac:dyDescent="0.25">
      <c r="A1011" s="114" t="s">
        <v>2562</v>
      </c>
      <c r="B1011" s="115" t="s">
        <v>2563</v>
      </c>
      <c r="C1011" s="116" t="s">
        <v>70</v>
      </c>
      <c r="D1011" s="116">
        <v>0</v>
      </c>
      <c r="E1011" s="136" t="s">
        <v>416</v>
      </c>
      <c r="F1011" s="137" t="str">
        <f t="shared" si="45"/>
        <v/>
      </c>
      <c r="G1011" s="138" t="e">
        <f>IF(A1011&lt;&gt;"",IF(AND(#REF!="Padrão",$H$4=#REF!),BDI!$B$17,IF(AND(#REF!="Padrão",$H$4=#REF!),BDI!#REF!,IF(AND(#REF!="Diferenciado",$H$4=#REF!),BDI!$E$17,IF(AND(#REF!="Diferenciado",$H$4=#REF!),BDI!#REF!,IF(#REF!="ZERO",0))))),"")</f>
        <v>#REF!</v>
      </c>
      <c r="H1011" s="139" t="str">
        <f t="shared" si="46"/>
        <v/>
      </c>
      <c r="I1011" s="137" t="str">
        <f t="shared" si="47"/>
        <v/>
      </c>
      <c r="J1011" s="117"/>
    </row>
    <row r="1012" spans="1:10" hidden="1" x14ac:dyDescent="0.25">
      <c r="A1012" s="114" t="s">
        <v>2564</v>
      </c>
      <c r="B1012" s="115" t="s">
        <v>7687</v>
      </c>
      <c r="C1012" s="116" t="s">
        <v>70</v>
      </c>
      <c r="D1012" s="116">
        <v>0</v>
      </c>
      <c r="E1012" s="136" t="s">
        <v>416</v>
      </c>
      <c r="F1012" s="137" t="str">
        <f t="shared" si="45"/>
        <v/>
      </c>
      <c r="G1012" s="138" t="e">
        <f>IF(A1012&lt;&gt;"",IF(AND(#REF!="Padrão",$H$4=#REF!),BDI!$B$17,IF(AND(#REF!="Padrão",$H$4=#REF!),BDI!#REF!,IF(AND(#REF!="Diferenciado",$H$4=#REF!),BDI!$E$17,IF(AND(#REF!="Diferenciado",$H$4=#REF!),BDI!#REF!,IF(#REF!="ZERO",0))))),"")</f>
        <v>#REF!</v>
      </c>
      <c r="H1012" s="139" t="str">
        <f t="shared" si="46"/>
        <v/>
      </c>
      <c r="I1012" s="137" t="str">
        <f t="shared" si="47"/>
        <v/>
      </c>
      <c r="J1012" s="117"/>
    </row>
    <row r="1013" spans="1:10" hidden="1" x14ac:dyDescent="0.25">
      <c r="A1013" s="114" t="s">
        <v>2565</v>
      </c>
      <c r="B1013" s="115" t="s">
        <v>7688</v>
      </c>
      <c r="C1013" s="116" t="s">
        <v>16</v>
      </c>
      <c r="D1013" s="116">
        <v>0</v>
      </c>
      <c r="E1013" s="136" t="s">
        <v>416</v>
      </c>
      <c r="F1013" s="137" t="str">
        <f t="shared" si="45"/>
        <v/>
      </c>
      <c r="G1013" s="138" t="e">
        <f>IF(A1013&lt;&gt;"",IF(AND(#REF!="Padrão",$H$4=#REF!),BDI!$B$17,IF(AND(#REF!="Padrão",$H$4=#REF!),BDI!#REF!,IF(AND(#REF!="Diferenciado",$H$4=#REF!),BDI!$E$17,IF(AND(#REF!="Diferenciado",$H$4=#REF!),BDI!#REF!,IF(#REF!="ZERO",0))))),"")</f>
        <v>#REF!</v>
      </c>
      <c r="H1013" s="139" t="str">
        <f t="shared" si="46"/>
        <v/>
      </c>
      <c r="I1013" s="137" t="str">
        <f t="shared" si="47"/>
        <v/>
      </c>
      <c r="J1013" s="117"/>
    </row>
    <row r="1014" spans="1:10" hidden="1" x14ac:dyDescent="0.25">
      <c r="A1014" s="114" t="s">
        <v>2566</v>
      </c>
      <c r="B1014" s="115" t="s">
        <v>2567</v>
      </c>
      <c r="C1014" s="116" t="s">
        <v>2532</v>
      </c>
      <c r="D1014" s="116">
        <v>0</v>
      </c>
      <c r="E1014" s="136" t="s">
        <v>416</v>
      </c>
      <c r="F1014" s="137" t="str">
        <f t="shared" si="45"/>
        <v/>
      </c>
      <c r="G1014" s="138" t="e">
        <f>IF(A1014&lt;&gt;"",IF(AND(#REF!="Padrão",$H$4=#REF!),BDI!$B$17,IF(AND(#REF!="Padrão",$H$4=#REF!),BDI!#REF!,IF(AND(#REF!="Diferenciado",$H$4=#REF!),BDI!$E$17,IF(AND(#REF!="Diferenciado",$H$4=#REF!),BDI!#REF!,IF(#REF!="ZERO",0))))),"")</f>
        <v>#REF!</v>
      </c>
      <c r="H1014" s="139" t="str">
        <f t="shared" si="46"/>
        <v/>
      </c>
      <c r="I1014" s="137" t="str">
        <f t="shared" si="47"/>
        <v/>
      </c>
      <c r="J1014" s="117"/>
    </row>
    <row r="1015" spans="1:10" hidden="1" x14ac:dyDescent="0.25">
      <c r="A1015" s="114" t="s">
        <v>2568</v>
      </c>
      <c r="B1015" s="115" t="s">
        <v>2569</v>
      </c>
      <c r="C1015" s="116" t="s">
        <v>16</v>
      </c>
      <c r="D1015" s="116">
        <v>0</v>
      </c>
      <c r="E1015" s="136" t="s">
        <v>416</v>
      </c>
      <c r="F1015" s="137" t="str">
        <f t="shared" si="45"/>
        <v/>
      </c>
      <c r="G1015" s="138" t="e">
        <f>IF(A1015&lt;&gt;"",IF(AND(#REF!="Padrão",$H$4=#REF!),BDI!$B$17,IF(AND(#REF!="Padrão",$H$4=#REF!),BDI!#REF!,IF(AND(#REF!="Diferenciado",$H$4=#REF!),BDI!$E$17,IF(AND(#REF!="Diferenciado",$H$4=#REF!),BDI!#REF!,IF(#REF!="ZERO",0))))),"")</f>
        <v>#REF!</v>
      </c>
      <c r="H1015" s="139" t="str">
        <f t="shared" si="46"/>
        <v/>
      </c>
      <c r="I1015" s="137" t="str">
        <f t="shared" si="47"/>
        <v/>
      </c>
      <c r="J1015" s="117"/>
    </row>
    <row r="1016" spans="1:10" hidden="1" x14ac:dyDescent="0.25">
      <c r="A1016" s="114" t="s">
        <v>968</v>
      </c>
      <c r="B1016" s="115" t="s">
        <v>2570</v>
      </c>
      <c r="C1016" s="116" t="s">
        <v>69</v>
      </c>
      <c r="D1016" s="116">
        <v>0</v>
      </c>
      <c r="E1016" s="136">
        <f ca="1">OFFSET(INDEX(Composições!A:J,MATCH(Orçamentária!A1016,Composições!A:A,0),8),2,0)</f>
        <v>45.447067364708005</v>
      </c>
      <c r="F1016" s="137">
        <f t="shared" ca="1" si="45"/>
        <v>0</v>
      </c>
      <c r="G1016" s="138" t="e">
        <f>IF(A1016&lt;&gt;"",IF(AND(#REF!="Padrão",$H$4=#REF!),BDI!$B$17,IF(AND(#REF!="Padrão",$H$4=#REF!),BDI!#REF!,IF(AND(#REF!="Diferenciado",$H$4=#REF!),BDI!$E$17,IF(AND(#REF!="Diferenciado",$H$4=#REF!),BDI!#REF!,IF(#REF!="ZERO",0))))),"")</f>
        <v>#REF!</v>
      </c>
      <c r="H1016" s="139" t="e">
        <f t="shared" ca="1" si="46"/>
        <v>#REF!</v>
      </c>
      <c r="I1016" s="137" t="e">
        <f t="shared" ca="1" si="47"/>
        <v>#REF!</v>
      </c>
      <c r="J1016" s="117"/>
    </row>
    <row r="1017" spans="1:10" hidden="1" x14ac:dyDescent="0.25">
      <c r="A1017" s="114" t="s">
        <v>971</v>
      </c>
      <c r="B1017" s="115" t="s">
        <v>2571</v>
      </c>
      <c r="C1017" s="116" t="s">
        <v>2532</v>
      </c>
      <c r="D1017" s="116">
        <v>0</v>
      </c>
      <c r="E1017" s="136">
        <f ca="1">OFFSET(INDEX(Composições!A:J,MATCH(Orçamentária!A1017,Composições!A:A,0),8),2,0)</f>
        <v>22.574729678638935</v>
      </c>
      <c r="F1017" s="137">
        <f t="shared" ca="1" si="45"/>
        <v>0</v>
      </c>
      <c r="G1017" s="138" t="e">
        <f>IF(A1017&lt;&gt;"",IF(AND(#REF!="Padrão",$H$4=#REF!),BDI!$B$17,IF(AND(#REF!="Padrão",$H$4=#REF!),BDI!#REF!,IF(AND(#REF!="Diferenciado",$H$4=#REF!),BDI!$E$17,IF(AND(#REF!="Diferenciado",$H$4=#REF!),BDI!#REF!,IF(#REF!="ZERO",0))))),"")</f>
        <v>#REF!</v>
      </c>
      <c r="H1017" s="139" t="e">
        <f t="shared" ca="1" si="46"/>
        <v>#REF!</v>
      </c>
      <c r="I1017" s="137" t="e">
        <f t="shared" ca="1" si="47"/>
        <v>#REF!</v>
      </c>
      <c r="J1017" s="117"/>
    </row>
    <row r="1018" spans="1:10" hidden="1" x14ac:dyDescent="0.25">
      <c r="A1018" s="114" t="s">
        <v>972</v>
      </c>
      <c r="B1018" s="115" t="s">
        <v>2572</v>
      </c>
      <c r="C1018" s="116" t="s">
        <v>70</v>
      </c>
      <c r="D1018" s="116">
        <v>0</v>
      </c>
      <c r="E1018" s="136">
        <f ca="1">OFFSET(INDEX(Composições!A:J,MATCH(Orçamentária!A1018,Composições!A:A,0),8),2,0)</f>
        <v>22.363949999999996</v>
      </c>
      <c r="F1018" s="137">
        <f t="shared" ca="1" si="45"/>
        <v>0</v>
      </c>
      <c r="G1018" s="138" t="e">
        <f>IF(A1018&lt;&gt;"",IF(AND(#REF!="Padrão",$H$4=#REF!),BDI!$B$17,IF(AND(#REF!="Padrão",$H$4=#REF!),BDI!#REF!,IF(AND(#REF!="Diferenciado",$H$4=#REF!),BDI!$E$17,IF(AND(#REF!="Diferenciado",$H$4=#REF!),BDI!#REF!,IF(#REF!="ZERO",0))))),"")</f>
        <v>#REF!</v>
      </c>
      <c r="H1018" s="139" t="e">
        <f t="shared" ca="1" si="46"/>
        <v>#REF!</v>
      </c>
      <c r="I1018" s="137" t="e">
        <f t="shared" ca="1" si="47"/>
        <v>#REF!</v>
      </c>
      <c r="J1018" s="117"/>
    </row>
    <row r="1019" spans="1:10" hidden="1" x14ac:dyDescent="0.25">
      <c r="A1019" s="114" t="s">
        <v>976</v>
      </c>
      <c r="B1019" s="115" t="s">
        <v>2573</v>
      </c>
      <c r="C1019" s="116" t="s">
        <v>70</v>
      </c>
      <c r="D1019" s="116">
        <v>0</v>
      </c>
      <c r="E1019" s="136">
        <f ca="1">OFFSET(INDEX(Composições!A:J,MATCH(Orçamentária!A1019,Composições!A:A,0),8),2,0)</f>
        <v>91.523703000000012</v>
      </c>
      <c r="F1019" s="137">
        <f t="shared" ca="1" si="45"/>
        <v>0</v>
      </c>
      <c r="G1019" s="138" t="e">
        <f>IF(A1019&lt;&gt;"",IF(AND(#REF!="Padrão",$H$4=#REF!),BDI!$B$17,IF(AND(#REF!="Padrão",$H$4=#REF!),BDI!#REF!,IF(AND(#REF!="Diferenciado",$H$4=#REF!),BDI!$E$17,IF(AND(#REF!="Diferenciado",$H$4=#REF!),BDI!#REF!,IF(#REF!="ZERO",0))))),"")</f>
        <v>#REF!</v>
      </c>
      <c r="H1019" s="139" t="e">
        <f t="shared" ca="1" si="46"/>
        <v>#REF!</v>
      </c>
      <c r="I1019" s="137" t="e">
        <f t="shared" ca="1" si="47"/>
        <v>#REF!</v>
      </c>
      <c r="J1019" s="117"/>
    </row>
    <row r="1020" spans="1:10" hidden="1" x14ac:dyDescent="0.25">
      <c r="A1020" s="114" t="s">
        <v>2574</v>
      </c>
      <c r="B1020" s="115" t="s">
        <v>7689</v>
      </c>
      <c r="C1020" s="116" t="s">
        <v>16</v>
      </c>
      <c r="D1020" s="116">
        <v>0</v>
      </c>
      <c r="E1020" s="136" t="s">
        <v>416</v>
      </c>
      <c r="F1020" s="137" t="str">
        <f t="shared" si="45"/>
        <v/>
      </c>
      <c r="G1020" s="138" t="e">
        <f>IF(A1020&lt;&gt;"",IF(AND(#REF!="Padrão",$H$4=#REF!),BDI!$B$17,IF(AND(#REF!="Padrão",$H$4=#REF!),BDI!#REF!,IF(AND(#REF!="Diferenciado",$H$4=#REF!),BDI!$E$17,IF(AND(#REF!="Diferenciado",$H$4=#REF!),BDI!#REF!,IF(#REF!="ZERO",0))))),"")</f>
        <v>#REF!</v>
      </c>
      <c r="H1020" s="139" t="str">
        <f t="shared" si="46"/>
        <v/>
      </c>
      <c r="I1020" s="137" t="str">
        <f t="shared" si="47"/>
        <v/>
      </c>
      <c r="J1020" s="117"/>
    </row>
    <row r="1021" spans="1:10" hidden="1" x14ac:dyDescent="0.25">
      <c r="A1021" s="114" t="s">
        <v>2575</v>
      </c>
      <c r="B1021" s="115" t="s">
        <v>2576</v>
      </c>
      <c r="C1021" s="116" t="s">
        <v>16</v>
      </c>
      <c r="D1021" s="116">
        <v>0</v>
      </c>
      <c r="E1021" s="136" t="s">
        <v>416</v>
      </c>
      <c r="F1021" s="137" t="str">
        <f t="shared" si="45"/>
        <v/>
      </c>
      <c r="G1021" s="138" t="e">
        <f>IF(A1021&lt;&gt;"",IF(AND(#REF!="Padrão",$H$4=#REF!),BDI!$B$17,IF(AND(#REF!="Padrão",$H$4=#REF!),BDI!#REF!,IF(AND(#REF!="Diferenciado",$H$4=#REF!),BDI!$E$17,IF(AND(#REF!="Diferenciado",$H$4=#REF!),BDI!#REF!,IF(#REF!="ZERO",0))))),"")</f>
        <v>#REF!</v>
      </c>
      <c r="H1021" s="139" t="str">
        <f t="shared" si="46"/>
        <v/>
      </c>
      <c r="I1021" s="137" t="str">
        <f t="shared" si="47"/>
        <v/>
      </c>
      <c r="J1021" s="117"/>
    </row>
    <row r="1022" spans="1:10" ht="25.5" hidden="1" x14ac:dyDescent="0.25">
      <c r="A1022" s="114" t="s">
        <v>2577</v>
      </c>
      <c r="B1022" s="115" t="s">
        <v>7690</v>
      </c>
      <c r="C1022" s="116" t="s">
        <v>16</v>
      </c>
      <c r="D1022" s="116">
        <v>0</v>
      </c>
      <c r="E1022" s="136" t="s">
        <v>416</v>
      </c>
      <c r="F1022" s="137" t="str">
        <f t="shared" si="45"/>
        <v/>
      </c>
      <c r="G1022" s="138" t="e">
        <f>IF(A1022&lt;&gt;"",IF(AND(#REF!="Padrão",$H$4=#REF!),BDI!$B$17,IF(AND(#REF!="Padrão",$H$4=#REF!),BDI!#REF!,IF(AND(#REF!="Diferenciado",$H$4=#REF!),BDI!$E$17,IF(AND(#REF!="Diferenciado",$H$4=#REF!),BDI!#REF!,IF(#REF!="ZERO",0))))),"")</f>
        <v>#REF!</v>
      </c>
      <c r="H1022" s="139" t="str">
        <f t="shared" si="46"/>
        <v/>
      </c>
      <c r="I1022" s="137" t="str">
        <f t="shared" si="47"/>
        <v/>
      </c>
      <c r="J1022" s="117"/>
    </row>
    <row r="1023" spans="1:10" ht="25.5" hidden="1" x14ac:dyDescent="0.25">
      <c r="A1023" s="114" t="s">
        <v>2578</v>
      </c>
      <c r="B1023" s="115" t="s">
        <v>7691</v>
      </c>
      <c r="C1023" s="116" t="s">
        <v>16</v>
      </c>
      <c r="D1023" s="116">
        <v>0</v>
      </c>
      <c r="E1023" s="136" t="s">
        <v>416</v>
      </c>
      <c r="F1023" s="137" t="str">
        <f t="shared" si="45"/>
        <v/>
      </c>
      <c r="G1023" s="138" t="e">
        <f>IF(A1023&lt;&gt;"",IF(AND(#REF!="Padrão",$H$4=#REF!),BDI!$B$17,IF(AND(#REF!="Padrão",$H$4=#REF!),BDI!#REF!,IF(AND(#REF!="Diferenciado",$H$4=#REF!),BDI!$E$17,IF(AND(#REF!="Diferenciado",$H$4=#REF!),BDI!#REF!,IF(#REF!="ZERO",0))))),"")</f>
        <v>#REF!</v>
      </c>
      <c r="H1023" s="139" t="str">
        <f t="shared" si="46"/>
        <v/>
      </c>
      <c r="I1023" s="137" t="str">
        <f t="shared" si="47"/>
        <v/>
      </c>
      <c r="J1023" s="117"/>
    </row>
    <row r="1024" spans="1:10" ht="25.5" hidden="1" x14ac:dyDescent="0.25">
      <c r="A1024" s="114" t="s">
        <v>2579</v>
      </c>
      <c r="B1024" s="115" t="s">
        <v>7694</v>
      </c>
      <c r="C1024" s="116" t="s">
        <v>16</v>
      </c>
      <c r="D1024" s="116">
        <v>0</v>
      </c>
      <c r="E1024" s="136" t="s">
        <v>416</v>
      </c>
      <c r="F1024" s="137" t="str">
        <f t="shared" si="45"/>
        <v/>
      </c>
      <c r="G1024" s="138" t="e">
        <f>IF(A1024&lt;&gt;"",IF(AND(#REF!="Padrão",$H$4=#REF!),BDI!$B$17,IF(AND(#REF!="Padrão",$H$4=#REF!),BDI!#REF!,IF(AND(#REF!="Diferenciado",$H$4=#REF!),BDI!$E$17,IF(AND(#REF!="Diferenciado",$H$4=#REF!),BDI!#REF!,IF(#REF!="ZERO",0))))),"")</f>
        <v>#REF!</v>
      </c>
      <c r="H1024" s="139" t="str">
        <f t="shared" si="46"/>
        <v/>
      </c>
      <c r="I1024" s="137" t="str">
        <f t="shared" si="47"/>
        <v/>
      </c>
      <c r="J1024" s="117"/>
    </row>
    <row r="1025" spans="1:10" ht="25.5" hidden="1" x14ac:dyDescent="0.25">
      <c r="A1025" s="114" t="s">
        <v>2580</v>
      </c>
      <c r="B1025" s="115" t="s">
        <v>7693</v>
      </c>
      <c r="C1025" s="116" t="s">
        <v>16</v>
      </c>
      <c r="D1025" s="116">
        <v>0</v>
      </c>
      <c r="E1025" s="136" t="s">
        <v>416</v>
      </c>
      <c r="F1025" s="137" t="str">
        <f t="shared" si="45"/>
        <v/>
      </c>
      <c r="G1025" s="138" t="e">
        <f>IF(A1025&lt;&gt;"",IF(AND(#REF!="Padrão",$H$4=#REF!),BDI!$B$17,IF(AND(#REF!="Padrão",$H$4=#REF!),BDI!#REF!,IF(AND(#REF!="Diferenciado",$H$4=#REF!),BDI!$E$17,IF(AND(#REF!="Diferenciado",$H$4=#REF!),BDI!#REF!,IF(#REF!="ZERO",0))))),"")</f>
        <v>#REF!</v>
      </c>
      <c r="H1025" s="139" t="str">
        <f t="shared" si="46"/>
        <v/>
      </c>
      <c r="I1025" s="137" t="str">
        <f t="shared" si="47"/>
        <v/>
      </c>
      <c r="J1025" s="117"/>
    </row>
    <row r="1026" spans="1:10" ht="25.5" hidden="1" x14ac:dyDescent="0.25">
      <c r="A1026" s="114" t="s">
        <v>2581</v>
      </c>
      <c r="B1026" s="115" t="s">
        <v>7692</v>
      </c>
      <c r="C1026" s="116" t="s">
        <v>16</v>
      </c>
      <c r="D1026" s="116">
        <v>0</v>
      </c>
      <c r="E1026" s="136" t="s">
        <v>416</v>
      </c>
      <c r="F1026" s="137" t="str">
        <f t="shared" si="45"/>
        <v/>
      </c>
      <c r="G1026" s="138" t="e">
        <f>IF(A1026&lt;&gt;"",IF(AND(#REF!="Padrão",$H$4=#REF!),BDI!$B$17,IF(AND(#REF!="Padrão",$H$4=#REF!),BDI!#REF!,IF(AND(#REF!="Diferenciado",$H$4=#REF!),BDI!$E$17,IF(AND(#REF!="Diferenciado",$H$4=#REF!),BDI!#REF!,IF(#REF!="ZERO",0))))),"")</f>
        <v>#REF!</v>
      </c>
      <c r="H1026" s="139" t="str">
        <f t="shared" si="46"/>
        <v/>
      </c>
      <c r="I1026" s="137" t="str">
        <f t="shared" si="47"/>
        <v/>
      </c>
      <c r="J1026" s="117"/>
    </row>
    <row r="1027" spans="1:10" hidden="1" x14ac:dyDescent="0.25">
      <c r="A1027" s="114" t="s">
        <v>2582</v>
      </c>
      <c r="B1027" s="115" t="s">
        <v>7695</v>
      </c>
      <c r="C1027" s="116" t="s">
        <v>69</v>
      </c>
      <c r="D1027" s="116">
        <v>0</v>
      </c>
      <c r="E1027" s="136" t="s">
        <v>416</v>
      </c>
      <c r="F1027" s="137" t="str">
        <f t="shared" si="45"/>
        <v/>
      </c>
      <c r="G1027" s="138" t="e">
        <f>IF(A1027&lt;&gt;"",IF(AND(#REF!="Padrão",$H$4=#REF!),BDI!$B$17,IF(AND(#REF!="Padrão",$H$4=#REF!),BDI!#REF!,IF(AND(#REF!="Diferenciado",$H$4=#REF!),BDI!$E$17,IF(AND(#REF!="Diferenciado",$H$4=#REF!),BDI!#REF!,IF(#REF!="ZERO",0))))),"")</f>
        <v>#REF!</v>
      </c>
      <c r="H1027" s="139" t="str">
        <f t="shared" si="46"/>
        <v/>
      </c>
      <c r="I1027" s="137" t="str">
        <f t="shared" si="47"/>
        <v/>
      </c>
      <c r="J1027" s="117"/>
    </row>
    <row r="1028" spans="1:10" hidden="1" x14ac:dyDescent="0.25">
      <c r="A1028" s="114" t="s">
        <v>2583</v>
      </c>
      <c r="B1028" s="115" t="s">
        <v>7696</v>
      </c>
      <c r="C1028" s="116" t="s">
        <v>69</v>
      </c>
      <c r="D1028" s="116">
        <v>0</v>
      </c>
      <c r="E1028" s="136" t="s">
        <v>416</v>
      </c>
      <c r="F1028" s="137" t="str">
        <f t="shared" si="45"/>
        <v/>
      </c>
      <c r="G1028" s="138" t="e">
        <f>IF(A1028&lt;&gt;"",IF(AND(#REF!="Padrão",$H$4=#REF!),BDI!$B$17,IF(AND(#REF!="Padrão",$H$4=#REF!),BDI!#REF!,IF(AND(#REF!="Diferenciado",$H$4=#REF!),BDI!$E$17,IF(AND(#REF!="Diferenciado",$H$4=#REF!),BDI!#REF!,IF(#REF!="ZERO",0))))),"")</f>
        <v>#REF!</v>
      </c>
      <c r="H1028" s="139" t="str">
        <f t="shared" si="46"/>
        <v/>
      </c>
      <c r="I1028" s="137" t="str">
        <f t="shared" si="47"/>
        <v/>
      </c>
      <c r="J1028" s="117"/>
    </row>
    <row r="1029" spans="1:10" hidden="1" x14ac:dyDescent="0.25">
      <c r="A1029" s="114" t="s">
        <v>2584</v>
      </c>
      <c r="B1029" s="115" t="s">
        <v>7697</v>
      </c>
      <c r="C1029" s="116" t="s">
        <v>69</v>
      </c>
      <c r="D1029" s="116">
        <v>0</v>
      </c>
      <c r="E1029" s="136" t="s">
        <v>416</v>
      </c>
      <c r="F1029" s="137" t="str">
        <f t="shared" si="45"/>
        <v/>
      </c>
      <c r="G1029" s="138" t="e">
        <f>IF(A1029&lt;&gt;"",IF(AND(#REF!="Padrão",$H$4=#REF!),BDI!$B$17,IF(AND(#REF!="Padrão",$H$4=#REF!),BDI!#REF!,IF(AND(#REF!="Diferenciado",$H$4=#REF!),BDI!$E$17,IF(AND(#REF!="Diferenciado",$H$4=#REF!),BDI!#REF!,IF(#REF!="ZERO",0))))),"")</f>
        <v>#REF!</v>
      </c>
      <c r="H1029" s="139" t="str">
        <f t="shared" si="46"/>
        <v/>
      </c>
      <c r="I1029" s="137" t="str">
        <f t="shared" si="47"/>
        <v/>
      </c>
      <c r="J1029" s="117"/>
    </row>
    <row r="1030" spans="1:10" hidden="1" x14ac:dyDescent="0.25">
      <c r="A1030" s="114" t="s">
        <v>2585</v>
      </c>
      <c r="B1030" s="115" t="s">
        <v>2586</v>
      </c>
      <c r="C1030" s="116" t="s">
        <v>69</v>
      </c>
      <c r="D1030" s="116">
        <v>0</v>
      </c>
      <c r="E1030" s="136" t="s">
        <v>416</v>
      </c>
      <c r="F1030" s="137" t="str">
        <f t="shared" si="45"/>
        <v/>
      </c>
      <c r="G1030" s="138" t="e">
        <f>IF(A1030&lt;&gt;"",IF(AND(#REF!="Padrão",$H$4=#REF!),BDI!$B$17,IF(AND(#REF!="Padrão",$H$4=#REF!),BDI!#REF!,IF(AND(#REF!="Diferenciado",$H$4=#REF!),BDI!$E$17,IF(AND(#REF!="Diferenciado",$H$4=#REF!),BDI!#REF!,IF(#REF!="ZERO",0))))),"")</f>
        <v>#REF!</v>
      </c>
      <c r="H1030" s="139" t="str">
        <f t="shared" si="46"/>
        <v/>
      </c>
      <c r="I1030" s="137" t="str">
        <f t="shared" si="47"/>
        <v/>
      </c>
      <c r="J1030" s="117"/>
    </row>
    <row r="1031" spans="1:10" hidden="1" x14ac:dyDescent="0.25">
      <c r="A1031" s="114" t="s">
        <v>2587</v>
      </c>
      <c r="B1031" s="115" t="s">
        <v>2588</v>
      </c>
      <c r="C1031" s="116" t="s">
        <v>69</v>
      </c>
      <c r="D1031" s="116">
        <v>0</v>
      </c>
      <c r="E1031" s="136" t="s">
        <v>416</v>
      </c>
      <c r="F1031" s="137" t="str">
        <f t="shared" ref="F1031:F1094" si="48">IF(ISNUMBER(E1031),D1031*E1031,"")</f>
        <v/>
      </c>
      <c r="G1031" s="138" t="e">
        <f>IF(A1031&lt;&gt;"",IF(AND(#REF!="Padrão",$H$4=#REF!),BDI!$B$17,IF(AND(#REF!="Padrão",$H$4=#REF!),BDI!#REF!,IF(AND(#REF!="Diferenciado",$H$4=#REF!),BDI!$E$17,IF(AND(#REF!="Diferenciado",$H$4=#REF!),BDI!#REF!,IF(#REF!="ZERO",0))))),"")</f>
        <v>#REF!</v>
      </c>
      <c r="H1031" s="139" t="str">
        <f t="shared" ref="H1031:H1094" si="49">IF(ISNUMBER(E1031),ROUND(E1031*(1+G1031),2),"")</f>
        <v/>
      </c>
      <c r="I1031" s="137" t="str">
        <f t="shared" ref="I1031:I1094" si="50">IF(ISNUMBER(E1031),ROUND(H1031*D1031,2),"")</f>
        <v/>
      </c>
      <c r="J1031" s="117"/>
    </row>
    <row r="1032" spans="1:10" hidden="1" x14ac:dyDescent="0.25">
      <c r="A1032" s="114" t="s">
        <v>2589</v>
      </c>
      <c r="B1032" s="115" t="s">
        <v>2590</v>
      </c>
      <c r="C1032" s="116" t="s">
        <v>69</v>
      </c>
      <c r="D1032" s="116">
        <v>0</v>
      </c>
      <c r="E1032" s="136" t="s">
        <v>416</v>
      </c>
      <c r="F1032" s="137" t="str">
        <f t="shared" si="48"/>
        <v/>
      </c>
      <c r="G1032" s="138" t="e">
        <f>IF(A1032&lt;&gt;"",IF(AND(#REF!="Padrão",$H$4=#REF!),BDI!$B$17,IF(AND(#REF!="Padrão",$H$4=#REF!),BDI!#REF!,IF(AND(#REF!="Diferenciado",$H$4=#REF!),BDI!$E$17,IF(AND(#REF!="Diferenciado",$H$4=#REF!),BDI!#REF!,IF(#REF!="ZERO",0))))),"")</f>
        <v>#REF!</v>
      </c>
      <c r="H1032" s="139" t="str">
        <f t="shared" si="49"/>
        <v/>
      </c>
      <c r="I1032" s="137" t="str">
        <f t="shared" si="50"/>
        <v/>
      </c>
      <c r="J1032" s="117"/>
    </row>
    <row r="1033" spans="1:10" hidden="1" x14ac:dyDescent="0.25">
      <c r="A1033" s="114" t="s">
        <v>2591</v>
      </c>
      <c r="B1033" s="115" t="s">
        <v>2592</v>
      </c>
      <c r="C1033" s="116" t="s">
        <v>69</v>
      </c>
      <c r="D1033" s="116">
        <v>0</v>
      </c>
      <c r="E1033" s="136" t="s">
        <v>416</v>
      </c>
      <c r="F1033" s="137" t="str">
        <f t="shared" si="48"/>
        <v/>
      </c>
      <c r="G1033" s="138" t="e">
        <f>IF(A1033&lt;&gt;"",IF(AND(#REF!="Padrão",$H$4=#REF!),BDI!$B$17,IF(AND(#REF!="Padrão",$H$4=#REF!),BDI!#REF!,IF(AND(#REF!="Diferenciado",$H$4=#REF!),BDI!$E$17,IF(AND(#REF!="Diferenciado",$H$4=#REF!),BDI!#REF!,IF(#REF!="ZERO",0))))),"")</f>
        <v>#REF!</v>
      </c>
      <c r="H1033" s="139" t="str">
        <f t="shared" si="49"/>
        <v/>
      </c>
      <c r="I1033" s="137" t="str">
        <f t="shared" si="50"/>
        <v/>
      </c>
      <c r="J1033" s="117"/>
    </row>
    <row r="1034" spans="1:10" hidden="1" x14ac:dyDescent="0.25">
      <c r="A1034" s="114" t="s">
        <v>978</v>
      </c>
      <c r="B1034" s="115" t="s">
        <v>2593</v>
      </c>
      <c r="C1034" s="116" t="s">
        <v>2555</v>
      </c>
      <c r="D1034" s="116">
        <v>0</v>
      </c>
      <c r="E1034" s="136">
        <f ca="1">OFFSET(INDEX(Composições!A:J,MATCH(Orçamentária!A1034,Composições!A:A,0),8),2,0)</f>
        <v>1454.6875</v>
      </c>
      <c r="F1034" s="137">
        <f t="shared" ca="1" si="48"/>
        <v>0</v>
      </c>
      <c r="G1034" s="138" t="e">
        <f>IF(A1034&lt;&gt;"",IF(AND(#REF!="Padrão",$H$4=#REF!),BDI!$B$17,IF(AND(#REF!="Padrão",$H$4=#REF!),BDI!#REF!,IF(AND(#REF!="Diferenciado",$H$4=#REF!),BDI!$E$17,IF(AND(#REF!="Diferenciado",$H$4=#REF!),BDI!#REF!,IF(#REF!="ZERO",0))))),"")</f>
        <v>#REF!</v>
      </c>
      <c r="H1034" s="139" t="e">
        <f t="shared" ca="1" si="49"/>
        <v>#REF!</v>
      </c>
      <c r="I1034" s="137" t="e">
        <f t="shared" ca="1" si="50"/>
        <v>#REF!</v>
      </c>
      <c r="J1034" s="117"/>
    </row>
    <row r="1035" spans="1:10" hidden="1" x14ac:dyDescent="0.25">
      <c r="A1035" s="114" t="s">
        <v>979</v>
      </c>
      <c r="B1035" s="115" t="s">
        <v>2594</v>
      </c>
      <c r="C1035" s="116" t="s">
        <v>2555</v>
      </c>
      <c r="D1035" s="116">
        <v>0</v>
      </c>
      <c r="E1035" s="136">
        <f ca="1">OFFSET(INDEX(Composições!A:J,MATCH(Orçamentária!A1035,Composições!A:A,0),8),2,0)</f>
        <v>909.17849999999999</v>
      </c>
      <c r="F1035" s="137">
        <f t="shared" ca="1" si="48"/>
        <v>0</v>
      </c>
      <c r="G1035" s="138" t="e">
        <f>IF(A1035&lt;&gt;"",IF(AND(#REF!="Padrão",$H$4=#REF!),BDI!$B$17,IF(AND(#REF!="Padrão",$H$4=#REF!),BDI!#REF!,IF(AND(#REF!="Diferenciado",$H$4=#REF!),BDI!$E$17,IF(AND(#REF!="Diferenciado",$H$4=#REF!),BDI!#REF!,IF(#REF!="ZERO",0))))),"")</f>
        <v>#REF!</v>
      </c>
      <c r="H1035" s="139" t="e">
        <f t="shared" ca="1" si="49"/>
        <v>#REF!</v>
      </c>
      <c r="I1035" s="137" t="e">
        <f t="shared" ca="1" si="50"/>
        <v>#REF!</v>
      </c>
      <c r="J1035" s="117"/>
    </row>
    <row r="1036" spans="1:10" hidden="1" x14ac:dyDescent="0.25">
      <c r="A1036" s="114" t="s">
        <v>980</v>
      </c>
      <c r="B1036" s="115" t="s">
        <v>2595</v>
      </c>
      <c r="C1036" s="116" t="s">
        <v>70</v>
      </c>
      <c r="D1036" s="116">
        <v>0</v>
      </c>
      <c r="E1036" s="136">
        <f ca="1">OFFSET(INDEX(Composições!A:J,MATCH(Orçamentária!A1036,Composições!A:A,0),8),2,0)</f>
        <v>261.25</v>
      </c>
      <c r="F1036" s="137">
        <f t="shared" ca="1" si="48"/>
        <v>0</v>
      </c>
      <c r="G1036" s="138" t="e">
        <f>IF(A1036&lt;&gt;"",IF(AND(#REF!="Padrão",$H$4=#REF!),BDI!$B$17,IF(AND(#REF!="Padrão",$H$4=#REF!),BDI!#REF!,IF(AND(#REF!="Diferenciado",$H$4=#REF!),BDI!$E$17,IF(AND(#REF!="Diferenciado",$H$4=#REF!),BDI!#REF!,IF(#REF!="ZERO",0))))),"")</f>
        <v>#REF!</v>
      </c>
      <c r="H1036" s="139" t="e">
        <f t="shared" ca="1" si="49"/>
        <v>#REF!</v>
      </c>
      <c r="I1036" s="137" t="e">
        <f t="shared" ca="1" si="50"/>
        <v>#REF!</v>
      </c>
      <c r="J1036" s="117"/>
    </row>
    <row r="1037" spans="1:10" ht="25.5" hidden="1" x14ac:dyDescent="0.25">
      <c r="A1037" s="114" t="s">
        <v>2596</v>
      </c>
      <c r="B1037" s="115" t="s">
        <v>2597</v>
      </c>
      <c r="C1037" s="116" t="s">
        <v>2177</v>
      </c>
      <c r="D1037" s="116">
        <v>0</v>
      </c>
      <c r="E1037" s="136">
        <f ca="1">OFFSET(INDEX(Composições!A:J,MATCH(Orçamentária!A1037,Composições!A:A,0),8),2,0)</f>
        <v>1816.6694228499998</v>
      </c>
      <c r="F1037" s="137">
        <f t="shared" ca="1" si="48"/>
        <v>0</v>
      </c>
      <c r="G1037" s="138" t="e">
        <f>IF(A1037&lt;&gt;"",IF(AND(#REF!="Padrão",$H$4=#REF!),BDI!$B$17,IF(AND(#REF!="Padrão",$H$4=#REF!),BDI!#REF!,IF(AND(#REF!="Diferenciado",$H$4=#REF!),BDI!$E$17,IF(AND(#REF!="Diferenciado",$H$4=#REF!),BDI!#REF!,IF(#REF!="ZERO",0))))),"")</f>
        <v>#REF!</v>
      </c>
      <c r="H1037" s="139" t="e">
        <f t="shared" ca="1" si="49"/>
        <v>#REF!</v>
      </c>
      <c r="I1037" s="137" t="e">
        <f t="shared" ca="1" si="50"/>
        <v>#REF!</v>
      </c>
      <c r="J1037" s="117"/>
    </row>
    <row r="1038" spans="1:10" hidden="1" x14ac:dyDescent="0.25">
      <c r="A1038" s="114" t="s">
        <v>2598</v>
      </c>
      <c r="B1038" s="115" t="s">
        <v>2599</v>
      </c>
      <c r="C1038" s="116" t="s">
        <v>2177</v>
      </c>
      <c r="D1038" s="116">
        <v>0</v>
      </c>
      <c r="E1038" s="136">
        <f ca="1">OFFSET(INDEX(Composições!A:J,MATCH(Orçamentária!A1038,Composições!A:A,0),8),2,0)</f>
        <v>1816.6694228499998</v>
      </c>
      <c r="F1038" s="137">
        <f t="shared" ca="1" si="48"/>
        <v>0</v>
      </c>
      <c r="G1038" s="138" t="e">
        <f>IF(A1038&lt;&gt;"",IF(AND(#REF!="Padrão",$H$4=#REF!),BDI!$B$17,IF(AND(#REF!="Padrão",$H$4=#REF!),BDI!#REF!,IF(AND(#REF!="Diferenciado",$H$4=#REF!),BDI!$E$17,IF(AND(#REF!="Diferenciado",$H$4=#REF!),BDI!#REF!,IF(#REF!="ZERO",0))))),"")</f>
        <v>#REF!</v>
      </c>
      <c r="H1038" s="139" t="e">
        <f t="shared" ca="1" si="49"/>
        <v>#REF!</v>
      </c>
      <c r="I1038" s="137" t="e">
        <f t="shared" ca="1" si="50"/>
        <v>#REF!</v>
      </c>
      <c r="J1038" s="117"/>
    </row>
    <row r="1039" spans="1:10" hidden="1" x14ac:dyDescent="0.25">
      <c r="A1039" s="114" t="s">
        <v>2600</v>
      </c>
      <c r="B1039" s="115" t="s">
        <v>2601</v>
      </c>
      <c r="C1039" s="116" t="s">
        <v>2177</v>
      </c>
      <c r="D1039" s="116">
        <v>0</v>
      </c>
      <c r="E1039" s="136">
        <f ca="1">OFFSET(INDEX(Composições!A:J,MATCH(Orçamentária!A1039,Composições!A:A,0),8),2,0)</f>
        <v>1816.6694228499998</v>
      </c>
      <c r="F1039" s="137">
        <f t="shared" ca="1" si="48"/>
        <v>0</v>
      </c>
      <c r="G1039" s="138" t="e">
        <f>IF(A1039&lt;&gt;"",IF(AND(#REF!="Padrão",$H$4=#REF!),BDI!$B$17,IF(AND(#REF!="Padrão",$H$4=#REF!),BDI!#REF!,IF(AND(#REF!="Diferenciado",$H$4=#REF!),BDI!$E$17,IF(AND(#REF!="Diferenciado",$H$4=#REF!),BDI!#REF!,IF(#REF!="ZERO",0))))),"")</f>
        <v>#REF!</v>
      </c>
      <c r="H1039" s="139" t="e">
        <f t="shared" ca="1" si="49"/>
        <v>#REF!</v>
      </c>
      <c r="I1039" s="137" t="e">
        <f t="shared" ca="1" si="50"/>
        <v>#REF!</v>
      </c>
      <c r="J1039" s="117"/>
    </row>
    <row r="1040" spans="1:10" hidden="1" x14ac:dyDescent="0.25">
      <c r="A1040" s="114" t="s">
        <v>2602</v>
      </c>
      <c r="B1040" s="115" t="s">
        <v>2603</v>
      </c>
      <c r="C1040" s="116" t="s">
        <v>2177</v>
      </c>
      <c r="D1040" s="116">
        <v>0</v>
      </c>
      <c r="E1040" s="136">
        <f ca="1">OFFSET(INDEX(Composições!A:J,MATCH(Orçamentária!A1040,Composições!A:A,0),8),2,0)</f>
        <v>1816.6694228499998</v>
      </c>
      <c r="F1040" s="137">
        <f t="shared" ca="1" si="48"/>
        <v>0</v>
      </c>
      <c r="G1040" s="138" t="e">
        <f>IF(A1040&lt;&gt;"",IF(AND(#REF!="Padrão",$H$4=#REF!),BDI!$B$17,IF(AND(#REF!="Padrão",$H$4=#REF!),BDI!#REF!,IF(AND(#REF!="Diferenciado",$H$4=#REF!),BDI!$E$17,IF(AND(#REF!="Diferenciado",$H$4=#REF!),BDI!#REF!,IF(#REF!="ZERO",0))))),"")</f>
        <v>#REF!</v>
      </c>
      <c r="H1040" s="139" t="e">
        <f t="shared" ca="1" si="49"/>
        <v>#REF!</v>
      </c>
      <c r="I1040" s="137" t="e">
        <f t="shared" ca="1" si="50"/>
        <v>#REF!</v>
      </c>
      <c r="J1040" s="117"/>
    </row>
    <row r="1041" spans="1:10" hidden="1" x14ac:dyDescent="0.25">
      <c r="A1041" s="114" t="s">
        <v>2604</v>
      </c>
      <c r="B1041" s="115" t="s">
        <v>2605</v>
      </c>
      <c r="C1041" s="116" t="s">
        <v>2177</v>
      </c>
      <c r="D1041" s="116">
        <v>0</v>
      </c>
      <c r="E1041" s="136">
        <f ca="1">OFFSET(INDEX(Composições!A:J,MATCH(Orçamentária!A1041,Composições!A:A,0),8),2,0)</f>
        <v>1816.6694228499998</v>
      </c>
      <c r="F1041" s="137">
        <f t="shared" ca="1" si="48"/>
        <v>0</v>
      </c>
      <c r="G1041" s="138" t="e">
        <f>IF(A1041&lt;&gt;"",IF(AND(#REF!="Padrão",$H$4=#REF!),BDI!$B$17,IF(AND(#REF!="Padrão",$H$4=#REF!),BDI!#REF!,IF(AND(#REF!="Diferenciado",$H$4=#REF!),BDI!$E$17,IF(AND(#REF!="Diferenciado",$H$4=#REF!),BDI!#REF!,IF(#REF!="ZERO",0))))),"")</f>
        <v>#REF!</v>
      </c>
      <c r="H1041" s="139" t="e">
        <f t="shared" ca="1" si="49"/>
        <v>#REF!</v>
      </c>
      <c r="I1041" s="137" t="e">
        <f t="shared" ca="1" si="50"/>
        <v>#REF!</v>
      </c>
      <c r="J1041" s="117"/>
    </row>
    <row r="1042" spans="1:10" hidden="1" x14ac:dyDescent="0.25">
      <c r="A1042" s="114" t="s">
        <v>2606</v>
      </c>
      <c r="B1042" s="115" t="s">
        <v>2607</v>
      </c>
      <c r="C1042" s="116" t="s">
        <v>2177</v>
      </c>
      <c r="D1042" s="116">
        <v>0</v>
      </c>
      <c r="E1042" s="136">
        <f ca="1">OFFSET(INDEX(Composições!A:J,MATCH(Orçamentária!A1042,Composições!A:A,0),8),2,0)</f>
        <v>1816.6694228499998</v>
      </c>
      <c r="F1042" s="137">
        <f t="shared" ca="1" si="48"/>
        <v>0</v>
      </c>
      <c r="G1042" s="138" t="e">
        <f>IF(A1042&lt;&gt;"",IF(AND(#REF!="Padrão",$H$4=#REF!),BDI!$B$17,IF(AND(#REF!="Padrão",$H$4=#REF!),BDI!#REF!,IF(AND(#REF!="Diferenciado",$H$4=#REF!),BDI!$E$17,IF(AND(#REF!="Diferenciado",$H$4=#REF!),BDI!#REF!,IF(#REF!="ZERO",0))))),"")</f>
        <v>#REF!</v>
      </c>
      <c r="H1042" s="139" t="e">
        <f t="shared" ca="1" si="49"/>
        <v>#REF!</v>
      </c>
      <c r="I1042" s="137" t="e">
        <f t="shared" ca="1" si="50"/>
        <v>#REF!</v>
      </c>
      <c r="J1042" s="117"/>
    </row>
    <row r="1043" spans="1:10" hidden="1" x14ac:dyDescent="0.25">
      <c r="A1043" s="114" t="s">
        <v>2608</v>
      </c>
      <c r="B1043" s="115" t="s">
        <v>2609</v>
      </c>
      <c r="C1043" s="116" t="s">
        <v>2177</v>
      </c>
      <c r="D1043" s="116">
        <v>0</v>
      </c>
      <c r="E1043" s="136">
        <f ca="1">OFFSET(INDEX(Composições!A:J,MATCH(Orçamentária!A1043,Composições!A:A,0),8),2,0)</f>
        <v>1816.6694228499998</v>
      </c>
      <c r="F1043" s="137">
        <f t="shared" ca="1" si="48"/>
        <v>0</v>
      </c>
      <c r="G1043" s="138" t="e">
        <f>IF(A1043&lt;&gt;"",IF(AND(#REF!="Padrão",$H$4=#REF!),BDI!$B$17,IF(AND(#REF!="Padrão",$H$4=#REF!),BDI!#REF!,IF(AND(#REF!="Diferenciado",$H$4=#REF!),BDI!$E$17,IF(AND(#REF!="Diferenciado",$H$4=#REF!),BDI!#REF!,IF(#REF!="ZERO",0))))),"")</f>
        <v>#REF!</v>
      </c>
      <c r="H1043" s="139" t="e">
        <f t="shared" ca="1" si="49"/>
        <v>#REF!</v>
      </c>
      <c r="I1043" s="137" t="e">
        <f t="shared" ca="1" si="50"/>
        <v>#REF!</v>
      </c>
      <c r="J1043" s="117"/>
    </row>
    <row r="1044" spans="1:10" hidden="1" x14ac:dyDescent="0.25">
      <c r="A1044" s="114" t="s">
        <v>2610</v>
      </c>
      <c r="B1044" s="115" t="s">
        <v>2611</v>
      </c>
      <c r="C1044" s="116" t="s">
        <v>2177</v>
      </c>
      <c r="D1044" s="116">
        <v>0</v>
      </c>
      <c r="E1044" s="136">
        <f ca="1">OFFSET(INDEX(Composições!A:J,MATCH(Orçamentária!A1044,Composições!A:A,0),8),2,0)</f>
        <v>1816.6694228499998</v>
      </c>
      <c r="F1044" s="137">
        <f t="shared" ca="1" si="48"/>
        <v>0</v>
      </c>
      <c r="G1044" s="138" t="e">
        <f>IF(A1044&lt;&gt;"",IF(AND(#REF!="Padrão",$H$4=#REF!),BDI!$B$17,IF(AND(#REF!="Padrão",$H$4=#REF!),BDI!#REF!,IF(AND(#REF!="Diferenciado",$H$4=#REF!),BDI!$E$17,IF(AND(#REF!="Diferenciado",$H$4=#REF!),BDI!#REF!,IF(#REF!="ZERO",0))))),"")</f>
        <v>#REF!</v>
      </c>
      <c r="H1044" s="139" t="e">
        <f t="shared" ca="1" si="49"/>
        <v>#REF!</v>
      </c>
      <c r="I1044" s="137" t="e">
        <f t="shared" ca="1" si="50"/>
        <v>#REF!</v>
      </c>
      <c r="J1044" s="117"/>
    </row>
    <row r="1045" spans="1:10" hidden="1" x14ac:dyDescent="0.25">
      <c r="A1045" s="114" t="s">
        <v>2612</v>
      </c>
      <c r="B1045" s="115" t="s">
        <v>2613</v>
      </c>
      <c r="C1045" s="116" t="s">
        <v>2177</v>
      </c>
      <c r="D1045" s="116">
        <v>0</v>
      </c>
      <c r="E1045" s="136">
        <f ca="1">OFFSET(INDEX(Composições!A:J,MATCH(Orçamentária!A1045,Composições!A:A,0),8),2,0)</f>
        <v>1816.6694228499998</v>
      </c>
      <c r="F1045" s="137">
        <f t="shared" ca="1" si="48"/>
        <v>0</v>
      </c>
      <c r="G1045" s="138" t="e">
        <f>IF(A1045&lt;&gt;"",IF(AND(#REF!="Padrão",$H$4=#REF!),BDI!$B$17,IF(AND(#REF!="Padrão",$H$4=#REF!),BDI!#REF!,IF(AND(#REF!="Diferenciado",$H$4=#REF!),BDI!$E$17,IF(AND(#REF!="Diferenciado",$H$4=#REF!),BDI!#REF!,IF(#REF!="ZERO",0))))),"")</f>
        <v>#REF!</v>
      </c>
      <c r="H1045" s="139" t="e">
        <f t="shared" ca="1" si="49"/>
        <v>#REF!</v>
      </c>
      <c r="I1045" s="137" t="e">
        <f t="shared" ca="1" si="50"/>
        <v>#REF!</v>
      </c>
      <c r="J1045" s="117"/>
    </row>
    <row r="1046" spans="1:10" hidden="1" x14ac:dyDescent="0.25">
      <c r="A1046" s="114" t="s">
        <v>981</v>
      </c>
      <c r="B1046" s="115" t="s">
        <v>2614</v>
      </c>
      <c r="C1046" s="116" t="s">
        <v>2177</v>
      </c>
      <c r="D1046" s="116">
        <v>0</v>
      </c>
      <c r="E1046" s="136">
        <f ca="1">OFFSET(INDEX(Composições!A:J,MATCH(Orçamentária!A1046,Composições!A:A,0),8),2,0)</f>
        <v>4532.0651207999999</v>
      </c>
      <c r="F1046" s="137">
        <f t="shared" ca="1" si="48"/>
        <v>0</v>
      </c>
      <c r="G1046" s="138" t="e">
        <f>IF(A1046&lt;&gt;"",IF(AND(#REF!="Padrão",$H$4=#REF!),BDI!$B$17,IF(AND(#REF!="Padrão",$H$4=#REF!),BDI!#REF!,IF(AND(#REF!="Diferenciado",$H$4=#REF!),BDI!$E$17,IF(AND(#REF!="Diferenciado",$H$4=#REF!),BDI!#REF!,IF(#REF!="ZERO",0))))),"")</f>
        <v>#REF!</v>
      </c>
      <c r="H1046" s="139" t="e">
        <f t="shared" ca="1" si="49"/>
        <v>#REF!</v>
      </c>
      <c r="I1046" s="137" t="e">
        <f t="shared" ca="1" si="50"/>
        <v>#REF!</v>
      </c>
      <c r="J1046" s="117"/>
    </row>
    <row r="1047" spans="1:10" hidden="1" x14ac:dyDescent="0.25">
      <c r="A1047" s="114" t="s">
        <v>2615</v>
      </c>
      <c r="B1047" s="115" t="s">
        <v>2616</v>
      </c>
      <c r="C1047" s="116" t="s">
        <v>2377</v>
      </c>
      <c r="D1047" s="116">
        <v>0</v>
      </c>
      <c r="E1047" s="136" t="s">
        <v>416</v>
      </c>
      <c r="F1047" s="137" t="str">
        <f t="shared" si="48"/>
        <v/>
      </c>
      <c r="G1047" s="138" t="e">
        <f>IF(A1047&lt;&gt;"",IF(AND(#REF!="Padrão",$H$4=#REF!),BDI!$B$17,IF(AND(#REF!="Padrão",$H$4=#REF!),BDI!#REF!,IF(AND(#REF!="Diferenciado",$H$4=#REF!),BDI!$E$17,IF(AND(#REF!="Diferenciado",$H$4=#REF!),BDI!#REF!,IF(#REF!="ZERO",0))))),"")</f>
        <v>#REF!</v>
      </c>
      <c r="H1047" s="139" t="str">
        <f t="shared" si="49"/>
        <v/>
      </c>
      <c r="I1047" s="137" t="str">
        <f t="shared" si="50"/>
        <v/>
      </c>
      <c r="J1047" s="117"/>
    </row>
    <row r="1048" spans="1:10" hidden="1" x14ac:dyDescent="0.25">
      <c r="A1048" s="114" t="s">
        <v>2617</v>
      </c>
      <c r="B1048" s="115" t="s">
        <v>7698</v>
      </c>
      <c r="C1048" s="116" t="s">
        <v>2377</v>
      </c>
      <c r="D1048" s="116">
        <v>0</v>
      </c>
      <c r="E1048" s="136" t="s">
        <v>416</v>
      </c>
      <c r="F1048" s="137" t="str">
        <f t="shared" si="48"/>
        <v/>
      </c>
      <c r="G1048" s="138" t="e">
        <f>IF(A1048&lt;&gt;"",IF(AND(#REF!="Padrão",$H$4=#REF!),BDI!$B$17,IF(AND(#REF!="Padrão",$H$4=#REF!),BDI!#REF!,IF(AND(#REF!="Diferenciado",$H$4=#REF!),BDI!$E$17,IF(AND(#REF!="Diferenciado",$H$4=#REF!),BDI!#REF!,IF(#REF!="ZERO",0))))),"")</f>
        <v>#REF!</v>
      </c>
      <c r="H1048" s="139" t="str">
        <f t="shared" si="49"/>
        <v/>
      </c>
      <c r="I1048" s="137" t="str">
        <f t="shared" si="50"/>
        <v/>
      </c>
      <c r="J1048" s="117"/>
    </row>
    <row r="1049" spans="1:10" hidden="1" x14ac:dyDescent="0.25">
      <c r="A1049" s="114" t="s">
        <v>2618</v>
      </c>
      <c r="B1049" s="115" t="s">
        <v>2619</v>
      </c>
      <c r="C1049" s="116" t="s">
        <v>2377</v>
      </c>
      <c r="D1049" s="116">
        <v>0</v>
      </c>
      <c r="E1049" s="136" t="s">
        <v>416</v>
      </c>
      <c r="F1049" s="137" t="str">
        <f t="shared" si="48"/>
        <v/>
      </c>
      <c r="G1049" s="138" t="e">
        <f>IF(A1049&lt;&gt;"",IF(AND(#REF!="Padrão",$H$4=#REF!),BDI!$B$17,IF(AND(#REF!="Padrão",$H$4=#REF!),BDI!#REF!,IF(AND(#REF!="Diferenciado",$H$4=#REF!),BDI!$E$17,IF(AND(#REF!="Diferenciado",$H$4=#REF!),BDI!#REF!,IF(#REF!="ZERO",0))))),"")</f>
        <v>#REF!</v>
      </c>
      <c r="H1049" s="139" t="str">
        <f t="shared" si="49"/>
        <v/>
      </c>
      <c r="I1049" s="137" t="str">
        <f t="shared" si="50"/>
        <v/>
      </c>
      <c r="J1049" s="117"/>
    </row>
    <row r="1050" spans="1:10" hidden="1" x14ac:dyDescent="0.25">
      <c r="A1050" s="114" t="s">
        <v>2620</v>
      </c>
      <c r="B1050" s="115" t="s">
        <v>2621</v>
      </c>
      <c r="C1050" s="116" t="s">
        <v>2377</v>
      </c>
      <c r="D1050" s="116">
        <v>0</v>
      </c>
      <c r="E1050" s="136" t="s">
        <v>416</v>
      </c>
      <c r="F1050" s="137" t="str">
        <f t="shared" si="48"/>
        <v/>
      </c>
      <c r="G1050" s="138" t="e">
        <f>IF(A1050&lt;&gt;"",IF(AND(#REF!="Padrão",$H$4=#REF!),BDI!$B$17,IF(AND(#REF!="Padrão",$H$4=#REF!),BDI!#REF!,IF(AND(#REF!="Diferenciado",$H$4=#REF!),BDI!$E$17,IF(AND(#REF!="Diferenciado",$H$4=#REF!),BDI!#REF!,IF(#REF!="ZERO",0))))),"")</f>
        <v>#REF!</v>
      </c>
      <c r="H1050" s="139" t="str">
        <f t="shared" si="49"/>
        <v/>
      </c>
      <c r="I1050" s="137" t="str">
        <f t="shared" si="50"/>
        <v/>
      </c>
      <c r="J1050" s="117"/>
    </row>
    <row r="1051" spans="1:10" hidden="1" x14ac:dyDescent="0.25">
      <c r="A1051" s="114" t="s">
        <v>2622</v>
      </c>
      <c r="B1051" s="115" t="s">
        <v>2623</v>
      </c>
      <c r="C1051" s="116" t="s">
        <v>16</v>
      </c>
      <c r="D1051" s="116">
        <v>0</v>
      </c>
      <c r="E1051" s="136" t="s">
        <v>416</v>
      </c>
      <c r="F1051" s="137" t="str">
        <f t="shared" si="48"/>
        <v/>
      </c>
      <c r="G1051" s="138" t="e">
        <f>IF(A1051&lt;&gt;"",IF(AND(#REF!="Padrão",$H$4=#REF!),BDI!$B$17,IF(AND(#REF!="Padrão",$H$4=#REF!),BDI!#REF!,IF(AND(#REF!="Diferenciado",$H$4=#REF!),BDI!$E$17,IF(AND(#REF!="Diferenciado",$H$4=#REF!),BDI!#REF!,IF(#REF!="ZERO",0))))),"")</f>
        <v>#REF!</v>
      </c>
      <c r="H1051" s="139" t="str">
        <f t="shared" si="49"/>
        <v/>
      </c>
      <c r="I1051" s="137" t="str">
        <f t="shared" si="50"/>
        <v/>
      </c>
      <c r="J1051" s="117"/>
    </row>
    <row r="1052" spans="1:10" hidden="1" x14ac:dyDescent="0.25">
      <c r="A1052" s="114" t="s">
        <v>2624</v>
      </c>
      <c r="B1052" s="115" t="s">
        <v>2625</v>
      </c>
      <c r="C1052" s="116" t="s">
        <v>470</v>
      </c>
      <c r="D1052" s="116">
        <v>0</v>
      </c>
      <c r="E1052" s="136" t="s">
        <v>416</v>
      </c>
      <c r="F1052" s="137" t="str">
        <f t="shared" si="48"/>
        <v/>
      </c>
      <c r="G1052" s="138" t="e">
        <f>IF(A1052&lt;&gt;"",IF(AND(#REF!="Padrão",$H$4=#REF!),BDI!$B$17,IF(AND(#REF!="Padrão",$H$4=#REF!),BDI!#REF!,IF(AND(#REF!="Diferenciado",$H$4=#REF!),BDI!$E$17,IF(AND(#REF!="Diferenciado",$H$4=#REF!),BDI!#REF!,IF(#REF!="ZERO",0))))),"")</f>
        <v>#REF!</v>
      </c>
      <c r="H1052" s="139" t="str">
        <f t="shared" si="49"/>
        <v/>
      </c>
      <c r="I1052" s="137" t="str">
        <f t="shared" si="50"/>
        <v/>
      </c>
      <c r="J1052" s="117"/>
    </row>
    <row r="1053" spans="1:10" hidden="1" x14ac:dyDescent="0.25">
      <c r="A1053" s="114" t="s">
        <v>2626</v>
      </c>
      <c r="B1053" s="115" t="s">
        <v>2627</v>
      </c>
      <c r="C1053" s="116" t="s">
        <v>470</v>
      </c>
      <c r="D1053" s="116">
        <v>0</v>
      </c>
      <c r="E1053" s="136" t="s">
        <v>416</v>
      </c>
      <c r="F1053" s="137" t="str">
        <f t="shared" si="48"/>
        <v/>
      </c>
      <c r="G1053" s="138" t="e">
        <f>IF(A1053&lt;&gt;"",IF(AND(#REF!="Padrão",$H$4=#REF!),BDI!$B$17,IF(AND(#REF!="Padrão",$H$4=#REF!),BDI!#REF!,IF(AND(#REF!="Diferenciado",$H$4=#REF!),BDI!$E$17,IF(AND(#REF!="Diferenciado",$H$4=#REF!),BDI!#REF!,IF(#REF!="ZERO",0))))),"")</f>
        <v>#REF!</v>
      </c>
      <c r="H1053" s="139" t="str">
        <f t="shared" si="49"/>
        <v/>
      </c>
      <c r="I1053" s="137" t="str">
        <f t="shared" si="50"/>
        <v/>
      </c>
      <c r="J1053" s="117"/>
    </row>
    <row r="1054" spans="1:10" hidden="1" x14ac:dyDescent="0.25">
      <c r="A1054" s="114" t="s">
        <v>2628</v>
      </c>
      <c r="B1054" s="115" t="s">
        <v>2629</v>
      </c>
      <c r="C1054" s="116" t="s">
        <v>2377</v>
      </c>
      <c r="D1054" s="116">
        <v>0</v>
      </c>
      <c r="E1054" s="136" t="s">
        <v>416</v>
      </c>
      <c r="F1054" s="137" t="str">
        <f t="shared" si="48"/>
        <v/>
      </c>
      <c r="G1054" s="138" t="e">
        <f>IF(A1054&lt;&gt;"",IF(AND(#REF!="Padrão",$H$4=#REF!),BDI!$B$17,IF(AND(#REF!="Padrão",$H$4=#REF!),BDI!#REF!,IF(AND(#REF!="Diferenciado",$H$4=#REF!),BDI!$E$17,IF(AND(#REF!="Diferenciado",$H$4=#REF!),BDI!#REF!,IF(#REF!="ZERO",0))))),"")</f>
        <v>#REF!</v>
      </c>
      <c r="H1054" s="139" t="str">
        <f t="shared" si="49"/>
        <v/>
      </c>
      <c r="I1054" s="137" t="str">
        <f t="shared" si="50"/>
        <v/>
      </c>
      <c r="J1054" s="117"/>
    </row>
    <row r="1055" spans="1:10" hidden="1" x14ac:dyDescent="0.25">
      <c r="A1055" s="114" t="s">
        <v>2630</v>
      </c>
      <c r="B1055" s="115" t="s">
        <v>5459</v>
      </c>
      <c r="C1055" s="116" t="s">
        <v>16</v>
      </c>
      <c r="D1055" s="116">
        <v>0</v>
      </c>
      <c r="E1055" s="136" t="s">
        <v>416</v>
      </c>
      <c r="F1055" s="137" t="str">
        <f t="shared" si="48"/>
        <v/>
      </c>
      <c r="G1055" s="138" t="e">
        <f>IF(A1055&lt;&gt;"",IF(AND(#REF!="Padrão",$H$4=#REF!),BDI!$B$17,IF(AND(#REF!="Padrão",$H$4=#REF!),BDI!#REF!,IF(AND(#REF!="Diferenciado",$H$4=#REF!),BDI!$E$17,IF(AND(#REF!="Diferenciado",$H$4=#REF!),BDI!#REF!,IF(#REF!="ZERO",0))))),"")</f>
        <v>#REF!</v>
      </c>
      <c r="H1055" s="139" t="str">
        <f t="shared" si="49"/>
        <v/>
      </c>
      <c r="I1055" s="137" t="str">
        <f t="shared" si="50"/>
        <v/>
      </c>
      <c r="J1055" s="117"/>
    </row>
    <row r="1056" spans="1:10" hidden="1" x14ac:dyDescent="0.25">
      <c r="A1056" s="114" t="s">
        <v>2631</v>
      </c>
      <c r="B1056" s="115" t="s">
        <v>2632</v>
      </c>
      <c r="C1056" s="116" t="s">
        <v>2377</v>
      </c>
      <c r="D1056" s="116">
        <v>0</v>
      </c>
      <c r="E1056" s="136" t="s">
        <v>416</v>
      </c>
      <c r="F1056" s="137" t="str">
        <f t="shared" si="48"/>
        <v/>
      </c>
      <c r="G1056" s="138" t="e">
        <f>IF(A1056&lt;&gt;"",IF(AND(#REF!="Padrão",$H$4=#REF!),BDI!$B$17,IF(AND(#REF!="Padrão",$H$4=#REF!),BDI!#REF!,IF(AND(#REF!="Diferenciado",$H$4=#REF!),BDI!$E$17,IF(AND(#REF!="Diferenciado",$H$4=#REF!),BDI!#REF!,IF(#REF!="ZERO",0))))),"")</f>
        <v>#REF!</v>
      </c>
      <c r="H1056" s="139" t="str">
        <f t="shared" si="49"/>
        <v/>
      </c>
      <c r="I1056" s="137" t="str">
        <f t="shared" si="50"/>
        <v/>
      </c>
      <c r="J1056" s="117"/>
    </row>
    <row r="1057" spans="1:10" hidden="1" x14ac:dyDescent="0.25">
      <c r="A1057" s="114" t="s">
        <v>2633</v>
      </c>
      <c r="B1057" s="115" t="s">
        <v>2634</v>
      </c>
      <c r="C1057" s="116" t="s">
        <v>1683</v>
      </c>
      <c r="D1057" s="116">
        <v>0</v>
      </c>
      <c r="E1057" s="136" t="s">
        <v>416</v>
      </c>
      <c r="F1057" s="137" t="str">
        <f t="shared" si="48"/>
        <v/>
      </c>
      <c r="G1057" s="138" t="e">
        <f>IF(A1057&lt;&gt;"",IF(AND(#REF!="Padrão",$H$4=#REF!),BDI!$B$17,IF(AND(#REF!="Padrão",$H$4=#REF!),BDI!#REF!,IF(AND(#REF!="Diferenciado",$H$4=#REF!),BDI!$E$17,IF(AND(#REF!="Diferenciado",$H$4=#REF!),BDI!#REF!,IF(#REF!="ZERO",0))))),"")</f>
        <v>#REF!</v>
      </c>
      <c r="H1057" s="139" t="str">
        <f t="shared" si="49"/>
        <v/>
      </c>
      <c r="I1057" s="137" t="str">
        <f t="shared" si="50"/>
        <v/>
      </c>
      <c r="J1057" s="117"/>
    </row>
    <row r="1058" spans="1:10" hidden="1" x14ac:dyDescent="0.25">
      <c r="A1058" s="114" t="s">
        <v>983</v>
      </c>
      <c r="B1058" s="115" t="s">
        <v>2635</v>
      </c>
      <c r="C1058" s="116" t="s">
        <v>5416</v>
      </c>
      <c r="D1058" s="116">
        <v>0</v>
      </c>
      <c r="E1058" s="136">
        <f ca="1">OFFSET(INDEX(Composições!A:J,MATCH(Orçamentária!A1058,Composições!A:A,0),8),2,0)</f>
        <v>0.27037</v>
      </c>
      <c r="F1058" s="137">
        <f t="shared" ca="1" si="48"/>
        <v>0</v>
      </c>
      <c r="G1058" s="138" t="e">
        <f>IF(A1058&lt;&gt;"",IF(AND(#REF!="Padrão",$H$4=#REF!),BDI!$B$17,IF(AND(#REF!="Padrão",$H$4=#REF!),BDI!#REF!,IF(AND(#REF!="Diferenciado",$H$4=#REF!),BDI!$E$17,IF(AND(#REF!="Diferenciado",$H$4=#REF!),BDI!#REF!,IF(#REF!="ZERO",0))))),"")</f>
        <v>#REF!</v>
      </c>
      <c r="H1058" s="139" t="e">
        <f t="shared" ca="1" si="49"/>
        <v>#REF!</v>
      </c>
      <c r="I1058" s="137" t="e">
        <f t="shared" ca="1" si="50"/>
        <v>#REF!</v>
      </c>
      <c r="J1058" s="117"/>
    </row>
    <row r="1059" spans="1:10" hidden="1" x14ac:dyDescent="0.25">
      <c r="A1059" s="114" t="s">
        <v>985</v>
      </c>
      <c r="B1059" s="115" t="s">
        <v>2636</v>
      </c>
      <c r="C1059" s="116" t="s">
        <v>69</v>
      </c>
      <c r="D1059" s="116">
        <v>0</v>
      </c>
      <c r="E1059" s="136">
        <f ca="1">OFFSET(INDEX(Composições!A:J,MATCH(Orçamentária!A1059,Composições!A:A,0),8),2,0)</f>
        <v>38.546369655602696</v>
      </c>
      <c r="F1059" s="137">
        <f t="shared" ca="1" si="48"/>
        <v>0</v>
      </c>
      <c r="G1059" s="138" t="e">
        <f>IF(A1059&lt;&gt;"",IF(AND(#REF!="Padrão",$H$4=#REF!),BDI!$B$17,IF(AND(#REF!="Padrão",$H$4=#REF!),BDI!#REF!,IF(AND(#REF!="Diferenciado",$H$4=#REF!),BDI!$E$17,IF(AND(#REF!="Diferenciado",$H$4=#REF!),BDI!#REF!,IF(#REF!="ZERO",0))))),"")</f>
        <v>#REF!</v>
      </c>
      <c r="H1059" s="139" t="e">
        <f t="shared" ca="1" si="49"/>
        <v>#REF!</v>
      </c>
      <c r="I1059" s="137" t="e">
        <f t="shared" ca="1" si="50"/>
        <v>#REF!</v>
      </c>
      <c r="J1059" s="117"/>
    </row>
    <row r="1060" spans="1:10" hidden="1" x14ac:dyDescent="0.25">
      <c r="A1060" s="114" t="s">
        <v>2637</v>
      </c>
      <c r="B1060" s="115" t="s">
        <v>5460</v>
      </c>
      <c r="C1060" s="116" t="s">
        <v>16</v>
      </c>
      <c r="D1060" s="116">
        <v>0</v>
      </c>
      <c r="E1060" s="136" t="s">
        <v>416</v>
      </c>
      <c r="F1060" s="137" t="str">
        <f t="shared" si="48"/>
        <v/>
      </c>
      <c r="G1060" s="138" t="e">
        <f>IF(A1060&lt;&gt;"",IF(AND(#REF!="Padrão",$H$4=#REF!),BDI!$B$17,IF(AND(#REF!="Padrão",$H$4=#REF!),BDI!#REF!,IF(AND(#REF!="Diferenciado",$H$4=#REF!),BDI!$E$17,IF(AND(#REF!="Diferenciado",$H$4=#REF!),BDI!#REF!,IF(#REF!="ZERO",0))))),"")</f>
        <v>#REF!</v>
      </c>
      <c r="H1060" s="139" t="str">
        <f t="shared" si="49"/>
        <v/>
      </c>
      <c r="I1060" s="137" t="str">
        <f t="shared" si="50"/>
        <v/>
      </c>
      <c r="J1060" s="117"/>
    </row>
    <row r="1061" spans="1:10" ht="25.5" hidden="1" x14ac:dyDescent="0.25">
      <c r="A1061" s="114" t="s">
        <v>2638</v>
      </c>
      <c r="B1061" s="115" t="s">
        <v>2639</v>
      </c>
      <c r="C1061" s="116" t="s">
        <v>16</v>
      </c>
      <c r="D1061" s="116">
        <v>0</v>
      </c>
      <c r="E1061" s="136" t="s">
        <v>416</v>
      </c>
      <c r="F1061" s="137" t="str">
        <f t="shared" si="48"/>
        <v/>
      </c>
      <c r="G1061" s="138" t="e">
        <f>IF(A1061&lt;&gt;"",IF(AND(#REF!="Padrão",$H$4=#REF!),BDI!$B$17,IF(AND(#REF!="Padrão",$H$4=#REF!),BDI!#REF!,IF(AND(#REF!="Diferenciado",$H$4=#REF!),BDI!$E$17,IF(AND(#REF!="Diferenciado",$H$4=#REF!),BDI!#REF!,IF(#REF!="ZERO",0))))),"")</f>
        <v>#REF!</v>
      </c>
      <c r="H1061" s="139" t="str">
        <f t="shared" si="49"/>
        <v/>
      </c>
      <c r="I1061" s="137" t="str">
        <f t="shared" si="50"/>
        <v/>
      </c>
      <c r="J1061" s="117"/>
    </row>
    <row r="1062" spans="1:10" hidden="1" x14ac:dyDescent="0.25">
      <c r="A1062" s="114" t="s">
        <v>2640</v>
      </c>
      <c r="B1062" s="115" t="s">
        <v>2641</v>
      </c>
      <c r="C1062" s="116" t="s">
        <v>16</v>
      </c>
      <c r="D1062" s="116">
        <v>0</v>
      </c>
      <c r="E1062" s="136" t="s">
        <v>416</v>
      </c>
      <c r="F1062" s="137" t="str">
        <f t="shared" si="48"/>
        <v/>
      </c>
      <c r="G1062" s="138" t="e">
        <f>IF(A1062&lt;&gt;"",IF(AND(#REF!="Padrão",$H$4=#REF!),BDI!$B$17,IF(AND(#REF!="Padrão",$H$4=#REF!),BDI!#REF!,IF(AND(#REF!="Diferenciado",$H$4=#REF!),BDI!$E$17,IF(AND(#REF!="Diferenciado",$H$4=#REF!),BDI!#REF!,IF(#REF!="ZERO",0))))),"")</f>
        <v>#REF!</v>
      </c>
      <c r="H1062" s="139" t="str">
        <f t="shared" si="49"/>
        <v/>
      </c>
      <c r="I1062" s="137" t="str">
        <f t="shared" si="50"/>
        <v/>
      </c>
      <c r="J1062" s="117"/>
    </row>
    <row r="1063" spans="1:10" hidden="1" x14ac:dyDescent="0.25">
      <c r="A1063" s="114" t="s">
        <v>2642</v>
      </c>
      <c r="B1063" s="115" t="s">
        <v>2643</v>
      </c>
      <c r="C1063" s="116" t="s">
        <v>16</v>
      </c>
      <c r="D1063" s="116">
        <v>0</v>
      </c>
      <c r="E1063" s="136" t="s">
        <v>416</v>
      </c>
      <c r="F1063" s="137" t="str">
        <f t="shared" si="48"/>
        <v/>
      </c>
      <c r="G1063" s="138" t="e">
        <f>IF(A1063&lt;&gt;"",IF(AND(#REF!="Padrão",$H$4=#REF!),BDI!$B$17,IF(AND(#REF!="Padrão",$H$4=#REF!),BDI!#REF!,IF(AND(#REF!="Diferenciado",$H$4=#REF!),BDI!$E$17,IF(AND(#REF!="Diferenciado",$H$4=#REF!),BDI!#REF!,IF(#REF!="ZERO",0))))),"")</f>
        <v>#REF!</v>
      </c>
      <c r="H1063" s="139" t="str">
        <f t="shared" si="49"/>
        <v/>
      </c>
      <c r="I1063" s="137" t="str">
        <f t="shared" si="50"/>
        <v/>
      </c>
      <c r="J1063" s="117"/>
    </row>
    <row r="1064" spans="1:10" hidden="1" x14ac:dyDescent="0.25">
      <c r="A1064" s="114" t="s">
        <v>988</v>
      </c>
      <c r="B1064" s="115" t="s">
        <v>2644</v>
      </c>
      <c r="C1064" s="116" t="s">
        <v>70</v>
      </c>
      <c r="D1064" s="116">
        <v>0</v>
      </c>
      <c r="E1064" s="136">
        <f ca="1">OFFSET(INDEX(Composições!A:J,MATCH(Orçamentária!A1064,Composições!A:A,0),8),2,0)</f>
        <v>155.11190929999998</v>
      </c>
      <c r="F1064" s="137">
        <f t="shared" ca="1" si="48"/>
        <v>0</v>
      </c>
      <c r="G1064" s="138" t="e">
        <f>IF(A1064&lt;&gt;"",IF(AND(#REF!="Padrão",$H$4=#REF!),BDI!$B$17,IF(AND(#REF!="Padrão",$H$4=#REF!),BDI!#REF!,IF(AND(#REF!="Diferenciado",$H$4=#REF!),BDI!$E$17,IF(AND(#REF!="Diferenciado",$H$4=#REF!),BDI!#REF!,IF(#REF!="ZERO",0))))),"")</f>
        <v>#REF!</v>
      </c>
      <c r="H1064" s="139" t="e">
        <f t="shared" ca="1" si="49"/>
        <v>#REF!</v>
      </c>
      <c r="I1064" s="137" t="e">
        <f t="shared" ca="1" si="50"/>
        <v>#REF!</v>
      </c>
      <c r="J1064" s="117"/>
    </row>
    <row r="1065" spans="1:10" hidden="1" x14ac:dyDescent="0.25">
      <c r="A1065" s="114" t="s">
        <v>990</v>
      </c>
      <c r="B1065" s="115" t="s">
        <v>2645</v>
      </c>
      <c r="C1065" s="116" t="s">
        <v>70</v>
      </c>
      <c r="D1065" s="116">
        <v>0</v>
      </c>
      <c r="E1065" s="136">
        <f ca="1">OFFSET(INDEX(Composições!A:J,MATCH(Orçamentária!A1065,Composições!A:A,0),8),2,0)</f>
        <v>578.10560995000003</v>
      </c>
      <c r="F1065" s="137">
        <f t="shared" ca="1" si="48"/>
        <v>0</v>
      </c>
      <c r="G1065" s="138" t="e">
        <f>IF(A1065&lt;&gt;"",IF(AND(#REF!="Padrão",$H$4=#REF!),BDI!$B$17,IF(AND(#REF!="Padrão",$H$4=#REF!),BDI!#REF!,IF(AND(#REF!="Diferenciado",$H$4=#REF!),BDI!$E$17,IF(AND(#REF!="Diferenciado",$H$4=#REF!),BDI!#REF!,IF(#REF!="ZERO",0))))),"")</f>
        <v>#REF!</v>
      </c>
      <c r="H1065" s="139" t="e">
        <f t="shared" ca="1" si="49"/>
        <v>#REF!</v>
      </c>
      <c r="I1065" s="137" t="e">
        <f t="shared" ca="1" si="50"/>
        <v>#REF!</v>
      </c>
      <c r="J1065" s="117"/>
    </row>
    <row r="1066" spans="1:10" hidden="1" x14ac:dyDescent="0.25">
      <c r="A1066" s="114" t="s">
        <v>993</v>
      </c>
      <c r="B1066" s="115" t="s">
        <v>5461</v>
      </c>
      <c r="C1066" s="116" t="s">
        <v>70</v>
      </c>
      <c r="D1066" s="116">
        <v>0</v>
      </c>
      <c r="E1066" s="136">
        <f ca="1">OFFSET(INDEX(Composições!A:J,MATCH(Orçamentária!A1066,Composições!A:A,0),8),2,0)</f>
        <v>610.05279799999994</v>
      </c>
      <c r="F1066" s="137">
        <f t="shared" ca="1" si="48"/>
        <v>0</v>
      </c>
      <c r="G1066" s="138" t="e">
        <f>IF(A1066&lt;&gt;"",IF(AND(#REF!="Padrão",$H$4=#REF!),BDI!$B$17,IF(AND(#REF!="Padrão",$H$4=#REF!),BDI!#REF!,IF(AND(#REF!="Diferenciado",$H$4=#REF!),BDI!$E$17,IF(AND(#REF!="Diferenciado",$H$4=#REF!),BDI!#REF!,IF(#REF!="ZERO",0))))),"")</f>
        <v>#REF!</v>
      </c>
      <c r="H1066" s="139" t="e">
        <f t="shared" ca="1" si="49"/>
        <v>#REF!</v>
      </c>
      <c r="I1066" s="137" t="e">
        <f t="shared" ca="1" si="50"/>
        <v>#REF!</v>
      </c>
      <c r="J1066" s="117"/>
    </row>
    <row r="1067" spans="1:10" hidden="1" x14ac:dyDescent="0.25">
      <c r="A1067" s="114" t="s">
        <v>995</v>
      </c>
      <c r="B1067" s="115" t="s">
        <v>2646</v>
      </c>
      <c r="C1067" s="116" t="s">
        <v>70</v>
      </c>
      <c r="D1067" s="116">
        <v>0</v>
      </c>
      <c r="E1067" s="136">
        <f ca="1">OFFSET(INDEX(Composições!A:J,MATCH(Orçamentária!A1067,Composições!A:A,0),8),2,0)</f>
        <v>458.69453555140001</v>
      </c>
      <c r="F1067" s="137">
        <f t="shared" ca="1" si="48"/>
        <v>0</v>
      </c>
      <c r="G1067" s="138" t="e">
        <f>IF(A1067&lt;&gt;"",IF(AND(#REF!="Padrão",$H$4=#REF!),BDI!$B$17,IF(AND(#REF!="Padrão",$H$4=#REF!),BDI!#REF!,IF(AND(#REF!="Diferenciado",$H$4=#REF!),BDI!$E$17,IF(AND(#REF!="Diferenciado",$H$4=#REF!),BDI!#REF!,IF(#REF!="ZERO",0))))),"")</f>
        <v>#REF!</v>
      </c>
      <c r="H1067" s="139" t="e">
        <f t="shared" ca="1" si="49"/>
        <v>#REF!</v>
      </c>
      <c r="I1067" s="137" t="e">
        <f t="shared" ca="1" si="50"/>
        <v>#REF!</v>
      </c>
      <c r="J1067" s="117"/>
    </row>
    <row r="1068" spans="1:10" hidden="1" x14ac:dyDescent="0.25">
      <c r="A1068" s="114" t="s">
        <v>997</v>
      </c>
      <c r="B1068" s="115" t="s">
        <v>2647</v>
      </c>
      <c r="C1068" s="116" t="s">
        <v>16</v>
      </c>
      <c r="D1068" s="116">
        <v>0</v>
      </c>
      <c r="E1068" s="136">
        <f ca="1">OFFSET(INDEX(Composições!A:J,MATCH(Orçamentária!A1068,Composições!A:A,0),8),2,0)</f>
        <v>736.01603114999989</v>
      </c>
      <c r="F1068" s="137">
        <f t="shared" ca="1" si="48"/>
        <v>0</v>
      </c>
      <c r="G1068" s="138" t="e">
        <f>IF(A1068&lt;&gt;"",IF(AND(#REF!="Padrão",$H$4=#REF!),BDI!$B$17,IF(AND(#REF!="Padrão",$H$4=#REF!),BDI!#REF!,IF(AND(#REF!="Diferenciado",$H$4=#REF!),BDI!$E$17,IF(AND(#REF!="Diferenciado",$H$4=#REF!),BDI!#REF!,IF(#REF!="ZERO",0))))),"")</f>
        <v>#REF!</v>
      </c>
      <c r="H1068" s="139" t="e">
        <f t="shared" ca="1" si="49"/>
        <v>#REF!</v>
      </c>
      <c r="I1068" s="137" t="e">
        <f t="shared" ca="1" si="50"/>
        <v>#REF!</v>
      </c>
      <c r="J1068" s="117"/>
    </row>
    <row r="1069" spans="1:10" hidden="1" x14ac:dyDescent="0.25">
      <c r="A1069" s="114" t="s">
        <v>1006</v>
      </c>
      <c r="B1069" s="115" t="s">
        <v>2648</v>
      </c>
      <c r="C1069" s="116" t="s">
        <v>16</v>
      </c>
      <c r="D1069" s="116">
        <v>0</v>
      </c>
      <c r="E1069" s="136">
        <f ca="1">OFFSET(INDEX(Composições!A:J,MATCH(Orçamentária!A1069,Composições!A:A,0),8),2,0)</f>
        <v>5.4435950000000002</v>
      </c>
      <c r="F1069" s="137">
        <f t="shared" ca="1" si="48"/>
        <v>0</v>
      </c>
      <c r="G1069" s="138" t="e">
        <f>IF(A1069&lt;&gt;"",IF(AND(#REF!="Padrão",$H$4=#REF!),BDI!$B$17,IF(AND(#REF!="Padrão",$H$4=#REF!),BDI!#REF!,IF(AND(#REF!="Diferenciado",$H$4=#REF!),BDI!$E$17,IF(AND(#REF!="Diferenciado",$H$4=#REF!),BDI!#REF!,IF(#REF!="ZERO",0))))),"")</f>
        <v>#REF!</v>
      </c>
      <c r="H1069" s="139" t="e">
        <f t="shared" ca="1" si="49"/>
        <v>#REF!</v>
      </c>
      <c r="I1069" s="137" t="e">
        <f t="shared" ca="1" si="50"/>
        <v>#REF!</v>
      </c>
      <c r="J1069" s="117"/>
    </row>
    <row r="1070" spans="1:10" x14ac:dyDescent="0.25">
      <c r="A1070" s="189" t="s">
        <v>1008</v>
      </c>
      <c r="B1070" s="190" t="s">
        <v>7699</v>
      </c>
      <c r="C1070" s="191" t="s">
        <v>80</v>
      </c>
      <c r="D1070" s="191">
        <v>1.5</v>
      </c>
      <c r="E1070" s="136">
        <f ca="1">OFFSET(INDEX(Composições!A:J,MATCH(Orçamentária!A1070,Composições!A:A,0),8),2,0)</f>
        <v>1696.9222716469956</v>
      </c>
      <c r="F1070" s="137">
        <f t="shared" ca="1" si="48"/>
        <v>2545.3834074704932</v>
      </c>
      <c r="G1070" s="138">
        <f>BDI!$B$17</f>
        <v>0.191</v>
      </c>
      <c r="H1070" s="139">
        <f t="shared" ca="1" si="49"/>
        <v>2021.03</v>
      </c>
      <c r="I1070" s="137">
        <f t="shared" ca="1" si="50"/>
        <v>3031.55</v>
      </c>
      <c r="J1070" s="117"/>
    </row>
    <row r="1071" spans="1:10" hidden="1" x14ac:dyDescent="0.25">
      <c r="A1071" s="114" t="s">
        <v>1016</v>
      </c>
      <c r="B1071" s="115" t="s">
        <v>2649</v>
      </c>
      <c r="C1071" s="116" t="s">
        <v>69</v>
      </c>
      <c r="D1071" s="116">
        <v>0</v>
      </c>
      <c r="E1071" s="136">
        <f ca="1">OFFSET(INDEX(Composições!A:J,MATCH(Orçamentária!A1071,Composições!A:A,0),8),2,0)</f>
        <v>15.931710899999999</v>
      </c>
      <c r="F1071" s="137">
        <f t="shared" ca="1" si="48"/>
        <v>0</v>
      </c>
      <c r="G1071" s="138" t="e">
        <f>IF(A1071&lt;&gt;"",IF(AND(#REF!="Padrão",$H$4=#REF!),BDI!$B$17,IF(AND(#REF!="Padrão",$H$4=#REF!),BDI!#REF!,IF(AND(#REF!="Diferenciado",$H$4=#REF!),BDI!$E$17,IF(AND(#REF!="Diferenciado",$H$4=#REF!),BDI!#REF!,IF(#REF!="ZERO",0))))),"")</f>
        <v>#REF!</v>
      </c>
      <c r="H1071" s="139" t="e">
        <f t="shared" ca="1" si="49"/>
        <v>#REF!</v>
      </c>
      <c r="I1071" s="137" t="e">
        <f t="shared" ca="1" si="50"/>
        <v>#REF!</v>
      </c>
      <c r="J1071" s="117"/>
    </row>
    <row r="1072" spans="1:10" hidden="1" x14ac:dyDescent="0.25">
      <c r="A1072" s="114" t="s">
        <v>2650</v>
      </c>
      <c r="B1072" s="115" t="s">
        <v>2651</v>
      </c>
      <c r="C1072" s="116" t="s">
        <v>16</v>
      </c>
      <c r="D1072" s="116">
        <v>0</v>
      </c>
      <c r="E1072" s="136" t="s">
        <v>416</v>
      </c>
      <c r="F1072" s="137" t="str">
        <f t="shared" si="48"/>
        <v/>
      </c>
      <c r="G1072" s="138" t="e">
        <f>IF(A1072&lt;&gt;"",IF(AND(#REF!="Padrão",$H$4=#REF!),BDI!$B$17,IF(AND(#REF!="Padrão",$H$4=#REF!),BDI!#REF!,IF(AND(#REF!="Diferenciado",$H$4=#REF!),BDI!$E$17,IF(AND(#REF!="Diferenciado",$H$4=#REF!),BDI!#REF!,IF(#REF!="ZERO",0))))),"")</f>
        <v>#REF!</v>
      </c>
      <c r="H1072" s="139" t="str">
        <f t="shared" si="49"/>
        <v/>
      </c>
      <c r="I1072" s="137" t="str">
        <f t="shared" si="50"/>
        <v/>
      </c>
      <c r="J1072" s="117"/>
    </row>
    <row r="1073" spans="1:10" hidden="1" x14ac:dyDescent="0.25">
      <c r="A1073" s="114" t="s">
        <v>1019</v>
      </c>
      <c r="B1073" s="115" t="s">
        <v>2652</v>
      </c>
      <c r="C1073" s="116" t="s">
        <v>69</v>
      </c>
      <c r="D1073" s="116">
        <v>0</v>
      </c>
      <c r="E1073" s="136">
        <f ca="1">OFFSET(INDEX(Composições!A:J,MATCH(Orçamentária!A1073,Composições!A:A,0),8),2,0)</f>
        <v>49.418999999999997</v>
      </c>
      <c r="F1073" s="137">
        <f t="shared" ca="1" si="48"/>
        <v>0</v>
      </c>
      <c r="G1073" s="138" t="e">
        <f>IF(A1073&lt;&gt;"",IF(AND(#REF!="Padrão",$H$4=#REF!),BDI!$B$17,IF(AND(#REF!="Padrão",$H$4=#REF!),BDI!#REF!,IF(AND(#REF!="Diferenciado",$H$4=#REF!),BDI!$E$17,IF(AND(#REF!="Diferenciado",$H$4=#REF!),BDI!#REF!,IF(#REF!="ZERO",0))))),"")</f>
        <v>#REF!</v>
      </c>
      <c r="H1073" s="139" t="e">
        <f t="shared" ca="1" si="49"/>
        <v>#REF!</v>
      </c>
      <c r="I1073" s="137" t="e">
        <f t="shared" ca="1" si="50"/>
        <v>#REF!</v>
      </c>
      <c r="J1073" s="117"/>
    </row>
    <row r="1074" spans="1:10" hidden="1" x14ac:dyDescent="0.25">
      <c r="A1074" s="114" t="s">
        <v>1021</v>
      </c>
      <c r="B1074" s="115" t="s">
        <v>2653</v>
      </c>
      <c r="C1074" s="116" t="s">
        <v>69</v>
      </c>
      <c r="D1074" s="116">
        <v>0</v>
      </c>
      <c r="E1074" s="136">
        <f ca="1">OFFSET(INDEX(Composições!A:J,MATCH(Orçamentária!A1074,Composições!A:A,0),8),2,0)</f>
        <v>31.748620000000003</v>
      </c>
      <c r="F1074" s="137">
        <f t="shared" ca="1" si="48"/>
        <v>0</v>
      </c>
      <c r="G1074" s="138" t="e">
        <f>IF(A1074&lt;&gt;"",IF(AND(#REF!="Padrão",$H$4=#REF!),BDI!$B$17,IF(AND(#REF!="Padrão",$H$4=#REF!),BDI!#REF!,IF(AND(#REF!="Diferenciado",$H$4=#REF!),BDI!$E$17,IF(AND(#REF!="Diferenciado",$H$4=#REF!),BDI!#REF!,IF(#REF!="ZERO",0))))),"")</f>
        <v>#REF!</v>
      </c>
      <c r="H1074" s="139" t="e">
        <f t="shared" ca="1" si="49"/>
        <v>#REF!</v>
      </c>
      <c r="I1074" s="137" t="e">
        <f t="shared" ca="1" si="50"/>
        <v>#REF!</v>
      </c>
      <c r="J1074" s="117"/>
    </row>
    <row r="1075" spans="1:10" hidden="1" x14ac:dyDescent="0.25">
      <c r="A1075" s="114" t="s">
        <v>1023</v>
      </c>
      <c r="B1075" s="115" t="s">
        <v>2654</v>
      </c>
      <c r="C1075" s="116" t="s">
        <v>70</v>
      </c>
      <c r="D1075" s="116">
        <v>0</v>
      </c>
      <c r="E1075" s="136">
        <f ca="1">OFFSET(INDEX(Composições!A:J,MATCH(Orçamentária!A1075,Composições!A:A,0),8),2,0)</f>
        <v>150.9292379</v>
      </c>
      <c r="F1075" s="137">
        <f t="shared" ca="1" si="48"/>
        <v>0</v>
      </c>
      <c r="G1075" s="138" t="e">
        <f>IF(A1075&lt;&gt;"",IF(AND(#REF!="Padrão",$H$4=#REF!),BDI!$B$17,IF(AND(#REF!="Padrão",$H$4=#REF!),BDI!#REF!,IF(AND(#REF!="Diferenciado",$H$4=#REF!),BDI!$E$17,IF(AND(#REF!="Diferenciado",$H$4=#REF!),BDI!#REF!,IF(#REF!="ZERO",0))))),"")</f>
        <v>#REF!</v>
      </c>
      <c r="H1075" s="139" t="e">
        <f t="shared" ca="1" si="49"/>
        <v>#REF!</v>
      </c>
      <c r="I1075" s="137" t="e">
        <f t="shared" ca="1" si="50"/>
        <v>#REF!</v>
      </c>
      <c r="J1075" s="117"/>
    </row>
    <row r="1076" spans="1:10" hidden="1" x14ac:dyDescent="0.25">
      <c r="A1076" s="114" t="s">
        <v>1025</v>
      </c>
      <c r="B1076" s="115" t="s">
        <v>2655</v>
      </c>
      <c r="C1076" s="116" t="s">
        <v>16</v>
      </c>
      <c r="D1076" s="116">
        <v>0</v>
      </c>
      <c r="E1076" s="136">
        <f ca="1">OFFSET(INDEX(Composições!A:J,MATCH(Orçamentária!A1076,Composições!A:A,0),8),2,0)</f>
        <v>13.078640500000002</v>
      </c>
      <c r="F1076" s="137">
        <f t="shared" ca="1" si="48"/>
        <v>0</v>
      </c>
      <c r="G1076" s="138" t="e">
        <f>IF(A1076&lt;&gt;"",IF(AND(#REF!="Padrão",$H$4=#REF!),BDI!$B$17,IF(AND(#REF!="Padrão",$H$4=#REF!),BDI!#REF!,IF(AND(#REF!="Diferenciado",$H$4=#REF!),BDI!$E$17,IF(AND(#REF!="Diferenciado",$H$4=#REF!),BDI!#REF!,IF(#REF!="ZERO",0))))),"")</f>
        <v>#REF!</v>
      </c>
      <c r="H1076" s="139" t="e">
        <f t="shared" ca="1" si="49"/>
        <v>#REF!</v>
      </c>
      <c r="I1076" s="137" t="e">
        <f t="shared" ca="1" si="50"/>
        <v>#REF!</v>
      </c>
      <c r="J1076" s="117"/>
    </row>
    <row r="1077" spans="1:10" hidden="1" x14ac:dyDescent="0.25">
      <c r="A1077" s="114" t="s">
        <v>1027</v>
      </c>
      <c r="B1077" s="115" t="s">
        <v>2656</v>
      </c>
      <c r="C1077" s="116" t="s">
        <v>70</v>
      </c>
      <c r="D1077" s="116">
        <v>0</v>
      </c>
      <c r="E1077" s="136">
        <f ca="1">OFFSET(INDEX(Composições!A:J,MATCH(Orçamentária!A1077,Composições!A:A,0),8),2,0)</f>
        <v>125.02422749999999</v>
      </c>
      <c r="F1077" s="137">
        <f t="shared" ca="1" si="48"/>
        <v>0</v>
      </c>
      <c r="G1077" s="138" t="e">
        <f>IF(A1077&lt;&gt;"",IF(AND(#REF!="Padrão",$H$4=#REF!),BDI!$B$17,IF(AND(#REF!="Padrão",$H$4=#REF!),BDI!#REF!,IF(AND(#REF!="Diferenciado",$H$4=#REF!),BDI!$E$17,IF(AND(#REF!="Diferenciado",$H$4=#REF!),BDI!#REF!,IF(#REF!="ZERO",0))))),"")</f>
        <v>#REF!</v>
      </c>
      <c r="H1077" s="139" t="e">
        <f t="shared" ca="1" si="49"/>
        <v>#REF!</v>
      </c>
      <c r="I1077" s="137" t="e">
        <f t="shared" ca="1" si="50"/>
        <v>#REF!</v>
      </c>
      <c r="J1077" s="117"/>
    </row>
    <row r="1078" spans="1:10" hidden="1" x14ac:dyDescent="0.25">
      <c r="A1078" s="114" t="s">
        <v>1028</v>
      </c>
      <c r="B1078" s="115" t="s">
        <v>2657</v>
      </c>
      <c r="C1078" s="116" t="s">
        <v>70</v>
      </c>
      <c r="D1078" s="116">
        <v>0</v>
      </c>
      <c r="E1078" s="136">
        <f ca="1">OFFSET(INDEX(Composições!A:J,MATCH(Orçamentária!A1078,Composições!A:A,0),8),2,0)</f>
        <v>111.88545199999999</v>
      </c>
      <c r="F1078" s="137">
        <f t="shared" ca="1" si="48"/>
        <v>0</v>
      </c>
      <c r="G1078" s="138" t="e">
        <f>IF(A1078&lt;&gt;"",IF(AND(#REF!="Padrão",$H$4=#REF!),BDI!$B$17,IF(AND(#REF!="Padrão",$H$4=#REF!),BDI!#REF!,IF(AND(#REF!="Diferenciado",$H$4=#REF!),BDI!$E$17,IF(AND(#REF!="Diferenciado",$H$4=#REF!),BDI!#REF!,IF(#REF!="ZERO",0))))),"")</f>
        <v>#REF!</v>
      </c>
      <c r="H1078" s="139" t="e">
        <f t="shared" ca="1" si="49"/>
        <v>#REF!</v>
      </c>
      <c r="I1078" s="137" t="e">
        <f t="shared" ca="1" si="50"/>
        <v>#REF!</v>
      </c>
      <c r="J1078" s="117"/>
    </row>
    <row r="1079" spans="1:10" hidden="1" x14ac:dyDescent="0.25">
      <c r="A1079" s="114" t="s">
        <v>1029</v>
      </c>
      <c r="B1079" s="115" t="s">
        <v>2658</v>
      </c>
      <c r="C1079" s="116" t="s">
        <v>16</v>
      </c>
      <c r="D1079" s="116">
        <v>0</v>
      </c>
      <c r="E1079" s="136">
        <f ca="1">OFFSET(INDEX(Composições!A:J,MATCH(Orçamentária!A1079,Composições!A:A,0),8),2,0)</f>
        <v>141.17421341458939</v>
      </c>
      <c r="F1079" s="137">
        <f t="shared" ca="1" si="48"/>
        <v>0</v>
      </c>
      <c r="G1079" s="138" t="e">
        <f>IF(A1079&lt;&gt;"",IF(AND(#REF!="Padrão",$H$4=#REF!),BDI!$B$17,IF(AND(#REF!="Padrão",$H$4=#REF!),BDI!#REF!,IF(AND(#REF!="Diferenciado",$H$4=#REF!),BDI!$E$17,IF(AND(#REF!="Diferenciado",$H$4=#REF!),BDI!#REF!,IF(#REF!="ZERO",0))))),"")</f>
        <v>#REF!</v>
      </c>
      <c r="H1079" s="139" t="e">
        <f t="shared" ca="1" si="49"/>
        <v>#REF!</v>
      </c>
      <c r="I1079" s="137" t="e">
        <f t="shared" ca="1" si="50"/>
        <v>#REF!</v>
      </c>
      <c r="J1079" s="117"/>
    </row>
    <row r="1080" spans="1:10" hidden="1" x14ac:dyDescent="0.25">
      <c r="A1080" s="114" t="s">
        <v>2659</v>
      </c>
      <c r="B1080" s="115" t="s">
        <v>2660</v>
      </c>
      <c r="C1080" s="116" t="s">
        <v>16</v>
      </c>
      <c r="D1080" s="116">
        <v>0</v>
      </c>
      <c r="E1080" s="136" t="s">
        <v>416</v>
      </c>
      <c r="F1080" s="137" t="str">
        <f t="shared" si="48"/>
        <v/>
      </c>
      <c r="G1080" s="138" t="e">
        <f>IF(A1080&lt;&gt;"",IF(AND(#REF!="Padrão",$H$4=#REF!),BDI!$B$17,IF(AND(#REF!="Padrão",$H$4=#REF!),BDI!#REF!,IF(AND(#REF!="Diferenciado",$H$4=#REF!),BDI!$E$17,IF(AND(#REF!="Diferenciado",$H$4=#REF!),BDI!#REF!,IF(#REF!="ZERO",0))))),"")</f>
        <v>#REF!</v>
      </c>
      <c r="H1080" s="139" t="str">
        <f t="shared" si="49"/>
        <v/>
      </c>
      <c r="I1080" s="137" t="str">
        <f t="shared" si="50"/>
        <v/>
      </c>
      <c r="J1080" s="117"/>
    </row>
    <row r="1081" spans="1:10" hidden="1" x14ac:dyDescent="0.25">
      <c r="A1081" s="114" t="s">
        <v>1031</v>
      </c>
      <c r="B1081" s="115" t="s">
        <v>2661</v>
      </c>
      <c r="C1081" s="116" t="s">
        <v>70</v>
      </c>
      <c r="D1081" s="116">
        <v>0</v>
      </c>
      <c r="E1081" s="136">
        <f ca="1">OFFSET(INDEX(Composições!A:J,MATCH(Orçamentária!A1081,Composições!A:A,0),8),2,0)</f>
        <v>32.594309999999993</v>
      </c>
      <c r="F1081" s="137">
        <f t="shared" ca="1" si="48"/>
        <v>0</v>
      </c>
      <c r="G1081" s="138" t="e">
        <f>IF(A1081&lt;&gt;"",IF(AND(#REF!="Padrão",$H$4=#REF!),BDI!$B$17,IF(AND(#REF!="Padrão",$H$4=#REF!),BDI!#REF!,IF(AND(#REF!="Diferenciado",$H$4=#REF!),BDI!$E$17,IF(AND(#REF!="Diferenciado",$H$4=#REF!),BDI!#REF!,IF(#REF!="ZERO",0))))),"")</f>
        <v>#REF!</v>
      </c>
      <c r="H1081" s="139" t="e">
        <f t="shared" ca="1" si="49"/>
        <v>#REF!</v>
      </c>
      <c r="I1081" s="137" t="e">
        <f t="shared" ca="1" si="50"/>
        <v>#REF!</v>
      </c>
      <c r="J1081" s="117"/>
    </row>
    <row r="1082" spans="1:10" x14ac:dyDescent="0.25">
      <c r="A1082" s="189" t="s">
        <v>1033</v>
      </c>
      <c r="B1082" s="190" t="s">
        <v>2662</v>
      </c>
      <c r="C1082" s="191" t="s">
        <v>80</v>
      </c>
      <c r="D1082" s="191">
        <v>12</v>
      </c>
      <c r="E1082" s="136">
        <f ca="1">OFFSET(INDEX(Composições!A:J,MATCH(Orçamentária!A1082,Composições!A:A,0),8),2,0)</f>
        <v>231.20914274999996</v>
      </c>
      <c r="F1082" s="137">
        <f t="shared" ca="1" si="48"/>
        <v>2774.5097129999995</v>
      </c>
      <c r="G1082" s="138">
        <f>BDI!$B$17</f>
        <v>0.191</v>
      </c>
      <c r="H1082" s="139">
        <f t="shared" ca="1" si="49"/>
        <v>275.37</v>
      </c>
      <c r="I1082" s="137">
        <f t="shared" ca="1" si="50"/>
        <v>3304.44</v>
      </c>
      <c r="J1082" s="117"/>
    </row>
    <row r="1083" spans="1:10" hidden="1" x14ac:dyDescent="0.25">
      <c r="A1083" s="114" t="s">
        <v>1035</v>
      </c>
      <c r="B1083" s="115" t="s">
        <v>2663</v>
      </c>
      <c r="C1083" s="116" t="s">
        <v>69</v>
      </c>
      <c r="D1083" s="116">
        <v>0</v>
      </c>
      <c r="E1083" s="136">
        <f ca="1">OFFSET(INDEX(Composições!A:J,MATCH(Orçamentária!A1083,Composições!A:A,0),8),2,0)</f>
        <v>715.18923149999989</v>
      </c>
      <c r="F1083" s="137">
        <f t="shared" ca="1" si="48"/>
        <v>0</v>
      </c>
      <c r="G1083" s="138" t="e">
        <f>IF(A1083&lt;&gt;"",IF(AND(#REF!="Padrão",$H$4=#REF!),BDI!$B$17,IF(AND(#REF!="Padrão",$H$4=#REF!),BDI!#REF!,IF(AND(#REF!="Diferenciado",$H$4=#REF!),BDI!$E$17,IF(AND(#REF!="Diferenciado",$H$4=#REF!),BDI!#REF!,IF(#REF!="ZERO",0))))),"")</f>
        <v>#REF!</v>
      </c>
      <c r="H1083" s="139" t="e">
        <f t="shared" ca="1" si="49"/>
        <v>#REF!</v>
      </c>
      <c r="I1083" s="137" t="e">
        <f t="shared" ca="1" si="50"/>
        <v>#REF!</v>
      </c>
      <c r="J1083" s="117"/>
    </row>
    <row r="1084" spans="1:10" hidden="1" x14ac:dyDescent="0.25">
      <c r="A1084" s="114" t="s">
        <v>2664</v>
      </c>
      <c r="B1084" s="115" t="s">
        <v>2665</v>
      </c>
      <c r="C1084" s="116" t="s">
        <v>70</v>
      </c>
      <c r="D1084" s="116">
        <v>0</v>
      </c>
      <c r="E1084" s="136" t="s">
        <v>416</v>
      </c>
      <c r="F1084" s="137" t="str">
        <f t="shared" si="48"/>
        <v/>
      </c>
      <c r="G1084" s="138" t="e">
        <f>IF(A1084&lt;&gt;"",IF(AND(#REF!="Padrão",$H$4=#REF!),BDI!$B$17,IF(AND(#REF!="Padrão",$H$4=#REF!),BDI!#REF!,IF(AND(#REF!="Diferenciado",$H$4=#REF!),BDI!$E$17,IF(AND(#REF!="Diferenciado",$H$4=#REF!),BDI!#REF!,IF(#REF!="ZERO",0))))),"")</f>
        <v>#REF!</v>
      </c>
      <c r="H1084" s="139" t="str">
        <f t="shared" si="49"/>
        <v/>
      </c>
      <c r="I1084" s="137" t="str">
        <f t="shared" si="50"/>
        <v/>
      </c>
      <c r="J1084" s="117"/>
    </row>
    <row r="1085" spans="1:10" hidden="1" x14ac:dyDescent="0.25">
      <c r="A1085" s="114" t="s">
        <v>1042</v>
      </c>
      <c r="B1085" s="115" t="s">
        <v>7700</v>
      </c>
      <c r="C1085" s="116" t="s">
        <v>69</v>
      </c>
      <c r="D1085" s="116">
        <v>0</v>
      </c>
      <c r="E1085" s="136">
        <f ca="1">OFFSET(INDEX(Composições!A:J,MATCH(Orçamentária!A1085,Composições!A:A,0),8),2,0)</f>
        <v>2.5061</v>
      </c>
      <c r="F1085" s="137">
        <f t="shared" ca="1" si="48"/>
        <v>0</v>
      </c>
      <c r="G1085" s="138" t="e">
        <f>IF(A1085&lt;&gt;"",IF(AND(#REF!="Padrão",$H$4=#REF!),BDI!$B$17,IF(AND(#REF!="Padrão",$H$4=#REF!),BDI!#REF!,IF(AND(#REF!="Diferenciado",$H$4=#REF!),BDI!$E$17,IF(AND(#REF!="Diferenciado",$H$4=#REF!),BDI!#REF!,IF(#REF!="ZERO",0))))),"")</f>
        <v>#REF!</v>
      </c>
      <c r="H1085" s="139" t="e">
        <f t="shared" ca="1" si="49"/>
        <v>#REF!</v>
      </c>
      <c r="I1085" s="137" t="e">
        <f t="shared" ca="1" si="50"/>
        <v>#REF!</v>
      </c>
      <c r="J1085" s="117"/>
    </row>
    <row r="1086" spans="1:10" hidden="1" x14ac:dyDescent="0.25">
      <c r="A1086" s="114" t="s">
        <v>2666</v>
      </c>
      <c r="B1086" s="115" t="s">
        <v>7701</v>
      </c>
      <c r="C1086" s="116" t="s">
        <v>69</v>
      </c>
      <c r="D1086" s="116">
        <v>0</v>
      </c>
      <c r="E1086" s="136" t="s">
        <v>416</v>
      </c>
      <c r="F1086" s="137" t="str">
        <f t="shared" si="48"/>
        <v/>
      </c>
      <c r="G1086" s="138" t="e">
        <f>IF(A1086&lt;&gt;"",IF(AND(#REF!="Padrão",$H$4=#REF!),BDI!$B$17,IF(AND(#REF!="Padrão",$H$4=#REF!),BDI!#REF!,IF(AND(#REF!="Diferenciado",$H$4=#REF!),BDI!$E$17,IF(AND(#REF!="Diferenciado",$H$4=#REF!),BDI!#REF!,IF(#REF!="ZERO",0))))),"")</f>
        <v>#REF!</v>
      </c>
      <c r="H1086" s="139" t="str">
        <f t="shared" si="49"/>
        <v/>
      </c>
      <c r="I1086" s="137" t="str">
        <f t="shared" si="50"/>
        <v/>
      </c>
      <c r="J1086" s="117"/>
    </row>
    <row r="1087" spans="1:10" hidden="1" x14ac:dyDescent="0.25">
      <c r="A1087" s="114" t="s">
        <v>1044</v>
      </c>
      <c r="B1087" s="115" t="s">
        <v>2667</v>
      </c>
      <c r="C1087" s="116" t="s">
        <v>11</v>
      </c>
      <c r="D1087" s="116">
        <v>0</v>
      </c>
      <c r="E1087" s="136">
        <f ca="1">OFFSET(INDEX(Composições!A:J,MATCH(Orçamentária!A1087,Composições!A:A,0),8),2,0)</f>
        <v>3.1254999999999997</v>
      </c>
      <c r="F1087" s="137">
        <f t="shared" ca="1" si="48"/>
        <v>0</v>
      </c>
      <c r="G1087" s="138" t="e">
        <f>IF(A1087&lt;&gt;"",IF(AND(#REF!="Padrão",$H$4=#REF!),BDI!$B$17,IF(AND(#REF!="Padrão",$H$4=#REF!),BDI!#REF!,IF(AND(#REF!="Diferenciado",$H$4=#REF!),BDI!$E$17,IF(AND(#REF!="Diferenciado",$H$4=#REF!),BDI!#REF!,IF(#REF!="ZERO",0))))),"")</f>
        <v>#REF!</v>
      </c>
      <c r="H1087" s="139" t="e">
        <f t="shared" ca="1" si="49"/>
        <v>#REF!</v>
      </c>
      <c r="I1087" s="137" t="e">
        <f t="shared" ca="1" si="50"/>
        <v>#REF!</v>
      </c>
      <c r="J1087" s="117"/>
    </row>
    <row r="1088" spans="1:10" hidden="1" x14ac:dyDescent="0.25">
      <c r="A1088" s="114" t="s">
        <v>1045</v>
      </c>
      <c r="B1088" s="115" t="s">
        <v>2668</v>
      </c>
      <c r="C1088" s="116" t="s">
        <v>11</v>
      </c>
      <c r="D1088" s="116">
        <v>0</v>
      </c>
      <c r="E1088" s="136">
        <f ca="1">OFFSET(INDEX(Composições!A:J,MATCH(Orçamentária!A1088,Composições!A:A,0),8),2,0)</f>
        <v>1.4962499999999999</v>
      </c>
      <c r="F1088" s="137">
        <f t="shared" ca="1" si="48"/>
        <v>0</v>
      </c>
      <c r="G1088" s="138" t="e">
        <f>IF(A1088&lt;&gt;"",IF(AND(#REF!="Padrão",$H$4=#REF!),BDI!$B$17,IF(AND(#REF!="Padrão",$H$4=#REF!),BDI!#REF!,IF(AND(#REF!="Diferenciado",$H$4=#REF!),BDI!$E$17,IF(AND(#REF!="Diferenciado",$H$4=#REF!),BDI!#REF!,IF(#REF!="ZERO",0))))),"")</f>
        <v>#REF!</v>
      </c>
      <c r="H1088" s="139" t="e">
        <f t="shared" ca="1" si="49"/>
        <v>#REF!</v>
      </c>
      <c r="I1088" s="137" t="e">
        <f t="shared" ca="1" si="50"/>
        <v>#REF!</v>
      </c>
      <c r="J1088" s="117"/>
    </row>
    <row r="1089" spans="1:10" hidden="1" x14ac:dyDescent="0.25">
      <c r="A1089" s="114" t="s">
        <v>2669</v>
      </c>
      <c r="B1089" s="115" t="s">
        <v>2670</v>
      </c>
      <c r="C1089" s="116" t="s">
        <v>16</v>
      </c>
      <c r="D1089" s="116">
        <v>0</v>
      </c>
      <c r="E1089" s="136" t="s">
        <v>416</v>
      </c>
      <c r="F1089" s="137" t="str">
        <f t="shared" si="48"/>
        <v/>
      </c>
      <c r="G1089" s="138" t="e">
        <f>IF(A1089&lt;&gt;"",IF(AND(#REF!="Padrão",$H$4=#REF!),BDI!$B$17,IF(AND(#REF!="Padrão",$H$4=#REF!),BDI!#REF!,IF(AND(#REF!="Diferenciado",$H$4=#REF!),BDI!$E$17,IF(AND(#REF!="Diferenciado",$H$4=#REF!),BDI!#REF!,IF(#REF!="ZERO",0))))),"")</f>
        <v>#REF!</v>
      </c>
      <c r="H1089" s="139" t="str">
        <f t="shared" si="49"/>
        <v/>
      </c>
      <c r="I1089" s="137" t="str">
        <f t="shared" si="50"/>
        <v/>
      </c>
      <c r="J1089" s="117"/>
    </row>
    <row r="1090" spans="1:10" hidden="1" x14ac:dyDescent="0.25">
      <c r="A1090" s="114" t="s">
        <v>2671</v>
      </c>
      <c r="B1090" s="115" t="s">
        <v>2672</v>
      </c>
      <c r="C1090" s="116" t="s">
        <v>16</v>
      </c>
      <c r="D1090" s="116">
        <v>0</v>
      </c>
      <c r="E1090" s="136" t="s">
        <v>416</v>
      </c>
      <c r="F1090" s="137" t="str">
        <f t="shared" si="48"/>
        <v/>
      </c>
      <c r="G1090" s="138" t="e">
        <f>IF(A1090&lt;&gt;"",IF(AND(#REF!="Padrão",$H$4=#REF!),BDI!$B$17,IF(AND(#REF!="Padrão",$H$4=#REF!),BDI!#REF!,IF(AND(#REF!="Diferenciado",$H$4=#REF!),BDI!$E$17,IF(AND(#REF!="Diferenciado",$H$4=#REF!),BDI!#REF!,IF(#REF!="ZERO",0))))),"")</f>
        <v>#REF!</v>
      </c>
      <c r="H1090" s="139" t="str">
        <f t="shared" si="49"/>
        <v/>
      </c>
      <c r="I1090" s="137" t="str">
        <f t="shared" si="50"/>
        <v/>
      </c>
      <c r="J1090" s="117"/>
    </row>
    <row r="1091" spans="1:10" hidden="1" x14ac:dyDescent="0.25">
      <c r="A1091" s="114" t="s">
        <v>2673</v>
      </c>
      <c r="B1091" s="115" t="s">
        <v>2674</v>
      </c>
      <c r="C1091" s="116" t="s">
        <v>16</v>
      </c>
      <c r="D1091" s="116">
        <v>0</v>
      </c>
      <c r="E1091" s="136" t="s">
        <v>416</v>
      </c>
      <c r="F1091" s="137" t="str">
        <f t="shared" si="48"/>
        <v/>
      </c>
      <c r="G1091" s="138" t="e">
        <f>IF(A1091&lt;&gt;"",IF(AND(#REF!="Padrão",$H$4=#REF!),BDI!$B$17,IF(AND(#REF!="Padrão",$H$4=#REF!),BDI!#REF!,IF(AND(#REF!="Diferenciado",$H$4=#REF!),BDI!$E$17,IF(AND(#REF!="Diferenciado",$H$4=#REF!),BDI!#REF!,IF(#REF!="ZERO",0))))),"")</f>
        <v>#REF!</v>
      </c>
      <c r="H1091" s="139" t="str">
        <f t="shared" si="49"/>
        <v/>
      </c>
      <c r="I1091" s="137" t="str">
        <f t="shared" si="50"/>
        <v/>
      </c>
      <c r="J1091" s="117"/>
    </row>
    <row r="1092" spans="1:10" hidden="1" x14ac:dyDescent="0.25">
      <c r="A1092" s="114" t="s">
        <v>2675</v>
      </c>
      <c r="B1092" s="115" t="s">
        <v>2676</v>
      </c>
      <c r="C1092" s="116" t="s">
        <v>1683</v>
      </c>
      <c r="D1092" s="116">
        <v>0</v>
      </c>
      <c r="E1092" s="136" t="s">
        <v>416</v>
      </c>
      <c r="F1092" s="137" t="str">
        <f t="shared" si="48"/>
        <v/>
      </c>
      <c r="G1092" s="138" t="e">
        <f>IF(A1092&lt;&gt;"",IF(AND(#REF!="Padrão",$H$4=#REF!),BDI!$B$17,IF(AND(#REF!="Padrão",$H$4=#REF!),BDI!#REF!,IF(AND(#REF!="Diferenciado",$H$4=#REF!),BDI!$E$17,IF(AND(#REF!="Diferenciado",$H$4=#REF!),BDI!#REF!,IF(#REF!="ZERO",0))))),"")</f>
        <v>#REF!</v>
      </c>
      <c r="H1092" s="139" t="str">
        <f t="shared" si="49"/>
        <v/>
      </c>
      <c r="I1092" s="137" t="str">
        <f t="shared" si="50"/>
        <v/>
      </c>
      <c r="J1092" s="117"/>
    </row>
    <row r="1093" spans="1:10" hidden="1" x14ac:dyDescent="0.25">
      <c r="A1093" s="114" t="s">
        <v>1046</v>
      </c>
      <c r="B1093" s="115" t="s">
        <v>5462</v>
      </c>
      <c r="C1093" s="116" t="s">
        <v>16</v>
      </c>
      <c r="D1093" s="116">
        <v>0</v>
      </c>
      <c r="E1093" s="136">
        <f ca="1">OFFSET(INDEX(Composições!A:J,MATCH(Orçamentária!A1093,Composições!A:A,0),8),2,0)</f>
        <v>51.496834299999989</v>
      </c>
      <c r="F1093" s="137">
        <f t="shared" ca="1" si="48"/>
        <v>0</v>
      </c>
      <c r="G1093" s="138" t="e">
        <f>IF(A1093&lt;&gt;"",IF(AND(#REF!="Padrão",$H$4=#REF!),BDI!$B$17,IF(AND(#REF!="Padrão",$H$4=#REF!),BDI!#REF!,IF(AND(#REF!="Diferenciado",$H$4=#REF!),BDI!$E$17,IF(AND(#REF!="Diferenciado",$H$4=#REF!),BDI!#REF!,IF(#REF!="ZERO",0))))),"")</f>
        <v>#REF!</v>
      </c>
      <c r="H1093" s="139" t="e">
        <f t="shared" ca="1" si="49"/>
        <v>#REF!</v>
      </c>
      <c r="I1093" s="137" t="e">
        <f t="shared" ca="1" si="50"/>
        <v>#REF!</v>
      </c>
      <c r="J1093" s="117"/>
    </row>
    <row r="1094" spans="1:10" hidden="1" x14ac:dyDescent="0.25">
      <c r="A1094" s="114" t="s">
        <v>1050</v>
      </c>
      <c r="B1094" s="115" t="s">
        <v>5463</v>
      </c>
      <c r="C1094" s="116" t="s">
        <v>16</v>
      </c>
      <c r="D1094" s="116">
        <v>0</v>
      </c>
      <c r="E1094" s="136">
        <f ca="1">OFFSET(INDEX(Composições!A:J,MATCH(Orçamentária!A1094,Composições!A:A,0),8),2,0)</f>
        <v>78.370864649999987</v>
      </c>
      <c r="F1094" s="137">
        <f t="shared" ca="1" si="48"/>
        <v>0</v>
      </c>
      <c r="G1094" s="138" t="e">
        <f>IF(A1094&lt;&gt;"",IF(AND(#REF!="Padrão",$H$4=#REF!),BDI!$B$17,IF(AND(#REF!="Padrão",$H$4=#REF!),BDI!#REF!,IF(AND(#REF!="Diferenciado",$H$4=#REF!),BDI!$E$17,IF(AND(#REF!="Diferenciado",$H$4=#REF!),BDI!#REF!,IF(#REF!="ZERO",0))))),"")</f>
        <v>#REF!</v>
      </c>
      <c r="H1094" s="139" t="e">
        <f t="shared" ca="1" si="49"/>
        <v>#REF!</v>
      </c>
      <c r="I1094" s="137" t="e">
        <f t="shared" ca="1" si="50"/>
        <v>#REF!</v>
      </c>
      <c r="J1094" s="117"/>
    </row>
    <row r="1095" spans="1:10" hidden="1" x14ac:dyDescent="0.25">
      <c r="A1095" s="114" t="s">
        <v>1052</v>
      </c>
      <c r="B1095" s="115" t="s">
        <v>5464</v>
      </c>
      <c r="C1095" s="116" t="s">
        <v>16</v>
      </c>
      <c r="D1095" s="116">
        <v>0</v>
      </c>
      <c r="E1095" s="136">
        <f ca="1">OFFSET(INDEX(Composições!A:J,MATCH(Orçamentária!A1095,Composições!A:A,0),8),2,0)</f>
        <v>18.891899500000001</v>
      </c>
      <c r="F1095" s="137">
        <f t="shared" ref="F1095:F1158" ca="1" si="51">IF(ISNUMBER(E1095),D1095*E1095,"")</f>
        <v>0</v>
      </c>
      <c r="G1095" s="138" t="e">
        <f>IF(A1095&lt;&gt;"",IF(AND(#REF!="Padrão",$H$4=#REF!),BDI!$B$17,IF(AND(#REF!="Padrão",$H$4=#REF!),BDI!#REF!,IF(AND(#REF!="Diferenciado",$H$4=#REF!),BDI!$E$17,IF(AND(#REF!="Diferenciado",$H$4=#REF!),BDI!#REF!,IF(#REF!="ZERO",0))))),"")</f>
        <v>#REF!</v>
      </c>
      <c r="H1095" s="139" t="e">
        <f t="shared" ref="H1095:H1158" ca="1" si="52">IF(ISNUMBER(E1095),ROUND(E1095*(1+G1095),2),"")</f>
        <v>#REF!</v>
      </c>
      <c r="I1095" s="137" t="e">
        <f t="shared" ref="I1095:I1158" ca="1" si="53">IF(ISNUMBER(E1095),ROUND(H1095*D1095,2),"")</f>
        <v>#REF!</v>
      </c>
      <c r="J1095" s="117"/>
    </row>
    <row r="1096" spans="1:10" hidden="1" x14ac:dyDescent="0.25">
      <c r="A1096" s="114" t="s">
        <v>2677</v>
      </c>
      <c r="B1096" s="115" t="s">
        <v>2678</v>
      </c>
      <c r="C1096" s="116" t="s">
        <v>16</v>
      </c>
      <c r="D1096" s="116">
        <v>0</v>
      </c>
      <c r="E1096" s="136" t="s">
        <v>416</v>
      </c>
      <c r="F1096" s="137" t="str">
        <f t="shared" si="51"/>
        <v/>
      </c>
      <c r="G1096" s="138" t="e">
        <f>IF(A1096&lt;&gt;"",IF(AND(#REF!="Padrão",$H$4=#REF!),BDI!$B$17,IF(AND(#REF!="Padrão",$H$4=#REF!),BDI!#REF!,IF(AND(#REF!="Diferenciado",$H$4=#REF!),BDI!$E$17,IF(AND(#REF!="Diferenciado",$H$4=#REF!),BDI!#REF!,IF(#REF!="ZERO",0))))),"")</f>
        <v>#REF!</v>
      </c>
      <c r="H1096" s="139" t="str">
        <f t="shared" si="52"/>
        <v/>
      </c>
      <c r="I1096" s="137" t="str">
        <f t="shared" si="53"/>
        <v/>
      </c>
      <c r="J1096" s="117"/>
    </row>
    <row r="1097" spans="1:10" hidden="1" x14ac:dyDescent="0.25">
      <c r="A1097" s="114" t="s">
        <v>1054</v>
      </c>
      <c r="B1097" s="115" t="s">
        <v>5465</v>
      </c>
      <c r="C1097" s="116" t="s">
        <v>16</v>
      </c>
      <c r="D1097" s="116">
        <v>0</v>
      </c>
      <c r="E1097" s="136">
        <f ca="1">OFFSET(INDEX(Composições!A:J,MATCH(Orçamentária!A1097,Composições!A:A,0),8),2,0)</f>
        <v>33.530386800000002</v>
      </c>
      <c r="F1097" s="137">
        <f t="shared" ca="1" si="51"/>
        <v>0</v>
      </c>
      <c r="G1097" s="138" t="e">
        <f>IF(A1097&lt;&gt;"",IF(AND(#REF!="Padrão",$H$4=#REF!),BDI!$B$17,IF(AND(#REF!="Padrão",$H$4=#REF!),BDI!#REF!,IF(AND(#REF!="Diferenciado",$H$4=#REF!),BDI!$E$17,IF(AND(#REF!="Diferenciado",$H$4=#REF!),BDI!#REF!,IF(#REF!="ZERO",0))))),"")</f>
        <v>#REF!</v>
      </c>
      <c r="H1097" s="139" t="e">
        <f t="shared" ca="1" si="52"/>
        <v>#REF!</v>
      </c>
      <c r="I1097" s="137" t="e">
        <f t="shared" ca="1" si="53"/>
        <v>#REF!</v>
      </c>
      <c r="J1097" s="117"/>
    </row>
    <row r="1098" spans="1:10" hidden="1" x14ac:dyDescent="0.25">
      <c r="A1098" s="114" t="s">
        <v>1056</v>
      </c>
      <c r="B1098" s="115" t="s">
        <v>5466</v>
      </c>
      <c r="C1098" s="116" t="s">
        <v>16</v>
      </c>
      <c r="D1098" s="116">
        <v>0</v>
      </c>
      <c r="E1098" s="136">
        <f ca="1">OFFSET(INDEX(Composições!A:J,MATCH(Orçamentária!A1098,Composições!A:A,0),8),2,0)</f>
        <v>44.697658650000001</v>
      </c>
      <c r="F1098" s="137">
        <f t="shared" ca="1" si="51"/>
        <v>0</v>
      </c>
      <c r="G1098" s="138" t="e">
        <f>IF(A1098&lt;&gt;"",IF(AND(#REF!="Padrão",$H$4=#REF!),BDI!$B$17,IF(AND(#REF!="Padrão",$H$4=#REF!),BDI!#REF!,IF(AND(#REF!="Diferenciado",$H$4=#REF!),BDI!$E$17,IF(AND(#REF!="Diferenciado",$H$4=#REF!),BDI!#REF!,IF(#REF!="ZERO",0))))),"")</f>
        <v>#REF!</v>
      </c>
      <c r="H1098" s="139" t="e">
        <f t="shared" ca="1" si="52"/>
        <v>#REF!</v>
      </c>
      <c r="I1098" s="137" t="e">
        <f t="shared" ca="1" si="53"/>
        <v>#REF!</v>
      </c>
      <c r="J1098" s="117"/>
    </row>
    <row r="1099" spans="1:10" hidden="1" x14ac:dyDescent="0.25">
      <c r="A1099" s="114" t="s">
        <v>1058</v>
      </c>
      <c r="B1099" s="115" t="s">
        <v>5467</v>
      </c>
      <c r="C1099" s="116" t="s">
        <v>16</v>
      </c>
      <c r="D1099" s="116">
        <v>0</v>
      </c>
      <c r="E1099" s="136">
        <f ca="1">OFFSET(INDEX(Composições!A:J,MATCH(Orçamentária!A1099,Composições!A:A,0),8),2,0)</f>
        <v>10.849503499999999</v>
      </c>
      <c r="F1099" s="137">
        <f t="shared" ca="1" si="51"/>
        <v>0</v>
      </c>
      <c r="G1099" s="138" t="e">
        <f>IF(A1099&lt;&gt;"",IF(AND(#REF!="Padrão",$H$4=#REF!),BDI!$B$17,IF(AND(#REF!="Padrão",$H$4=#REF!),BDI!#REF!,IF(AND(#REF!="Diferenciado",$H$4=#REF!),BDI!$E$17,IF(AND(#REF!="Diferenciado",$H$4=#REF!),BDI!#REF!,IF(#REF!="ZERO",0))))),"")</f>
        <v>#REF!</v>
      </c>
      <c r="H1099" s="139" t="e">
        <f t="shared" ca="1" si="52"/>
        <v>#REF!</v>
      </c>
      <c r="I1099" s="137" t="e">
        <f t="shared" ca="1" si="53"/>
        <v>#REF!</v>
      </c>
      <c r="J1099" s="117"/>
    </row>
    <row r="1100" spans="1:10" hidden="1" x14ac:dyDescent="0.25">
      <c r="A1100" s="114" t="s">
        <v>2679</v>
      </c>
      <c r="B1100" s="115" t="s">
        <v>5468</v>
      </c>
      <c r="C1100" s="116" t="s">
        <v>16</v>
      </c>
      <c r="D1100" s="116">
        <v>0</v>
      </c>
      <c r="E1100" s="136" t="s">
        <v>416</v>
      </c>
      <c r="F1100" s="137" t="str">
        <f t="shared" si="51"/>
        <v/>
      </c>
      <c r="G1100" s="138" t="e">
        <f>IF(A1100&lt;&gt;"",IF(AND(#REF!="Padrão",$H$4=#REF!),BDI!$B$17,IF(AND(#REF!="Padrão",$H$4=#REF!),BDI!#REF!,IF(AND(#REF!="Diferenciado",$H$4=#REF!),BDI!$E$17,IF(AND(#REF!="Diferenciado",$H$4=#REF!),BDI!#REF!,IF(#REF!="ZERO",0))))),"")</f>
        <v>#REF!</v>
      </c>
      <c r="H1100" s="139" t="str">
        <f t="shared" si="52"/>
        <v/>
      </c>
      <c r="I1100" s="137" t="str">
        <f t="shared" si="53"/>
        <v/>
      </c>
      <c r="J1100" s="117"/>
    </row>
    <row r="1101" spans="1:10" hidden="1" x14ac:dyDescent="0.25">
      <c r="A1101" s="114" t="s">
        <v>2680</v>
      </c>
      <c r="B1101" s="115" t="s">
        <v>5469</v>
      </c>
      <c r="C1101" s="116" t="s">
        <v>16</v>
      </c>
      <c r="D1101" s="116">
        <v>0</v>
      </c>
      <c r="E1101" s="136" t="s">
        <v>416</v>
      </c>
      <c r="F1101" s="137" t="str">
        <f t="shared" si="51"/>
        <v/>
      </c>
      <c r="G1101" s="138" t="e">
        <f>IF(A1101&lt;&gt;"",IF(AND(#REF!="Padrão",$H$4=#REF!),BDI!$B$17,IF(AND(#REF!="Padrão",$H$4=#REF!),BDI!#REF!,IF(AND(#REF!="Diferenciado",$H$4=#REF!),BDI!$E$17,IF(AND(#REF!="Diferenciado",$H$4=#REF!),BDI!#REF!,IF(#REF!="ZERO",0))))),"")</f>
        <v>#REF!</v>
      </c>
      <c r="H1101" s="139" t="str">
        <f t="shared" si="52"/>
        <v/>
      </c>
      <c r="I1101" s="137" t="str">
        <f t="shared" si="53"/>
        <v/>
      </c>
      <c r="J1101" s="117"/>
    </row>
    <row r="1102" spans="1:10" hidden="1" x14ac:dyDescent="0.25">
      <c r="A1102" s="114" t="s">
        <v>1060</v>
      </c>
      <c r="B1102" s="115" t="s">
        <v>5470</v>
      </c>
      <c r="C1102" s="116" t="s">
        <v>69</v>
      </c>
      <c r="D1102" s="116">
        <v>0</v>
      </c>
      <c r="E1102" s="136">
        <f ca="1">OFFSET(INDEX(Composições!A:J,MATCH(Orçamentária!A1102,Composições!A:A,0),8),2,0)</f>
        <v>163.45595879999999</v>
      </c>
      <c r="F1102" s="137">
        <f t="shared" ca="1" si="51"/>
        <v>0</v>
      </c>
      <c r="G1102" s="138" t="e">
        <f>IF(A1102&lt;&gt;"",IF(AND(#REF!="Padrão",$H$4=#REF!),BDI!$B$17,IF(AND(#REF!="Padrão",$H$4=#REF!),BDI!#REF!,IF(AND(#REF!="Diferenciado",$H$4=#REF!),BDI!$E$17,IF(AND(#REF!="Diferenciado",$H$4=#REF!),BDI!#REF!,IF(#REF!="ZERO",0))))),"")</f>
        <v>#REF!</v>
      </c>
      <c r="H1102" s="139" t="e">
        <f t="shared" ca="1" si="52"/>
        <v>#REF!</v>
      </c>
      <c r="I1102" s="137" t="e">
        <f t="shared" ca="1" si="53"/>
        <v>#REF!</v>
      </c>
      <c r="J1102" s="117"/>
    </row>
    <row r="1103" spans="1:10" hidden="1" x14ac:dyDescent="0.25">
      <c r="A1103" s="114" t="s">
        <v>1062</v>
      </c>
      <c r="B1103" s="115" t="s">
        <v>5471</v>
      </c>
      <c r="C1103" s="116" t="s">
        <v>69</v>
      </c>
      <c r="D1103" s="116">
        <v>0</v>
      </c>
      <c r="E1103" s="136">
        <f ca="1">OFFSET(INDEX(Composições!A:J,MATCH(Orçamentária!A1103,Composições!A:A,0),8),2,0)</f>
        <v>196.50002444999998</v>
      </c>
      <c r="F1103" s="137">
        <f t="shared" ca="1" si="51"/>
        <v>0</v>
      </c>
      <c r="G1103" s="138" t="e">
        <f>IF(A1103&lt;&gt;"",IF(AND(#REF!="Padrão",$H$4=#REF!),BDI!$B$17,IF(AND(#REF!="Padrão",$H$4=#REF!),BDI!#REF!,IF(AND(#REF!="Diferenciado",$H$4=#REF!),BDI!$E$17,IF(AND(#REF!="Diferenciado",$H$4=#REF!),BDI!#REF!,IF(#REF!="ZERO",0))))),"")</f>
        <v>#REF!</v>
      </c>
      <c r="H1103" s="139" t="e">
        <f t="shared" ca="1" si="52"/>
        <v>#REF!</v>
      </c>
      <c r="I1103" s="137" t="e">
        <f t="shared" ca="1" si="53"/>
        <v>#REF!</v>
      </c>
      <c r="J1103" s="117"/>
    </row>
    <row r="1104" spans="1:10" hidden="1" x14ac:dyDescent="0.25">
      <c r="A1104" s="114" t="s">
        <v>2681</v>
      </c>
      <c r="B1104" s="115" t="s">
        <v>5523</v>
      </c>
      <c r="C1104" s="116" t="s">
        <v>16</v>
      </c>
      <c r="D1104" s="116">
        <v>0</v>
      </c>
      <c r="E1104" s="136" t="s">
        <v>416</v>
      </c>
      <c r="F1104" s="137" t="str">
        <f t="shared" si="51"/>
        <v/>
      </c>
      <c r="G1104" s="138" t="e">
        <f>IF(A1104&lt;&gt;"",IF(AND(#REF!="Padrão",$H$4=#REF!),BDI!$B$17,IF(AND(#REF!="Padrão",$H$4=#REF!),BDI!#REF!,IF(AND(#REF!="Diferenciado",$H$4=#REF!),BDI!$E$17,IF(AND(#REF!="Diferenciado",$H$4=#REF!),BDI!#REF!,IF(#REF!="ZERO",0))))),"")</f>
        <v>#REF!</v>
      </c>
      <c r="H1104" s="139" t="str">
        <f t="shared" si="52"/>
        <v/>
      </c>
      <c r="I1104" s="137" t="str">
        <f t="shared" si="53"/>
        <v/>
      </c>
      <c r="J1104" s="117"/>
    </row>
    <row r="1105" spans="1:10" hidden="1" x14ac:dyDescent="0.25">
      <c r="A1105" s="114" t="s">
        <v>2682</v>
      </c>
      <c r="B1105" s="115" t="s">
        <v>7702</v>
      </c>
      <c r="C1105" s="116" t="s">
        <v>16</v>
      </c>
      <c r="D1105" s="116">
        <v>0</v>
      </c>
      <c r="E1105" s="136" t="s">
        <v>416</v>
      </c>
      <c r="F1105" s="137" t="str">
        <f t="shared" si="51"/>
        <v/>
      </c>
      <c r="G1105" s="138" t="e">
        <f>IF(A1105&lt;&gt;"",IF(AND(#REF!="Padrão",$H$4=#REF!),BDI!$B$17,IF(AND(#REF!="Padrão",$H$4=#REF!),BDI!#REF!,IF(AND(#REF!="Diferenciado",$H$4=#REF!),BDI!$E$17,IF(AND(#REF!="Diferenciado",$H$4=#REF!),BDI!#REF!,IF(#REF!="ZERO",0))))),"")</f>
        <v>#REF!</v>
      </c>
      <c r="H1105" s="139" t="str">
        <f t="shared" si="52"/>
        <v/>
      </c>
      <c r="I1105" s="137" t="str">
        <f t="shared" si="53"/>
        <v/>
      </c>
      <c r="J1105" s="117"/>
    </row>
    <row r="1106" spans="1:10" x14ac:dyDescent="0.25">
      <c r="A1106" s="189" t="s">
        <v>1064</v>
      </c>
      <c r="B1106" s="190" t="s">
        <v>2683</v>
      </c>
      <c r="C1106" s="191" t="s">
        <v>69</v>
      </c>
      <c r="D1106" s="191">
        <v>4</v>
      </c>
      <c r="E1106" s="136">
        <f ca="1">OFFSET(INDEX(Composições!A:J,MATCH(Orçamentária!A1106,Composições!A:A,0),8),2,0)</f>
        <v>36.053986750000007</v>
      </c>
      <c r="F1106" s="137">
        <f t="shared" ca="1" si="51"/>
        <v>144.21594700000003</v>
      </c>
      <c r="G1106" s="138">
        <f>BDI!$B$17</f>
        <v>0.191</v>
      </c>
      <c r="H1106" s="139">
        <f t="shared" ca="1" si="52"/>
        <v>42.94</v>
      </c>
      <c r="I1106" s="137">
        <f t="shared" ca="1" si="53"/>
        <v>171.76</v>
      </c>
      <c r="J1106" s="117"/>
    </row>
    <row r="1107" spans="1:10" hidden="1" x14ac:dyDescent="0.25">
      <c r="A1107" s="114" t="s">
        <v>1066</v>
      </c>
      <c r="B1107" s="115" t="s">
        <v>2684</v>
      </c>
      <c r="C1107" s="116" t="s">
        <v>2177</v>
      </c>
      <c r="D1107" s="116">
        <v>0</v>
      </c>
      <c r="E1107" s="136">
        <f ca="1">OFFSET(INDEX(Composições!A:J,MATCH(Orçamentária!A1107,Composições!A:A,0),8),2,0)</f>
        <v>1822.5386149999999</v>
      </c>
      <c r="F1107" s="137">
        <f t="shared" ca="1" si="51"/>
        <v>0</v>
      </c>
      <c r="G1107" s="138" t="e">
        <f>IF(A1107&lt;&gt;"",IF(AND(#REF!="Padrão",$H$4=#REF!),BDI!$B$17,IF(AND(#REF!="Padrão",$H$4=#REF!),BDI!#REF!,IF(AND(#REF!="Diferenciado",$H$4=#REF!),BDI!$E$17,IF(AND(#REF!="Diferenciado",$H$4=#REF!),BDI!#REF!,IF(#REF!="ZERO",0))))),"")</f>
        <v>#REF!</v>
      </c>
      <c r="H1107" s="139" t="e">
        <f t="shared" ca="1" si="52"/>
        <v>#REF!</v>
      </c>
      <c r="I1107" s="137" t="e">
        <f t="shared" ca="1" si="53"/>
        <v>#REF!</v>
      </c>
      <c r="J1107" s="117"/>
    </row>
    <row r="1108" spans="1:10" hidden="1" x14ac:dyDescent="0.25">
      <c r="A1108" s="114" t="s">
        <v>2685</v>
      </c>
      <c r="B1108" s="115" t="s">
        <v>2686</v>
      </c>
      <c r="C1108" s="116" t="s">
        <v>2373</v>
      </c>
      <c r="D1108" s="116">
        <v>0</v>
      </c>
      <c r="E1108" s="136" t="s">
        <v>416</v>
      </c>
      <c r="F1108" s="137" t="str">
        <f t="shared" si="51"/>
        <v/>
      </c>
      <c r="G1108" s="138" t="e">
        <f>IF(A1108&lt;&gt;"",IF(AND(#REF!="Padrão",$H$4=#REF!),BDI!$B$17,IF(AND(#REF!="Padrão",$H$4=#REF!),BDI!#REF!,IF(AND(#REF!="Diferenciado",$H$4=#REF!),BDI!$E$17,IF(AND(#REF!="Diferenciado",$H$4=#REF!),BDI!#REF!,IF(#REF!="ZERO",0))))),"")</f>
        <v>#REF!</v>
      </c>
      <c r="H1108" s="139" t="str">
        <f t="shared" si="52"/>
        <v/>
      </c>
      <c r="I1108" s="137" t="str">
        <f t="shared" si="53"/>
        <v/>
      </c>
      <c r="J1108" s="117"/>
    </row>
    <row r="1109" spans="1:10" hidden="1" x14ac:dyDescent="0.25">
      <c r="A1109" s="114" t="s">
        <v>1068</v>
      </c>
      <c r="B1109" s="115" t="s">
        <v>2687</v>
      </c>
      <c r="C1109" s="116" t="s">
        <v>70</v>
      </c>
      <c r="D1109" s="116">
        <v>0</v>
      </c>
      <c r="E1109" s="136">
        <f ca="1">OFFSET(INDEX(Composições!A:J,MATCH(Orçamentária!A1109,Composições!A:A,0),8),2,0)</f>
        <v>11.846500000000001</v>
      </c>
      <c r="F1109" s="137">
        <f t="shared" ca="1" si="51"/>
        <v>0</v>
      </c>
      <c r="G1109" s="138" t="e">
        <f>IF(A1109&lt;&gt;"",IF(AND(#REF!="Padrão",$H$4=#REF!),BDI!$B$17,IF(AND(#REF!="Padrão",$H$4=#REF!),BDI!#REF!,IF(AND(#REF!="Diferenciado",$H$4=#REF!),BDI!$E$17,IF(AND(#REF!="Diferenciado",$H$4=#REF!),BDI!#REF!,IF(#REF!="ZERO",0))))),"")</f>
        <v>#REF!</v>
      </c>
      <c r="H1109" s="139" t="e">
        <f t="shared" ca="1" si="52"/>
        <v>#REF!</v>
      </c>
      <c r="I1109" s="137" t="e">
        <f t="shared" ca="1" si="53"/>
        <v>#REF!</v>
      </c>
      <c r="J1109" s="117"/>
    </row>
    <row r="1110" spans="1:10" hidden="1" x14ac:dyDescent="0.25">
      <c r="A1110" s="114" t="s">
        <v>1070</v>
      </c>
      <c r="B1110" s="115" t="s">
        <v>2688</v>
      </c>
      <c r="C1110" s="116" t="s">
        <v>70</v>
      </c>
      <c r="D1110" s="116">
        <v>0</v>
      </c>
      <c r="E1110" s="136">
        <f ca="1">OFFSET(INDEX(Composições!A:J,MATCH(Orçamentária!A1110,Composições!A:A,0),8),2,0)</f>
        <v>54.38655</v>
      </c>
      <c r="F1110" s="137">
        <f t="shared" ca="1" si="51"/>
        <v>0</v>
      </c>
      <c r="G1110" s="138" t="e">
        <f>IF(A1110&lt;&gt;"",IF(AND(#REF!="Padrão",$H$4=#REF!),BDI!$B$17,IF(AND(#REF!="Padrão",$H$4=#REF!),BDI!#REF!,IF(AND(#REF!="Diferenciado",$H$4=#REF!),BDI!$E$17,IF(AND(#REF!="Diferenciado",$H$4=#REF!),BDI!#REF!,IF(#REF!="ZERO",0))))),"")</f>
        <v>#REF!</v>
      </c>
      <c r="H1110" s="139" t="e">
        <f t="shared" ca="1" si="52"/>
        <v>#REF!</v>
      </c>
      <c r="I1110" s="137" t="e">
        <f t="shared" ca="1" si="53"/>
        <v>#REF!</v>
      </c>
      <c r="J1110" s="117"/>
    </row>
    <row r="1111" spans="1:10" ht="25.5" hidden="1" x14ac:dyDescent="0.25">
      <c r="A1111" s="114" t="s">
        <v>1073</v>
      </c>
      <c r="B1111" s="115" t="s">
        <v>5472</v>
      </c>
      <c r="C1111" s="116" t="s">
        <v>70</v>
      </c>
      <c r="D1111" s="116">
        <v>0</v>
      </c>
      <c r="E1111" s="136">
        <f ca="1">OFFSET(INDEX(Composições!A:J,MATCH(Orçamentária!A1111,Composições!A:A,0),8),2,0)</f>
        <v>60.177122999999987</v>
      </c>
      <c r="F1111" s="137">
        <f t="shared" ca="1" si="51"/>
        <v>0</v>
      </c>
      <c r="G1111" s="138" t="e">
        <f>IF(A1111&lt;&gt;"",IF(AND(#REF!="Padrão",$H$4=#REF!),BDI!$B$17,IF(AND(#REF!="Padrão",$H$4=#REF!),BDI!#REF!,IF(AND(#REF!="Diferenciado",$H$4=#REF!),BDI!$E$17,IF(AND(#REF!="Diferenciado",$H$4=#REF!),BDI!#REF!,IF(#REF!="ZERO",0))))),"")</f>
        <v>#REF!</v>
      </c>
      <c r="H1111" s="139" t="e">
        <f t="shared" ca="1" si="52"/>
        <v>#REF!</v>
      </c>
      <c r="I1111" s="137" t="e">
        <f t="shared" ca="1" si="53"/>
        <v>#REF!</v>
      </c>
      <c r="J1111" s="117"/>
    </row>
    <row r="1112" spans="1:10" hidden="1" x14ac:dyDescent="0.25">
      <c r="A1112" s="114" t="s">
        <v>1075</v>
      </c>
      <c r="B1112" s="115" t="s">
        <v>5473</v>
      </c>
      <c r="C1112" s="116" t="s">
        <v>70</v>
      </c>
      <c r="D1112" s="116">
        <v>0</v>
      </c>
      <c r="E1112" s="136">
        <f ca="1">OFFSET(INDEX(Composições!A:J,MATCH(Orçamentária!A1112,Composições!A:A,0),8),2,0)</f>
        <v>60.177122999999987</v>
      </c>
      <c r="F1112" s="137">
        <f t="shared" ca="1" si="51"/>
        <v>0</v>
      </c>
      <c r="G1112" s="138" t="e">
        <f>IF(A1112&lt;&gt;"",IF(AND(#REF!="Padrão",$H$4=#REF!),BDI!$B$17,IF(AND(#REF!="Padrão",$H$4=#REF!),BDI!#REF!,IF(AND(#REF!="Diferenciado",$H$4=#REF!),BDI!$E$17,IF(AND(#REF!="Diferenciado",$H$4=#REF!),BDI!#REF!,IF(#REF!="ZERO",0))))),"")</f>
        <v>#REF!</v>
      </c>
      <c r="H1112" s="139" t="e">
        <f t="shared" ca="1" si="52"/>
        <v>#REF!</v>
      </c>
      <c r="I1112" s="137" t="e">
        <f t="shared" ca="1" si="53"/>
        <v>#REF!</v>
      </c>
      <c r="J1112" s="117"/>
    </row>
    <row r="1113" spans="1:10" hidden="1" x14ac:dyDescent="0.25">
      <c r="A1113" s="114" t="s">
        <v>1077</v>
      </c>
      <c r="B1113" s="115" t="s">
        <v>5474</v>
      </c>
      <c r="C1113" s="116" t="s">
        <v>70</v>
      </c>
      <c r="D1113" s="116">
        <v>0</v>
      </c>
      <c r="E1113" s="136">
        <f ca="1">OFFSET(INDEX(Composições!A:J,MATCH(Orçamentária!A1113,Composições!A:A,0),8),2,0)</f>
        <v>119.13598500000001</v>
      </c>
      <c r="F1113" s="137">
        <f t="shared" ca="1" si="51"/>
        <v>0</v>
      </c>
      <c r="G1113" s="138" t="e">
        <f>IF(A1113&lt;&gt;"",IF(AND(#REF!="Padrão",$H$4=#REF!),BDI!$B$17,IF(AND(#REF!="Padrão",$H$4=#REF!),BDI!#REF!,IF(AND(#REF!="Diferenciado",$H$4=#REF!),BDI!$E$17,IF(AND(#REF!="Diferenciado",$H$4=#REF!),BDI!#REF!,IF(#REF!="ZERO",0))))),"")</f>
        <v>#REF!</v>
      </c>
      <c r="H1113" s="139" t="e">
        <f t="shared" ca="1" si="52"/>
        <v>#REF!</v>
      </c>
      <c r="I1113" s="137" t="e">
        <f t="shared" ca="1" si="53"/>
        <v>#REF!</v>
      </c>
      <c r="J1113" s="117"/>
    </row>
    <row r="1114" spans="1:10" hidden="1" x14ac:dyDescent="0.25">
      <c r="A1114" s="114" t="s">
        <v>1080</v>
      </c>
      <c r="B1114" s="115" t="s">
        <v>2689</v>
      </c>
      <c r="C1114" s="116" t="s">
        <v>70</v>
      </c>
      <c r="D1114" s="116">
        <v>0</v>
      </c>
      <c r="E1114" s="136">
        <f ca="1">OFFSET(INDEX(Composições!A:J,MATCH(Orçamentária!A1114,Composições!A:A,0),8),2,0)</f>
        <v>103.07499999999999</v>
      </c>
      <c r="F1114" s="137">
        <f t="shared" ca="1" si="51"/>
        <v>0</v>
      </c>
      <c r="G1114" s="138" t="e">
        <f>IF(A1114&lt;&gt;"",IF(AND(#REF!="Padrão",$H$4=#REF!),BDI!$B$17,IF(AND(#REF!="Padrão",$H$4=#REF!),BDI!#REF!,IF(AND(#REF!="Diferenciado",$H$4=#REF!),BDI!$E$17,IF(AND(#REF!="Diferenciado",$H$4=#REF!),BDI!#REF!,IF(#REF!="ZERO",0))))),"")</f>
        <v>#REF!</v>
      </c>
      <c r="H1114" s="139" t="e">
        <f t="shared" ca="1" si="52"/>
        <v>#REF!</v>
      </c>
      <c r="I1114" s="137" t="e">
        <f t="shared" ca="1" si="53"/>
        <v>#REF!</v>
      </c>
      <c r="J1114" s="117"/>
    </row>
    <row r="1115" spans="1:10" hidden="1" x14ac:dyDescent="0.25">
      <c r="A1115" s="114" t="s">
        <v>1081</v>
      </c>
      <c r="B1115" s="115" t="s">
        <v>2690</v>
      </c>
      <c r="C1115" s="116" t="s">
        <v>70</v>
      </c>
      <c r="D1115" s="116">
        <v>0</v>
      </c>
      <c r="E1115" s="136">
        <f ca="1">OFFSET(INDEX(Composições!A:J,MATCH(Orçamentária!A1115,Composições!A:A,0),8),2,0)</f>
        <v>27.727174999999995</v>
      </c>
      <c r="F1115" s="137">
        <f t="shared" ca="1" si="51"/>
        <v>0</v>
      </c>
      <c r="G1115" s="138" t="e">
        <f>IF(A1115&lt;&gt;"",IF(AND(#REF!="Padrão",$H$4=#REF!),BDI!$B$17,IF(AND(#REF!="Padrão",$H$4=#REF!),BDI!#REF!,IF(AND(#REF!="Diferenciado",$H$4=#REF!),BDI!$E$17,IF(AND(#REF!="Diferenciado",$H$4=#REF!),BDI!#REF!,IF(#REF!="ZERO",0))))),"")</f>
        <v>#REF!</v>
      </c>
      <c r="H1115" s="139" t="e">
        <f t="shared" ca="1" si="52"/>
        <v>#REF!</v>
      </c>
      <c r="I1115" s="137" t="e">
        <f t="shared" ca="1" si="53"/>
        <v>#REF!</v>
      </c>
      <c r="J1115" s="117"/>
    </row>
    <row r="1116" spans="1:10" hidden="1" x14ac:dyDescent="0.25">
      <c r="A1116" s="114" t="s">
        <v>1083</v>
      </c>
      <c r="B1116" s="115" t="s">
        <v>2691</v>
      </c>
      <c r="C1116" s="116" t="s">
        <v>69</v>
      </c>
      <c r="D1116" s="116">
        <v>0</v>
      </c>
      <c r="E1116" s="136">
        <f ca="1">OFFSET(INDEX(Composições!A:J,MATCH(Orçamentária!A1116,Composições!A:A,0),8),2,0)</f>
        <v>72.275620000000004</v>
      </c>
      <c r="F1116" s="137">
        <f t="shared" ca="1" si="51"/>
        <v>0</v>
      </c>
      <c r="G1116" s="138" t="e">
        <f>IF(A1116&lt;&gt;"",IF(AND(#REF!="Padrão",$H$4=#REF!),BDI!$B$17,IF(AND(#REF!="Padrão",$H$4=#REF!),BDI!#REF!,IF(AND(#REF!="Diferenciado",$H$4=#REF!),BDI!$E$17,IF(AND(#REF!="Diferenciado",$H$4=#REF!),BDI!#REF!,IF(#REF!="ZERO",0))))),"")</f>
        <v>#REF!</v>
      </c>
      <c r="H1116" s="139" t="e">
        <f t="shared" ca="1" si="52"/>
        <v>#REF!</v>
      </c>
      <c r="I1116" s="137" t="e">
        <f t="shared" ca="1" si="53"/>
        <v>#REF!</v>
      </c>
      <c r="J1116" s="117"/>
    </row>
    <row r="1117" spans="1:10" hidden="1" x14ac:dyDescent="0.25">
      <c r="A1117" s="114" t="s">
        <v>1085</v>
      </c>
      <c r="B1117" s="115" t="s">
        <v>2692</v>
      </c>
      <c r="C1117" s="116" t="s">
        <v>70</v>
      </c>
      <c r="D1117" s="116">
        <v>0</v>
      </c>
      <c r="E1117" s="136">
        <f ca="1">OFFSET(INDEX(Composições!A:J,MATCH(Orçamentária!A1117,Composições!A:A,0),8),2,0)</f>
        <v>19.272174999999997</v>
      </c>
      <c r="F1117" s="137">
        <f t="shared" ca="1" si="51"/>
        <v>0</v>
      </c>
      <c r="G1117" s="138" t="e">
        <f>IF(A1117&lt;&gt;"",IF(AND(#REF!="Padrão",$H$4=#REF!),BDI!$B$17,IF(AND(#REF!="Padrão",$H$4=#REF!),BDI!#REF!,IF(AND(#REF!="Diferenciado",$H$4=#REF!),BDI!$E$17,IF(AND(#REF!="Diferenciado",$H$4=#REF!),BDI!#REF!,IF(#REF!="ZERO",0))))),"")</f>
        <v>#REF!</v>
      </c>
      <c r="H1117" s="139" t="e">
        <f t="shared" ca="1" si="52"/>
        <v>#REF!</v>
      </c>
      <c r="I1117" s="137" t="e">
        <f t="shared" ca="1" si="53"/>
        <v>#REF!</v>
      </c>
      <c r="J1117" s="117"/>
    </row>
    <row r="1118" spans="1:10" hidden="1" x14ac:dyDescent="0.25">
      <c r="A1118" s="114" t="s">
        <v>1088</v>
      </c>
      <c r="B1118" s="115" t="s">
        <v>5475</v>
      </c>
      <c r="C1118" s="116" t="s">
        <v>70</v>
      </c>
      <c r="D1118" s="116">
        <v>0</v>
      </c>
      <c r="E1118" s="136">
        <f ca="1">OFFSET(INDEX(Composições!A:J,MATCH(Orçamentária!A1118,Composições!A:A,0),8),2,0)</f>
        <v>0</v>
      </c>
      <c r="F1118" s="137">
        <f t="shared" ca="1" si="51"/>
        <v>0</v>
      </c>
      <c r="G1118" s="138" t="e">
        <f>IF(A1118&lt;&gt;"",IF(AND(#REF!="Padrão",$H$4=#REF!),BDI!$B$17,IF(AND(#REF!="Padrão",$H$4=#REF!),BDI!#REF!,IF(AND(#REF!="Diferenciado",$H$4=#REF!),BDI!$E$17,IF(AND(#REF!="Diferenciado",$H$4=#REF!),BDI!#REF!,IF(#REF!="ZERO",0))))),"")</f>
        <v>#REF!</v>
      </c>
      <c r="H1118" s="139" t="e">
        <f t="shared" ca="1" si="52"/>
        <v>#REF!</v>
      </c>
      <c r="I1118" s="137" t="e">
        <f t="shared" ca="1" si="53"/>
        <v>#REF!</v>
      </c>
      <c r="J1118" s="117"/>
    </row>
    <row r="1119" spans="1:10" hidden="1" x14ac:dyDescent="0.25">
      <c r="A1119" s="114" t="s">
        <v>1090</v>
      </c>
      <c r="B1119" s="115" t="s">
        <v>5476</v>
      </c>
      <c r="C1119" s="116" t="s">
        <v>70</v>
      </c>
      <c r="D1119" s="116">
        <v>0</v>
      </c>
      <c r="E1119" s="136">
        <f ca="1">OFFSET(INDEX(Composições!A:J,MATCH(Orçamentária!A1119,Composições!A:A,0),8),2,0)</f>
        <v>230.12192949999999</v>
      </c>
      <c r="F1119" s="137">
        <f t="shared" ca="1" si="51"/>
        <v>0</v>
      </c>
      <c r="G1119" s="138" t="e">
        <f>IF(A1119&lt;&gt;"",IF(AND(#REF!="Padrão",$H$4=#REF!),BDI!$B$17,IF(AND(#REF!="Padrão",$H$4=#REF!),BDI!#REF!,IF(AND(#REF!="Diferenciado",$H$4=#REF!),BDI!$E$17,IF(AND(#REF!="Diferenciado",$H$4=#REF!),BDI!#REF!,IF(#REF!="ZERO",0))))),"")</f>
        <v>#REF!</v>
      </c>
      <c r="H1119" s="139" t="e">
        <f t="shared" ca="1" si="52"/>
        <v>#REF!</v>
      </c>
      <c r="I1119" s="137" t="e">
        <f t="shared" ca="1" si="53"/>
        <v>#REF!</v>
      </c>
      <c r="J1119" s="117"/>
    </row>
    <row r="1120" spans="1:10" hidden="1" x14ac:dyDescent="0.25">
      <c r="A1120" s="114" t="s">
        <v>1093</v>
      </c>
      <c r="B1120" s="115" t="s">
        <v>2693</v>
      </c>
      <c r="C1120" s="116" t="s">
        <v>70</v>
      </c>
      <c r="D1120" s="116">
        <v>0</v>
      </c>
      <c r="E1120" s="136">
        <f ca="1">OFFSET(INDEX(Composições!A:J,MATCH(Orçamentária!A1120,Composições!A:A,0),8),2,0)</f>
        <v>89.444372450000003</v>
      </c>
      <c r="F1120" s="137">
        <f t="shared" ca="1" si="51"/>
        <v>0</v>
      </c>
      <c r="G1120" s="138" t="e">
        <f>IF(A1120&lt;&gt;"",IF(AND(#REF!="Padrão",$H$4=#REF!),BDI!$B$17,IF(AND(#REF!="Padrão",$H$4=#REF!),BDI!#REF!,IF(AND(#REF!="Diferenciado",$H$4=#REF!),BDI!$E$17,IF(AND(#REF!="Diferenciado",$H$4=#REF!),BDI!#REF!,IF(#REF!="ZERO",0))))),"")</f>
        <v>#REF!</v>
      </c>
      <c r="H1120" s="139" t="e">
        <f t="shared" ca="1" si="52"/>
        <v>#REF!</v>
      </c>
      <c r="I1120" s="137" t="e">
        <f t="shared" ca="1" si="53"/>
        <v>#REF!</v>
      </c>
      <c r="J1120" s="117"/>
    </row>
    <row r="1121" spans="1:10" hidden="1" x14ac:dyDescent="0.25">
      <c r="A1121" s="114" t="s">
        <v>1094</v>
      </c>
      <c r="B1121" s="115" t="s">
        <v>5477</v>
      </c>
      <c r="C1121" s="116" t="s">
        <v>70</v>
      </c>
      <c r="D1121" s="116">
        <v>0</v>
      </c>
      <c r="E1121" s="136">
        <f ca="1">OFFSET(INDEX(Composições!A:J,MATCH(Orçamentária!A1121,Composições!A:A,0),8),2,0)</f>
        <v>15.655779884999998</v>
      </c>
      <c r="F1121" s="137">
        <f t="shared" ca="1" si="51"/>
        <v>0</v>
      </c>
      <c r="G1121" s="138" t="e">
        <f>IF(A1121&lt;&gt;"",IF(AND(#REF!="Padrão",$H$4=#REF!),BDI!$B$17,IF(AND(#REF!="Padrão",$H$4=#REF!),BDI!#REF!,IF(AND(#REF!="Diferenciado",$H$4=#REF!),BDI!$E$17,IF(AND(#REF!="Diferenciado",$H$4=#REF!),BDI!#REF!,IF(#REF!="ZERO",0))))),"")</f>
        <v>#REF!</v>
      </c>
      <c r="H1121" s="139" t="e">
        <f t="shared" ca="1" si="52"/>
        <v>#REF!</v>
      </c>
      <c r="I1121" s="137" t="e">
        <f t="shared" ca="1" si="53"/>
        <v>#REF!</v>
      </c>
      <c r="J1121" s="117"/>
    </row>
    <row r="1122" spans="1:10" hidden="1" x14ac:dyDescent="0.25">
      <c r="A1122" s="114" t="s">
        <v>1096</v>
      </c>
      <c r="B1122" s="115" t="s">
        <v>5478</v>
      </c>
      <c r="C1122" s="116" t="s">
        <v>70</v>
      </c>
      <c r="D1122" s="116">
        <v>0</v>
      </c>
      <c r="E1122" s="136">
        <f ca="1">OFFSET(INDEX(Composições!A:J,MATCH(Orçamentária!A1122,Composições!A:A,0),8),2,0)</f>
        <v>12.056165</v>
      </c>
      <c r="F1122" s="137">
        <f t="shared" ca="1" si="51"/>
        <v>0</v>
      </c>
      <c r="G1122" s="138" t="e">
        <f>IF(A1122&lt;&gt;"",IF(AND(#REF!="Padrão",$H$4=#REF!),BDI!$B$17,IF(AND(#REF!="Padrão",$H$4=#REF!),BDI!#REF!,IF(AND(#REF!="Diferenciado",$H$4=#REF!),BDI!$E$17,IF(AND(#REF!="Diferenciado",$H$4=#REF!),BDI!#REF!,IF(#REF!="ZERO",0))))),"")</f>
        <v>#REF!</v>
      </c>
      <c r="H1122" s="139" t="e">
        <f t="shared" ca="1" si="52"/>
        <v>#REF!</v>
      </c>
      <c r="I1122" s="137" t="e">
        <f t="shared" ca="1" si="53"/>
        <v>#REF!</v>
      </c>
      <c r="J1122" s="117"/>
    </row>
    <row r="1123" spans="1:10" hidden="1" x14ac:dyDescent="0.25">
      <c r="A1123" s="114" t="s">
        <v>1098</v>
      </c>
      <c r="B1123" s="115" t="s">
        <v>5479</v>
      </c>
      <c r="C1123" s="116" t="s">
        <v>70</v>
      </c>
      <c r="D1123" s="116">
        <v>0</v>
      </c>
      <c r="E1123" s="136">
        <f ca="1">OFFSET(INDEX(Composições!A:J,MATCH(Orçamentária!A1123,Composições!A:A,0),8),2,0)</f>
        <v>12.056165</v>
      </c>
      <c r="F1123" s="137">
        <f t="shared" ca="1" si="51"/>
        <v>0</v>
      </c>
      <c r="G1123" s="138" t="e">
        <f>IF(A1123&lt;&gt;"",IF(AND(#REF!="Padrão",$H$4=#REF!),BDI!$B$17,IF(AND(#REF!="Padrão",$H$4=#REF!),BDI!#REF!,IF(AND(#REF!="Diferenciado",$H$4=#REF!),BDI!$E$17,IF(AND(#REF!="Diferenciado",$H$4=#REF!),BDI!#REF!,IF(#REF!="ZERO",0))))),"")</f>
        <v>#REF!</v>
      </c>
      <c r="H1123" s="139" t="e">
        <f t="shared" ca="1" si="52"/>
        <v>#REF!</v>
      </c>
      <c r="I1123" s="137" t="e">
        <f t="shared" ca="1" si="53"/>
        <v>#REF!</v>
      </c>
      <c r="J1123" s="117"/>
    </row>
    <row r="1124" spans="1:10" hidden="1" x14ac:dyDescent="0.25">
      <c r="A1124" s="114" t="s">
        <v>1100</v>
      </c>
      <c r="B1124" s="115" t="s">
        <v>2694</v>
      </c>
      <c r="C1124" s="116" t="s">
        <v>70</v>
      </c>
      <c r="D1124" s="116">
        <v>0</v>
      </c>
      <c r="E1124" s="136">
        <f ca="1">OFFSET(INDEX(Composições!A:J,MATCH(Orçamentária!A1124,Composições!A:A,0),8),2,0)</f>
        <v>42.045458149999988</v>
      </c>
      <c r="F1124" s="137">
        <f t="shared" ca="1" si="51"/>
        <v>0</v>
      </c>
      <c r="G1124" s="138" t="e">
        <f>IF(A1124&lt;&gt;"",IF(AND(#REF!="Padrão",$H$4=#REF!),BDI!$B$17,IF(AND(#REF!="Padrão",$H$4=#REF!),BDI!#REF!,IF(AND(#REF!="Diferenciado",$H$4=#REF!),BDI!$E$17,IF(AND(#REF!="Diferenciado",$H$4=#REF!),BDI!#REF!,IF(#REF!="ZERO",0))))),"")</f>
        <v>#REF!</v>
      </c>
      <c r="H1124" s="139" t="e">
        <f t="shared" ca="1" si="52"/>
        <v>#REF!</v>
      </c>
      <c r="I1124" s="137" t="e">
        <f t="shared" ca="1" si="53"/>
        <v>#REF!</v>
      </c>
      <c r="J1124" s="117"/>
    </row>
    <row r="1125" spans="1:10" hidden="1" x14ac:dyDescent="0.25">
      <c r="A1125" s="114" t="s">
        <v>1104</v>
      </c>
      <c r="B1125" s="115" t="s">
        <v>5480</v>
      </c>
      <c r="C1125" s="116" t="s">
        <v>70</v>
      </c>
      <c r="D1125" s="116">
        <v>0</v>
      </c>
      <c r="E1125" s="136">
        <f ca="1">OFFSET(INDEX(Composições!A:J,MATCH(Orçamentária!A1125,Composições!A:A,0),8),2,0)</f>
        <v>14.234961499999999</v>
      </c>
      <c r="F1125" s="137">
        <f t="shared" ca="1" si="51"/>
        <v>0</v>
      </c>
      <c r="G1125" s="138" t="e">
        <f>IF(A1125&lt;&gt;"",IF(AND(#REF!="Padrão",$H$4=#REF!),BDI!$B$17,IF(AND(#REF!="Padrão",$H$4=#REF!),BDI!#REF!,IF(AND(#REF!="Diferenciado",$H$4=#REF!),BDI!$E$17,IF(AND(#REF!="Diferenciado",$H$4=#REF!),BDI!#REF!,IF(#REF!="ZERO",0))))),"")</f>
        <v>#REF!</v>
      </c>
      <c r="H1125" s="139" t="e">
        <f t="shared" ca="1" si="52"/>
        <v>#REF!</v>
      </c>
      <c r="I1125" s="137" t="e">
        <f t="shared" ca="1" si="53"/>
        <v>#REF!</v>
      </c>
      <c r="J1125" s="117"/>
    </row>
    <row r="1126" spans="1:10" hidden="1" x14ac:dyDescent="0.25">
      <c r="A1126" s="114" t="s">
        <v>1105</v>
      </c>
      <c r="B1126" s="115" t="s">
        <v>5481</v>
      </c>
      <c r="C1126" s="116" t="s">
        <v>70</v>
      </c>
      <c r="D1126" s="116">
        <v>0</v>
      </c>
      <c r="E1126" s="136">
        <f ca="1">OFFSET(INDEX(Composições!A:J,MATCH(Orçamentária!A1126,Composições!A:A,0),8),2,0)</f>
        <v>17.149195750000001</v>
      </c>
      <c r="F1126" s="137">
        <f t="shared" ca="1" si="51"/>
        <v>0</v>
      </c>
      <c r="G1126" s="138" t="e">
        <f>IF(A1126&lt;&gt;"",IF(AND(#REF!="Padrão",$H$4=#REF!),BDI!$B$17,IF(AND(#REF!="Padrão",$H$4=#REF!),BDI!#REF!,IF(AND(#REF!="Diferenciado",$H$4=#REF!),BDI!$E$17,IF(AND(#REF!="Diferenciado",$H$4=#REF!),BDI!#REF!,IF(#REF!="ZERO",0))))),"")</f>
        <v>#REF!</v>
      </c>
      <c r="H1126" s="139" t="e">
        <f t="shared" ca="1" si="52"/>
        <v>#REF!</v>
      </c>
      <c r="I1126" s="137" t="e">
        <f t="shared" ca="1" si="53"/>
        <v>#REF!</v>
      </c>
      <c r="J1126" s="117"/>
    </row>
    <row r="1127" spans="1:10" hidden="1" x14ac:dyDescent="0.25">
      <c r="A1127" s="114" t="s">
        <v>1107</v>
      </c>
      <c r="B1127" s="115" t="s">
        <v>2695</v>
      </c>
      <c r="C1127" s="116" t="s">
        <v>70</v>
      </c>
      <c r="D1127" s="116">
        <v>0</v>
      </c>
      <c r="E1127" s="136" t="s">
        <v>416</v>
      </c>
      <c r="F1127" s="137" t="str">
        <f t="shared" si="51"/>
        <v/>
      </c>
      <c r="G1127" s="138" t="e">
        <f>IF(A1127&lt;&gt;"",IF(AND(#REF!="Padrão",$H$4=#REF!),BDI!$B$17,IF(AND(#REF!="Padrão",$H$4=#REF!),BDI!#REF!,IF(AND(#REF!="Diferenciado",$H$4=#REF!),BDI!$E$17,IF(AND(#REF!="Diferenciado",$H$4=#REF!),BDI!#REF!,IF(#REF!="ZERO",0))))),"")</f>
        <v>#REF!</v>
      </c>
      <c r="H1127" s="139" t="str">
        <f t="shared" si="52"/>
        <v/>
      </c>
      <c r="I1127" s="137" t="str">
        <f t="shared" si="53"/>
        <v/>
      </c>
      <c r="J1127" s="117"/>
    </row>
    <row r="1128" spans="1:10" hidden="1" x14ac:dyDescent="0.25">
      <c r="A1128" s="114" t="s">
        <v>1108</v>
      </c>
      <c r="B1128" s="115" t="s">
        <v>2696</v>
      </c>
      <c r="C1128" s="116" t="s">
        <v>70</v>
      </c>
      <c r="D1128" s="116">
        <v>0</v>
      </c>
      <c r="E1128" s="136">
        <f ca="1">OFFSET(INDEX(Composições!A:J,MATCH(Orçamentária!A1128,Composições!A:A,0),8),2,0)</f>
        <v>19.891489499999999</v>
      </c>
      <c r="F1128" s="137">
        <f t="shared" ca="1" si="51"/>
        <v>0</v>
      </c>
      <c r="G1128" s="138" t="e">
        <f>IF(A1128&lt;&gt;"",IF(AND(#REF!="Padrão",$H$4=#REF!),BDI!$B$17,IF(AND(#REF!="Padrão",$H$4=#REF!),BDI!#REF!,IF(AND(#REF!="Diferenciado",$H$4=#REF!),BDI!$E$17,IF(AND(#REF!="Diferenciado",$H$4=#REF!),BDI!#REF!,IF(#REF!="ZERO",0))))),"")</f>
        <v>#REF!</v>
      </c>
      <c r="H1128" s="139" t="e">
        <f t="shared" ca="1" si="52"/>
        <v>#REF!</v>
      </c>
      <c r="I1128" s="137" t="e">
        <f t="shared" ca="1" si="53"/>
        <v>#REF!</v>
      </c>
      <c r="J1128" s="117"/>
    </row>
    <row r="1129" spans="1:10" hidden="1" x14ac:dyDescent="0.25">
      <c r="A1129" s="114" t="s">
        <v>1109</v>
      </c>
      <c r="B1129" s="115" t="s">
        <v>2697</v>
      </c>
      <c r="C1129" s="116" t="s">
        <v>70</v>
      </c>
      <c r="D1129" s="116">
        <v>0</v>
      </c>
      <c r="E1129" s="136">
        <f ca="1">OFFSET(INDEX(Composições!A:J,MATCH(Orçamentária!A1129,Composições!A:A,0),8),2,0)</f>
        <v>60.518625199999995</v>
      </c>
      <c r="F1129" s="137">
        <f t="shared" ca="1" si="51"/>
        <v>0</v>
      </c>
      <c r="G1129" s="138" t="e">
        <f>IF(A1129&lt;&gt;"",IF(AND(#REF!="Padrão",$H$4=#REF!),BDI!$B$17,IF(AND(#REF!="Padrão",$H$4=#REF!),BDI!#REF!,IF(AND(#REF!="Diferenciado",$H$4=#REF!),BDI!$E$17,IF(AND(#REF!="Diferenciado",$H$4=#REF!),BDI!#REF!,IF(#REF!="ZERO",0))))),"")</f>
        <v>#REF!</v>
      </c>
      <c r="H1129" s="139" t="e">
        <f t="shared" ca="1" si="52"/>
        <v>#REF!</v>
      </c>
      <c r="I1129" s="137" t="e">
        <f t="shared" ca="1" si="53"/>
        <v>#REF!</v>
      </c>
      <c r="J1129" s="117"/>
    </row>
    <row r="1130" spans="1:10" hidden="1" x14ac:dyDescent="0.25">
      <c r="A1130" s="114" t="s">
        <v>1110</v>
      </c>
      <c r="B1130" s="115" t="s">
        <v>2698</v>
      </c>
      <c r="C1130" s="116" t="s">
        <v>70</v>
      </c>
      <c r="D1130" s="116">
        <v>0</v>
      </c>
      <c r="E1130" s="136">
        <f ca="1">OFFSET(INDEX(Composições!A:J,MATCH(Orçamentária!A1130,Composições!A:A,0),8),2,0)</f>
        <v>23.366199999999999</v>
      </c>
      <c r="F1130" s="137">
        <f t="shared" ca="1" si="51"/>
        <v>0</v>
      </c>
      <c r="G1130" s="138" t="e">
        <f>IF(A1130&lt;&gt;"",IF(AND(#REF!="Padrão",$H$4=#REF!),BDI!$B$17,IF(AND(#REF!="Padrão",$H$4=#REF!),BDI!#REF!,IF(AND(#REF!="Diferenciado",$H$4=#REF!),BDI!$E$17,IF(AND(#REF!="Diferenciado",$H$4=#REF!),BDI!#REF!,IF(#REF!="ZERO",0))))),"")</f>
        <v>#REF!</v>
      </c>
      <c r="H1130" s="139" t="e">
        <f t="shared" ca="1" si="52"/>
        <v>#REF!</v>
      </c>
      <c r="I1130" s="137" t="e">
        <f t="shared" ca="1" si="53"/>
        <v>#REF!</v>
      </c>
      <c r="J1130" s="117"/>
    </row>
    <row r="1131" spans="1:10" hidden="1" x14ac:dyDescent="0.25">
      <c r="A1131" s="114" t="s">
        <v>1111</v>
      </c>
      <c r="B1131" s="115" t="s">
        <v>2699</v>
      </c>
      <c r="C1131" s="116" t="s">
        <v>70</v>
      </c>
      <c r="D1131" s="116">
        <v>0</v>
      </c>
      <c r="E1131" s="136">
        <f ca="1">OFFSET(INDEX(Composições!A:J,MATCH(Orçamentária!A1131,Composições!A:A,0),8),2,0)</f>
        <v>1.3955594999999998</v>
      </c>
      <c r="F1131" s="137">
        <f t="shared" ca="1" si="51"/>
        <v>0</v>
      </c>
      <c r="G1131" s="138" t="e">
        <f>IF(A1131&lt;&gt;"",IF(AND(#REF!="Padrão",$H$4=#REF!),BDI!$B$17,IF(AND(#REF!="Padrão",$H$4=#REF!),BDI!#REF!,IF(AND(#REF!="Diferenciado",$H$4=#REF!),BDI!$E$17,IF(AND(#REF!="Diferenciado",$H$4=#REF!),BDI!#REF!,IF(#REF!="ZERO",0))))),"")</f>
        <v>#REF!</v>
      </c>
      <c r="H1131" s="139" t="e">
        <f t="shared" ca="1" si="52"/>
        <v>#REF!</v>
      </c>
      <c r="I1131" s="137" t="e">
        <f t="shared" ca="1" si="53"/>
        <v>#REF!</v>
      </c>
      <c r="J1131" s="117"/>
    </row>
    <row r="1132" spans="1:10" hidden="1" x14ac:dyDescent="0.25">
      <c r="A1132" s="114" t="s">
        <v>1113</v>
      </c>
      <c r="B1132" s="115" t="s">
        <v>2700</v>
      </c>
      <c r="C1132" s="116" t="s">
        <v>70</v>
      </c>
      <c r="D1132" s="116">
        <v>0</v>
      </c>
      <c r="E1132" s="136">
        <f ca="1">OFFSET(INDEX(Composições!A:J,MATCH(Orçamentária!A1132,Composições!A:A,0),8),2,0)</f>
        <v>34.151408449999998</v>
      </c>
      <c r="F1132" s="137">
        <f t="shared" ca="1" si="51"/>
        <v>0</v>
      </c>
      <c r="G1132" s="138" t="e">
        <f>IF(A1132&lt;&gt;"",IF(AND(#REF!="Padrão",$H$4=#REF!),BDI!$B$17,IF(AND(#REF!="Padrão",$H$4=#REF!),BDI!#REF!,IF(AND(#REF!="Diferenciado",$H$4=#REF!),BDI!$E$17,IF(AND(#REF!="Diferenciado",$H$4=#REF!),BDI!#REF!,IF(#REF!="ZERO",0))))),"")</f>
        <v>#REF!</v>
      </c>
      <c r="H1132" s="139" t="e">
        <f t="shared" ca="1" si="52"/>
        <v>#REF!</v>
      </c>
      <c r="I1132" s="137" t="e">
        <f t="shared" ca="1" si="53"/>
        <v>#REF!</v>
      </c>
      <c r="J1132" s="117"/>
    </row>
    <row r="1133" spans="1:10" hidden="1" x14ac:dyDescent="0.25">
      <c r="A1133" s="114" t="s">
        <v>1115</v>
      </c>
      <c r="B1133" s="115" t="s">
        <v>2701</v>
      </c>
      <c r="C1133" s="116" t="s">
        <v>69</v>
      </c>
      <c r="D1133" s="116">
        <v>0</v>
      </c>
      <c r="E1133" s="136">
        <f ca="1">OFFSET(INDEX(Composições!A:J,MATCH(Orçamentária!A1133,Composições!A:A,0),8),2,0)</f>
        <v>10.979907149999999</v>
      </c>
      <c r="F1133" s="137">
        <f t="shared" ca="1" si="51"/>
        <v>0</v>
      </c>
      <c r="G1133" s="138" t="e">
        <f>IF(A1133&lt;&gt;"",IF(AND(#REF!="Padrão",$H$4=#REF!),BDI!$B$17,IF(AND(#REF!="Padrão",$H$4=#REF!),BDI!#REF!,IF(AND(#REF!="Diferenciado",$H$4=#REF!),BDI!$E$17,IF(AND(#REF!="Diferenciado",$H$4=#REF!),BDI!#REF!,IF(#REF!="ZERO",0))))),"")</f>
        <v>#REF!</v>
      </c>
      <c r="H1133" s="139" t="e">
        <f t="shared" ca="1" si="52"/>
        <v>#REF!</v>
      </c>
      <c r="I1133" s="137" t="e">
        <f t="shared" ca="1" si="53"/>
        <v>#REF!</v>
      </c>
      <c r="J1133" s="117"/>
    </row>
    <row r="1134" spans="1:10" hidden="1" x14ac:dyDescent="0.25">
      <c r="A1134" s="114" t="s">
        <v>1121</v>
      </c>
      <c r="B1134" s="115" t="s">
        <v>2702</v>
      </c>
      <c r="C1134" s="116" t="s">
        <v>70</v>
      </c>
      <c r="D1134" s="116">
        <v>0</v>
      </c>
      <c r="E1134" s="136">
        <f ca="1">OFFSET(INDEX(Composições!A:J,MATCH(Orçamentária!A1134,Composições!A:A,0),8),2,0)</f>
        <v>77.667134831120009</v>
      </c>
      <c r="F1134" s="137">
        <f t="shared" ca="1" si="51"/>
        <v>0</v>
      </c>
      <c r="G1134" s="138" t="e">
        <f>IF(A1134&lt;&gt;"",IF(AND(#REF!="Padrão",$H$4=#REF!),BDI!$B$17,IF(AND(#REF!="Padrão",$H$4=#REF!),BDI!#REF!,IF(AND(#REF!="Diferenciado",$H$4=#REF!),BDI!$E$17,IF(AND(#REF!="Diferenciado",$H$4=#REF!),BDI!#REF!,IF(#REF!="ZERO",0))))),"")</f>
        <v>#REF!</v>
      </c>
      <c r="H1134" s="139" t="e">
        <f t="shared" ca="1" si="52"/>
        <v>#REF!</v>
      </c>
      <c r="I1134" s="137" t="e">
        <f t="shared" ca="1" si="53"/>
        <v>#REF!</v>
      </c>
      <c r="J1134" s="117"/>
    </row>
    <row r="1135" spans="1:10" hidden="1" x14ac:dyDescent="0.25">
      <c r="A1135" s="114" t="s">
        <v>1129</v>
      </c>
      <c r="B1135" s="115" t="s">
        <v>2703</v>
      </c>
      <c r="C1135" s="116" t="s">
        <v>80</v>
      </c>
      <c r="D1135" s="116">
        <v>0</v>
      </c>
      <c r="E1135" s="136">
        <f ca="1">OFFSET(INDEX(Composições!A:J,MATCH(Orçamentária!A1135,Composições!A:A,0),8),2,0)</f>
        <v>466.60016038200001</v>
      </c>
      <c r="F1135" s="137">
        <f t="shared" ca="1" si="51"/>
        <v>0</v>
      </c>
      <c r="G1135" s="138" t="e">
        <f>IF(A1135&lt;&gt;"",IF(AND(#REF!="Padrão",$H$4=#REF!),BDI!$B$17,IF(AND(#REF!="Padrão",$H$4=#REF!),BDI!#REF!,IF(AND(#REF!="Diferenciado",$H$4=#REF!),BDI!$E$17,IF(AND(#REF!="Diferenciado",$H$4=#REF!),BDI!#REF!,IF(#REF!="ZERO",0))))),"")</f>
        <v>#REF!</v>
      </c>
      <c r="H1135" s="139" t="e">
        <f t="shared" ca="1" si="52"/>
        <v>#REF!</v>
      </c>
      <c r="I1135" s="137" t="e">
        <f t="shared" ca="1" si="53"/>
        <v>#REF!</v>
      </c>
      <c r="J1135" s="117"/>
    </row>
    <row r="1136" spans="1:10" hidden="1" x14ac:dyDescent="0.25">
      <c r="A1136" s="114" t="s">
        <v>1147</v>
      </c>
      <c r="B1136" s="115" t="s">
        <v>2704</v>
      </c>
      <c r="C1136" s="116" t="s">
        <v>80</v>
      </c>
      <c r="D1136" s="116">
        <v>0</v>
      </c>
      <c r="E1136" s="136">
        <f ca="1">OFFSET(INDEX(Composições!A:J,MATCH(Orçamentária!A1136,Composições!A:A,0),8),2,0)</f>
        <v>242.70599999999996</v>
      </c>
      <c r="F1136" s="137">
        <f t="shared" ca="1" si="51"/>
        <v>0</v>
      </c>
      <c r="G1136" s="138" t="e">
        <f>IF(A1136&lt;&gt;"",IF(AND(#REF!="Padrão",$H$4=#REF!),BDI!$B$17,IF(AND(#REF!="Padrão",$H$4=#REF!),BDI!#REF!,IF(AND(#REF!="Diferenciado",$H$4=#REF!),BDI!$E$17,IF(AND(#REF!="Diferenciado",$H$4=#REF!),BDI!#REF!,IF(#REF!="ZERO",0))))),"")</f>
        <v>#REF!</v>
      </c>
      <c r="H1136" s="139" t="e">
        <f t="shared" ca="1" si="52"/>
        <v>#REF!</v>
      </c>
      <c r="I1136" s="137" t="e">
        <f t="shared" ca="1" si="53"/>
        <v>#REF!</v>
      </c>
      <c r="J1136" s="117"/>
    </row>
    <row r="1137" spans="1:10" hidden="1" x14ac:dyDescent="0.25">
      <c r="A1137" s="114" t="s">
        <v>1151</v>
      </c>
      <c r="B1137" s="115" t="s">
        <v>2705</v>
      </c>
      <c r="C1137" s="116" t="s">
        <v>70</v>
      </c>
      <c r="D1137" s="116">
        <v>0</v>
      </c>
      <c r="E1137" s="136">
        <f ca="1">OFFSET(INDEX(Composições!A:J,MATCH(Orçamentária!A1137,Composições!A:A,0),8),2,0)</f>
        <v>4.7718918000000006</v>
      </c>
      <c r="F1137" s="137">
        <f t="shared" ca="1" si="51"/>
        <v>0</v>
      </c>
      <c r="G1137" s="138" t="e">
        <f>IF(A1137&lt;&gt;"",IF(AND(#REF!="Padrão",$H$4=#REF!),BDI!$B$17,IF(AND(#REF!="Padrão",$H$4=#REF!),BDI!#REF!,IF(AND(#REF!="Diferenciado",$H$4=#REF!),BDI!$E$17,IF(AND(#REF!="Diferenciado",$H$4=#REF!),BDI!#REF!,IF(#REF!="ZERO",0))))),"")</f>
        <v>#REF!</v>
      </c>
      <c r="H1137" s="139" t="e">
        <f t="shared" ca="1" si="52"/>
        <v>#REF!</v>
      </c>
      <c r="I1137" s="137" t="e">
        <f t="shared" ca="1" si="53"/>
        <v>#REF!</v>
      </c>
      <c r="J1137" s="117"/>
    </row>
    <row r="1138" spans="1:10" hidden="1" x14ac:dyDescent="0.25">
      <c r="A1138" s="114" t="s">
        <v>1154</v>
      </c>
      <c r="B1138" s="115" t="s">
        <v>2706</v>
      </c>
      <c r="C1138" s="116" t="s">
        <v>70</v>
      </c>
      <c r="D1138" s="116">
        <v>0</v>
      </c>
      <c r="E1138" s="136">
        <f ca="1">OFFSET(INDEX(Composições!A:J,MATCH(Orçamentária!A1138,Composições!A:A,0),8),2,0)</f>
        <v>81.889960099999982</v>
      </c>
      <c r="F1138" s="137">
        <f t="shared" ca="1" si="51"/>
        <v>0</v>
      </c>
      <c r="G1138" s="138" t="e">
        <f>IF(A1138&lt;&gt;"",IF(AND(#REF!="Padrão",$H$4=#REF!),BDI!$B$17,IF(AND(#REF!="Padrão",$H$4=#REF!),BDI!#REF!,IF(AND(#REF!="Diferenciado",$H$4=#REF!),BDI!$E$17,IF(AND(#REF!="Diferenciado",$H$4=#REF!),BDI!#REF!,IF(#REF!="ZERO",0))))),"")</f>
        <v>#REF!</v>
      </c>
      <c r="H1138" s="139" t="e">
        <f t="shared" ca="1" si="52"/>
        <v>#REF!</v>
      </c>
      <c r="I1138" s="137" t="e">
        <f t="shared" ca="1" si="53"/>
        <v>#REF!</v>
      </c>
      <c r="J1138" s="117"/>
    </row>
    <row r="1139" spans="1:10" hidden="1" x14ac:dyDescent="0.25">
      <c r="A1139" s="114" t="s">
        <v>1159</v>
      </c>
      <c r="B1139" s="115" t="s">
        <v>2707</v>
      </c>
      <c r="C1139" s="116" t="s">
        <v>69</v>
      </c>
      <c r="D1139" s="116">
        <v>0</v>
      </c>
      <c r="E1139" s="136">
        <f ca="1">OFFSET(INDEX(Composições!A:J,MATCH(Orçamentária!A1139,Composições!A:A,0),8),2,0)</f>
        <v>12.627823699999999</v>
      </c>
      <c r="F1139" s="137">
        <f t="shared" ca="1" si="51"/>
        <v>0</v>
      </c>
      <c r="G1139" s="138" t="e">
        <f>IF(A1139&lt;&gt;"",IF(AND(#REF!="Padrão",$H$4=#REF!),BDI!$B$17,IF(AND(#REF!="Padrão",$H$4=#REF!),BDI!#REF!,IF(AND(#REF!="Diferenciado",$H$4=#REF!),BDI!$E$17,IF(AND(#REF!="Diferenciado",$H$4=#REF!),BDI!#REF!,IF(#REF!="ZERO",0))))),"")</f>
        <v>#REF!</v>
      </c>
      <c r="H1139" s="139" t="e">
        <f t="shared" ca="1" si="52"/>
        <v>#REF!</v>
      </c>
      <c r="I1139" s="137" t="e">
        <f t="shared" ca="1" si="53"/>
        <v>#REF!</v>
      </c>
      <c r="J1139" s="117"/>
    </row>
    <row r="1140" spans="1:10" hidden="1" x14ac:dyDescent="0.25">
      <c r="A1140" s="114" t="s">
        <v>1160</v>
      </c>
      <c r="B1140" s="115" t="s">
        <v>2708</v>
      </c>
      <c r="C1140" s="116" t="s">
        <v>70</v>
      </c>
      <c r="D1140" s="116">
        <v>0</v>
      </c>
      <c r="E1140" s="136">
        <f ca="1">OFFSET(INDEX(Composições!A:J,MATCH(Orçamentária!A1140,Composições!A:A,0),8),2,0)</f>
        <v>13.888257099999999</v>
      </c>
      <c r="F1140" s="137">
        <f t="shared" ca="1" si="51"/>
        <v>0</v>
      </c>
      <c r="G1140" s="138" t="e">
        <f>IF(A1140&lt;&gt;"",IF(AND(#REF!="Padrão",$H$4=#REF!),BDI!$B$17,IF(AND(#REF!="Padrão",$H$4=#REF!),BDI!#REF!,IF(AND(#REF!="Diferenciado",$H$4=#REF!),BDI!$E$17,IF(AND(#REF!="Diferenciado",$H$4=#REF!),BDI!#REF!,IF(#REF!="ZERO",0))))),"")</f>
        <v>#REF!</v>
      </c>
      <c r="H1140" s="139" t="e">
        <f t="shared" ca="1" si="52"/>
        <v>#REF!</v>
      </c>
      <c r="I1140" s="137" t="e">
        <f t="shared" ca="1" si="53"/>
        <v>#REF!</v>
      </c>
      <c r="J1140" s="117"/>
    </row>
    <row r="1141" spans="1:10" hidden="1" x14ac:dyDescent="0.25">
      <c r="A1141" s="114" t="s">
        <v>1162</v>
      </c>
      <c r="B1141" s="115" t="s">
        <v>2709</v>
      </c>
      <c r="C1141" s="116" t="s">
        <v>69</v>
      </c>
      <c r="D1141" s="116">
        <v>0</v>
      </c>
      <c r="E1141" s="136">
        <f ca="1">OFFSET(INDEX(Composições!A:J,MATCH(Orçamentária!A1141,Composições!A:A,0),8),2,0)</f>
        <v>12.627823699999999</v>
      </c>
      <c r="F1141" s="137">
        <f t="shared" ca="1" si="51"/>
        <v>0</v>
      </c>
      <c r="G1141" s="138" t="e">
        <f>IF(A1141&lt;&gt;"",IF(AND(#REF!="Padrão",$H$4=#REF!),BDI!$B$17,IF(AND(#REF!="Padrão",$H$4=#REF!),BDI!#REF!,IF(AND(#REF!="Diferenciado",$H$4=#REF!),BDI!$E$17,IF(AND(#REF!="Diferenciado",$H$4=#REF!),BDI!#REF!,IF(#REF!="ZERO",0))))),"")</f>
        <v>#REF!</v>
      </c>
      <c r="H1141" s="139" t="e">
        <f t="shared" ca="1" si="52"/>
        <v>#REF!</v>
      </c>
      <c r="I1141" s="137" t="e">
        <f t="shared" ca="1" si="53"/>
        <v>#REF!</v>
      </c>
      <c r="J1141" s="117"/>
    </row>
    <row r="1142" spans="1:10" hidden="1" x14ac:dyDescent="0.25">
      <c r="A1142" s="114" t="s">
        <v>1163</v>
      </c>
      <c r="B1142" s="115" t="s">
        <v>7703</v>
      </c>
      <c r="C1142" s="116" t="s">
        <v>70</v>
      </c>
      <c r="D1142" s="116">
        <v>0</v>
      </c>
      <c r="E1142" s="136">
        <f ca="1">OFFSET(INDEX(Composições!A:J,MATCH(Orçamentária!A1142,Composições!A:A,0),8),2,0)</f>
        <v>20.101049999999997</v>
      </c>
      <c r="F1142" s="137">
        <f t="shared" ca="1" si="51"/>
        <v>0</v>
      </c>
      <c r="G1142" s="138" t="e">
        <f>IF(A1142&lt;&gt;"",IF(AND(#REF!="Padrão",$H$4=#REF!),BDI!$B$17,IF(AND(#REF!="Padrão",$H$4=#REF!),BDI!#REF!,IF(AND(#REF!="Diferenciado",$H$4=#REF!),BDI!$E$17,IF(AND(#REF!="Diferenciado",$H$4=#REF!),BDI!#REF!,IF(#REF!="ZERO",0))))),"")</f>
        <v>#REF!</v>
      </c>
      <c r="H1142" s="139" t="e">
        <f t="shared" ca="1" si="52"/>
        <v>#REF!</v>
      </c>
      <c r="I1142" s="137" t="e">
        <f t="shared" ca="1" si="53"/>
        <v>#REF!</v>
      </c>
      <c r="J1142" s="117"/>
    </row>
    <row r="1143" spans="1:10" ht="25.5" hidden="1" x14ac:dyDescent="0.25">
      <c r="A1143" s="114" t="s">
        <v>1169</v>
      </c>
      <c r="B1143" s="115" t="s">
        <v>2710</v>
      </c>
      <c r="C1143" s="116" t="s">
        <v>69</v>
      </c>
      <c r="D1143" s="116">
        <v>0</v>
      </c>
      <c r="E1143" s="136">
        <f ca="1">OFFSET(INDEX(Composições!A:J,MATCH(Orçamentária!A1143,Composições!A:A,0),8),2,0)</f>
        <v>2.8066799999999996</v>
      </c>
      <c r="F1143" s="137">
        <f t="shared" ca="1" si="51"/>
        <v>0</v>
      </c>
      <c r="G1143" s="138" t="e">
        <f>IF(A1143&lt;&gt;"",IF(AND(#REF!="Padrão",$H$4=#REF!),BDI!$B$17,IF(AND(#REF!="Padrão",$H$4=#REF!),BDI!#REF!,IF(AND(#REF!="Diferenciado",$H$4=#REF!),BDI!$E$17,IF(AND(#REF!="Diferenciado",$H$4=#REF!),BDI!#REF!,IF(#REF!="ZERO",0))))),"")</f>
        <v>#REF!</v>
      </c>
      <c r="H1143" s="139" t="e">
        <f t="shared" ca="1" si="52"/>
        <v>#REF!</v>
      </c>
      <c r="I1143" s="137" t="e">
        <f t="shared" ca="1" si="53"/>
        <v>#REF!</v>
      </c>
      <c r="J1143" s="117"/>
    </row>
    <row r="1144" spans="1:10" hidden="1" x14ac:dyDescent="0.25">
      <c r="A1144" s="114" t="s">
        <v>1171</v>
      </c>
      <c r="B1144" s="115" t="s">
        <v>2711</v>
      </c>
      <c r="C1144" s="116" t="s">
        <v>69</v>
      </c>
      <c r="D1144" s="116">
        <v>0</v>
      </c>
      <c r="E1144" s="136">
        <f ca="1">OFFSET(INDEX(Composições!A:J,MATCH(Orçamentária!A1144,Composições!A:A,0),8),2,0)</f>
        <v>2.8066799999999996</v>
      </c>
      <c r="F1144" s="137">
        <f t="shared" ca="1" si="51"/>
        <v>0</v>
      </c>
      <c r="G1144" s="138" t="e">
        <f>IF(A1144&lt;&gt;"",IF(AND(#REF!="Padrão",$H$4=#REF!),BDI!$B$17,IF(AND(#REF!="Padrão",$H$4=#REF!),BDI!#REF!,IF(AND(#REF!="Diferenciado",$H$4=#REF!),BDI!$E$17,IF(AND(#REF!="Diferenciado",$H$4=#REF!),BDI!#REF!,IF(#REF!="ZERO",0))))),"")</f>
        <v>#REF!</v>
      </c>
      <c r="H1144" s="139" t="e">
        <f t="shared" ca="1" si="52"/>
        <v>#REF!</v>
      </c>
      <c r="I1144" s="137" t="e">
        <f t="shared" ca="1" si="53"/>
        <v>#REF!</v>
      </c>
      <c r="J1144" s="117"/>
    </row>
    <row r="1145" spans="1:10" hidden="1" x14ac:dyDescent="0.25">
      <c r="A1145" s="114" t="s">
        <v>1173</v>
      </c>
      <c r="B1145" s="115" t="s">
        <v>7704</v>
      </c>
      <c r="C1145" s="116" t="s">
        <v>70</v>
      </c>
      <c r="D1145" s="116">
        <v>0</v>
      </c>
      <c r="E1145" s="136">
        <f ca="1">OFFSET(INDEX(Composições!A:J,MATCH(Orçamentária!A1145,Composições!A:A,0),8),2,0)</f>
        <v>43.242015449999997</v>
      </c>
      <c r="F1145" s="137">
        <f t="shared" ca="1" si="51"/>
        <v>0</v>
      </c>
      <c r="G1145" s="138" t="e">
        <f>IF(A1145&lt;&gt;"",IF(AND(#REF!="Padrão",$H$4=#REF!),BDI!$B$17,IF(AND(#REF!="Padrão",$H$4=#REF!),BDI!#REF!,IF(AND(#REF!="Diferenciado",$H$4=#REF!),BDI!$E$17,IF(AND(#REF!="Diferenciado",$H$4=#REF!),BDI!#REF!,IF(#REF!="ZERO",0))))),"")</f>
        <v>#REF!</v>
      </c>
      <c r="H1145" s="139" t="e">
        <f t="shared" ca="1" si="52"/>
        <v>#REF!</v>
      </c>
      <c r="I1145" s="137" t="e">
        <f t="shared" ca="1" si="53"/>
        <v>#REF!</v>
      </c>
      <c r="J1145" s="117"/>
    </row>
    <row r="1146" spans="1:10" hidden="1" x14ac:dyDescent="0.25">
      <c r="A1146" s="114" t="s">
        <v>1177</v>
      </c>
      <c r="B1146" s="115" t="s">
        <v>2712</v>
      </c>
      <c r="C1146" s="116" t="s">
        <v>69</v>
      </c>
      <c r="D1146" s="116">
        <v>0</v>
      </c>
      <c r="E1146" s="136">
        <f ca="1">OFFSET(INDEX(Composições!A:J,MATCH(Orçamentária!A1146,Composições!A:A,0),8),2,0)</f>
        <v>76.132150699999983</v>
      </c>
      <c r="F1146" s="137">
        <f t="shared" ca="1" si="51"/>
        <v>0</v>
      </c>
      <c r="G1146" s="138" t="e">
        <f>IF(A1146&lt;&gt;"",IF(AND(#REF!="Padrão",$H$4=#REF!),BDI!$B$17,IF(AND(#REF!="Padrão",$H$4=#REF!),BDI!#REF!,IF(AND(#REF!="Diferenciado",$H$4=#REF!),BDI!$E$17,IF(AND(#REF!="Diferenciado",$H$4=#REF!),BDI!#REF!,IF(#REF!="ZERO",0))))),"")</f>
        <v>#REF!</v>
      </c>
      <c r="H1146" s="139" t="e">
        <f t="shared" ca="1" si="52"/>
        <v>#REF!</v>
      </c>
      <c r="I1146" s="137" t="e">
        <f t="shared" ca="1" si="53"/>
        <v>#REF!</v>
      </c>
      <c r="J1146" s="117"/>
    </row>
    <row r="1147" spans="1:10" hidden="1" x14ac:dyDescent="0.25">
      <c r="A1147" s="114" t="s">
        <v>1179</v>
      </c>
      <c r="B1147" s="115" t="s">
        <v>2713</v>
      </c>
      <c r="C1147" s="116" t="s">
        <v>69</v>
      </c>
      <c r="D1147" s="116">
        <v>0</v>
      </c>
      <c r="E1147" s="136">
        <f ca="1">OFFSET(INDEX(Composições!A:J,MATCH(Orçamentária!A1147,Composições!A:A,0),8),2,0)</f>
        <v>81.930485199999993</v>
      </c>
      <c r="F1147" s="137">
        <f t="shared" ca="1" si="51"/>
        <v>0</v>
      </c>
      <c r="G1147" s="138" t="e">
        <f>IF(A1147&lt;&gt;"",IF(AND(#REF!="Padrão",$H$4=#REF!),BDI!$B$17,IF(AND(#REF!="Padrão",$H$4=#REF!),BDI!#REF!,IF(AND(#REF!="Diferenciado",$H$4=#REF!),BDI!$E$17,IF(AND(#REF!="Diferenciado",$H$4=#REF!),BDI!#REF!,IF(#REF!="ZERO",0))))),"")</f>
        <v>#REF!</v>
      </c>
      <c r="H1147" s="139" t="e">
        <f t="shared" ca="1" si="52"/>
        <v>#REF!</v>
      </c>
      <c r="I1147" s="137" t="e">
        <f t="shared" ca="1" si="53"/>
        <v>#REF!</v>
      </c>
      <c r="J1147" s="117"/>
    </row>
    <row r="1148" spans="1:10" hidden="1" x14ac:dyDescent="0.25">
      <c r="A1148" s="114" t="s">
        <v>1181</v>
      </c>
      <c r="B1148" s="115" t="s">
        <v>2714</v>
      </c>
      <c r="C1148" s="116" t="s">
        <v>70</v>
      </c>
      <c r="D1148" s="116">
        <v>0</v>
      </c>
      <c r="E1148" s="136">
        <f ca="1">OFFSET(INDEX(Composições!A:J,MATCH(Orçamentária!A1148,Composições!A:A,0),8),2,0)</f>
        <v>7.0166999999999984</v>
      </c>
      <c r="F1148" s="137">
        <f t="shared" ca="1" si="51"/>
        <v>0</v>
      </c>
      <c r="G1148" s="138" t="e">
        <f>IF(A1148&lt;&gt;"",IF(AND(#REF!="Padrão",$H$4=#REF!),BDI!$B$17,IF(AND(#REF!="Padrão",$H$4=#REF!),BDI!#REF!,IF(AND(#REF!="Diferenciado",$H$4=#REF!),BDI!$E$17,IF(AND(#REF!="Diferenciado",$H$4=#REF!),BDI!#REF!,IF(#REF!="ZERO",0))))),"")</f>
        <v>#REF!</v>
      </c>
      <c r="H1148" s="139" t="e">
        <f t="shared" ca="1" si="52"/>
        <v>#REF!</v>
      </c>
      <c r="I1148" s="137" t="e">
        <f t="shared" ca="1" si="53"/>
        <v>#REF!</v>
      </c>
      <c r="J1148" s="117"/>
    </row>
    <row r="1149" spans="1:10" hidden="1" x14ac:dyDescent="0.25">
      <c r="A1149" s="114" t="s">
        <v>2715</v>
      </c>
      <c r="B1149" s="115" t="s">
        <v>2716</v>
      </c>
      <c r="C1149" s="116" t="s">
        <v>16</v>
      </c>
      <c r="D1149" s="116">
        <v>0</v>
      </c>
      <c r="E1149" s="136" t="s">
        <v>416</v>
      </c>
      <c r="F1149" s="137" t="str">
        <f t="shared" si="51"/>
        <v/>
      </c>
      <c r="G1149" s="138" t="e">
        <f>IF(A1149&lt;&gt;"",IF(AND(#REF!="Padrão",$H$4=#REF!),BDI!$B$17,IF(AND(#REF!="Padrão",$H$4=#REF!),BDI!#REF!,IF(AND(#REF!="Diferenciado",$H$4=#REF!),BDI!$E$17,IF(AND(#REF!="Diferenciado",$H$4=#REF!),BDI!#REF!,IF(#REF!="ZERO",0))))),"")</f>
        <v>#REF!</v>
      </c>
      <c r="H1149" s="139" t="str">
        <f t="shared" si="52"/>
        <v/>
      </c>
      <c r="I1149" s="137" t="str">
        <f t="shared" si="53"/>
        <v/>
      </c>
      <c r="J1149" s="117"/>
    </row>
    <row r="1150" spans="1:10" hidden="1" x14ac:dyDescent="0.25">
      <c r="A1150" s="114" t="s">
        <v>2717</v>
      </c>
      <c r="B1150" s="115" t="s">
        <v>2718</v>
      </c>
      <c r="C1150" s="116" t="s">
        <v>16</v>
      </c>
      <c r="D1150" s="116">
        <v>0</v>
      </c>
      <c r="E1150" s="136" t="s">
        <v>416</v>
      </c>
      <c r="F1150" s="137" t="str">
        <f t="shared" si="51"/>
        <v/>
      </c>
      <c r="G1150" s="138" t="e">
        <f>IF(A1150&lt;&gt;"",IF(AND(#REF!="Padrão",$H$4=#REF!),BDI!$B$17,IF(AND(#REF!="Padrão",$H$4=#REF!),BDI!#REF!,IF(AND(#REF!="Diferenciado",$H$4=#REF!),BDI!$E$17,IF(AND(#REF!="Diferenciado",$H$4=#REF!),BDI!#REF!,IF(#REF!="ZERO",0))))),"")</f>
        <v>#REF!</v>
      </c>
      <c r="H1150" s="139" t="str">
        <f t="shared" si="52"/>
        <v/>
      </c>
      <c r="I1150" s="137" t="str">
        <f t="shared" si="53"/>
        <v/>
      </c>
      <c r="J1150" s="117"/>
    </row>
    <row r="1151" spans="1:10" hidden="1" x14ac:dyDescent="0.25">
      <c r="A1151" s="114" t="s">
        <v>2719</v>
      </c>
      <c r="B1151" s="115" t="s">
        <v>2720</v>
      </c>
      <c r="C1151" s="116" t="s">
        <v>5417</v>
      </c>
      <c r="D1151" s="116">
        <v>0</v>
      </c>
      <c r="E1151" s="136" t="s">
        <v>416</v>
      </c>
      <c r="F1151" s="137" t="str">
        <f t="shared" si="51"/>
        <v/>
      </c>
      <c r="G1151" s="138" t="e">
        <f>IF(A1151&lt;&gt;"",IF(AND(#REF!="Padrão",$H$4=#REF!),BDI!$B$17,IF(AND(#REF!="Padrão",$H$4=#REF!),BDI!#REF!,IF(AND(#REF!="Diferenciado",$H$4=#REF!),BDI!$E$17,IF(AND(#REF!="Diferenciado",$H$4=#REF!),BDI!#REF!,IF(#REF!="ZERO",0))))),"")</f>
        <v>#REF!</v>
      </c>
      <c r="H1151" s="139" t="str">
        <f t="shared" si="52"/>
        <v/>
      </c>
      <c r="I1151" s="137" t="str">
        <f t="shared" si="53"/>
        <v/>
      </c>
      <c r="J1151" s="117"/>
    </row>
    <row r="1152" spans="1:10" hidden="1" x14ac:dyDescent="0.25">
      <c r="A1152" s="114" t="s">
        <v>1183</v>
      </c>
      <c r="B1152" s="115" t="s">
        <v>2721</v>
      </c>
      <c r="C1152" s="116" t="s">
        <v>69</v>
      </c>
      <c r="D1152" s="116">
        <v>0</v>
      </c>
      <c r="E1152" s="136">
        <f ca="1">OFFSET(INDEX(Composições!A:J,MATCH(Orçamentária!A1152,Composições!A:A,0),8),2,0)</f>
        <v>282.44836815955966</v>
      </c>
      <c r="F1152" s="137">
        <f t="shared" ca="1" si="51"/>
        <v>0</v>
      </c>
      <c r="G1152" s="138" t="e">
        <f>IF(A1152&lt;&gt;"",IF(AND(#REF!="Padrão",$H$4=#REF!),BDI!$B$17,IF(AND(#REF!="Padrão",$H$4=#REF!),BDI!#REF!,IF(AND(#REF!="Diferenciado",$H$4=#REF!),BDI!$E$17,IF(AND(#REF!="Diferenciado",$H$4=#REF!),BDI!#REF!,IF(#REF!="ZERO",0))))),"")</f>
        <v>#REF!</v>
      </c>
      <c r="H1152" s="139" t="e">
        <f t="shared" ca="1" si="52"/>
        <v>#REF!</v>
      </c>
      <c r="I1152" s="137" t="e">
        <f t="shared" ca="1" si="53"/>
        <v>#REF!</v>
      </c>
      <c r="J1152" s="117"/>
    </row>
    <row r="1153" spans="1:10" hidden="1" x14ac:dyDescent="0.25">
      <c r="A1153" s="114" t="s">
        <v>1185</v>
      </c>
      <c r="B1153" s="115" t="s">
        <v>2722</v>
      </c>
      <c r="C1153" s="116" t="s">
        <v>69</v>
      </c>
      <c r="D1153" s="116">
        <v>0</v>
      </c>
      <c r="E1153" s="136">
        <f ca="1">OFFSET(INDEX(Composições!A:J,MATCH(Orçamentária!A1153,Composições!A:A,0),8),2,0)</f>
        <v>147.61849881911948</v>
      </c>
      <c r="F1153" s="137">
        <f t="shared" ca="1" si="51"/>
        <v>0</v>
      </c>
      <c r="G1153" s="138" t="e">
        <f>IF(A1153&lt;&gt;"",IF(AND(#REF!="Padrão",$H$4=#REF!),BDI!$B$17,IF(AND(#REF!="Padrão",$H$4=#REF!),BDI!#REF!,IF(AND(#REF!="Diferenciado",$H$4=#REF!),BDI!$E$17,IF(AND(#REF!="Diferenciado",$H$4=#REF!),BDI!#REF!,IF(#REF!="ZERO",0))))),"")</f>
        <v>#REF!</v>
      </c>
      <c r="H1153" s="139" t="e">
        <f t="shared" ca="1" si="52"/>
        <v>#REF!</v>
      </c>
      <c r="I1153" s="137" t="e">
        <f t="shared" ca="1" si="53"/>
        <v>#REF!</v>
      </c>
      <c r="J1153" s="117"/>
    </row>
    <row r="1154" spans="1:10" hidden="1" x14ac:dyDescent="0.25">
      <c r="A1154" s="114" t="s">
        <v>1186</v>
      </c>
      <c r="B1154" s="115" t="s">
        <v>2723</v>
      </c>
      <c r="C1154" s="116" t="s">
        <v>70</v>
      </c>
      <c r="D1154" s="116">
        <v>0</v>
      </c>
      <c r="E1154" s="136">
        <f ca="1">OFFSET(INDEX(Composições!A:J,MATCH(Orçamentária!A1154,Composições!A:A,0),8),2,0)</f>
        <v>2.2248049999999995</v>
      </c>
      <c r="F1154" s="137">
        <f t="shared" ca="1" si="51"/>
        <v>0</v>
      </c>
      <c r="G1154" s="138" t="e">
        <f>IF(A1154&lt;&gt;"",IF(AND(#REF!="Padrão",$H$4=#REF!),BDI!$B$17,IF(AND(#REF!="Padrão",$H$4=#REF!),BDI!#REF!,IF(AND(#REF!="Diferenciado",$H$4=#REF!),BDI!$E$17,IF(AND(#REF!="Diferenciado",$H$4=#REF!),BDI!#REF!,IF(#REF!="ZERO",0))))),"")</f>
        <v>#REF!</v>
      </c>
      <c r="H1154" s="139" t="e">
        <f t="shared" ca="1" si="52"/>
        <v>#REF!</v>
      </c>
      <c r="I1154" s="137" t="e">
        <f t="shared" ca="1" si="53"/>
        <v>#REF!</v>
      </c>
      <c r="J1154" s="117"/>
    </row>
    <row r="1155" spans="1:10" hidden="1" x14ac:dyDescent="0.25">
      <c r="A1155" s="114" t="s">
        <v>1190</v>
      </c>
      <c r="B1155" s="115" t="s">
        <v>2724</v>
      </c>
      <c r="C1155" s="116" t="s">
        <v>16</v>
      </c>
      <c r="D1155" s="116">
        <v>0</v>
      </c>
      <c r="E1155" s="136">
        <f ca="1">OFFSET(INDEX(Composições!A:J,MATCH(Orçamentária!A1155,Composições!A:A,0),8),2,0)</f>
        <v>232.58292064999998</v>
      </c>
      <c r="F1155" s="137">
        <f t="shared" ca="1" si="51"/>
        <v>0</v>
      </c>
      <c r="G1155" s="138" t="e">
        <f>IF(A1155&lt;&gt;"",IF(AND(#REF!="Padrão",$H$4=#REF!),BDI!$B$17,IF(AND(#REF!="Padrão",$H$4=#REF!),BDI!#REF!,IF(AND(#REF!="Diferenciado",$H$4=#REF!),BDI!$E$17,IF(AND(#REF!="Diferenciado",$H$4=#REF!),BDI!#REF!,IF(#REF!="ZERO",0))))),"")</f>
        <v>#REF!</v>
      </c>
      <c r="H1155" s="139" t="e">
        <f t="shared" ca="1" si="52"/>
        <v>#REF!</v>
      </c>
      <c r="I1155" s="137" t="e">
        <f t="shared" ca="1" si="53"/>
        <v>#REF!</v>
      </c>
      <c r="J1155" s="117"/>
    </row>
    <row r="1156" spans="1:10" hidden="1" x14ac:dyDescent="0.25">
      <c r="A1156" s="114" t="s">
        <v>1195</v>
      </c>
      <c r="B1156" s="115" t="s">
        <v>2725</v>
      </c>
      <c r="C1156" s="116" t="s">
        <v>16</v>
      </c>
      <c r="D1156" s="116">
        <v>0</v>
      </c>
      <c r="E1156" s="136">
        <f ca="1">OFFSET(INDEX(Composições!A:J,MATCH(Orçamentária!A1156,Composições!A:A,0),8),2,0)</f>
        <v>51.042697249999996</v>
      </c>
      <c r="F1156" s="137">
        <f t="shared" ca="1" si="51"/>
        <v>0</v>
      </c>
      <c r="G1156" s="138" t="e">
        <f>IF(A1156&lt;&gt;"",IF(AND(#REF!="Padrão",$H$4=#REF!),BDI!$B$17,IF(AND(#REF!="Padrão",$H$4=#REF!),BDI!#REF!,IF(AND(#REF!="Diferenciado",$H$4=#REF!),BDI!$E$17,IF(AND(#REF!="Diferenciado",$H$4=#REF!),BDI!#REF!,IF(#REF!="ZERO",0))))),"")</f>
        <v>#REF!</v>
      </c>
      <c r="H1156" s="139" t="e">
        <f t="shared" ca="1" si="52"/>
        <v>#REF!</v>
      </c>
      <c r="I1156" s="137" t="e">
        <f t="shared" ca="1" si="53"/>
        <v>#REF!</v>
      </c>
      <c r="J1156" s="117"/>
    </row>
    <row r="1157" spans="1:10" hidden="1" x14ac:dyDescent="0.25">
      <c r="A1157" s="114" t="s">
        <v>1196</v>
      </c>
      <c r="B1157" s="115" t="s">
        <v>7705</v>
      </c>
      <c r="C1157" s="116" t="s">
        <v>70</v>
      </c>
      <c r="D1157" s="116">
        <v>0</v>
      </c>
      <c r="E1157" s="136">
        <f ca="1">OFFSET(INDEX(Composições!A:J,MATCH(Orçamentária!A1157,Composições!A:A,0),8),2,0)</f>
        <v>44.988025799738793</v>
      </c>
      <c r="F1157" s="137">
        <f t="shared" ca="1" si="51"/>
        <v>0</v>
      </c>
      <c r="G1157" s="138" t="e">
        <f>IF(A1157&lt;&gt;"",IF(AND(#REF!="Padrão",$H$4=#REF!),BDI!$B$17,IF(AND(#REF!="Padrão",$H$4=#REF!),BDI!#REF!,IF(AND(#REF!="Diferenciado",$H$4=#REF!),BDI!$E$17,IF(AND(#REF!="Diferenciado",$H$4=#REF!),BDI!#REF!,IF(#REF!="ZERO",0))))),"")</f>
        <v>#REF!</v>
      </c>
      <c r="H1157" s="139" t="e">
        <f t="shared" ca="1" si="52"/>
        <v>#REF!</v>
      </c>
      <c r="I1157" s="137" t="e">
        <f t="shared" ca="1" si="53"/>
        <v>#REF!</v>
      </c>
      <c r="J1157" s="117"/>
    </row>
    <row r="1158" spans="1:10" hidden="1" x14ac:dyDescent="0.25">
      <c r="A1158" s="114" t="s">
        <v>1198</v>
      </c>
      <c r="B1158" s="115" t="s">
        <v>7706</v>
      </c>
      <c r="C1158" s="116" t="s">
        <v>70</v>
      </c>
      <c r="D1158" s="116">
        <v>0</v>
      </c>
      <c r="E1158" s="136">
        <f ca="1">OFFSET(INDEX(Composições!A:J,MATCH(Orçamentária!A1158,Composições!A:A,0),8),2,0)</f>
        <v>60.617044091942795</v>
      </c>
      <c r="F1158" s="137">
        <f t="shared" ca="1" si="51"/>
        <v>0</v>
      </c>
      <c r="G1158" s="138" t="e">
        <f>IF(A1158&lt;&gt;"",IF(AND(#REF!="Padrão",$H$4=#REF!),BDI!$B$17,IF(AND(#REF!="Padrão",$H$4=#REF!),BDI!#REF!,IF(AND(#REF!="Diferenciado",$H$4=#REF!),BDI!$E$17,IF(AND(#REF!="Diferenciado",$H$4=#REF!),BDI!#REF!,IF(#REF!="ZERO",0))))),"")</f>
        <v>#REF!</v>
      </c>
      <c r="H1158" s="139" t="e">
        <f t="shared" ca="1" si="52"/>
        <v>#REF!</v>
      </c>
      <c r="I1158" s="137" t="e">
        <f t="shared" ca="1" si="53"/>
        <v>#REF!</v>
      </c>
      <c r="J1158" s="117"/>
    </row>
    <row r="1159" spans="1:10" hidden="1" x14ac:dyDescent="0.25">
      <c r="A1159" s="114" t="s">
        <v>1199</v>
      </c>
      <c r="B1159" s="115" t="s">
        <v>2726</v>
      </c>
      <c r="C1159" s="116" t="s">
        <v>70</v>
      </c>
      <c r="D1159" s="116">
        <v>0</v>
      </c>
      <c r="E1159" s="136">
        <f ca="1">OFFSET(INDEX(Composições!A:J,MATCH(Orçamentária!A1159,Composições!A:A,0),8),2,0)</f>
        <v>7.256005</v>
      </c>
      <c r="F1159" s="137">
        <f t="shared" ref="F1159:F1222" ca="1" si="54">IF(ISNUMBER(E1159),D1159*E1159,"")</f>
        <v>0</v>
      </c>
      <c r="G1159" s="138" t="e">
        <f>IF(A1159&lt;&gt;"",IF(AND(#REF!="Padrão",$H$4=#REF!),BDI!$B$17,IF(AND(#REF!="Padrão",$H$4=#REF!),BDI!#REF!,IF(AND(#REF!="Diferenciado",$H$4=#REF!),BDI!$E$17,IF(AND(#REF!="Diferenciado",$H$4=#REF!),BDI!#REF!,IF(#REF!="ZERO",0))))),"")</f>
        <v>#REF!</v>
      </c>
      <c r="H1159" s="139" t="e">
        <f t="shared" ref="H1159:H1222" ca="1" si="55">IF(ISNUMBER(E1159),ROUND(E1159*(1+G1159),2),"")</f>
        <v>#REF!</v>
      </c>
      <c r="I1159" s="137" t="e">
        <f t="shared" ref="I1159:I1222" ca="1" si="56">IF(ISNUMBER(E1159),ROUND(H1159*D1159,2),"")</f>
        <v>#REF!</v>
      </c>
      <c r="J1159" s="117"/>
    </row>
    <row r="1160" spans="1:10" hidden="1" x14ac:dyDescent="0.25">
      <c r="A1160" s="114" t="s">
        <v>1201</v>
      </c>
      <c r="B1160" s="115" t="s">
        <v>2727</v>
      </c>
      <c r="C1160" s="116" t="s">
        <v>70</v>
      </c>
      <c r="D1160" s="116">
        <v>0</v>
      </c>
      <c r="E1160" s="136">
        <f ca="1">OFFSET(INDEX(Composições!A:J,MATCH(Orçamentária!A1160,Composições!A:A,0),8),2,0)</f>
        <v>15.415174999999998</v>
      </c>
      <c r="F1160" s="137">
        <f t="shared" ca="1" si="54"/>
        <v>0</v>
      </c>
      <c r="G1160" s="138" t="e">
        <f>IF(A1160&lt;&gt;"",IF(AND(#REF!="Padrão",$H$4=#REF!),BDI!$B$17,IF(AND(#REF!="Padrão",$H$4=#REF!),BDI!#REF!,IF(AND(#REF!="Diferenciado",$H$4=#REF!),BDI!$E$17,IF(AND(#REF!="Diferenciado",$H$4=#REF!),BDI!#REF!,IF(#REF!="ZERO",0))))),"")</f>
        <v>#REF!</v>
      </c>
      <c r="H1160" s="139" t="e">
        <f t="shared" ca="1" si="55"/>
        <v>#REF!</v>
      </c>
      <c r="I1160" s="137" t="e">
        <f t="shared" ca="1" si="56"/>
        <v>#REF!</v>
      </c>
      <c r="J1160" s="117"/>
    </row>
    <row r="1161" spans="1:10" hidden="1" x14ac:dyDescent="0.25">
      <c r="A1161" s="114" t="s">
        <v>1203</v>
      </c>
      <c r="B1161" s="115" t="s">
        <v>2728</v>
      </c>
      <c r="C1161" s="116" t="s">
        <v>70</v>
      </c>
      <c r="D1161" s="116">
        <v>0</v>
      </c>
      <c r="E1161" s="136">
        <f ca="1">OFFSET(INDEX(Composições!A:J,MATCH(Orçamentária!A1161,Composições!A:A,0),8),2,0)</f>
        <v>33.592286509777992</v>
      </c>
      <c r="F1161" s="137">
        <f t="shared" ca="1" si="54"/>
        <v>0</v>
      </c>
      <c r="G1161" s="138" t="e">
        <f>IF(A1161&lt;&gt;"",IF(AND(#REF!="Padrão",$H$4=#REF!),BDI!$B$17,IF(AND(#REF!="Padrão",$H$4=#REF!),BDI!#REF!,IF(AND(#REF!="Diferenciado",$H$4=#REF!),BDI!$E$17,IF(AND(#REF!="Diferenciado",$H$4=#REF!),BDI!#REF!,IF(#REF!="ZERO",0))))),"")</f>
        <v>#REF!</v>
      </c>
      <c r="H1161" s="139" t="e">
        <f t="shared" ca="1" si="55"/>
        <v>#REF!</v>
      </c>
      <c r="I1161" s="137" t="e">
        <f t="shared" ca="1" si="56"/>
        <v>#REF!</v>
      </c>
      <c r="J1161" s="117"/>
    </row>
    <row r="1162" spans="1:10" hidden="1" x14ac:dyDescent="0.25">
      <c r="A1162" s="114" t="s">
        <v>1204</v>
      </c>
      <c r="B1162" s="115" t="s">
        <v>2729</v>
      </c>
      <c r="C1162" s="116" t="s">
        <v>70</v>
      </c>
      <c r="D1162" s="116">
        <v>0</v>
      </c>
      <c r="E1162" s="136">
        <f ca="1">OFFSET(INDEX(Composições!A:J,MATCH(Orçamentária!A1162,Composições!A:A,0),8),2,0)</f>
        <v>91.946702750249997</v>
      </c>
      <c r="F1162" s="137">
        <f t="shared" ca="1" si="54"/>
        <v>0</v>
      </c>
      <c r="G1162" s="138" t="e">
        <f>IF(A1162&lt;&gt;"",IF(AND(#REF!="Padrão",$H$4=#REF!),BDI!$B$17,IF(AND(#REF!="Padrão",$H$4=#REF!),BDI!#REF!,IF(AND(#REF!="Diferenciado",$H$4=#REF!),BDI!$E$17,IF(AND(#REF!="Diferenciado",$H$4=#REF!),BDI!#REF!,IF(#REF!="ZERO",0))))),"")</f>
        <v>#REF!</v>
      </c>
      <c r="H1162" s="139" t="e">
        <f t="shared" ca="1" si="55"/>
        <v>#REF!</v>
      </c>
      <c r="I1162" s="137" t="e">
        <f t="shared" ca="1" si="56"/>
        <v>#REF!</v>
      </c>
      <c r="J1162" s="117"/>
    </row>
    <row r="1163" spans="1:10" hidden="1" x14ac:dyDescent="0.25">
      <c r="A1163" s="114" t="s">
        <v>1205</v>
      </c>
      <c r="B1163" s="115" t="s">
        <v>2730</v>
      </c>
      <c r="C1163" s="116" t="s">
        <v>70</v>
      </c>
      <c r="D1163" s="116">
        <v>0</v>
      </c>
      <c r="E1163" s="136">
        <f ca="1">OFFSET(INDEX(Composições!A:J,MATCH(Orçamentária!A1163,Composições!A:A,0),8),2,0)</f>
        <v>12.980793350000001</v>
      </c>
      <c r="F1163" s="137">
        <f t="shared" ca="1" si="54"/>
        <v>0</v>
      </c>
      <c r="G1163" s="138" t="e">
        <f>IF(A1163&lt;&gt;"",IF(AND(#REF!="Padrão",$H$4=#REF!),BDI!$B$17,IF(AND(#REF!="Padrão",$H$4=#REF!),BDI!#REF!,IF(AND(#REF!="Diferenciado",$H$4=#REF!),BDI!$E$17,IF(AND(#REF!="Diferenciado",$H$4=#REF!),BDI!#REF!,IF(#REF!="ZERO",0))))),"")</f>
        <v>#REF!</v>
      </c>
      <c r="H1163" s="139" t="e">
        <f t="shared" ca="1" si="55"/>
        <v>#REF!</v>
      </c>
      <c r="I1163" s="137" t="e">
        <f t="shared" ca="1" si="56"/>
        <v>#REF!</v>
      </c>
      <c r="J1163" s="117"/>
    </row>
    <row r="1164" spans="1:10" hidden="1" x14ac:dyDescent="0.25">
      <c r="A1164" s="114" t="s">
        <v>1207</v>
      </c>
      <c r="B1164" s="115" t="s">
        <v>2731</v>
      </c>
      <c r="C1164" s="116" t="s">
        <v>70</v>
      </c>
      <c r="D1164" s="116">
        <v>0</v>
      </c>
      <c r="E1164" s="136">
        <f ca="1">OFFSET(INDEX(Composições!A:J,MATCH(Orçamentária!A1164,Composições!A:A,0),8),2,0)</f>
        <v>7.4582600000000001</v>
      </c>
      <c r="F1164" s="137">
        <f t="shared" ca="1" si="54"/>
        <v>0</v>
      </c>
      <c r="G1164" s="138" t="e">
        <f>IF(A1164&lt;&gt;"",IF(AND(#REF!="Padrão",$H$4=#REF!),BDI!$B$17,IF(AND(#REF!="Padrão",$H$4=#REF!),BDI!#REF!,IF(AND(#REF!="Diferenciado",$H$4=#REF!),BDI!$E$17,IF(AND(#REF!="Diferenciado",$H$4=#REF!),BDI!#REF!,IF(#REF!="ZERO",0))))),"")</f>
        <v>#REF!</v>
      </c>
      <c r="H1164" s="139" t="e">
        <f t="shared" ca="1" si="55"/>
        <v>#REF!</v>
      </c>
      <c r="I1164" s="137" t="e">
        <f t="shared" ca="1" si="56"/>
        <v>#REF!</v>
      </c>
      <c r="J1164" s="117"/>
    </row>
    <row r="1165" spans="1:10" hidden="1" x14ac:dyDescent="0.25">
      <c r="A1165" s="114" t="s">
        <v>1209</v>
      </c>
      <c r="B1165" s="115" t="s">
        <v>2732</v>
      </c>
      <c r="C1165" s="116" t="s">
        <v>70</v>
      </c>
      <c r="D1165" s="116">
        <v>0</v>
      </c>
      <c r="E1165" s="136">
        <f ca="1">OFFSET(INDEX(Composições!A:J,MATCH(Orçamentária!A1165,Composições!A:A,0),8),2,0)</f>
        <v>184.40962145000003</v>
      </c>
      <c r="F1165" s="137">
        <f t="shared" ca="1" si="54"/>
        <v>0</v>
      </c>
      <c r="G1165" s="138" t="e">
        <f>IF(A1165&lt;&gt;"",IF(AND(#REF!="Padrão",$H$4=#REF!),BDI!$B$17,IF(AND(#REF!="Padrão",$H$4=#REF!),BDI!#REF!,IF(AND(#REF!="Diferenciado",$H$4=#REF!),BDI!$E$17,IF(AND(#REF!="Diferenciado",$H$4=#REF!),BDI!#REF!,IF(#REF!="ZERO",0))))),"")</f>
        <v>#REF!</v>
      </c>
      <c r="H1165" s="139" t="e">
        <f t="shared" ca="1" si="55"/>
        <v>#REF!</v>
      </c>
      <c r="I1165" s="137" t="e">
        <f t="shared" ca="1" si="56"/>
        <v>#REF!</v>
      </c>
      <c r="J1165" s="117"/>
    </row>
    <row r="1166" spans="1:10" hidden="1" x14ac:dyDescent="0.25">
      <c r="A1166" s="114" t="s">
        <v>1213</v>
      </c>
      <c r="B1166" s="115" t="s">
        <v>2733</v>
      </c>
      <c r="C1166" s="116" t="s">
        <v>70</v>
      </c>
      <c r="D1166" s="116">
        <v>0</v>
      </c>
      <c r="E1166" s="136">
        <f ca="1">OFFSET(INDEX(Composições!A:J,MATCH(Orçamentária!A1166,Composições!A:A,0),8),2,0)</f>
        <v>212.87353189999999</v>
      </c>
      <c r="F1166" s="137">
        <f t="shared" ca="1" si="54"/>
        <v>0</v>
      </c>
      <c r="G1166" s="138" t="e">
        <f>IF(A1166&lt;&gt;"",IF(AND(#REF!="Padrão",$H$4=#REF!),BDI!$B$17,IF(AND(#REF!="Padrão",$H$4=#REF!),BDI!#REF!,IF(AND(#REF!="Diferenciado",$H$4=#REF!),BDI!$E$17,IF(AND(#REF!="Diferenciado",$H$4=#REF!),BDI!#REF!,IF(#REF!="ZERO",0))))),"")</f>
        <v>#REF!</v>
      </c>
      <c r="H1166" s="139" t="e">
        <f t="shared" ca="1" si="55"/>
        <v>#REF!</v>
      </c>
      <c r="I1166" s="137" t="e">
        <f t="shared" ca="1" si="56"/>
        <v>#REF!</v>
      </c>
      <c r="J1166" s="117"/>
    </row>
    <row r="1167" spans="1:10" hidden="1" x14ac:dyDescent="0.25">
      <c r="A1167" s="114" t="s">
        <v>2734</v>
      </c>
      <c r="B1167" s="115" t="s">
        <v>2735</v>
      </c>
      <c r="C1167" s="116" t="s">
        <v>28</v>
      </c>
      <c r="D1167" s="116">
        <v>0</v>
      </c>
      <c r="E1167" s="136" t="s">
        <v>416</v>
      </c>
      <c r="F1167" s="137" t="str">
        <f t="shared" si="54"/>
        <v/>
      </c>
      <c r="G1167" s="138" t="e">
        <f>IF(A1167&lt;&gt;"",IF(AND(#REF!="Padrão",$H$4=#REF!),BDI!$B$17,IF(AND(#REF!="Padrão",$H$4=#REF!),BDI!#REF!,IF(AND(#REF!="Diferenciado",$H$4=#REF!),BDI!$E$17,IF(AND(#REF!="Diferenciado",$H$4=#REF!),BDI!#REF!,IF(#REF!="ZERO",0))))),"")</f>
        <v>#REF!</v>
      </c>
      <c r="H1167" s="139" t="str">
        <f t="shared" si="55"/>
        <v/>
      </c>
      <c r="I1167" s="137" t="str">
        <f t="shared" si="56"/>
        <v/>
      </c>
      <c r="J1167" s="117"/>
    </row>
    <row r="1168" spans="1:10" hidden="1" x14ac:dyDescent="0.25">
      <c r="A1168" s="114" t="s">
        <v>1215</v>
      </c>
      <c r="B1168" s="115" t="s">
        <v>2736</v>
      </c>
      <c r="C1168" s="116" t="s">
        <v>69</v>
      </c>
      <c r="D1168" s="116">
        <v>0</v>
      </c>
      <c r="E1168" s="136">
        <f ca="1">OFFSET(INDEX(Composições!A:J,MATCH(Orçamentária!A1168,Composições!A:A,0),8),2,0)</f>
        <v>129.71749551400001</v>
      </c>
      <c r="F1168" s="137">
        <f t="shared" ca="1" si="54"/>
        <v>0</v>
      </c>
      <c r="G1168" s="138" t="e">
        <f>IF(A1168&lt;&gt;"",IF(AND(#REF!="Padrão",$H$4=#REF!),BDI!$B$17,IF(AND(#REF!="Padrão",$H$4=#REF!),BDI!#REF!,IF(AND(#REF!="Diferenciado",$H$4=#REF!),BDI!$E$17,IF(AND(#REF!="Diferenciado",$H$4=#REF!),BDI!#REF!,IF(#REF!="ZERO",0))))),"")</f>
        <v>#REF!</v>
      </c>
      <c r="H1168" s="139" t="e">
        <f t="shared" ca="1" si="55"/>
        <v>#REF!</v>
      </c>
      <c r="I1168" s="137" t="e">
        <f t="shared" ca="1" si="56"/>
        <v>#REF!</v>
      </c>
      <c r="J1168" s="117"/>
    </row>
    <row r="1169" spans="1:10" hidden="1" x14ac:dyDescent="0.25">
      <c r="A1169" s="114" t="s">
        <v>1220</v>
      </c>
      <c r="B1169" s="115" t="s">
        <v>2737</v>
      </c>
      <c r="C1169" s="116" t="s">
        <v>70</v>
      </c>
      <c r="D1169" s="116">
        <v>0</v>
      </c>
      <c r="E1169" s="136">
        <f ca="1">OFFSET(INDEX(Composições!A:J,MATCH(Orçamentária!A1169,Composições!A:A,0),8),2,0)</f>
        <v>15.8343948</v>
      </c>
      <c r="F1169" s="137">
        <f t="shared" ca="1" si="54"/>
        <v>0</v>
      </c>
      <c r="G1169" s="138" t="e">
        <f>IF(A1169&lt;&gt;"",IF(AND(#REF!="Padrão",$H$4=#REF!),BDI!$B$17,IF(AND(#REF!="Padrão",$H$4=#REF!),BDI!#REF!,IF(AND(#REF!="Diferenciado",$H$4=#REF!),BDI!$E$17,IF(AND(#REF!="Diferenciado",$H$4=#REF!),BDI!#REF!,IF(#REF!="ZERO",0))))),"")</f>
        <v>#REF!</v>
      </c>
      <c r="H1169" s="139" t="e">
        <f t="shared" ca="1" si="55"/>
        <v>#REF!</v>
      </c>
      <c r="I1169" s="137" t="e">
        <f t="shared" ca="1" si="56"/>
        <v>#REF!</v>
      </c>
      <c r="J1169" s="117"/>
    </row>
    <row r="1170" spans="1:10" hidden="1" x14ac:dyDescent="0.25">
      <c r="A1170" s="114" t="s">
        <v>1221</v>
      </c>
      <c r="B1170" s="115" t="s">
        <v>2738</v>
      </c>
      <c r="C1170" s="116" t="s">
        <v>70</v>
      </c>
      <c r="D1170" s="116">
        <v>0</v>
      </c>
      <c r="E1170" s="136">
        <f ca="1">OFFSET(INDEX(Composições!A:J,MATCH(Orçamentária!A1170,Composições!A:A,0),8),2,0)</f>
        <v>55.318669100000001</v>
      </c>
      <c r="F1170" s="137">
        <f t="shared" ca="1" si="54"/>
        <v>0</v>
      </c>
      <c r="G1170" s="138" t="e">
        <f>IF(A1170&lt;&gt;"",IF(AND(#REF!="Padrão",$H$4=#REF!),BDI!$B$17,IF(AND(#REF!="Padrão",$H$4=#REF!),BDI!#REF!,IF(AND(#REF!="Diferenciado",$H$4=#REF!),BDI!$E$17,IF(AND(#REF!="Diferenciado",$H$4=#REF!),BDI!#REF!,IF(#REF!="ZERO",0))))),"")</f>
        <v>#REF!</v>
      </c>
      <c r="H1170" s="139" t="e">
        <f t="shared" ca="1" si="55"/>
        <v>#REF!</v>
      </c>
      <c r="I1170" s="137" t="e">
        <f t="shared" ca="1" si="56"/>
        <v>#REF!</v>
      </c>
      <c r="J1170" s="117"/>
    </row>
    <row r="1171" spans="1:10" hidden="1" x14ac:dyDescent="0.25">
      <c r="A1171" s="114" t="s">
        <v>1224</v>
      </c>
      <c r="B1171" s="115" t="s">
        <v>2739</v>
      </c>
      <c r="C1171" s="116" t="s">
        <v>70</v>
      </c>
      <c r="D1171" s="116">
        <v>0</v>
      </c>
      <c r="E1171" s="136">
        <f ca="1">OFFSET(INDEX(Composições!A:J,MATCH(Orçamentária!A1171,Composições!A:A,0),8),2,0)</f>
        <v>8.0370000000000008</v>
      </c>
      <c r="F1171" s="137">
        <f t="shared" ca="1" si="54"/>
        <v>0</v>
      </c>
      <c r="G1171" s="138" t="e">
        <f>IF(A1171&lt;&gt;"",IF(AND(#REF!="Padrão",$H$4=#REF!),BDI!$B$17,IF(AND(#REF!="Padrão",$H$4=#REF!),BDI!#REF!,IF(AND(#REF!="Diferenciado",$H$4=#REF!),BDI!$E$17,IF(AND(#REF!="Diferenciado",$H$4=#REF!),BDI!#REF!,IF(#REF!="ZERO",0))))),"")</f>
        <v>#REF!</v>
      </c>
      <c r="H1171" s="139" t="e">
        <f t="shared" ca="1" si="55"/>
        <v>#REF!</v>
      </c>
      <c r="I1171" s="137" t="e">
        <f t="shared" ca="1" si="56"/>
        <v>#REF!</v>
      </c>
      <c r="J1171" s="117"/>
    </row>
    <row r="1172" spans="1:10" hidden="1" x14ac:dyDescent="0.25">
      <c r="A1172" s="114" t="s">
        <v>1226</v>
      </c>
      <c r="B1172" s="115" t="s">
        <v>2740</v>
      </c>
      <c r="C1172" s="116" t="s">
        <v>70</v>
      </c>
      <c r="D1172" s="116">
        <v>0</v>
      </c>
      <c r="E1172" s="136">
        <f ca="1">OFFSET(INDEX(Composições!A:J,MATCH(Orçamentária!A1172,Composições!A:A,0),8),2,0)</f>
        <v>8.0370000000000008</v>
      </c>
      <c r="F1172" s="137">
        <f t="shared" ca="1" si="54"/>
        <v>0</v>
      </c>
      <c r="G1172" s="138" t="e">
        <f>IF(A1172&lt;&gt;"",IF(AND(#REF!="Padrão",$H$4=#REF!),BDI!$B$17,IF(AND(#REF!="Padrão",$H$4=#REF!),BDI!#REF!,IF(AND(#REF!="Diferenciado",$H$4=#REF!),BDI!$E$17,IF(AND(#REF!="Diferenciado",$H$4=#REF!),BDI!#REF!,IF(#REF!="ZERO",0))))),"")</f>
        <v>#REF!</v>
      </c>
      <c r="H1172" s="139" t="e">
        <f t="shared" ca="1" si="55"/>
        <v>#REF!</v>
      </c>
      <c r="I1172" s="137" t="e">
        <f t="shared" ca="1" si="56"/>
        <v>#REF!</v>
      </c>
      <c r="J1172" s="117"/>
    </row>
    <row r="1173" spans="1:10" hidden="1" x14ac:dyDescent="0.25">
      <c r="A1173" s="114" t="s">
        <v>1228</v>
      </c>
      <c r="B1173" s="115" t="s">
        <v>2741</v>
      </c>
      <c r="C1173" s="116" t="s">
        <v>80</v>
      </c>
      <c r="D1173" s="116">
        <v>0</v>
      </c>
      <c r="E1173" s="136">
        <f ca="1">OFFSET(INDEX(Composições!A:J,MATCH(Orçamentária!A1173,Composições!A:A,0),8),2,0)</f>
        <v>1308.2471279924</v>
      </c>
      <c r="F1173" s="137">
        <f t="shared" ca="1" si="54"/>
        <v>0</v>
      </c>
      <c r="G1173" s="138" t="e">
        <f>IF(A1173&lt;&gt;"",IF(AND(#REF!="Padrão",$H$4=#REF!),BDI!$B$17,IF(AND(#REF!="Padrão",$H$4=#REF!),BDI!#REF!,IF(AND(#REF!="Diferenciado",$H$4=#REF!),BDI!$E$17,IF(AND(#REF!="Diferenciado",$H$4=#REF!),BDI!#REF!,IF(#REF!="ZERO",0))))),"")</f>
        <v>#REF!</v>
      </c>
      <c r="H1173" s="139" t="e">
        <f t="shared" ca="1" si="55"/>
        <v>#REF!</v>
      </c>
      <c r="I1173" s="137" t="e">
        <f t="shared" ca="1" si="56"/>
        <v>#REF!</v>
      </c>
      <c r="J1173" s="117"/>
    </row>
    <row r="1174" spans="1:10" hidden="1" x14ac:dyDescent="0.25">
      <c r="A1174" s="114" t="s">
        <v>1231</v>
      </c>
      <c r="B1174" s="115" t="s">
        <v>2742</v>
      </c>
      <c r="C1174" s="116" t="s">
        <v>70</v>
      </c>
      <c r="D1174" s="116">
        <v>0</v>
      </c>
      <c r="E1174" s="136">
        <f ca="1">OFFSET(INDEX(Composições!A:J,MATCH(Orçamentária!A1174,Composições!A:A,0),8),2,0)</f>
        <v>8.2891300000000001</v>
      </c>
      <c r="F1174" s="137">
        <f t="shared" ca="1" si="54"/>
        <v>0</v>
      </c>
      <c r="G1174" s="138" t="e">
        <f>IF(A1174&lt;&gt;"",IF(AND(#REF!="Padrão",$H$4=#REF!),BDI!$B$17,IF(AND(#REF!="Padrão",$H$4=#REF!),BDI!#REF!,IF(AND(#REF!="Diferenciado",$H$4=#REF!),BDI!$E$17,IF(AND(#REF!="Diferenciado",$H$4=#REF!),BDI!#REF!,IF(#REF!="ZERO",0))))),"")</f>
        <v>#REF!</v>
      </c>
      <c r="H1174" s="139" t="e">
        <f t="shared" ca="1" si="55"/>
        <v>#REF!</v>
      </c>
      <c r="I1174" s="137" t="e">
        <f t="shared" ca="1" si="56"/>
        <v>#REF!</v>
      </c>
      <c r="J1174" s="117"/>
    </row>
    <row r="1175" spans="1:10" hidden="1" x14ac:dyDescent="0.25">
      <c r="A1175" s="114" t="s">
        <v>1236</v>
      </c>
      <c r="B1175" s="115" t="s">
        <v>2743</v>
      </c>
      <c r="C1175" s="116" t="s">
        <v>70</v>
      </c>
      <c r="D1175" s="116">
        <v>0</v>
      </c>
      <c r="E1175" s="136">
        <f ca="1">OFFSET(INDEX(Composições!A:J,MATCH(Orçamentária!A1175,Composições!A:A,0),8),2,0)</f>
        <v>152.15492599999999</v>
      </c>
      <c r="F1175" s="137">
        <f t="shared" ca="1" si="54"/>
        <v>0</v>
      </c>
      <c r="G1175" s="138" t="e">
        <f>IF(A1175&lt;&gt;"",IF(AND(#REF!="Padrão",$H$4=#REF!),BDI!$B$17,IF(AND(#REF!="Padrão",$H$4=#REF!),BDI!#REF!,IF(AND(#REF!="Diferenciado",$H$4=#REF!),BDI!$E$17,IF(AND(#REF!="Diferenciado",$H$4=#REF!),BDI!#REF!,IF(#REF!="ZERO",0))))),"")</f>
        <v>#REF!</v>
      </c>
      <c r="H1175" s="139" t="e">
        <f t="shared" ca="1" si="55"/>
        <v>#REF!</v>
      </c>
      <c r="I1175" s="137" t="e">
        <f t="shared" ca="1" si="56"/>
        <v>#REF!</v>
      </c>
      <c r="J1175" s="117"/>
    </row>
    <row r="1176" spans="1:10" hidden="1" x14ac:dyDescent="0.25">
      <c r="A1176" s="114" t="s">
        <v>1238</v>
      </c>
      <c r="B1176" s="115" t="s">
        <v>2744</v>
      </c>
      <c r="C1176" s="116" t="s">
        <v>70</v>
      </c>
      <c r="D1176" s="116">
        <v>0</v>
      </c>
      <c r="E1176" s="136">
        <f ca="1">OFFSET(INDEX(Composições!A:J,MATCH(Orçamentária!A1176,Composições!A:A,0),8),2,0)</f>
        <v>105.91588</v>
      </c>
      <c r="F1176" s="137">
        <f t="shared" ca="1" si="54"/>
        <v>0</v>
      </c>
      <c r="G1176" s="138" t="e">
        <f>IF(A1176&lt;&gt;"",IF(AND(#REF!="Padrão",$H$4=#REF!),BDI!$B$17,IF(AND(#REF!="Padrão",$H$4=#REF!),BDI!#REF!,IF(AND(#REF!="Diferenciado",$H$4=#REF!),BDI!$E$17,IF(AND(#REF!="Diferenciado",$H$4=#REF!),BDI!#REF!,IF(#REF!="ZERO",0))))),"")</f>
        <v>#REF!</v>
      </c>
      <c r="H1176" s="139" t="e">
        <f t="shared" ca="1" si="55"/>
        <v>#REF!</v>
      </c>
      <c r="I1176" s="137" t="e">
        <f t="shared" ca="1" si="56"/>
        <v>#REF!</v>
      </c>
      <c r="J1176" s="117"/>
    </row>
    <row r="1177" spans="1:10" hidden="1" x14ac:dyDescent="0.25">
      <c r="A1177" s="114" t="s">
        <v>1241</v>
      </c>
      <c r="B1177" s="115" t="s">
        <v>2745</v>
      </c>
      <c r="C1177" s="116" t="s">
        <v>70</v>
      </c>
      <c r="D1177" s="116">
        <v>0</v>
      </c>
      <c r="E1177" s="136">
        <f ca="1">OFFSET(INDEX(Composições!A:J,MATCH(Orçamentária!A1177,Composições!A:A,0),8),2,0)</f>
        <v>43.158879999999996</v>
      </c>
      <c r="F1177" s="137">
        <f t="shared" ca="1" si="54"/>
        <v>0</v>
      </c>
      <c r="G1177" s="138" t="e">
        <f>IF(A1177&lt;&gt;"",IF(AND(#REF!="Padrão",$H$4=#REF!),BDI!$B$17,IF(AND(#REF!="Padrão",$H$4=#REF!),BDI!#REF!,IF(AND(#REF!="Diferenciado",$H$4=#REF!),BDI!$E$17,IF(AND(#REF!="Diferenciado",$H$4=#REF!),BDI!#REF!,IF(#REF!="ZERO",0))))),"")</f>
        <v>#REF!</v>
      </c>
      <c r="H1177" s="139" t="e">
        <f t="shared" ca="1" si="55"/>
        <v>#REF!</v>
      </c>
      <c r="I1177" s="137" t="e">
        <f t="shared" ca="1" si="56"/>
        <v>#REF!</v>
      </c>
      <c r="J1177" s="117"/>
    </row>
    <row r="1178" spans="1:10" hidden="1" x14ac:dyDescent="0.25">
      <c r="A1178" s="114" t="s">
        <v>1243</v>
      </c>
      <c r="B1178" s="115" t="s">
        <v>2746</v>
      </c>
      <c r="C1178" s="116" t="s">
        <v>70</v>
      </c>
      <c r="D1178" s="116">
        <v>0</v>
      </c>
      <c r="E1178" s="136">
        <f ca="1">OFFSET(INDEX(Composições!A:J,MATCH(Orçamentária!A1178,Composições!A:A,0),8),2,0)</f>
        <v>24.239249999999998</v>
      </c>
      <c r="F1178" s="137">
        <f t="shared" ca="1" si="54"/>
        <v>0</v>
      </c>
      <c r="G1178" s="138" t="e">
        <f>IF(A1178&lt;&gt;"",IF(AND(#REF!="Padrão",$H$4=#REF!),BDI!$B$17,IF(AND(#REF!="Padrão",$H$4=#REF!),BDI!#REF!,IF(AND(#REF!="Diferenciado",$H$4=#REF!),BDI!$E$17,IF(AND(#REF!="Diferenciado",$H$4=#REF!),BDI!#REF!,IF(#REF!="ZERO",0))))),"")</f>
        <v>#REF!</v>
      </c>
      <c r="H1178" s="139" t="e">
        <f t="shared" ca="1" si="55"/>
        <v>#REF!</v>
      </c>
      <c r="I1178" s="137" t="e">
        <f t="shared" ca="1" si="56"/>
        <v>#REF!</v>
      </c>
      <c r="J1178" s="117"/>
    </row>
    <row r="1179" spans="1:10" hidden="1" x14ac:dyDescent="0.25">
      <c r="A1179" s="114" t="s">
        <v>1249</v>
      </c>
      <c r="B1179" s="115" t="s">
        <v>2747</v>
      </c>
      <c r="C1179" s="116" t="s">
        <v>70</v>
      </c>
      <c r="D1179" s="116">
        <v>0</v>
      </c>
      <c r="E1179" s="136">
        <f ca="1">OFFSET(INDEX(Composições!A:J,MATCH(Orçamentária!A1179,Composições!A:A,0),8),2,0)</f>
        <v>50.067374999999998</v>
      </c>
      <c r="F1179" s="137">
        <f t="shared" ca="1" si="54"/>
        <v>0</v>
      </c>
      <c r="G1179" s="138" t="e">
        <f>IF(A1179&lt;&gt;"",IF(AND(#REF!="Padrão",$H$4=#REF!),BDI!$B$17,IF(AND(#REF!="Padrão",$H$4=#REF!),BDI!#REF!,IF(AND(#REF!="Diferenciado",$H$4=#REF!),BDI!$E$17,IF(AND(#REF!="Diferenciado",$H$4=#REF!),BDI!#REF!,IF(#REF!="ZERO",0))))),"")</f>
        <v>#REF!</v>
      </c>
      <c r="H1179" s="139" t="e">
        <f t="shared" ca="1" si="55"/>
        <v>#REF!</v>
      </c>
      <c r="I1179" s="137" t="e">
        <f t="shared" ca="1" si="56"/>
        <v>#REF!</v>
      </c>
      <c r="J1179" s="117"/>
    </row>
    <row r="1180" spans="1:10" hidden="1" x14ac:dyDescent="0.25">
      <c r="A1180" s="114" t="s">
        <v>1251</v>
      </c>
      <c r="B1180" s="115" t="s">
        <v>2748</v>
      </c>
      <c r="C1180" s="116" t="s">
        <v>70</v>
      </c>
      <c r="D1180" s="116">
        <v>0</v>
      </c>
      <c r="E1180" s="136">
        <f ca="1">OFFSET(INDEX(Composições!A:J,MATCH(Orçamentária!A1180,Composições!A:A,0),8),2,0)</f>
        <v>5.4321000000000002</v>
      </c>
      <c r="F1180" s="137">
        <f t="shared" ca="1" si="54"/>
        <v>0</v>
      </c>
      <c r="G1180" s="138" t="e">
        <f>IF(A1180&lt;&gt;"",IF(AND(#REF!="Padrão",$H$4=#REF!),BDI!$B$17,IF(AND(#REF!="Padrão",$H$4=#REF!),BDI!#REF!,IF(AND(#REF!="Diferenciado",$H$4=#REF!),BDI!$E$17,IF(AND(#REF!="Diferenciado",$H$4=#REF!),BDI!#REF!,IF(#REF!="ZERO",0))))),"")</f>
        <v>#REF!</v>
      </c>
      <c r="H1180" s="139" t="e">
        <f t="shared" ca="1" si="55"/>
        <v>#REF!</v>
      </c>
      <c r="I1180" s="137" t="e">
        <f t="shared" ca="1" si="56"/>
        <v>#REF!</v>
      </c>
      <c r="J1180" s="117"/>
    </row>
    <row r="1181" spans="1:10" hidden="1" x14ac:dyDescent="0.25">
      <c r="A1181" s="114" t="s">
        <v>1255</v>
      </c>
      <c r="B1181" s="115" t="s">
        <v>2749</v>
      </c>
      <c r="C1181" s="116" t="s">
        <v>70</v>
      </c>
      <c r="D1181" s="116">
        <v>0</v>
      </c>
      <c r="E1181" s="136">
        <f ca="1">OFFSET(INDEX(Composições!A:J,MATCH(Orçamentária!A1181,Composições!A:A,0),8),2,0)</f>
        <v>172.39086649999999</v>
      </c>
      <c r="F1181" s="137">
        <f t="shared" ca="1" si="54"/>
        <v>0</v>
      </c>
      <c r="G1181" s="138" t="e">
        <f>IF(A1181&lt;&gt;"",IF(AND(#REF!="Padrão",$H$4=#REF!),BDI!$B$17,IF(AND(#REF!="Padrão",$H$4=#REF!),BDI!#REF!,IF(AND(#REF!="Diferenciado",$H$4=#REF!),BDI!$E$17,IF(AND(#REF!="Diferenciado",$H$4=#REF!),BDI!#REF!,IF(#REF!="ZERO",0))))),"")</f>
        <v>#REF!</v>
      </c>
      <c r="H1181" s="139" t="e">
        <f t="shared" ca="1" si="55"/>
        <v>#REF!</v>
      </c>
      <c r="I1181" s="137" t="e">
        <f t="shared" ca="1" si="56"/>
        <v>#REF!</v>
      </c>
      <c r="J1181" s="117"/>
    </row>
    <row r="1182" spans="1:10" hidden="1" x14ac:dyDescent="0.25">
      <c r="A1182" s="114" t="s">
        <v>1257</v>
      </c>
      <c r="B1182" s="115" t="s">
        <v>2750</v>
      </c>
      <c r="C1182" s="116" t="s">
        <v>70</v>
      </c>
      <c r="D1182" s="116">
        <v>0</v>
      </c>
      <c r="E1182" s="136">
        <f ca="1">OFFSET(INDEX(Composições!A:J,MATCH(Orçamentária!A1182,Composições!A:A,0),8),2,0)</f>
        <v>174.4443105</v>
      </c>
      <c r="F1182" s="137">
        <f t="shared" ca="1" si="54"/>
        <v>0</v>
      </c>
      <c r="G1182" s="138" t="e">
        <f>IF(A1182&lt;&gt;"",IF(AND(#REF!="Padrão",$H$4=#REF!),BDI!$B$17,IF(AND(#REF!="Padrão",$H$4=#REF!),BDI!#REF!,IF(AND(#REF!="Diferenciado",$H$4=#REF!),BDI!$E$17,IF(AND(#REF!="Diferenciado",$H$4=#REF!),BDI!#REF!,IF(#REF!="ZERO",0))))),"")</f>
        <v>#REF!</v>
      </c>
      <c r="H1182" s="139" t="e">
        <f t="shared" ca="1" si="55"/>
        <v>#REF!</v>
      </c>
      <c r="I1182" s="137" t="e">
        <f t="shared" ca="1" si="56"/>
        <v>#REF!</v>
      </c>
      <c r="J1182" s="117"/>
    </row>
    <row r="1183" spans="1:10" hidden="1" x14ac:dyDescent="0.25">
      <c r="A1183" s="114" t="s">
        <v>2751</v>
      </c>
      <c r="B1183" s="115" t="s">
        <v>2752</v>
      </c>
      <c r="C1183" s="116" t="s">
        <v>28</v>
      </c>
      <c r="D1183" s="116">
        <v>0</v>
      </c>
      <c r="E1183" s="136">
        <f ca="1">OFFSET(INDEX(Composições!A:J,MATCH(Orçamentária!A1183,Composições!A:A,0),8),2,0)</f>
        <v>0</v>
      </c>
      <c r="F1183" s="137">
        <f t="shared" ca="1" si="54"/>
        <v>0</v>
      </c>
      <c r="G1183" s="138" t="e">
        <f>IF(A1183&lt;&gt;"",IF(AND(#REF!="Padrão",$H$4=#REF!),BDI!$B$17,IF(AND(#REF!="Padrão",$H$4=#REF!),BDI!#REF!,IF(AND(#REF!="Diferenciado",$H$4=#REF!),BDI!$E$17,IF(AND(#REF!="Diferenciado",$H$4=#REF!),BDI!#REF!,IF(#REF!="ZERO",0))))),"")</f>
        <v>#REF!</v>
      </c>
      <c r="H1183" s="139" t="e">
        <f t="shared" ca="1" si="55"/>
        <v>#REF!</v>
      </c>
      <c r="I1183" s="137" t="e">
        <f t="shared" ca="1" si="56"/>
        <v>#REF!</v>
      </c>
      <c r="J1183" s="117"/>
    </row>
    <row r="1184" spans="1:10" hidden="1" x14ac:dyDescent="0.25">
      <c r="A1184" s="114" t="s">
        <v>1258</v>
      </c>
      <c r="B1184" s="115" t="s">
        <v>2753</v>
      </c>
      <c r="C1184" s="116" t="s">
        <v>28</v>
      </c>
      <c r="D1184" s="116">
        <v>0</v>
      </c>
      <c r="E1184" s="136">
        <f ca="1">OFFSET(INDEX(Composições!A:J,MATCH(Orçamentária!A1184,Composições!A:A,0),8),2,0)</f>
        <v>8.2516999999999996</v>
      </c>
      <c r="F1184" s="137">
        <f t="shared" ca="1" si="54"/>
        <v>0</v>
      </c>
      <c r="G1184" s="138" t="e">
        <f>IF(A1184&lt;&gt;"",IF(AND(#REF!="Padrão",$H$4=#REF!),BDI!$B$17,IF(AND(#REF!="Padrão",$H$4=#REF!),BDI!#REF!,IF(AND(#REF!="Diferenciado",$H$4=#REF!),BDI!$E$17,IF(AND(#REF!="Diferenciado",$H$4=#REF!),BDI!#REF!,IF(#REF!="ZERO",0))))),"")</f>
        <v>#REF!</v>
      </c>
      <c r="H1184" s="139" t="e">
        <f t="shared" ca="1" si="55"/>
        <v>#REF!</v>
      </c>
      <c r="I1184" s="137" t="e">
        <f t="shared" ca="1" si="56"/>
        <v>#REF!</v>
      </c>
      <c r="J1184" s="117"/>
    </row>
    <row r="1185" spans="1:10" hidden="1" x14ac:dyDescent="0.25">
      <c r="A1185" s="114" t="s">
        <v>1261</v>
      </c>
      <c r="B1185" s="115" t="s">
        <v>2754</v>
      </c>
      <c r="C1185" s="116" t="s">
        <v>80</v>
      </c>
      <c r="D1185" s="116">
        <v>0</v>
      </c>
      <c r="E1185" s="136">
        <f ca="1">OFFSET(INDEX(Composições!A:J,MATCH(Orçamentária!A1185,Composições!A:A,0),8),2,0)</f>
        <v>238.46265779999999</v>
      </c>
      <c r="F1185" s="137">
        <f t="shared" ca="1" si="54"/>
        <v>0</v>
      </c>
      <c r="G1185" s="138" t="e">
        <f>IF(A1185&lt;&gt;"",IF(AND(#REF!="Padrão",$H$4=#REF!),BDI!$B$17,IF(AND(#REF!="Padrão",$H$4=#REF!),BDI!#REF!,IF(AND(#REF!="Diferenciado",$H$4=#REF!),BDI!$E$17,IF(AND(#REF!="Diferenciado",$H$4=#REF!),BDI!#REF!,IF(#REF!="ZERO",0))))),"")</f>
        <v>#REF!</v>
      </c>
      <c r="H1185" s="139" t="e">
        <f t="shared" ca="1" si="55"/>
        <v>#REF!</v>
      </c>
      <c r="I1185" s="137" t="e">
        <f t="shared" ca="1" si="56"/>
        <v>#REF!</v>
      </c>
      <c r="J1185" s="117"/>
    </row>
    <row r="1186" spans="1:10" hidden="1" x14ac:dyDescent="0.25">
      <c r="A1186" s="114" t="s">
        <v>2755</v>
      </c>
      <c r="B1186" s="115" t="s">
        <v>2756</v>
      </c>
      <c r="C1186" s="116" t="s">
        <v>16</v>
      </c>
      <c r="D1186" s="116">
        <v>0</v>
      </c>
      <c r="E1186" s="136" t="s">
        <v>416</v>
      </c>
      <c r="F1186" s="137" t="str">
        <f t="shared" si="54"/>
        <v/>
      </c>
      <c r="G1186" s="138" t="e">
        <f>IF(A1186&lt;&gt;"",IF(AND(#REF!="Padrão",$H$4=#REF!),BDI!$B$17,IF(AND(#REF!="Padrão",$H$4=#REF!),BDI!#REF!,IF(AND(#REF!="Diferenciado",$H$4=#REF!),BDI!$E$17,IF(AND(#REF!="Diferenciado",$H$4=#REF!),BDI!#REF!,IF(#REF!="ZERO",0))))),"")</f>
        <v>#REF!</v>
      </c>
      <c r="H1186" s="139" t="str">
        <f t="shared" si="55"/>
        <v/>
      </c>
      <c r="I1186" s="137" t="str">
        <f t="shared" si="56"/>
        <v/>
      </c>
      <c r="J1186" s="117"/>
    </row>
    <row r="1187" spans="1:10" hidden="1" x14ac:dyDescent="0.25">
      <c r="A1187" s="114" t="s">
        <v>2757</v>
      </c>
      <c r="B1187" s="115" t="s">
        <v>2758</v>
      </c>
      <c r="C1187" s="116" t="s">
        <v>16</v>
      </c>
      <c r="D1187" s="116">
        <v>0</v>
      </c>
      <c r="E1187" s="136" t="s">
        <v>416</v>
      </c>
      <c r="F1187" s="137" t="str">
        <f t="shared" si="54"/>
        <v/>
      </c>
      <c r="G1187" s="138" t="e">
        <f>IF(A1187&lt;&gt;"",IF(AND(#REF!="Padrão",$H$4=#REF!),BDI!$B$17,IF(AND(#REF!="Padrão",$H$4=#REF!),BDI!#REF!,IF(AND(#REF!="Diferenciado",$H$4=#REF!),BDI!$E$17,IF(AND(#REF!="Diferenciado",$H$4=#REF!),BDI!#REF!,IF(#REF!="ZERO",0))))),"")</f>
        <v>#REF!</v>
      </c>
      <c r="H1187" s="139" t="str">
        <f t="shared" si="55"/>
        <v/>
      </c>
      <c r="I1187" s="137" t="str">
        <f t="shared" si="56"/>
        <v/>
      </c>
      <c r="J1187" s="117"/>
    </row>
    <row r="1188" spans="1:10" hidden="1" x14ac:dyDescent="0.25">
      <c r="A1188" s="114" t="s">
        <v>2759</v>
      </c>
      <c r="B1188" s="115" t="s">
        <v>2760</v>
      </c>
      <c r="C1188" s="116" t="s">
        <v>16</v>
      </c>
      <c r="D1188" s="116">
        <v>0</v>
      </c>
      <c r="E1188" s="136" t="s">
        <v>416</v>
      </c>
      <c r="F1188" s="137" t="str">
        <f t="shared" si="54"/>
        <v/>
      </c>
      <c r="G1188" s="138" t="e">
        <f>IF(A1188&lt;&gt;"",IF(AND(#REF!="Padrão",$H$4=#REF!),BDI!$B$17,IF(AND(#REF!="Padrão",$H$4=#REF!),BDI!#REF!,IF(AND(#REF!="Diferenciado",$H$4=#REF!),BDI!$E$17,IF(AND(#REF!="Diferenciado",$H$4=#REF!),BDI!#REF!,IF(#REF!="ZERO",0))))),"")</f>
        <v>#REF!</v>
      </c>
      <c r="H1188" s="139" t="str">
        <f t="shared" si="55"/>
        <v/>
      </c>
      <c r="I1188" s="137" t="str">
        <f t="shared" si="56"/>
        <v/>
      </c>
      <c r="J1188" s="117"/>
    </row>
    <row r="1189" spans="1:10" hidden="1" x14ac:dyDescent="0.25">
      <c r="A1189" s="114" t="s">
        <v>2761</v>
      </c>
      <c r="B1189" s="115" t="s">
        <v>2762</v>
      </c>
      <c r="C1189" s="116" t="s">
        <v>69</v>
      </c>
      <c r="D1189" s="116">
        <v>0</v>
      </c>
      <c r="E1189" s="136">
        <f ca="1">OFFSET(INDEX(Composições!A:J,MATCH(Orçamentária!A1189,Composições!A:A,0),8),2,0)</f>
        <v>73.482500000000002</v>
      </c>
      <c r="F1189" s="137">
        <f t="shared" ca="1" si="54"/>
        <v>0</v>
      </c>
      <c r="G1189" s="138" t="e">
        <f>IF(A1189&lt;&gt;"",IF(AND(#REF!="Padrão",$H$4=#REF!),BDI!$B$17,IF(AND(#REF!="Padrão",$H$4=#REF!),BDI!#REF!,IF(AND(#REF!="Diferenciado",$H$4=#REF!),BDI!$E$17,IF(AND(#REF!="Diferenciado",$H$4=#REF!),BDI!#REF!,IF(#REF!="ZERO",0))))),"")</f>
        <v>#REF!</v>
      </c>
      <c r="H1189" s="139" t="e">
        <f t="shared" ca="1" si="55"/>
        <v>#REF!</v>
      </c>
      <c r="I1189" s="137" t="e">
        <f t="shared" ca="1" si="56"/>
        <v>#REF!</v>
      </c>
      <c r="J1189" s="117"/>
    </row>
    <row r="1190" spans="1:10" hidden="1" x14ac:dyDescent="0.25">
      <c r="A1190" s="114" t="s">
        <v>2763</v>
      </c>
      <c r="B1190" s="115" t="s">
        <v>2764</v>
      </c>
      <c r="C1190" s="116" t="s">
        <v>69</v>
      </c>
      <c r="D1190" s="116">
        <v>0</v>
      </c>
      <c r="E1190" s="136">
        <f ca="1">OFFSET(INDEX(Composições!A:J,MATCH(Orçamentária!A1190,Composições!A:A,0),8),2,0)</f>
        <v>121.63800000000001</v>
      </c>
      <c r="F1190" s="137">
        <f t="shared" ca="1" si="54"/>
        <v>0</v>
      </c>
      <c r="G1190" s="138" t="e">
        <f>IF(A1190&lt;&gt;"",IF(AND(#REF!="Padrão",$H$4=#REF!),BDI!$B$17,IF(AND(#REF!="Padrão",$H$4=#REF!),BDI!#REF!,IF(AND(#REF!="Diferenciado",$H$4=#REF!),BDI!$E$17,IF(AND(#REF!="Diferenciado",$H$4=#REF!),BDI!#REF!,IF(#REF!="ZERO",0))))),"")</f>
        <v>#REF!</v>
      </c>
      <c r="H1190" s="139" t="e">
        <f t="shared" ca="1" si="55"/>
        <v>#REF!</v>
      </c>
      <c r="I1190" s="137" t="e">
        <f t="shared" ca="1" si="56"/>
        <v>#REF!</v>
      </c>
      <c r="J1190" s="117"/>
    </row>
    <row r="1191" spans="1:10" hidden="1" x14ac:dyDescent="0.25">
      <c r="A1191" s="114" t="s">
        <v>2765</v>
      </c>
      <c r="B1191" s="115" t="s">
        <v>2766</v>
      </c>
      <c r="C1191" s="116" t="s">
        <v>16</v>
      </c>
      <c r="D1191" s="116">
        <v>0</v>
      </c>
      <c r="E1191" s="136" t="s">
        <v>416</v>
      </c>
      <c r="F1191" s="137" t="str">
        <f t="shared" si="54"/>
        <v/>
      </c>
      <c r="G1191" s="138" t="e">
        <f>IF(A1191&lt;&gt;"",IF(AND(#REF!="Padrão",$H$4=#REF!),BDI!$B$17,IF(AND(#REF!="Padrão",$H$4=#REF!),BDI!#REF!,IF(AND(#REF!="Diferenciado",$H$4=#REF!),BDI!$E$17,IF(AND(#REF!="Diferenciado",$H$4=#REF!),BDI!#REF!,IF(#REF!="ZERO",0))))),"")</f>
        <v>#REF!</v>
      </c>
      <c r="H1191" s="139" t="str">
        <f t="shared" si="55"/>
        <v/>
      </c>
      <c r="I1191" s="137" t="str">
        <f t="shared" si="56"/>
        <v/>
      </c>
      <c r="J1191" s="117"/>
    </row>
    <row r="1192" spans="1:10" hidden="1" x14ac:dyDescent="0.25">
      <c r="A1192" s="114" t="s">
        <v>2767</v>
      </c>
      <c r="B1192" s="115" t="s">
        <v>2768</v>
      </c>
      <c r="C1192" s="116" t="s">
        <v>16</v>
      </c>
      <c r="D1192" s="116">
        <v>0</v>
      </c>
      <c r="E1192" s="136" t="s">
        <v>416</v>
      </c>
      <c r="F1192" s="137" t="str">
        <f t="shared" si="54"/>
        <v/>
      </c>
      <c r="G1192" s="138" t="e">
        <f>IF(A1192&lt;&gt;"",IF(AND(#REF!="Padrão",$H$4=#REF!),BDI!$B$17,IF(AND(#REF!="Padrão",$H$4=#REF!),BDI!#REF!,IF(AND(#REF!="Diferenciado",$H$4=#REF!),BDI!$E$17,IF(AND(#REF!="Diferenciado",$H$4=#REF!),BDI!#REF!,IF(#REF!="ZERO",0))))),"")</f>
        <v>#REF!</v>
      </c>
      <c r="H1192" s="139" t="str">
        <f t="shared" si="55"/>
        <v/>
      </c>
      <c r="I1192" s="137" t="str">
        <f t="shared" si="56"/>
        <v/>
      </c>
      <c r="J1192" s="117"/>
    </row>
    <row r="1193" spans="1:10" hidden="1" x14ac:dyDescent="0.25">
      <c r="A1193" s="114" t="s">
        <v>2769</v>
      </c>
      <c r="B1193" s="115" t="s">
        <v>2770</v>
      </c>
      <c r="C1193" s="116" t="s">
        <v>16</v>
      </c>
      <c r="D1193" s="116">
        <v>0</v>
      </c>
      <c r="E1193" s="136" t="s">
        <v>416</v>
      </c>
      <c r="F1193" s="137" t="str">
        <f t="shared" si="54"/>
        <v/>
      </c>
      <c r="G1193" s="138" t="e">
        <f>IF(A1193&lt;&gt;"",IF(AND(#REF!="Padrão",$H$4=#REF!),BDI!$B$17,IF(AND(#REF!="Padrão",$H$4=#REF!),BDI!#REF!,IF(AND(#REF!="Diferenciado",$H$4=#REF!),BDI!$E$17,IF(AND(#REF!="Diferenciado",$H$4=#REF!),BDI!#REF!,IF(#REF!="ZERO",0))))),"")</f>
        <v>#REF!</v>
      </c>
      <c r="H1193" s="139" t="str">
        <f t="shared" si="55"/>
        <v/>
      </c>
      <c r="I1193" s="137" t="str">
        <f t="shared" si="56"/>
        <v/>
      </c>
      <c r="J1193" s="117"/>
    </row>
    <row r="1194" spans="1:10" hidden="1" x14ac:dyDescent="0.25">
      <c r="A1194" s="114" t="s">
        <v>2771</v>
      </c>
      <c r="B1194" s="115" t="s">
        <v>2772</v>
      </c>
      <c r="C1194" s="116" t="s">
        <v>16</v>
      </c>
      <c r="D1194" s="116">
        <v>0</v>
      </c>
      <c r="E1194" s="136" t="s">
        <v>416</v>
      </c>
      <c r="F1194" s="137" t="str">
        <f t="shared" si="54"/>
        <v/>
      </c>
      <c r="G1194" s="138" t="e">
        <f>IF(A1194&lt;&gt;"",IF(AND(#REF!="Padrão",$H$4=#REF!),BDI!$B$17,IF(AND(#REF!="Padrão",$H$4=#REF!),BDI!#REF!,IF(AND(#REF!="Diferenciado",$H$4=#REF!),BDI!$E$17,IF(AND(#REF!="Diferenciado",$H$4=#REF!),BDI!#REF!,IF(#REF!="ZERO",0))))),"")</f>
        <v>#REF!</v>
      </c>
      <c r="H1194" s="139" t="str">
        <f t="shared" si="55"/>
        <v/>
      </c>
      <c r="I1194" s="137" t="str">
        <f t="shared" si="56"/>
        <v/>
      </c>
      <c r="J1194" s="117"/>
    </row>
    <row r="1195" spans="1:10" hidden="1" x14ac:dyDescent="0.25">
      <c r="A1195" s="114" t="s">
        <v>2773</v>
      </c>
      <c r="B1195" s="115" t="s">
        <v>2774</v>
      </c>
      <c r="C1195" s="116" t="s">
        <v>16</v>
      </c>
      <c r="D1195" s="116">
        <v>0</v>
      </c>
      <c r="E1195" s="136" t="s">
        <v>416</v>
      </c>
      <c r="F1195" s="137" t="str">
        <f t="shared" si="54"/>
        <v/>
      </c>
      <c r="G1195" s="138" t="e">
        <f>IF(A1195&lt;&gt;"",IF(AND(#REF!="Padrão",$H$4=#REF!),BDI!$B$17,IF(AND(#REF!="Padrão",$H$4=#REF!),BDI!#REF!,IF(AND(#REF!="Diferenciado",$H$4=#REF!),BDI!$E$17,IF(AND(#REF!="Diferenciado",$H$4=#REF!),BDI!#REF!,IF(#REF!="ZERO",0))))),"")</f>
        <v>#REF!</v>
      </c>
      <c r="H1195" s="139" t="str">
        <f t="shared" si="55"/>
        <v/>
      </c>
      <c r="I1195" s="137" t="str">
        <f t="shared" si="56"/>
        <v/>
      </c>
      <c r="J1195" s="117"/>
    </row>
    <row r="1196" spans="1:10" hidden="1" x14ac:dyDescent="0.25">
      <c r="A1196" s="114" t="s">
        <v>2775</v>
      </c>
      <c r="B1196" s="115" t="s">
        <v>2776</v>
      </c>
      <c r="C1196" s="116" t="s">
        <v>16</v>
      </c>
      <c r="D1196" s="116">
        <v>0</v>
      </c>
      <c r="E1196" s="136" t="s">
        <v>416</v>
      </c>
      <c r="F1196" s="137" t="str">
        <f t="shared" si="54"/>
        <v/>
      </c>
      <c r="G1196" s="138" t="e">
        <f>IF(A1196&lt;&gt;"",IF(AND(#REF!="Padrão",$H$4=#REF!),BDI!$B$17,IF(AND(#REF!="Padrão",$H$4=#REF!),BDI!#REF!,IF(AND(#REF!="Diferenciado",$H$4=#REF!),BDI!$E$17,IF(AND(#REF!="Diferenciado",$H$4=#REF!),BDI!#REF!,IF(#REF!="ZERO",0))))),"")</f>
        <v>#REF!</v>
      </c>
      <c r="H1196" s="139" t="str">
        <f t="shared" si="55"/>
        <v/>
      </c>
      <c r="I1196" s="137" t="str">
        <f t="shared" si="56"/>
        <v/>
      </c>
      <c r="J1196" s="117"/>
    </row>
    <row r="1197" spans="1:10" hidden="1" x14ac:dyDescent="0.25">
      <c r="A1197" s="114" t="s">
        <v>2777</v>
      </c>
      <c r="B1197" s="115" t="s">
        <v>5482</v>
      </c>
      <c r="C1197" s="116" t="s">
        <v>16</v>
      </c>
      <c r="D1197" s="116">
        <v>0</v>
      </c>
      <c r="E1197" s="136" t="s">
        <v>416</v>
      </c>
      <c r="F1197" s="137" t="str">
        <f t="shared" si="54"/>
        <v/>
      </c>
      <c r="G1197" s="138" t="e">
        <f>IF(A1197&lt;&gt;"",IF(AND(#REF!="Padrão",$H$4=#REF!),BDI!$B$17,IF(AND(#REF!="Padrão",$H$4=#REF!),BDI!#REF!,IF(AND(#REF!="Diferenciado",$H$4=#REF!),BDI!$E$17,IF(AND(#REF!="Diferenciado",$H$4=#REF!),BDI!#REF!,IF(#REF!="ZERO",0))))),"")</f>
        <v>#REF!</v>
      </c>
      <c r="H1197" s="139" t="str">
        <f t="shared" si="55"/>
        <v/>
      </c>
      <c r="I1197" s="137" t="str">
        <f t="shared" si="56"/>
        <v/>
      </c>
      <c r="J1197" s="117"/>
    </row>
    <row r="1198" spans="1:10" hidden="1" x14ac:dyDescent="0.25">
      <c r="A1198" s="114" t="s">
        <v>2778</v>
      </c>
      <c r="B1198" s="115" t="s">
        <v>5483</v>
      </c>
      <c r="C1198" s="116" t="s">
        <v>16</v>
      </c>
      <c r="D1198" s="116">
        <v>0</v>
      </c>
      <c r="E1198" s="136" t="s">
        <v>416</v>
      </c>
      <c r="F1198" s="137" t="str">
        <f t="shared" si="54"/>
        <v/>
      </c>
      <c r="G1198" s="138" t="e">
        <f>IF(A1198&lt;&gt;"",IF(AND(#REF!="Padrão",$H$4=#REF!),BDI!$B$17,IF(AND(#REF!="Padrão",$H$4=#REF!),BDI!#REF!,IF(AND(#REF!="Diferenciado",$H$4=#REF!),BDI!$E$17,IF(AND(#REF!="Diferenciado",$H$4=#REF!),BDI!#REF!,IF(#REF!="ZERO",0))))),"")</f>
        <v>#REF!</v>
      </c>
      <c r="H1198" s="139" t="str">
        <f t="shared" si="55"/>
        <v/>
      </c>
      <c r="I1198" s="137" t="str">
        <f t="shared" si="56"/>
        <v/>
      </c>
      <c r="J1198" s="117"/>
    </row>
    <row r="1199" spans="1:10" hidden="1" x14ac:dyDescent="0.25">
      <c r="A1199" s="114" t="s">
        <v>2779</v>
      </c>
      <c r="B1199" s="115" t="s">
        <v>5484</v>
      </c>
      <c r="C1199" s="116" t="s">
        <v>16</v>
      </c>
      <c r="D1199" s="116">
        <v>0</v>
      </c>
      <c r="E1199" s="136" t="s">
        <v>416</v>
      </c>
      <c r="F1199" s="137" t="str">
        <f t="shared" si="54"/>
        <v/>
      </c>
      <c r="G1199" s="138" t="e">
        <f>IF(A1199&lt;&gt;"",IF(AND(#REF!="Padrão",$H$4=#REF!),BDI!$B$17,IF(AND(#REF!="Padrão",$H$4=#REF!),BDI!#REF!,IF(AND(#REF!="Diferenciado",$H$4=#REF!),BDI!$E$17,IF(AND(#REF!="Diferenciado",$H$4=#REF!),BDI!#REF!,IF(#REF!="ZERO",0))))),"")</f>
        <v>#REF!</v>
      </c>
      <c r="H1199" s="139" t="str">
        <f t="shared" si="55"/>
        <v/>
      </c>
      <c r="I1199" s="137" t="str">
        <f t="shared" si="56"/>
        <v/>
      </c>
      <c r="J1199" s="117"/>
    </row>
    <row r="1200" spans="1:10" hidden="1" x14ac:dyDescent="0.25">
      <c r="A1200" s="114" t="s">
        <v>2780</v>
      </c>
      <c r="B1200" s="115" t="s">
        <v>5485</v>
      </c>
      <c r="C1200" s="116" t="s">
        <v>16</v>
      </c>
      <c r="D1200" s="116">
        <v>0</v>
      </c>
      <c r="E1200" s="136" t="s">
        <v>416</v>
      </c>
      <c r="F1200" s="137" t="str">
        <f t="shared" si="54"/>
        <v/>
      </c>
      <c r="G1200" s="138" t="e">
        <f>IF(A1200&lt;&gt;"",IF(AND(#REF!="Padrão",$H$4=#REF!),BDI!$B$17,IF(AND(#REF!="Padrão",$H$4=#REF!),BDI!#REF!,IF(AND(#REF!="Diferenciado",$H$4=#REF!),BDI!$E$17,IF(AND(#REF!="Diferenciado",$H$4=#REF!),BDI!#REF!,IF(#REF!="ZERO",0))))),"")</f>
        <v>#REF!</v>
      </c>
      <c r="H1200" s="139" t="str">
        <f t="shared" si="55"/>
        <v/>
      </c>
      <c r="I1200" s="137" t="str">
        <f t="shared" si="56"/>
        <v/>
      </c>
      <c r="J1200" s="117"/>
    </row>
    <row r="1201" spans="1:10" hidden="1" x14ac:dyDescent="0.25">
      <c r="A1201" s="114" t="s">
        <v>2781</v>
      </c>
      <c r="B1201" s="115" t="s">
        <v>2782</v>
      </c>
      <c r="C1201" s="116" t="s">
        <v>16</v>
      </c>
      <c r="D1201" s="116">
        <v>0</v>
      </c>
      <c r="E1201" s="136" t="s">
        <v>416</v>
      </c>
      <c r="F1201" s="137" t="str">
        <f t="shared" si="54"/>
        <v/>
      </c>
      <c r="G1201" s="138" t="e">
        <f>IF(A1201&lt;&gt;"",IF(AND(#REF!="Padrão",$H$4=#REF!),BDI!$B$17,IF(AND(#REF!="Padrão",$H$4=#REF!),BDI!#REF!,IF(AND(#REF!="Diferenciado",$H$4=#REF!),BDI!$E$17,IF(AND(#REF!="Diferenciado",$H$4=#REF!),BDI!#REF!,IF(#REF!="ZERO",0))))),"")</f>
        <v>#REF!</v>
      </c>
      <c r="H1201" s="139" t="str">
        <f t="shared" si="55"/>
        <v/>
      </c>
      <c r="I1201" s="137" t="str">
        <f t="shared" si="56"/>
        <v/>
      </c>
      <c r="J1201" s="117"/>
    </row>
    <row r="1202" spans="1:10" hidden="1" x14ac:dyDescent="0.25">
      <c r="A1202" s="114" t="s">
        <v>2783</v>
      </c>
      <c r="B1202" s="115" t="s">
        <v>2784</v>
      </c>
      <c r="C1202" s="116" t="s">
        <v>16</v>
      </c>
      <c r="D1202" s="116">
        <v>0</v>
      </c>
      <c r="E1202" s="136" t="s">
        <v>416</v>
      </c>
      <c r="F1202" s="137" t="str">
        <f t="shared" si="54"/>
        <v/>
      </c>
      <c r="G1202" s="138" t="e">
        <f>IF(A1202&lt;&gt;"",IF(AND(#REF!="Padrão",$H$4=#REF!),BDI!$B$17,IF(AND(#REF!="Padrão",$H$4=#REF!),BDI!#REF!,IF(AND(#REF!="Diferenciado",$H$4=#REF!),BDI!$E$17,IF(AND(#REF!="Diferenciado",$H$4=#REF!),BDI!#REF!,IF(#REF!="ZERO",0))))),"")</f>
        <v>#REF!</v>
      </c>
      <c r="H1202" s="139" t="str">
        <f t="shared" si="55"/>
        <v/>
      </c>
      <c r="I1202" s="137" t="str">
        <f t="shared" si="56"/>
        <v/>
      </c>
      <c r="J1202" s="117"/>
    </row>
    <row r="1203" spans="1:10" hidden="1" x14ac:dyDescent="0.25">
      <c r="A1203" s="114" t="s">
        <v>2785</v>
      </c>
      <c r="B1203" s="115" t="s">
        <v>2786</v>
      </c>
      <c r="C1203" s="116" t="s">
        <v>16</v>
      </c>
      <c r="D1203" s="116">
        <v>0</v>
      </c>
      <c r="E1203" s="136" t="s">
        <v>416</v>
      </c>
      <c r="F1203" s="137" t="str">
        <f t="shared" si="54"/>
        <v/>
      </c>
      <c r="G1203" s="138" t="e">
        <f>IF(A1203&lt;&gt;"",IF(AND(#REF!="Padrão",$H$4=#REF!),BDI!$B$17,IF(AND(#REF!="Padrão",$H$4=#REF!),BDI!#REF!,IF(AND(#REF!="Diferenciado",$H$4=#REF!),BDI!$E$17,IF(AND(#REF!="Diferenciado",$H$4=#REF!),BDI!#REF!,IF(#REF!="ZERO",0))))),"")</f>
        <v>#REF!</v>
      </c>
      <c r="H1203" s="139" t="str">
        <f t="shared" si="55"/>
        <v/>
      </c>
      <c r="I1203" s="137" t="str">
        <f t="shared" si="56"/>
        <v/>
      </c>
      <c r="J1203" s="117"/>
    </row>
    <row r="1204" spans="1:10" hidden="1" x14ac:dyDescent="0.25">
      <c r="A1204" s="114" t="s">
        <v>2787</v>
      </c>
      <c r="B1204" s="115" t="s">
        <v>2788</v>
      </c>
      <c r="C1204" s="116" t="s">
        <v>16</v>
      </c>
      <c r="D1204" s="116">
        <v>0</v>
      </c>
      <c r="E1204" s="136" t="s">
        <v>416</v>
      </c>
      <c r="F1204" s="137" t="str">
        <f t="shared" si="54"/>
        <v/>
      </c>
      <c r="G1204" s="138" t="e">
        <f>IF(A1204&lt;&gt;"",IF(AND(#REF!="Padrão",$H$4=#REF!),BDI!$B$17,IF(AND(#REF!="Padrão",$H$4=#REF!),BDI!#REF!,IF(AND(#REF!="Diferenciado",$H$4=#REF!),BDI!$E$17,IF(AND(#REF!="Diferenciado",$H$4=#REF!),BDI!#REF!,IF(#REF!="ZERO",0))))),"")</f>
        <v>#REF!</v>
      </c>
      <c r="H1204" s="139" t="str">
        <f t="shared" si="55"/>
        <v/>
      </c>
      <c r="I1204" s="137" t="str">
        <f t="shared" si="56"/>
        <v/>
      </c>
      <c r="J1204" s="117"/>
    </row>
    <row r="1205" spans="1:10" hidden="1" x14ac:dyDescent="0.25">
      <c r="A1205" s="114" t="s">
        <v>2789</v>
      </c>
      <c r="B1205" s="115" t="s">
        <v>7707</v>
      </c>
      <c r="C1205" s="116" t="s">
        <v>16</v>
      </c>
      <c r="D1205" s="116">
        <v>0</v>
      </c>
      <c r="E1205" s="136" t="s">
        <v>416</v>
      </c>
      <c r="F1205" s="137" t="str">
        <f t="shared" si="54"/>
        <v/>
      </c>
      <c r="G1205" s="138" t="e">
        <f>IF(A1205&lt;&gt;"",IF(AND(#REF!="Padrão",$H$4=#REF!),BDI!$B$17,IF(AND(#REF!="Padrão",$H$4=#REF!),BDI!#REF!,IF(AND(#REF!="Diferenciado",$H$4=#REF!),BDI!$E$17,IF(AND(#REF!="Diferenciado",$H$4=#REF!),BDI!#REF!,IF(#REF!="ZERO",0))))),"")</f>
        <v>#REF!</v>
      </c>
      <c r="H1205" s="139" t="str">
        <f t="shared" si="55"/>
        <v/>
      </c>
      <c r="I1205" s="137" t="str">
        <f t="shared" si="56"/>
        <v/>
      </c>
      <c r="J1205" s="117"/>
    </row>
    <row r="1206" spans="1:10" hidden="1" x14ac:dyDescent="0.25">
      <c r="A1206" s="114" t="s">
        <v>2790</v>
      </c>
      <c r="B1206" s="115" t="s">
        <v>5486</v>
      </c>
      <c r="C1206" s="116" t="s">
        <v>16</v>
      </c>
      <c r="D1206" s="116">
        <v>0</v>
      </c>
      <c r="E1206" s="136">
        <f ca="1">OFFSET(INDEX(Composições!A:J,MATCH(Orçamentária!A1206,Composições!A:A,0),8),2,0)</f>
        <v>40.878500000000003</v>
      </c>
      <c r="F1206" s="137">
        <f t="shared" ca="1" si="54"/>
        <v>0</v>
      </c>
      <c r="G1206" s="138" t="e">
        <f>IF(A1206&lt;&gt;"",IF(AND(#REF!="Padrão",$H$4=#REF!),BDI!$B$17,IF(AND(#REF!="Padrão",$H$4=#REF!),BDI!#REF!,IF(AND(#REF!="Diferenciado",$H$4=#REF!),BDI!$E$17,IF(AND(#REF!="Diferenciado",$H$4=#REF!),BDI!#REF!,IF(#REF!="ZERO",0))))),"")</f>
        <v>#REF!</v>
      </c>
      <c r="H1206" s="139" t="e">
        <f t="shared" ca="1" si="55"/>
        <v>#REF!</v>
      </c>
      <c r="I1206" s="137" t="e">
        <f t="shared" ca="1" si="56"/>
        <v>#REF!</v>
      </c>
      <c r="J1206" s="117"/>
    </row>
    <row r="1207" spans="1:10" hidden="1" x14ac:dyDescent="0.25">
      <c r="A1207" s="114" t="s">
        <v>2791</v>
      </c>
      <c r="B1207" s="115" t="s">
        <v>2792</v>
      </c>
      <c r="C1207" s="116" t="s">
        <v>16</v>
      </c>
      <c r="D1207" s="116">
        <v>0</v>
      </c>
      <c r="E1207" s="136" t="s">
        <v>416</v>
      </c>
      <c r="F1207" s="137" t="str">
        <f t="shared" si="54"/>
        <v/>
      </c>
      <c r="G1207" s="138" t="e">
        <f>IF(A1207&lt;&gt;"",IF(AND(#REF!="Padrão",$H$4=#REF!),BDI!$B$17,IF(AND(#REF!="Padrão",$H$4=#REF!),BDI!#REF!,IF(AND(#REF!="Diferenciado",$H$4=#REF!),BDI!$E$17,IF(AND(#REF!="Diferenciado",$H$4=#REF!),BDI!#REF!,IF(#REF!="ZERO",0))))),"")</f>
        <v>#REF!</v>
      </c>
      <c r="H1207" s="139" t="str">
        <f t="shared" si="55"/>
        <v/>
      </c>
      <c r="I1207" s="137" t="str">
        <f t="shared" si="56"/>
        <v/>
      </c>
      <c r="J1207" s="117"/>
    </row>
    <row r="1208" spans="1:10" hidden="1" x14ac:dyDescent="0.25">
      <c r="A1208" s="114" t="s">
        <v>2793</v>
      </c>
      <c r="B1208" s="115" t="s">
        <v>2794</v>
      </c>
      <c r="C1208" s="116" t="s">
        <v>16</v>
      </c>
      <c r="D1208" s="116">
        <v>0</v>
      </c>
      <c r="E1208" s="136" t="s">
        <v>416</v>
      </c>
      <c r="F1208" s="137" t="str">
        <f t="shared" si="54"/>
        <v/>
      </c>
      <c r="G1208" s="138" t="e">
        <f>IF(A1208&lt;&gt;"",IF(AND(#REF!="Padrão",$H$4=#REF!),BDI!$B$17,IF(AND(#REF!="Padrão",$H$4=#REF!),BDI!#REF!,IF(AND(#REF!="Diferenciado",$H$4=#REF!),BDI!$E$17,IF(AND(#REF!="Diferenciado",$H$4=#REF!),BDI!#REF!,IF(#REF!="ZERO",0))))),"")</f>
        <v>#REF!</v>
      </c>
      <c r="H1208" s="139" t="str">
        <f t="shared" si="55"/>
        <v/>
      </c>
      <c r="I1208" s="137" t="str">
        <f t="shared" si="56"/>
        <v/>
      </c>
      <c r="J1208" s="117"/>
    </row>
    <row r="1209" spans="1:10" hidden="1" x14ac:dyDescent="0.25">
      <c r="A1209" s="114" t="s">
        <v>2795</v>
      </c>
      <c r="B1209" s="115" t="s">
        <v>2796</v>
      </c>
      <c r="C1209" s="116" t="s">
        <v>16</v>
      </c>
      <c r="D1209" s="116">
        <v>0</v>
      </c>
      <c r="E1209" s="136" t="s">
        <v>416</v>
      </c>
      <c r="F1209" s="137" t="str">
        <f t="shared" si="54"/>
        <v/>
      </c>
      <c r="G1209" s="138" t="e">
        <f>IF(A1209&lt;&gt;"",IF(AND(#REF!="Padrão",$H$4=#REF!),BDI!$B$17,IF(AND(#REF!="Padrão",$H$4=#REF!),BDI!#REF!,IF(AND(#REF!="Diferenciado",$H$4=#REF!),BDI!$E$17,IF(AND(#REF!="Diferenciado",$H$4=#REF!),BDI!#REF!,IF(#REF!="ZERO",0))))),"")</f>
        <v>#REF!</v>
      </c>
      <c r="H1209" s="139" t="str">
        <f t="shared" si="55"/>
        <v/>
      </c>
      <c r="I1209" s="137" t="str">
        <f t="shared" si="56"/>
        <v/>
      </c>
      <c r="J1209" s="117"/>
    </row>
    <row r="1210" spans="1:10" hidden="1" x14ac:dyDescent="0.25">
      <c r="A1210" s="114" t="s">
        <v>2797</v>
      </c>
      <c r="B1210" s="115" t="s">
        <v>2798</v>
      </c>
      <c r="C1210" s="116" t="s">
        <v>16</v>
      </c>
      <c r="D1210" s="116">
        <v>0</v>
      </c>
      <c r="E1210" s="136">
        <f ca="1">OFFSET(INDEX(Composições!A:J,MATCH(Orçamentária!A1210,Composições!A:A,0),8),2,0)</f>
        <v>56.733999999999995</v>
      </c>
      <c r="F1210" s="137">
        <f t="shared" ca="1" si="54"/>
        <v>0</v>
      </c>
      <c r="G1210" s="138" t="e">
        <f>IF(A1210&lt;&gt;"",IF(AND(#REF!="Padrão",$H$4=#REF!),BDI!$B$17,IF(AND(#REF!="Padrão",$H$4=#REF!),BDI!#REF!,IF(AND(#REF!="Diferenciado",$H$4=#REF!),BDI!$E$17,IF(AND(#REF!="Diferenciado",$H$4=#REF!),BDI!#REF!,IF(#REF!="ZERO",0))))),"")</f>
        <v>#REF!</v>
      </c>
      <c r="H1210" s="139" t="e">
        <f t="shared" ca="1" si="55"/>
        <v>#REF!</v>
      </c>
      <c r="I1210" s="137" t="e">
        <f t="shared" ca="1" si="56"/>
        <v>#REF!</v>
      </c>
      <c r="J1210" s="117"/>
    </row>
    <row r="1211" spans="1:10" hidden="1" x14ac:dyDescent="0.25">
      <c r="A1211" s="114" t="s">
        <v>2799</v>
      </c>
      <c r="B1211" s="115" t="s">
        <v>2800</v>
      </c>
      <c r="C1211" s="116" t="s">
        <v>16</v>
      </c>
      <c r="D1211" s="116">
        <v>0</v>
      </c>
      <c r="E1211" s="136">
        <f ca="1">OFFSET(INDEX(Composições!A:J,MATCH(Orçamentária!A1211,Composições!A:A,0),8),2,0)</f>
        <v>426.37899999999996</v>
      </c>
      <c r="F1211" s="137">
        <f t="shared" ca="1" si="54"/>
        <v>0</v>
      </c>
      <c r="G1211" s="138" t="e">
        <f>IF(A1211&lt;&gt;"",IF(AND(#REF!="Padrão",$H$4=#REF!),BDI!$B$17,IF(AND(#REF!="Padrão",$H$4=#REF!),BDI!#REF!,IF(AND(#REF!="Diferenciado",$H$4=#REF!),BDI!$E$17,IF(AND(#REF!="Diferenciado",$H$4=#REF!),BDI!#REF!,IF(#REF!="ZERO",0))))),"")</f>
        <v>#REF!</v>
      </c>
      <c r="H1211" s="139" t="e">
        <f t="shared" ca="1" si="55"/>
        <v>#REF!</v>
      </c>
      <c r="I1211" s="137" t="e">
        <f t="shared" ca="1" si="56"/>
        <v>#REF!</v>
      </c>
      <c r="J1211" s="117"/>
    </row>
    <row r="1212" spans="1:10" hidden="1" x14ac:dyDescent="0.25">
      <c r="A1212" s="114" t="s">
        <v>2801</v>
      </c>
      <c r="B1212" s="115" t="s">
        <v>2802</v>
      </c>
      <c r="C1212" s="116" t="s">
        <v>16</v>
      </c>
      <c r="D1212" s="116">
        <v>0</v>
      </c>
      <c r="E1212" s="136" t="s">
        <v>416</v>
      </c>
      <c r="F1212" s="137" t="str">
        <f t="shared" si="54"/>
        <v/>
      </c>
      <c r="G1212" s="138" t="e">
        <f>IF(A1212&lt;&gt;"",IF(AND(#REF!="Padrão",$H$4=#REF!),BDI!$B$17,IF(AND(#REF!="Padrão",$H$4=#REF!),BDI!#REF!,IF(AND(#REF!="Diferenciado",$H$4=#REF!),BDI!$E$17,IF(AND(#REF!="Diferenciado",$H$4=#REF!),BDI!#REF!,IF(#REF!="ZERO",0))))),"")</f>
        <v>#REF!</v>
      </c>
      <c r="H1212" s="139" t="str">
        <f t="shared" si="55"/>
        <v/>
      </c>
      <c r="I1212" s="137" t="str">
        <f t="shared" si="56"/>
        <v/>
      </c>
      <c r="J1212" s="117"/>
    </row>
    <row r="1213" spans="1:10" hidden="1" x14ac:dyDescent="0.25">
      <c r="A1213" s="114" t="s">
        <v>2803</v>
      </c>
      <c r="B1213" s="115" t="s">
        <v>2804</v>
      </c>
      <c r="C1213" s="116" t="s">
        <v>16</v>
      </c>
      <c r="D1213" s="116">
        <v>0</v>
      </c>
      <c r="E1213" s="136" t="s">
        <v>416</v>
      </c>
      <c r="F1213" s="137" t="str">
        <f t="shared" si="54"/>
        <v/>
      </c>
      <c r="G1213" s="138" t="e">
        <f>IF(A1213&lt;&gt;"",IF(AND(#REF!="Padrão",$H$4=#REF!),BDI!$B$17,IF(AND(#REF!="Padrão",$H$4=#REF!),BDI!#REF!,IF(AND(#REF!="Diferenciado",$H$4=#REF!),BDI!$E$17,IF(AND(#REF!="Diferenciado",$H$4=#REF!),BDI!#REF!,IF(#REF!="ZERO",0))))),"")</f>
        <v>#REF!</v>
      </c>
      <c r="H1213" s="139" t="str">
        <f t="shared" si="55"/>
        <v/>
      </c>
      <c r="I1213" s="137" t="str">
        <f t="shared" si="56"/>
        <v/>
      </c>
      <c r="J1213" s="117"/>
    </row>
    <row r="1214" spans="1:10" hidden="1" x14ac:dyDescent="0.25">
      <c r="A1214" s="114" t="s">
        <v>2805</v>
      </c>
      <c r="B1214" s="115" t="s">
        <v>5487</v>
      </c>
      <c r="C1214" s="116" t="s">
        <v>16</v>
      </c>
      <c r="D1214" s="116">
        <v>0</v>
      </c>
      <c r="E1214" s="136" t="s">
        <v>416</v>
      </c>
      <c r="F1214" s="137" t="str">
        <f t="shared" si="54"/>
        <v/>
      </c>
      <c r="G1214" s="138" t="e">
        <f>IF(A1214&lt;&gt;"",IF(AND(#REF!="Padrão",$H$4=#REF!),BDI!$B$17,IF(AND(#REF!="Padrão",$H$4=#REF!),BDI!#REF!,IF(AND(#REF!="Diferenciado",$H$4=#REF!),BDI!$E$17,IF(AND(#REF!="Diferenciado",$H$4=#REF!),BDI!#REF!,IF(#REF!="ZERO",0))))),"")</f>
        <v>#REF!</v>
      </c>
      <c r="H1214" s="139" t="str">
        <f t="shared" si="55"/>
        <v/>
      </c>
      <c r="I1214" s="137" t="str">
        <f t="shared" si="56"/>
        <v/>
      </c>
      <c r="J1214" s="117"/>
    </row>
    <row r="1215" spans="1:10" hidden="1" x14ac:dyDescent="0.25">
      <c r="A1215" s="114" t="s">
        <v>2806</v>
      </c>
      <c r="B1215" s="115" t="s">
        <v>2807</v>
      </c>
      <c r="C1215" s="116" t="s">
        <v>16</v>
      </c>
      <c r="D1215" s="116">
        <v>0</v>
      </c>
      <c r="E1215" s="136" t="s">
        <v>416</v>
      </c>
      <c r="F1215" s="137" t="str">
        <f t="shared" si="54"/>
        <v/>
      </c>
      <c r="G1215" s="138" t="e">
        <f>IF(A1215&lt;&gt;"",IF(AND(#REF!="Padrão",$H$4=#REF!),BDI!$B$17,IF(AND(#REF!="Padrão",$H$4=#REF!),BDI!#REF!,IF(AND(#REF!="Diferenciado",$H$4=#REF!),BDI!$E$17,IF(AND(#REF!="Diferenciado",$H$4=#REF!),BDI!#REF!,IF(#REF!="ZERO",0))))),"")</f>
        <v>#REF!</v>
      </c>
      <c r="H1215" s="139" t="str">
        <f t="shared" si="55"/>
        <v/>
      </c>
      <c r="I1215" s="137" t="str">
        <f t="shared" si="56"/>
        <v/>
      </c>
      <c r="J1215" s="117"/>
    </row>
    <row r="1216" spans="1:10" hidden="1" x14ac:dyDescent="0.25">
      <c r="A1216" s="114" t="s">
        <v>2808</v>
      </c>
      <c r="B1216" s="115" t="s">
        <v>2809</v>
      </c>
      <c r="C1216" s="116" t="s">
        <v>16</v>
      </c>
      <c r="D1216" s="116">
        <v>0</v>
      </c>
      <c r="E1216" s="136" t="s">
        <v>416</v>
      </c>
      <c r="F1216" s="137" t="str">
        <f t="shared" si="54"/>
        <v/>
      </c>
      <c r="G1216" s="138" t="e">
        <f>IF(A1216&lt;&gt;"",IF(AND(#REF!="Padrão",$H$4=#REF!),BDI!$B$17,IF(AND(#REF!="Padrão",$H$4=#REF!),BDI!#REF!,IF(AND(#REF!="Diferenciado",$H$4=#REF!),BDI!$E$17,IF(AND(#REF!="Diferenciado",$H$4=#REF!),BDI!#REF!,IF(#REF!="ZERO",0))))),"")</f>
        <v>#REF!</v>
      </c>
      <c r="H1216" s="139" t="str">
        <f t="shared" si="55"/>
        <v/>
      </c>
      <c r="I1216" s="137" t="str">
        <f t="shared" si="56"/>
        <v/>
      </c>
      <c r="J1216" s="117"/>
    </row>
    <row r="1217" spans="1:10" hidden="1" x14ac:dyDescent="0.25">
      <c r="A1217" s="114" t="s">
        <v>2810</v>
      </c>
      <c r="B1217" s="115" t="s">
        <v>2811</v>
      </c>
      <c r="C1217" s="116" t="s">
        <v>470</v>
      </c>
      <c r="D1217" s="116">
        <v>0</v>
      </c>
      <c r="E1217" s="136" t="s">
        <v>416</v>
      </c>
      <c r="F1217" s="137" t="str">
        <f t="shared" si="54"/>
        <v/>
      </c>
      <c r="G1217" s="138" t="e">
        <f>IF(A1217&lt;&gt;"",IF(AND(#REF!="Padrão",$H$4=#REF!),BDI!$B$17,IF(AND(#REF!="Padrão",$H$4=#REF!),BDI!#REF!,IF(AND(#REF!="Diferenciado",$H$4=#REF!),BDI!$E$17,IF(AND(#REF!="Diferenciado",$H$4=#REF!),BDI!#REF!,IF(#REF!="ZERO",0))))),"")</f>
        <v>#REF!</v>
      </c>
      <c r="H1217" s="139" t="str">
        <f t="shared" si="55"/>
        <v/>
      </c>
      <c r="I1217" s="137" t="str">
        <f t="shared" si="56"/>
        <v/>
      </c>
      <c r="J1217" s="117"/>
    </row>
    <row r="1218" spans="1:10" hidden="1" x14ac:dyDescent="0.25">
      <c r="A1218" s="114" t="s">
        <v>2812</v>
      </c>
      <c r="B1218" s="115" t="s">
        <v>5488</v>
      </c>
      <c r="C1218" s="116" t="s">
        <v>16</v>
      </c>
      <c r="D1218" s="116">
        <v>0</v>
      </c>
      <c r="E1218" s="136" t="s">
        <v>416</v>
      </c>
      <c r="F1218" s="137" t="str">
        <f t="shared" si="54"/>
        <v/>
      </c>
      <c r="G1218" s="138" t="e">
        <f>IF(A1218&lt;&gt;"",IF(AND(#REF!="Padrão",$H$4=#REF!),BDI!$B$17,IF(AND(#REF!="Padrão",$H$4=#REF!),BDI!#REF!,IF(AND(#REF!="Diferenciado",$H$4=#REF!),BDI!$E$17,IF(AND(#REF!="Diferenciado",$H$4=#REF!),BDI!#REF!,IF(#REF!="ZERO",0))))),"")</f>
        <v>#REF!</v>
      </c>
      <c r="H1218" s="139" t="str">
        <f t="shared" si="55"/>
        <v/>
      </c>
      <c r="I1218" s="137" t="str">
        <f t="shared" si="56"/>
        <v/>
      </c>
      <c r="J1218" s="117"/>
    </row>
    <row r="1219" spans="1:10" hidden="1" x14ac:dyDescent="0.25">
      <c r="A1219" s="114" t="s">
        <v>2813</v>
      </c>
      <c r="B1219" s="115" t="s">
        <v>7709</v>
      </c>
      <c r="C1219" s="116" t="s">
        <v>16</v>
      </c>
      <c r="D1219" s="116">
        <v>0</v>
      </c>
      <c r="E1219" s="136">
        <f ca="1">OFFSET(INDEX(Composições!A:J,MATCH(Orçamentária!A1219,Composições!A:A,0),8),2,0)</f>
        <v>46.550000000000004</v>
      </c>
      <c r="F1219" s="137">
        <f t="shared" ca="1" si="54"/>
        <v>0</v>
      </c>
      <c r="G1219" s="138" t="e">
        <f>IF(A1219&lt;&gt;"",IF(AND(#REF!="Padrão",$H$4=#REF!),BDI!$B$17,IF(AND(#REF!="Padrão",$H$4=#REF!),BDI!#REF!,IF(AND(#REF!="Diferenciado",$H$4=#REF!),BDI!$E$17,IF(AND(#REF!="Diferenciado",$H$4=#REF!),BDI!#REF!,IF(#REF!="ZERO",0))))),"")</f>
        <v>#REF!</v>
      </c>
      <c r="H1219" s="139" t="e">
        <f t="shared" ca="1" si="55"/>
        <v>#REF!</v>
      </c>
      <c r="I1219" s="137" t="e">
        <f t="shared" ca="1" si="56"/>
        <v>#REF!</v>
      </c>
      <c r="J1219" s="117"/>
    </row>
    <row r="1220" spans="1:10" hidden="1" x14ac:dyDescent="0.25">
      <c r="A1220" s="114" t="s">
        <v>2814</v>
      </c>
      <c r="B1220" s="115" t="s">
        <v>7708</v>
      </c>
      <c r="C1220" s="116" t="s">
        <v>16</v>
      </c>
      <c r="D1220" s="116">
        <v>0</v>
      </c>
      <c r="E1220" s="136" t="s">
        <v>416</v>
      </c>
      <c r="F1220" s="137" t="str">
        <f t="shared" si="54"/>
        <v/>
      </c>
      <c r="G1220" s="138" t="e">
        <f>IF(A1220&lt;&gt;"",IF(AND(#REF!="Padrão",$H$4=#REF!),BDI!$B$17,IF(AND(#REF!="Padrão",$H$4=#REF!),BDI!#REF!,IF(AND(#REF!="Diferenciado",$H$4=#REF!),BDI!$E$17,IF(AND(#REF!="Diferenciado",$H$4=#REF!),BDI!#REF!,IF(#REF!="ZERO",0))))),"")</f>
        <v>#REF!</v>
      </c>
      <c r="H1220" s="139" t="str">
        <f t="shared" si="55"/>
        <v/>
      </c>
      <c r="I1220" s="137" t="str">
        <f t="shared" si="56"/>
        <v/>
      </c>
      <c r="J1220" s="117"/>
    </row>
    <row r="1221" spans="1:10" hidden="1" x14ac:dyDescent="0.25">
      <c r="A1221" s="114" t="s">
        <v>2815</v>
      </c>
      <c r="B1221" s="115" t="s">
        <v>2816</v>
      </c>
      <c r="C1221" s="116" t="s">
        <v>16</v>
      </c>
      <c r="D1221" s="116">
        <v>0</v>
      </c>
      <c r="E1221" s="136" t="s">
        <v>416</v>
      </c>
      <c r="F1221" s="137" t="str">
        <f t="shared" si="54"/>
        <v/>
      </c>
      <c r="G1221" s="138" t="e">
        <f>IF(A1221&lt;&gt;"",IF(AND(#REF!="Padrão",$H$4=#REF!),BDI!$B$17,IF(AND(#REF!="Padrão",$H$4=#REF!),BDI!#REF!,IF(AND(#REF!="Diferenciado",$H$4=#REF!),BDI!$E$17,IF(AND(#REF!="Diferenciado",$H$4=#REF!),BDI!#REF!,IF(#REF!="ZERO",0))))),"")</f>
        <v>#REF!</v>
      </c>
      <c r="H1221" s="139" t="str">
        <f t="shared" si="55"/>
        <v/>
      </c>
      <c r="I1221" s="137" t="str">
        <f t="shared" si="56"/>
        <v/>
      </c>
      <c r="J1221" s="117"/>
    </row>
    <row r="1222" spans="1:10" hidden="1" x14ac:dyDescent="0.25">
      <c r="A1222" s="114" t="s">
        <v>2817</v>
      </c>
      <c r="B1222" s="115" t="s">
        <v>2818</v>
      </c>
      <c r="C1222" s="116" t="s">
        <v>16</v>
      </c>
      <c r="D1222" s="116">
        <v>0</v>
      </c>
      <c r="E1222" s="136" t="s">
        <v>416</v>
      </c>
      <c r="F1222" s="137" t="str">
        <f t="shared" si="54"/>
        <v/>
      </c>
      <c r="G1222" s="138" t="e">
        <f>IF(A1222&lt;&gt;"",IF(AND(#REF!="Padrão",$H$4=#REF!),BDI!$B$17,IF(AND(#REF!="Padrão",$H$4=#REF!),BDI!#REF!,IF(AND(#REF!="Diferenciado",$H$4=#REF!),BDI!$E$17,IF(AND(#REF!="Diferenciado",$H$4=#REF!),BDI!#REF!,IF(#REF!="ZERO",0))))),"")</f>
        <v>#REF!</v>
      </c>
      <c r="H1222" s="139" t="str">
        <f t="shared" si="55"/>
        <v/>
      </c>
      <c r="I1222" s="137" t="str">
        <f t="shared" si="56"/>
        <v/>
      </c>
      <c r="J1222" s="117"/>
    </row>
    <row r="1223" spans="1:10" hidden="1" x14ac:dyDescent="0.25">
      <c r="A1223" s="114" t="s">
        <v>2819</v>
      </c>
      <c r="B1223" s="115" t="s">
        <v>2820</v>
      </c>
      <c r="C1223" s="116" t="s">
        <v>16</v>
      </c>
      <c r="D1223" s="116">
        <v>0</v>
      </c>
      <c r="E1223" s="136" t="s">
        <v>416</v>
      </c>
      <c r="F1223" s="137" t="str">
        <f t="shared" ref="F1223:F1239" si="57">IF(ISNUMBER(E1223),D1223*E1223,"")</f>
        <v/>
      </c>
      <c r="G1223" s="138" t="e">
        <f>IF(A1223&lt;&gt;"",IF(AND(#REF!="Padrão",$H$4=#REF!),BDI!$B$17,IF(AND(#REF!="Padrão",$H$4=#REF!),BDI!#REF!,IF(AND(#REF!="Diferenciado",$H$4=#REF!),BDI!$E$17,IF(AND(#REF!="Diferenciado",$H$4=#REF!),BDI!#REF!,IF(#REF!="ZERO",0))))),"")</f>
        <v>#REF!</v>
      </c>
      <c r="H1223" s="139" t="str">
        <f t="shared" ref="H1223:H1239" si="58">IF(ISNUMBER(E1223),ROUND(E1223*(1+G1223),2),"")</f>
        <v/>
      </c>
      <c r="I1223" s="137" t="str">
        <f t="shared" ref="I1223:I1239" si="59">IF(ISNUMBER(E1223),ROUND(H1223*D1223,2),"")</f>
        <v/>
      </c>
      <c r="J1223" s="117"/>
    </row>
    <row r="1224" spans="1:10" hidden="1" x14ac:dyDescent="0.25">
      <c r="A1224" s="114" t="s">
        <v>2821</v>
      </c>
      <c r="B1224" s="115" t="s">
        <v>2822</v>
      </c>
      <c r="C1224" s="116" t="s">
        <v>16</v>
      </c>
      <c r="D1224" s="116">
        <v>0</v>
      </c>
      <c r="E1224" s="136">
        <f ca="1">OFFSET(INDEX(Composições!A:J,MATCH(Orçamentária!A1224,Composições!A:A,0),8),2,0)</f>
        <v>1072.4074999999998</v>
      </c>
      <c r="F1224" s="137">
        <f t="shared" ca="1" si="57"/>
        <v>0</v>
      </c>
      <c r="G1224" s="138" t="e">
        <f>IF(A1224&lt;&gt;"",IF(AND(#REF!="Padrão",$H$4=#REF!),BDI!$B$17,IF(AND(#REF!="Padrão",$H$4=#REF!),BDI!#REF!,IF(AND(#REF!="Diferenciado",$H$4=#REF!),BDI!$E$17,IF(AND(#REF!="Diferenciado",$H$4=#REF!),BDI!#REF!,IF(#REF!="ZERO",0))))),"")</f>
        <v>#REF!</v>
      </c>
      <c r="H1224" s="139" t="e">
        <f t="shared" ca="1" si="58"/>
        <v>#REF!</v>
      </c>
      <c r="I1224" s="137" t="e">
        <f t="shared" ca="1" si="59"/>
        <v>#REF!</v>
      </c>
      <c r="J1224" s="117"/>
    </row>
    <row r="1225" spans="1:10" hidden="1" x14ac:dyDescent="0.25">
      <c r="A1225" s="114" t="s">
        <v>2823</v>
      </c>
      <c r="B1225" s="115" t="s">
        <v>5489</v>
      </c>
      <c r="C1225" s="116" t="s">
        <v>16</v>
      </c>
      <c r="D1225" s="116">
        <v>0</v>
      </c>
      <c r="E1225" s="136" t="s">
        <v>416</v>
      </c>
      <c r="F1225" s="137" t="str">
        <f t="shared" si="57"/>
        <v/>
      </c>
      <c r="G1225" s="138" t="e">
        <f>IF(A1225&lt;&gt;"",IF(AND(#REF!="Padrão",$H$4=#REF!),BDI!$B$17,IF(AND(#REF!="Padrão",$H$4=#REF!),BDI!#REF!,IF(AND(#REF!="Diferenciado",$H$4=#REF!),BDI!$E$17,IF(AND(#REF!="Diferenciado",$H$4=#REF!),BDI!#REF!,IF(#REF!="ZERO",0))))),"")</f>
        <v>#REF!</v>
      </c>
      <c r="H1225" s="139" t="str">
        <f t="shared" si="58"/>
        <v/>
      </c>
      <c r="I1225" s="137" t="str">
        <f t="shared" si="59"/>
        <v/>
      </c>
      <c r="J1225" s="117"/>
    </row>
    <row r="1226" spans="1:10" hidden="1" x14ac:dyDescent="0.25">
      <c r="A1226" s="114" t="s">
        <v>2824</v>
      </c>
      <c r="B1226" s="115" t="s">
        <v>2825</v>
      </c>
      <c r="C1226" s="116" t="s">
        <v>16</v>
      </c>
      <c r="D1226" s="116">
        <v>0</v>
      </c>
      <c r="E1226" s="136" t="s">
        <v>416</v>
      </c>
      <c r="F1226" s="137" t="str">
        <f t="shared" si="57"/>
        <v/>
      </c>
      <c r="G1226" s="138" t="e">
        <f>IF(A1226&lt;&gt;"",IF(AND(#REF!="Padrão",$H$4=#REF!),BDI!$B$17,IF(AND(#REF!="Padrão",$H$4=#REF!),BDI!#REF!,IF(AND(#REF!="Diferenciado",$H$4=#REF!),BDI!$E$17,IF(AND(#REF!="Diferenciado",$H$4=#REF!),BDI!#REF!,IF(#REF!="ZERO",0))))),"")</f>
        <v>#REF!</v>
      </c>
      <c r="H1226" s="139" t="str">
        <f t="shared" si="58"/>
        <v/>
      </c>
      <c r="I1226" s="137" t="str">
        <f t="shared" si="59"/>
        <v/>
      </c>
      <c r="J1226" s="117"/>
    </row>
    <row r="1227" spans="1:10" hidden="1" x14ac:dyDescent="0.25">
      <c r="A1227" s="114" t="s">
        <v>2826</v>
      </c>
      <c r="B1227" s="115" t="s">
        <v>2827</v>
      </c>
      <c r="C1227" s="116" t="s">
        <v>16</v>
      </c>
      <c r="D1227" s="116">
        <v>0</v>
      </c>
      <c r="E1227" s="136" t="s">
        <v>416</v>
      </c>
      <c r="F1227" s="137" t="str">
        <f t="shared" si="57"/>
        <v/>
      </c>
      <c r="G1227" s="138" t="e">
        <f>IF(A1227&lt;&gt;"",IF(AND(#REF!="Padrão",$H$4=#REF!),BDI!$B$17,IF(AND(#REF!="Padrão",$H$4=#REF!),BDI!#REF!,IF(AND(#REF!="Diferenciado",$H$4=#REF!),BDI!$E$17,IF(AND(#REF!="Diferenciado",$H$4=#REF!),BDI!#REF!,IF(#REF!="ZERO",0))))),"")</f>
        <v>#REF!</v>
      </c>
      <c r="H1227" s="139" t="str">
        <f t="shared" si="58"/>
        <v/>
      </c>
      <c r="I1227" s="137" t="str">
        <f t="shared" si="59"/>
        <v/>
      </c>
      <c r="J1227" s="117"/>
    </row>
    <row r="1228" spans="1:10" hidden="1" x14ac:dyDescent="0.25">
      <c r="A1228" s="114" t="s">
        <v>2828</v>
      </c>
      <c r="B1228" s="115" t="s">
        <v>2829</v>
      </c>
      <c r="C1228" s="116" t="s">
        <v>69</v>
      </c>
      <c r="D1228" s="116">
        <v>0</v>
      </c>
      <c r="E1228" s="136" t="s">
        <v>416</v>
      </c>
      <c r="F1228" s="137" t="str">
        <f t="shared" si="57"/>
        <v/>
      </c>
      <c r="G1228" s="138" t="e">
        <f>IF(A1228&lt;&gt;"",IF(AND(#REF!="Padrão",$H$4=#REF!),BDI!$B$17,IF(AND(#REF!="Padrão",$H$4=#REF!),BDI!#REF!,IF(AND(#REF!="Diferenciado",$H$4=#REF!),BDI!$E$17,IF(AND(#REF!="Diferenciado",$H$4=#REF!),BDI!#REF!,IF(#REF!="ZERO",0))))),"")</f>
        <v>#REF!</v>
      </c>
      <c r="H1228" s="139" t="str">
        <f t="shared" si="58"/>
        <v/>
      </c>
      <c r="I1228" s="137" t="str">
        <f t="shared" si="59"/>
        <v/>
      </c>
      <c r="J1228" s="117"/>
    </row>
    <row r="1229" spans="1:10" hidden="1" x14ac:dyDescent="0.25">
      <c r="A1229" s="114" t="s">
        <v>2830</v>
      </c>
      <c r="B1229" s="115" t="s">
        <v>2831</v>
      </c>
      <c r="C1229" s="116" t="s">
        <v>16</v>
      </c>
      <c r="D1229" s="116">
        <v>0</v>
      </c>
      <c r="E1229" s="136" t="s">
        <v>416</v>
      </c>
      <c r="F1229" s="137" t="str">
        <f t="shared" si="57"/>
        <v/>
      </c>
      <c r="G1229" s="138" t="e">
        <f>IF(A1229&lt;&gt;"",IF(AND(#REF!="Padrão",$H$4=#REF!),BDI!$B$17,IF(AND(#REF!="Padrão",$H$4=#REF!),BDI!#REF!,IF(AND(#REF!="Diferenciado",$H$4=#REF!),BDI!$E$17,IF(AND(#REF!="Diferenciado",$H$4=#REF!),BDI!#REF!,IF(#REF!="ZERO",0))))),"")</f>
        <v>#REF!</v>
      </c>
      <c r="H1229" s="139" t="str">
        <f t="shared" si="58"/>
        <v/>
      </c>
      <c r="I1229" s="137" t="str">
        <f t="shared" si="59"/>
        <v/>
      </c>
      <c r="J1229" s="117"/>
    </row>
    <row r="1230" spans="1:10" hidden="1" x14ac:dyDescent="0.25">
      <c r="A1230" s="114" t="s">
        <v>2832</v>
      </c>
      <c r="B1230" s="115" t="s">
        <v>2833</v>
      </c>
      <c r="C1230" s="116" t="s">
        <v>70</v>
      </c>
      <c r="D1230" s="116">
        <v>0</v>
      </c>
      <c r="E1230" s="136">
        <f ca="1">OFFSET(INDEX(Composições!A:J,MATCH(Orçamentária!A1230,Composições!A:A,0),8),2,0)</f>
        <v>43.908999999999999</v>
      </c>
      <c r="F1230" s="137">
        <f t="shared" ca="1" si="57"/>
        <v>0</v>
      </c>
      <c r="G1230" s="138" t="e">
        <f>IF(A1230&lt;&gt;"",IF(AND(#REF!="Padrão",$H$4=#REF!),BDI!$B$17,IF(AND(#REF!="Padrão",$H$4=#REF!),BDI!#REF!,IF(AND(#REF!="Diferenciado",$H$4=#REF!),BDI!$E$17,IF(AND(#REF!="Diferenciado",$H$4=#REF!),BDI!#REF!,IF(#REF!="ZERO",0))))),"")</f>
        <v>#REF!</v>
      </c>
      <c r="H1230" s="139" t="e">
        <f t="shared" ca="1" si="58"/>
        <v>#REF!</v>
      </c>
      <c r="I1230" s="137" t="e">
        <f t="shared" ca="1" si="59"/>
        <v>#REF!</v>
      </c>
      <c r="J1230" s="117"/>
    </row>
    <row r="1231" spans="1:10" hidden="1" x14ac:dyDescent="0.25">
      <c r="A1231" s="114" t="s">
        <v>2834</v>
      </c>
      <c r="B1231" s="115" t="s">
        <v>2835</v>
      </c>
      <c r="C1231" s="116" t="s">
        <v>75</v>
      </c>
      <c r="D1231" s="116">
        <v>0</v>
      </c>
      <c r="E1231" s="136">
        <f ca="1">OFFSET(INDEX(Composições!A:J,MATCH(Orçamentária!A1231,Composições!A:A,0),8),2,0)</f>
        <v>18.506</v>
      </c>
      <c r="F1231" s="137">
        <f t="shared" ca="1" si="57"/>
        <v>0</v>
      </c>
      <c r="G1231" s="138" t="e">
        <f>IF(A1231&lt;&gt;"",IF(AND(#REF!="Padrão",$H$4=#REF!),BDI!$B$17,IF(AND(#REF!="Padrão",$H$4=#REF!),BDI!#REF!,IF(AND(#REF!="Diferenciado",$H$4=#REF!),BDI!$E$17,IF(AND(#REF!="Diferenciado",$H$4=#REF!),BDI!#REF!,IF(#REF!="ZERO",0))))),"")</f>
        <v>#REF!</v>
      </c>
      <c r="H1231" s="139" t="e">
        <f t="shared" ca="1" si="58"/>
        <v>#REF!</v>
      </c>
      <c r="I1231" s="137" t="e">
        <f t="shared" ca="1" si="59"/>
        <v>#REF!</v>
      </c>
      <c r="J1231" s="117"/>
    </row>
    <row r="1232" spans="1:10" ht="38.25" hidden="1" x14ac:dyDescent="0.25">
      <c r="A1232" s="114" t="s">
        <v>2836</v>
      </c>
      <c r="B1232" s="115" t="s">
        <v>7712</v>
      </c>
      <c r="C1232" s="116" t="s">
        <v>16</v>
      </c>
      <c r="D1232" s="116">
        <v>0</v>
      </c>
      <c r="E1232" s="136" t="s">
        <v>416</v>
      </c>
      <c r="F1232" s="137" t="str">
        <f t="shared" si="57"/>
        <v/>
      </c>
      <c r="G1232" s="138" t="e">
        <f>IF(A1232&lt;&gt;"",IF(AND(#REF!="Padrão",$H$4=#REF!),BDI!$B$17,IF(AND(#REF!="Padrão",$H$4=#REF!),BDI!#REF!,IF(AND(#REF!="Diferenciado",$H$4=#REF!),BDI!$E$17,IF(AND(#REF!="Diferenciado",$H$4=#REF!),BDI!#REF!,IF(#REF!="ZERO",0))))),"")</f>
        <v>#REF!</v>
      </c>
      <c r="H1232" s="139" t="str">
        <f t="shared" si="58"/>
        <v/>
      </c>
      <c r="I1232" s="137" t="str">
        <f t="shared" si="59"/>
        <v/>
      </c>
      <c r="J1232" s="117"/>
    </row>
    <row r="1233" spans="1:10" ht="38.25" hidden="1" x14ac:dyDescent="0.25">
      <c r="A1233" s="114" t="s">
        <v>2837</v>
      </c>
      <c r="B1233" s="115" t="s">
        <v>7711</v>
      </c>
      <c r="C1233" s="116" t="s">
        <v>16</v>
      </c>
      <c r="D1233" s="116">
        <v>0</v>
      </c>
      <c r="E1233" s="136" t="s">
        <v>416</v>
      </c>
      <c r="F1233" s="137" t="str">
        <f t="shared" si="57"/>
        <v/>
      </c>
      <c r="G1233" s="138" t="e">
        <f>IF(A1233&lt;&gt;"",IF(AND(#REF!="Padrão",$H$4=#REF!),BDI!$B$17,IF(AND(#REF!="Padrão",$H$4=#REF!),BDI!#REF!,IF(AND(#REF!="Diferenciado",$H$4=#REF!),BDI!$E$17,IF(AND(#REF!="Diferenciado",$H$4=#REF!),BDI!#REF!,IF(#REF!="ZERO",0))))),"")</f>
        <v>#REF!</v>
      </c>
      <c r="H1233" s="139" t="str">
        <f t="shared" si="58"/>
        <v/>
      </c>
      <c r="I1233" s="137" t="str">
        <f t="shared" si="59"/>
        <v/>
      </c>
      <c r="J1233" s="117"/>
    </row>
    <row r="1234" spans="1:10" ht="25.5" hidden="1" x14ac:dyDescent="0.25">
      <c r="A1234" s="114" t="s">
        <v>2838</v>
      </c>
      <c r="B1234" s="115" t="s">
        <v>7710</v>
      </c>
      <c r="C1234" s="116" t="s">
        <v>16</v>
      </c>
      <c r="D1234" s="116">
        <v>0</v>
      </c>
      <c r="E1234" s="136" t="s">
        <v>416</v>
      </c>
      <c r="F1234" s="137" t="str">
        <f t="shared" si="57"/>
        <v/>
      </c>
      <c r="G1234" s="138" t="e">
        <f>IF(A1234&lt;&gt;"",IF(AND(#REF!="Padrão",$H$4=#REF!),BDI!$B$17,IF(AND(#REF!="Padrão",$H$4=#REF!),BDI!#REF!,IF(AND(#REF!="Diferenciado",$H$4=#REF!),BDI!$E$17,IF(AND(#REF!="Diferenciado",$H$4=#REF!),BDI!#REF!,IF(#REF!="ZERO",0))))),"")</f>
        <v>#REF!</v>
      </c>
      <c r="H1234" s="139" t="str">
        <f t="shared" si="58"/>
        <v/>
      </c>
      <c r="I1234" s="137" t="str">
        <f t="shared" si="59"/>
        <v/>
      </c>
      <c r="J1234" s="117"/>
    </row>
    <row r="1235" spans="1:10" hidden="1" x14ac:dyDescent="0.25">
      <c r="A1235" s="114" t="s">
        <v>2839</v>
      </c>
      <c r="B1235" s="115" t="s">
        <v>2840</v>
      </c>
      <c r="C1235" s="116" t="s">
        <v>16</v>
      </c>
      <c r="D1235" s="116">
        <v>0</v>
      </c>
      <c r="E1235" s="136" t="s">
        <v>416</v>
      </c>
      <c r="F1235" s="137" t="str">
        <f t="shared" si="57"/>
        <v/>
      </c>
      <c r="G1235" s="138" t="e">
        <f>IF(A1235&lt;&gt;"",IF(AND(#REF!="Padrão",$H$4=#REF!),BDI!$B$17,IF(AND(#REF!="Padrão",$H$4=#REF!),BDI!#REF!,IF(AND(#REF!="Diferenciado",$H$4=#REF!),BDI!$E$17,IF(AND(#REF!="Diferenciado",$H$4=#REF!),BDI!#REF!,IF(#REF!="ZERO",0))))),"")</f>
        <v>#REF!</v>
      </c>
      <c r="H1235" s="139" t="str">
        <f t="shared" si="58"/>
        <v/>
      </c>
      <c r="I1235" s="137" t="str">
        <f t="shared" si="59"/>
        <v/>
      </c>
      <c r="J1235" s="117"/>
    </row>
    <row r="1236" spans="1:10" hidden="1" x14ac:dyDescent="0.25">
      <c r="A1236" s="114" t="s">
        <v>2841</v>
      </c>
      <c r="B1236" s="115" t="s">
        <v>7713</v>
      </c>
      <c r="C1236" s="116" t="s">
        <v>5414</v>
      </c>
      <c r="D1236" s="116">
        <v>0</v>
      </c>
      <c r="E1236" s="136" t="s">
        <v>416</v>
      </c>
      <c r="F1236" s="137" t="str">
        <f t="shared" si="57"/>
        <v/>
      </c>
      <c r="G1236" s="138" t="e">
        <f>IF(A1236&lt;&gt;"",IF(AND(#REF!="Padrão",$H$4=#REF!),BDI!$B$17,IF(AND(#REF!="Padrão",$H$4=#REF!),BDI!#REF!,IF(AND(#REF!="Diferenciado",$H$4=#REF!),BDI!$E$17,IF(AND(#REF!="Diferenciado",$H$4=#REF!),BDI!#REF!,IF(#REF!="ZERO",0))))),"")</f>
        <v>#REF!</v>
      </c>
      <c r="H1236" s="139" t="str">
        <f t="shared" si="58"/>
        <v/>
      </c>
      <c r="I1236" s="137" t="str">
        <f t="shared" si="59"/>
        <v/>
      </c>
      <c r="J1236" s="117"/>
    </row>
    <row r="1237" spans="1:10" hidden="1" x14ac:dyDescent="0.25">
      <c r="A1237" s="114" t="s">
        <v>1263</v>
      </c>
      <c r="B1237" s="115" t="s">
        <v>2842</v>
      </c>
      <c r="C1237" s="116" t="s">
        <v>70</v>
      </c>
      <c r="D1237" s="116">
        <v>0</v>
      </c>
      <c r="E1237" s="136">
        <f ca="1">OFFSET(INDEX(Composições!A:J,MATCH(Orçamentária!A1237,Composições!A:A,0),8),2,0)</f>
        <v>15.1563</v>
      </c>
      <c r="F1237" s="137">
        <f t="shared" ca="1" si="57"/>
        <v>0</v>
      </c>
      <c r="G1237" s="138" t="e">
        <f>IF(A1237&lt;&gt;"",IF(AND(#REF!="Padrão",$H$4=#REF!),BDI!$B$17,IF(AND(#REF!="Padrão",$H$4=#REF!),BDI!#REF!,IF(AND(#REF!="Diferenciado",$H$4=#REF!),BDI!$E$17,IF(AND(#REF!="Diferenciado",$H$4=#REF!),BDI!#REF!,IF(#REF!="ZERO",0))))),"")</f>
        <v>#REF!</v>
      </c>
      <c r="H1237" s="139" t="e">
        <f t="shared" ca="1" si="58"/>
        <v>#REF!</v>
      </c>
      <c r="I1237" s="137" t="e">
        <f t="shared" ca="1" si="59"/>
        <v>#REF!</v>
      </c>
      <c r="J1237" s="117"/>
    </row>
    <row r="1238" spans="1:10" hidden="1" x14ac:dyDescent="0.25">
      <c r="A1238" s="114" t="s">
        <v>1266</v>
      </c>
      <c r="B1238" s="115" t="s">
        <v>2843</v>
      </c>
      <c r="C1238" s="116" t="s">
        <v>70</v>
      </c>
      <c r="D1238" s="116">
        <v>0</v>
      </c>
      <c r="E1238" s="136">
        <f ca="1">OFFSET(INDEX(Composições!A:J,MATCH(Orçamentária!A1238,Composições!A:A,0),8),2,0)</f>
        <v>2.2941549999999999</v>
      </c>
      <c r="F1238" s="137">
        <f t="shared" ca="1" si="57"/>
        <v>0</v>
      </c>
      <c r="G1238" s="138" t="e">
        <f>IF(A1238&lt;&gt;"",IF(AND(#REF!="Padrão",$H$4=#REF!),BDI!$B$17,IF(AND(#REF!="Padrão",$H$4=#REF!),BDI!#REF!,IF(AND(#REF!="Diferenciado",$H$4=#REF!),BDI!$E$17,IF(AND(#REF!="Diferenciado",$H$4=#REF!),BDI!#REF!,IF(#REF!="ZERO",0))))),"")</f>
        <v>#REF!</v>
      </c>
      <c r="H1238" s="139" t="e">
        <f t="shared" ca="1" si="58"/>
        <v>#REF!</v>
      </c>
      <c r="I1238" s="137" t="e">
        <f t="shared" ca="1" si="59"/>
        <v>#REF!</v>
      </c>
      <c r="J1238" s="117"/>
    </row>
    <row r="1239" spans="1:10" hidden="1" x14ac:dyDescent="0.25">
      <c r="A1239" s="114" t="s">
        <v>2844</v>
      </c>
      <c r="B1239" s="115" t="s">
        <v>5490</v>
      </c>
      <c r="C1239" s="116" t="s">
        <v>16</v>
      </c>
      <c r="D1239" s="116">
        <v>0</v>
      </c>
      <c r="E1239" s="136" t="s">
        <v>416</v>
      </c>
      <c r="F1239" s="137" t="str">
        <f t="shared" si="57"/>
        <v/>
      </c>
      <c r="G1239" s="138" t="e">
        <f>IF(A1239&lt;&gt;"",IF(AND(#REF!="Padrão",$H$4=#REF!),BDI!$B$17,IF(AND(#REF!="Padrão",$H$4=#REF!),BDI!#REF!,IF(AND(#REF!="Diferenciado",$H$4=#REF!),BDI!$E$17,IF(AND(#REF!="Diferenciado",$H$4=#REF!),BDI!#REF!,IF(#REF!="ZERO",0))))),"")</f>
        <v>#REF!</v>
      </c>
      <c r="H1239" s="139" t="str">
        <f t="shared" si="58"/>
        <v/>
      </c>
      <c r="I1239" s="137" t="str">
        <f t="shared" si="59"/>
        <v/>
      </c>
      <c r="J1239" s="117"/>
    </row>
    <row r="1240" spans="1:10" hidden="1" x14ac:dyDescent="0.25">
      <c r="A1240" s="114" t="s">
        <v>2956</v>
      </c>
      <c r="B1240" s="115" t="s">
        <v>3013</v>
      </c>
      <c r="C1240" s="116" t="s">
        <v>16</v>
      </c>
      <c r="D1240" s="116">
        <v>0</v>
      </c>
      <c r="E1240" s="136">
        <f ca="1">OFFSET(INDEX(Composições!A:J,MATCH(Orçamentária!A1240,Composições!A:A,0),8),2,0)</f>
        <v>925.0633044599997</v>
      </c>
      <c r="F1240" s="137">
        <f t="shared" ref="F1240:F1291" ca="1" si="60">IF(ISNUMBER(E1240),D1240*E1240,"")</f>
        <v>0</v>
      </c>
      <c r="G1240" s="138" t="e">
        <f>IF(A1240&lt;&gt;"",IF(AND(#REF!="Padrão",$H$4=#REF!),BDI!$B$17,IF(AND(#REF!="Padrão",$H$4=#REF!),BDI!#REF!,IF(AND(#REF!="Diferenciado",$H$4=#REF!),BDI!$E$17,IF(AND(#REF!="Diferenciado",$H$4=#REF!),BDI!#REF!,IF(#REF!="ZERO",0))))),"")</f>
        <v>#REF!</v>
      </c>
      <c r="H1240" s="139" t="e">
        <f t="shared" ref="H1240:H1291" ca="1" si="61">IF(ISNUMBER(E1240),ROUND(E1240*(1+G1240),2),"")</f>
        <v>#REF!</v>
      </c>
      <c r="I1240" s="137" t="e">
        <f t="shared" ref="I1240:I1291" ca="1" si="62">IF(ISNUMBER(E1240),ROUND(H1240*D1240,2),"")</f>
        <v>#REF!</v>
      </c>
      <c r="J1240" s="117"/>
    </row>
    <row r="1241" spans="1:10" hidden="1" x14ac:dyDescent="0.25">
      <c r="A1241" s="114" t="s">
        <v>2957</v>
      </c>
      <c r="B1241" s="115" t="s">
        <v>3014</v>
      </c>
      <c r="C1241" s="116" t="s">
        <v>16</v>
      </c>
      <c r="D1241" s="116">
        <v>0</v>
      </c>
      <c r="E1241" s="136">
        <f ca="1">OFFSET(INDEX(Composições!A:J,MATCH(Orçamentária!A1241,Composições!A:A,0),8),2,0)</f>
        <v>957.50317758333313</v>
      </c>
      <c r="F1241" s="137">
        <f t="shared" ca="1" si="60"/>
        <v>0</v>
      </c>
      <c r="G1241" s="138" t="e">
        <f>IF(A1241&lt;&gt;"",IF(AND(#REF!="Padrão",$H$4=#REF!),BDI!$B$17,IF(AND(#REF!="Padrão",$H$4=#REF!),BDI!#REF!,IF(AND(#REF!="Diferenciado",$H$4=#REF!),BDI!$E$17,IF(AND(#REF!="Diferenciado",$H$4=#REF!),BDI!#REF!,IF(#REF!="ZERO",0))))),"")</f>
        <v>#REF!</v>
      </c>
      <c r="H1241" s="139" t="e">
        <f t="shared" ca="1" si="61"/>
        <v>#REF!</v>
      </c>
      <c r="I1241" s="137" t="e">
        <f t="shared" ca="1" si="62"/>
        <v>#REF!</v>
      </c>
      <c r="J1241" s="117"/>
    </row>
    <row r="1242" spans="1:10" hidden="1" x14ac:dyDescent="0.25">
      <c r="A1242" s="114" t="s">
        <v>2958</v>
      </c>
      <c r="B1242" s="115" t="s">
        <v>3015</v>
      </c>
      <c r="C1242" s="116" t="s">
        <v>16</v>
      </c>
      <c r="D1242" s="116">
        <v>0</v>
      </c>
      <c r="E1242" s="136" t="s">
        <v>416</v>
      </c>
      <c r="F1242" s="137" t="str">
        <f t="shared" si="60"/>
        <v/>
      </c>
      <c r="G1242" s="138" t="e">
        <f>IF(A1242&lt;&gt;"",IF(AND(#REF!="Padrão",$H$4=#REF!),BDI!$B$17,IF(AND(#REF!="Padrão",$H$4=#REF!),BDI!#REF!,IF(AND(#REF!="Diferenciado",$H$4=#REF!),BDI!$E$17,IF(AND(#REF!="Diferenciado",$H$4=#REF!),BDI!#REF!,IF(#REF!="ZERO",0))))),"")</f>
        <v>#REF!</v>
      </c>
      <c r="H1242" s="139" t="str">
        <f t="shared" si="61"/>
        <v/>
      </c>
      <c r="I1242" s="137" t="str">
        <f t="shared" si="62"/>
        <v/>
      </c>
      <c r="J1242" s="117"/>
    </row>
    <row r="1243" spans="1:10" hidden="1" x14ac:dyDescent="0.25">
      <c r="A1243" s="114" t="s">
        <v>2959</v>
      </c>
      <c r="B1243" s="115" t="s">
        <v>3016</v>
      </c>
      <c r="C1243" s="116" t="s">
        <v>16</v>
      </c>
      <c r="D1243" s="116">
        <v>0</v>
      </c>
      <c r="E1243" s="136" t="s">
        <v>416</v>
      </c>
      <c r="F1243" s="137" t="str">
        <f t="shared" si="60"/>
        <v/>
      </c>
      <c r="G1243" s="138" t="e">
        <f>IF(A1243&lt;&gt;"",IF(AND(#REF!="Padrão",$H$4=#REF!),BDI!$B$17,IF(AND(#REF!="Padrão",$H$4=#REF!),BDI!#REF!,IF(AND(#REF!="Diferenciado",$H$4=#REF!),BDI!$E$17,IF(AND(#REF!="Diferenciado",$H$4=#REF!),BDI!#REF!,IF(#REF!="ZERO",0))))),"")</f>
        <v>#REF!</v>
      </c>
      <c r="H1243" s="139" t="str">
        <f t="shared" si="61"/>
        <v/>
      </c>
      <c r="I1243" s="137" t="str">
        <f t="shared" si="62"/>
        <v/>
      </c>
      <c r="J1243" s="117"/>
    </row>
    <row r="1244" spans="1:10" hidden="1" x14ac:dyDescent="0.25">
      <c r="A1244" s="114" t="s">
        <v>2960</v>
      </c>
      <c r="B1244" s="115" t="s">
        <v>3017</v>
      </c>
      <c r="C1244" s="116" t="s">
        <v>16</v>
      </c>
      <c r="D1244" s="116">
        <v>0</v>
      </c>
      <c r="E1244" s="136" t="s">
        <v>416</v>
      </c>
      <c r="F1244" s="137" t="str">
        <f t="shared" si="60"/>
        <v/>
      </c>
      <c r="G1244" s="138" t="e">
        <f>IF(A1244&lt;&gt;"",IF(AND(#REF!="Padrão",$H$4=#REF!),BDI!$B$17,IF(AND(#REF!="Padrão",$H$4=#REF!),BDI!#REF!,IF(AND(#REF!="Diferenciado",$H$4=#REF!),BDI!$E$17,IF(AND(#REF!="Diferenciado",$H$4=#REF!),BDI!#REF!,IF(#REF!="ZERO",0))))),"")</f>
        <v>#REF!</v>
      </c>
      <c r="H1244" s="139" t="str">
        <f t="shared" si="61"/>
        <v/>
      </c>
      <c r="I1244" s="137" t="str">
        <f t="shared" si="62"/>
        <v/>
      </c>
      <c r="J1244" s="117"/>
    </row>
    <row r="1245" spans="1:10" hidden="1" x14ac:dyDescent="0.25">
      <c r="A1245" s="114" t="s">
        <v>2961</v>
      </c>
      <c r="B1245" s="115" t="s">
        <v>3018</v>
      </c>
      <c r="C1245" s="116" t="s">
        <v>16</v>
      </c>
      <c r="D1245" s="116">
        <v>0</v>
      </c>
      <c r="E1245" s="136">
        <f ca="1">OFFSET(INDEX(Composições!A:J,MATCH(Orçamentária!A1245,Composições!A:A,0),8),2,0)</f>
        <v>3.7591499999999991</v>
      </c>
      <c r="F1245" s="137">
        <f t="shared" ca="1" si="60"/>
        <v>0</v>
      </c>
      <c r="G1245" s="138" t="e">
        <f>IF(A1245&lt;&gt;"",IF(AND(#REF!="Padrão",$H$4=#REF!),BDI!$B$17,IF(AND(#REF!="Padrão",$H$4=#REF!),BDI!#REF!,IF(AND(#REF!="Diferenciado",$H$4=#REF!),BDI!$E$17,IF(AND(#REF!="Diferenciado",$H$4=#REF!),BDI!#REF!,IF(#REF!="ZERO",0))))),"")</f>
        <v>#REF!</v>
      </c>
      <c r="H1245" s="139" t="e">
        <f t="shared" ca="1" si="61"/>
        <v>#REF!</v>
      </c>
      <c r="I1245" s="137" t="e">
        <f t="shared" ca="1" si="62"/>
        <v>#REF!</v>
      </c>
      <c r="J1245" s="117"/>
    </row>
    <row r="1246" spans="1:10" hidden="1" x14ac:dyDescent="0.25">
      <c r="A1246" s="114" t="s">
        <v>2962</v>
      </c>
      <c r="B1246" s="115" t="s">
        <v>3019</v>
      </c>
      <c r="C1246" s="116" t="s">
        <v>16</v>
      </c>
      <c r="D1246" s="116">
        <v>0</v>
      </c>
      <c r="E1246" s="136">
        <f ca="1">OFFSET(INDEX(Composições!A:J,MATCH(Orçamentária!A1246,Composições!A:A,0),8),2,0)</f>
        <v>3.7591499999999991</v>
      </c>
      <c r="F1246" s="137">
        <f t="shared" ca="1" si="60"/>
        <v>0</v>
      </c>
      <c r="G1246" s="138" t="e">
        <f>IF(A1246&lt;&gt;"",IF(AND(#REF!="Padrão",$H$4=#REF!),BDI!$B$17,IF(AND(#REF!="Padrão",$H$4=#REF!),BDI!#REF!,IF(AND(#REF!="Diferenciado",$H$4=#REF!),BDI!$E$17,IF(AND(#REF!="Diferenciado",$H$4=#REF!),BDI!#REF!,IF(#REF!="ZERO",0))))),"")</f>
        <v>#REF!</v>
      </c>
      <c r="H1246" s="139" t="e">
        <f t="shared" ca="1" si="61"/>
        <v>#REF!</v>
      </c>
      <c r="I1246" s="137" t="e">
        <f t="shared" ca="1" si="62"/>
        <v>#REF!</v>
      </c>
      <c r="J1246" s="117"/>
    </row>
    <row r="1247" spans="1:10" hidden="1" x14ac:dyDescent="0.25">
      <c r="A1247" s="114" t="s">
        <v>2963</v>
      </c>
      <c r="B1247" s="115" t="s">
        <v>3020</v>
      </c>
      <c r="C1247" s="116" t="s">
        <v>16</v>
      </c>
      <c r="D1247" s="116">
        <v>0</v>
      </c>
      <c r="E1247" s="136">
        <f ca="1">OFFSET(INDEX(Composições!A:J,MATCH(Orçamentária!A1247,Composições!A:A,0),8),2,0)</f>
        <v>3.7591499999999991</v>
      </c>
      <c r="F1247" s="137">
        <f t="shared" ca="1" si="60"/>
        <v>0</v>
      </c>
      <c r="G1247" s="138" t="e">
        <f>IF(A1247&lt;&gt;"",IF(AND(#REF!="Padrão",$H$4=#REF!),BDI!$B$17,IF(AND(#REF!="Padrão",$H$4=#REF!),BDI!#REF!,IF(AND(#REF!="Diferenciado",$H$4=#REF!),BDI!$E$17,IF(AND(#REF!="Diferenciado",$H$4=#REF!),BDI!#REF!,IF(#REF!="ZERO",0))))),"")</f>
        <v>#REF!</v>
      </c>
      <c r="H1247" s="139" t="e">
        <f t="shared" ca="1" si="61"/>
        <v>#REF!</v>
      </c>
      <c r="I1247" s="137" t="e">
        <f t="shared" ca="1" si="62"/>
        <v>#REF!</v>
      </c>
      <c r="J1247" s="117"/>
    </row>
    <row r="1248" spans="1:10" ht="25.5" hidden="1" x14ac:dyDescent="0.25">
      <c r="A1248" s="114" t="s">
        <v>2964</v>
      </c>
      <c r="B1248" s="115" t="s">
        <v>7714</v>
      </c>
      <c r="C1248" s="116" t="s">
        <v>69</v>
      </c>
      <c r="D1248" s="116">
        <v>0</v>
      </c>
      <c r="E1248" s="136">
        <f ca="1">OFFSET(INDEX(Composições!A:J,MATCH(Orçamentária!A1248,Composições!A:A,0),8),2,0)</f>
        <v>9.9342639999999989</v>
      </c>
      <c r="F1248" s="137">
        <f t="shared" ca="1" si="60"/>
        <v>0</v>
      </c>
      <c r="G1248" s="138" t="e">
        <f>IF(A1248&lt;&gt;"",IF(AND(#REF!="Padrão",$H$4=#REF!),BDI!$B$17,IF(AND(#REF!="Padrão",$H$4=#REF!),BDI!#REF!,IF(AND(#REF!="Diferenciado",$H$4=#REF!),BDI!$E$17,IF(AND(#REF!="Diferenciado",$H$4=#REF!),BDI!#REF!,IF(#REF!="ZERO",0))))),"")</f>
        <v>#REF!</v>
      </c>
      <c r="H1248" s="139" t="e">
        <f t="shared" ca="1" si="61"/>
        <v>#REF!</v>
      </c>
      <c r="I1248" s="137" t="e">
        <f t="shared" ca="1" si="62"/>
        <v>#REF!</v>
      </c>
      <c r="J1248" s="117"/>
    </row>
    <row r="1249" spans="1:10" hidden="1" x14ac:dyDescent="0.25">
      <c r="A1249" s="114" t="s">
        <v>2965</v>
      </c>
      <c r="B1249" s="115" t="s">
        <v>7715</v>
      </c>
      <c r="C1249" s="116" t="s">
        <v>69</v>
      </c>
      <c r="D1249" s="116">
        <v>0</v>
      </c>
      <c r="E1249" s="136">
        <f ca="1">OFFSET(INDEX(Composições!A:J,MATCH(Orçamentária!A1249,Composições!A:A,0),8),2,0)</f>
        <v>13.801599999999999</v>
      </c>
      <c r="F1249" s="137">
        <f t="shared" ca="1" si="60"/>
        <v>0</v>
      </c>
      <c r="G1249" s="138" t="e">
        <f>IF(A1249&lt;&gt;"",IF(AND(#REF!="Padrão",$H$4=#REF!),BDI!$B$17,IF(AND(#REF!="Padrão",$H$4=#REF!),BDI!#REF!,IF(AND(#REF!="Diferenciado",$H$4=#REF!),BDI!$E$17,IF(AND(#REF!="Diferenciado",$H$4=#REF!),BDI!#REF!,IF(#REF!="ZERO",0))))),"")</f>
        <v>#REF!</v>
      </c>
      <c r="H1249" s="139" t="e">
        <f t="shared" ca="1" si="61"/>
        <v>#REF!</v>
      </c>
      <c r="I1249" s="137" t="e">
        <f t="shared" ca="1" si="62"/>
        <v>#REF!</v>
      </c>
      <c r="J1249" s="117"/>
    </row>
    <row r="1250" spans="1:10" hidden="1" x14ac:dyDescent="0.25">
      <c r="A1250" s="114" t="s">
        <v>2966</v>
      </c>
      <c r="B1250" s="115" t="s">
        <v>7716</v>
      </c>
      <c r="C1250" s="116" t="s">
        <v>69</v>
      </c>
      <c r="D1250" s="116">
        <v>0</v>
      </c>
      <c r="E1250" s="136">
        <f ca="1">OFFSET(INDEX(Composições!A:J,MATCH(Orçamentária!A1250,Composições!A:A,0),8),2,0)</f>
        <v>5.9076699999999986</v>
      </c>
      <c r="F1250" s="137">
        <f t="shared" ca="1" si="60"/>
        <v>0</v>
      </c>
      <c r="G1250" s="138" t="e">
        <f>IF(A1250&lt;&gt;"",IF(AND(#REF!="Padrão",$H$4=#REF!),BDI!$B$17,IF(AND(#REF!="Padrão",$H$4=#REF!),BDI!#REF!,IF(AND(#REF!="Diferenciado",$H$4=#REF!),BDI!$E$17,IF(AND(#REF!="Diferenciado",$H$4=#REF!),BDI!#REF!,IF(#REF!="ZERO",0))))),"")</f>
        <v>#REF!</v>
      </c>
      <c r="H1250" s="139" t="e">
        <f t="shared" ca="1" si="61"/>
        <v>#REF!</v>
      </c>
      <c r="I1250" s="137" t="e">
        <f t="shared" ca="1" si="62"/>
        <v>#REF!</v>
      </c>
      <c r="J1250" s="117"/>
    </row>
    <row r="1251" spans="1:10" hidden="1" x14ac:dyDescent="0.25">
      <c r="A1251" s="114" t="s">
        <v>2967</v>
      </c>
      <c r="B1251" s="115" t="s">
        <v>7717</v>
      </c>
      <c r="C1251" s="116" t="s">
        <v>69</v>
      </c>
      <c r="D1251" s="116">
        <v>0</v>
      </c>
      <c r="E1251" s="136">
        <f ca="1">OFFSET(INDEX(Composições!A:J,MATCH(Orçamentária!A1251,Composições!A:A,0),8),2,0)</f>
        <v>15.643611999999996</v>
      </c>
      <c r="F1251" s="137">
        <f t="shared" ca="1" si="60"/>
        <v>0</v>
      </c>
      <c r="G1251" s="138" t="e">
        <f>IF(A1251&lt;&gt;"",IF(AND(#REF!="Padrão",$H$4=#REF!),BDI!$B$17,IF(AND(#REF!="Padrão",$H$4=#REF!),BDI!#REF!,IF(AND(#REF!="Diferenciado",$H$4=#REF!),BDI!$E$17,IF(AND(#REF!="Diferenciado",$H$4=#REF!),BDI!#REF!,IF(#REF!="ZERO",0))))),"")</f>
        <v>#REF!</v>
      </c>
      <c r="H1251" s="139" t="e">
        <f t="shared" ca="1" si="61"/>
        <v>#REF!</v>
      </c>
      <c r="I1251" s="137" t="e">
        <f t="shared" ca="1" si="62"/>
        <v>#REF!</v>
      </c>
      <c r="J1251" s="117"/>
    </row>
    <row r="1252" spans="1:10" hidden="1" x14ac:dyDescent="0.25">
      <c r="A1252" s="114" t="s">
        <v>2968</v>
      </c>
      <c r="B1252" s="115" t="s">
        <v>7718</v>
      </c>
      <c r="C1252" s="116" t="s">
        <v>69</v>
      </c>
      <c r="D1252" s="116">
        <v>0</v>
      </c>
      <c r="E1252" s="136">
        <f ca="1">OFFSET(INDEX(Composições!A:J,MATCH(Orçamentária!A1252,Composições!A:A,0),8),2,0)</f>
        <v>17.635875999999996</v>
      </c>
      <c r="F1252" s="137">
        <f t="shared" ca="1" si="60"/>
        <v>0</v>
      </c>
      <c r="G1252" s="138" t="e">
        <f>IF(A1252&lt;&gt;"",IF(AND(#REF!="Padrão",$H$4=#REF!),BDI!$B$17,IF(AND(#REF!="Padrão",$H$4=#REF!),BDI!#REF!,IF(AND(#REF!="Diferenciado",$H$4=#REF!),BDI!$E$17,IF(AND(#REF!="Diferenciado",$H$4=#REF!),BDI!#REF!,IF(#REF!="ZERO",0))))),"")</f>
        <v>#REF!</v>
      </c>
      <c r="H1252" s="139" t="e">
        <f t="shared" ca="1" si="61"/>
        <v>#REF!</v>
      </c>
      <c r="I1252" s="137" t="e">
        <f t="shared" ca="1" si="62"/>
        <v>#REF!</v>
      </c>
      <c r="J1252" s="117"/>
    </row>
    <row r="1253" spans="1:10" hidden="1" x14ac:dyDescent="0.25">
      <c r="A1253" s="114" t="s">
        <v>2969</v>
      </c>
      <c r="B1253" s="115" t="s">
        <v>7719</v>
      </c>
      <c r="C1253" s="116" t="s">
        <v>69</v>
      </c>
      <c r="D1253" s="116">
        <v>0</v>
      </c>
      <c r="E1253" s="136">
        <f ca="1">OFFSET(INDEX(Composições!A:J,MATCH(Orçamentária!A1253,Composições!A:A,0),8),2,0)</f>
        <v>28.456603999999999</v>
      </c>
      <c r="F1253" s="137">
        <f t="shared" ca="1" si="60"/>
        <v>0</v>
      </c>
      <c r="G1253" s="138" t="e">
        <f>IF(A1253&lt;&gt;"",IF(AND(#REF!="Padrão",$H$4=#REF!),BDI!$B$17,IF(AND(#REF!="Padrão",$H$4=#REF!),BDI!#REF!,IF(AND(#REF!="Diferenciado",$H$4=#REF!),BDI!$E$17,IF(AND(#REF!="Diferenciado",$H$4=#REF!),BDI!#REF!,IF(#REF!="ZERO",0))))),"")</f>
        <v>#REF!</v>
      </c>
      <c r="H1253" s="139" t="e">
        <f t="shared" ca="1" si="61"/>
        <v>#REF!</v>
      </c>
      <c r="I1253" s="137" t="e">
        <f t="shared" ca="1" si="62"/>
        <v>#REF!</v>
      </c>
      <c r="J1253" s="117"/>
    </row>
    <row r="1254" spans="1:10" hidden="1" x14ac:dyDescent="0.25">
      <c r="A1254" s="114" t="s">
        <v>2970</v>
      </c>
      <c r="B1254" s="115" t="s">
        <v>7720</v>
      </c>
      <c r="C1254" s="116" t="s">
        <v>69</v>
      </c>
      <c r="D1254" s="116">
        <v>0</v>
      </c>
      <c r="E1254" s="136">
        <f ca="1">OFFSET(INDEX(Composições!A:J,MATCH(Orçamentária!A1254,Composições!A:A,0),8),2,0)</f>
        <v>9.1139200000000002</v>
      </c>
      <c r="F1254" s="137">
        <f t="shared" ca="1" si="60"/>
        <v>0</v>
      </c>
      <c r="G1254" s="138" t="e">
        <f>IF(A1254&lt;&gt;"",IF(AND(#REF!="Padrão",$H$4=#REF!),BDI!$B$17,IF(AND(#REF!="Padrão",$H$4=#REF!),BDI!#REF!,IF(AND(#REF!="Diferenciado",$H$4=#REF!),BDI!$E$17,IF(AND(#REF!="Diferenciado",$H$4=#REF!),BDI!#REF!,IF(#REF!="ZERO",0))))),"")</f>
        <v>#REF!</v>
      </c>
      <c r="H1254" s="139" t="e">
        <f t="shared" ca="1" si="61"/>
        <v>#REF!</v>
      </c>
      <c r="I1254" s="137" t="e">
        <f t="shared" ca="1" si="62"/>
        <v>#REF!</v>
      </c>
      <c r="J1254" s="117"/>
    </row>
    <row r="1255" spans="1:10" hidden="1" x14ac:dyDescent="0.25">
      <c r="A1255" s="114" t="s">
        <v>2971</v>
      </c>
      <c r="B1255" s="115" t="s">
        <v>7721</v>
      </c>
      <c r="C1255" s="116" t="s">
        <v>69</v>
      </c>
      <c r="D1255" s="116">
        <v>0</v>
      </c>
      <c r="E1255" s="136">
        <f ca="1">OFFSET(INDEX(Composições!A:J,MATCH(Orçamentária!A1255,Composições!A:A,0),8),2,0)</f>
        <v>9.6608159999999987</v>
      </c>
      <c r="F1255" s="137">
        <f t="shared" ca="1" si="60"/>
        <v>0</v>
      </c>
      <c r="G1255" s="138" t="e">
        <f>IF(A1255&lt;&gt;"",IF(AND(#REF!="Padrão",$H$4=#REF!),BDI!$B$17,IF(AND(#REF!="Padrão",$H$4=#REF!),BDI!#REF!,IF(AND(#REF!="Diferenciado",$H$4=#REF!),BDI!$E$17,IF(AND(#REF!="Diferenciado",$H$4=#REF!),BDI!#REF!,IF(#REF!="ZERO",0))))),"")</f>
        <v>#REF!</v>
      </c>
      <c r="H1255" s="139" t="e">
        <f t="shared" ca="1" si="61"/>
        <v>#REF!</v>
      </c>
      <c r="I1255" s="137" t="e">
        <f t="shared" ca="1" si="62"/>
        <v>#REF!</v>
      </c>
      <c r="J1255" s="117"/>
    </row>
    <row r="1256" spans="1:10" hidden="1" x14ac:dyDescent="0.25">
      <c r="A1256" s="114" t="s">
        <v>2972</v>
      </c>
      <c r="B1256" s="115" t="s">
        <v>3021</v>
      </c>
      <c r="C1256" s="116" t="s">
        <v>16</v>
      </c>
      <c r="D1256" s="116">
        <v>0</v>
      </c>
      <c r="E1256" s="136">
        <f ca="1">OFFSET(INDEX(Composições!A:J,MATCH(Orçamentária!A1256,Composições!A:A,0),8),2,0)</f>
        <v>86.792199499999981</v>
      </c>
      <c r="F1256" s="137">
        <f t="shared" ca="1" si="60"/>
        <v>0</v>
      </c>
      <c r="G1256" s="138" t="e">
        <f>IF(A1256&lt;&gt;"",IF(AND(#REF!="Padrão",$H$4=#REF!),BDI!$B$17,IF(AND(#REF!="Padrão",$H$4=#REF!),BDI!#REF!,IF(AND(#REF!="Diferenciado",$H$4=#REF!),BDI!$E$17,IF(AND(#REF!="Diferenciado",$H$4=#REF!),BDI!#REF!,IF(#REF!="ZERO",0))))),"")</f>
        <v>#REF!</v>
      </c>
      <c r="H1256" s="139" t="e">
        <f t="shared" ca="1" si="61"/>
        <v>#REF!</v>
      </c>
      <c r="I1256" s="137" t="e">
        <f t="shared" ca="1" si="62"/>
        <v>#REF!</v>
      </c>
      <c r="J1256" s="117"/>
    </row>
    <row r="1257" spans="1:10" hidden="1" x14ac:dyDescent="0.25">
      <c r="A1257" s="114" t="s">
        <v>2973</v>
      </c>
      <c r="B1257" s="115" t="s">
        <v>3022</v>
      </c>
      <c r="C1257" s="116" t="s">
        <v>16</v>
      </c>
      <c r="D1257" s="116">
        <v>0</v>
      </c>
      <c r="E1257" s="136">
        <f ca="1">OFFSET(INDEX(Composições!A:J,MATCH(Orçamentária!A1257,Composições!A:A,0),8),2,0)</f>
        <v>86.792199499999981</v>
      </c>
      <c r="F1257" s="137">
        <f t="shared" ca="1" si="60"/>
        <v>0</v>
      </c>
      <c r="G1257" s="138" t="e">
        <f>IF(A1257&lt;&gt;"",IF(AND(#REF!="Padrão",$H$4=#REF!),BDI!$B$17,IF(AND(#REF!="Padrão",$H$4=#REF!),BDI!#REF!,IF(AND(#REF!="Diferenciado",$H$4=#REF!),BDI!$E$17,IF(AND(#REF!="Diferenciado",$H$4=#REF!),BDI!#REF!,IF(#REF!="ZERO",0))))),"")</f>
        <v>#REF!</v>
      </c>
      <c r="H1257" s="139" t="e">
        <f t="shared" ca="1" si="61"/>
        <v>#REF!</v>
      </c>
      <c r="I1257" s="137" t="e">
        <f t="shared" ca="1" si="62"/>
        <v>#REF!</v>
      </c>
      <c r="J1257" s="117"/>
    </row>
    <row r="1258" spans="1:10" hidden="1" x14ac:dyDescent="0.25">
      <c r="A1258" s="114" t="s">
        <v>2974</v>
      </c>
      <c r="B1258" s="115" t="s">
        <v>3023</v>
      </c>
      <c r="C1258" s="116" t="s">
        <v>70</v>
      </c>
      <c r="D1258" s="116">
        <v>0</v>
      </c>
      <c r="E1258" s="136" t="s">
        <v>416</v>
      </c>
      <c r="F1258" s="137" t="str">
        <f t="shared" si="60"/>
        <v/>
      </c>
      <c r="G1258" s="138" t="e">
        <f>IF(A1258&lt;&gt;"",IF(AND(#REF!="Padrão",$H$4=#REF!),BDI!$B$17,IF(AND(#REF!="Padrão",$H$4=#REF!),BDI!#REF!,IF(AND(#REF!="Diferenciado",$H$4=#REF!),BDI!$E$17,IF(AND(#REF!="Diferenciado",$H$4=#REF!),BDI!#REF!,IF(#REF!="ZERO",0))))),"")</f>
        <v>#REF!</v>
      </c>
      <c r="H1258" s="139" t="str">
        <f t="shared" si="61"/>
        <v/>
      </c>
      <c r="I1258" s="137" t="str">
        <f t="shared" si="62"/>
        <v/>
      </c>
      <c r="J1258" s="117"/>
    </row>
    <row r="1259" spans="1:10" hidden="1" x14ac:dyDescent="0.25">
      <c r="A1259" s="114" t="s">
        <v>2975</v>
      </c>
      <c r="B1259" s="115" t="s">
        <v>3024</v>
      </c>
      <c r="C1259" s="116" t="s">
        <v>70</v>
      </c>
      <c r="D1259" s="116">
        <v>0</v>
      </c>
      <c r="E1259" s="136" t="s">
        <v>416</v>
      </c>
      <c r="F1259" s="137" t="str">
        <f t="shared" si="60"/>
        <v/>
      </c>
      <c r="G1259" s="138" t="e">
        <f>IF(A1259&lt;&gt;"",IF(AND(#REF!="Padrão",$H$4=#REF!),BDI!$B$17,IF(AND(#REF!="Padrão",$H$4=#REF!),BDI!#REF!,IF(AND(#REF!="Diferenciado",$H$4=#REF!),BDI!$E$17,IF(AND(#REF!="Diferenciado",$H$4=#REF!),BDI!#REF!,IF(#REF!="ZERO",0))))),"")</f>
        <v>#REF!</v>
      </c>
      <c r="H1259" s="139" t="str">
        <f t="shared" si="61"/>
        <v/>
      </c>
      <c r="I1259" s="137" t="str">
        <f t="shared" si="62"/>
        <v/>
      </c>
      <c r="J1259" s="117"/>
    </row>
    <row r="1260" spans="1:10" hidden="1" x14ac:dyDescent="0.25">
      <c r="A1260" s="114" t="s">
        <v>2976</v>
      </c>
      <c r="B1260" s="115" t="s">
        <v>3025</v>
      </c>
      <c r="C1260" s="116" t="s">
        <v>16</v>
      </c>
      <c r="D1260" s="116">
        <v>0</v>
      </c>
      <c r="E1260" s="136">
        <f ca="1">OFFSET(INDEX(Composições!A:J,MATCH(Orçamentária!A1260,Composições!A:A,0),8),2,0)</f>
        <v>14.901851999999998</v>
      </c>
      <c r="F1260" s="137">
        <f t="shared" ca="1" si="60"/>
        <v>0</v>
      </c>
      <c r="G1260" s="138" t="e">
        <f>IF(A1260&lt;&gt;"",IF(AND(#REF!="Padrão",$H$4=#REF!),BDI!$B$17,IF(AND(#REF!="Padrão",$H$4=#REF!),BDI!#REF!,IF(AND(#REF!="Diferenciado",$H$4=#REF!),BDI!$E$17,IF(AND(#REF!="Diferenciado",$H$4=#REF!),BDI!#REF!,IF(#REF!="ZERO",0))))),"")</f>
        <v>#REF!</v>
      </c>
      <c r="H1260" s="139" t="e">
        <f t="shared" ca="1" si="61"/>
        <v>#REF!</v>
      </c>
      <c r="I1260" s="137" t="e">
        <f t="shared" ca="1" si="62"/>
        <v>#REF!</v>
      </c>
      <c r="J1260" s="117"/>
    </row>
    <row r="1261" spans="1:10" hidden="1" x14ac:dyDescent="0.25">
      <c r="A1261" s="114" t="s">
        <v>2977</v>
      </c>
      <c r="B1261" s="115" t="s">
        <v>3026</v>
      </c>
      <c r="C1261" s="116" t="s">
        <v>16</v>
      </c>
      <c r="D1261" s="116">
        <v>0</v>
      </c>
      <c r="E1261" s="136">
        <f ca="1">OFFSET(INDEX(Composições!A:J,MATCH(Orçamentária!A1261,Composições!A:A,0),8),2,0)</f>
        <v>15.538706349999998</v>
      </c>
      <c r="F1261" s="137">
        <f t="shared" ca="1" si="60"/>
        <v>0</v>
      </c>
      <c r="G1261" s="138" t="e">
        <f>IF(A1261&lt;&gt;"",IF(AND(#REF!="Padrão",$H$4=#REF!),BDI!$B$17,IF(AND(#REF!="Padrão",$H$4=#REF!),BDI!#REF!,IF(AND(#REF!="Diferenciado",$H$4=#REF!),BDI!$E$17,IF(AND(#REF!="Diferenciado",$H$4=#REF!),BDI!#REF!,IF(#REF!="ZERO",0))))),"")</f>
        <v>#REF!</v>
      </c>
      <c r="H1261" s="139" t="e">
        <f t="shared" ca="1" si="61"/>
        <v>#REF!</v>
      </c>
      <c r="I1261" s="137" t="e">
        <f t="shared" ca="1" si="62"/>
        <v>#REF!</v>
      </c>
      <c r="J1261" s="117"/>
    </row>
    <row r="1262" spans="1:10" hidden="1" x14ac:dyDescent="0.25">
      <c r="A1262" s="114" t="s">
        <v>2978</v>
      </c>
      <c r="B1262" s="115" t="s">
        <v>3027</v>
      </c>
      <c r="C1262" s="116" t="s">
        <v>16</v>
      </c>
      <c r="D1262" s="116">
        <v>0</v>
      </c>
      <c r="E1262" s="136">
        <f ca="1">OFFSET(INDEX(Composições!A:J,MATCH(Orçamentária!A1262,Composições!A:A,0),8),2,0)</f>
        <v>7.6864423999999998</v>
      </c>
      <c r="F1262" s="137">
        <f t="shared" ca="1" si="60"/>
        <v>0</v>
      </c>
      <c r="G1262" s="138" t="e">
        <f>IF(A1262&lt;&gt;"",IF(AND(#REF!="Padrão",$H$4=#REF!),BDI!$B$17,IF(AND(#REF!="Padrão",$H$4=#REF!),BDI!#REF!,IF(AND(#REF!="Diferenciado",$H$4=#REF!),BDI!$E$17,IF(AND(#REF!="Diferenciado",$H$4=#REF!),BDI!#REF!,IF(#REF!="ZERO",0))))),"")</f>
        <v>#REF!</v>
      </c>
      <c r="H1262" s="139" t="e">
        <f t="shared" ca="1" si="61"/>
        <v>#REF!</v>
      </c>
      <c r="I1262" s="137" t="e">
        <f t="shared" ca="1" si="62"/>
        <v>#REF!</v>
      </c>
      <c r="J1262" s="117"/>
    </row>
    <row r="1263" spans="1:10" hidden="1" x14ac:dyDescent="0.25">
      <c r="A1263" s="114" t="s">
        <v>2979</v>
      </c>
      <c r="B1263" s="115" t="s">
        <v>3028</v>
      </c>
      <c r="C1263" s="116" t="s">
        <v>16</v>
      </c>
      <c r="D1263" s="116">
        <v>0</v>
      </c>
      <c r="E1263" s="136">
        <f ca="1">OFFSET(INDEX(Composições!A:J,MATCH(Orçamentária!A1263,Composições!A:A,0),8),2,0)</f>
        <v>15.538706349999998</v>
      </c>
      <c r="F1263" s="137">
        <f t="shared" ca="1" si="60"/>
        <v>0</v>
      </c>
      <c r="G1263" s="138" t="e">
        <f>IF(A1263&lt;&gt;"",IF(AND(#REF!="Padrão",$H$4=#REF!),BDI!$B$17,IF(AND(#REF!="Padrão",$H$4=#REF!),BDI!#REF!,IF(AND(#REF!="Diferenciado",$H$4=#REF!),BDI!$E$17,IF(AND(#REF!="Diferenciado",$H$4=#REF!),BDI!#REF!,IF(#REF!="ZERO",0))))),"")</f>
        <v>#REF!</v>
      </c>
      <c r="H1263" s="139" t="e">
        <f t="shared" ca="1" si="61"/>
        <v>#REF!</v>
      </c>
      <c r="I1263" s="137" t="e">
        <f t="shared" ca="1" si="62"/>
        <v>#REF!</v>
      </c>
      <c r="J1263" s="117"/>
    </row>
    <row r="1264" spans="1:10" hidden="1" x14ac:dyDescent="0.25">
      <c r="A1264" s="114" t="s">
        <v>2980</v>
      </c>
      <c r="B1264" s="115" t="s">
        <v>3029</v>
      </c>
      <c r="C1264" s="116" t="s">
        <v>16</v>
      </c>
      <c r="D1264" s="116">
        <v>0</v>
      </c>
      <c r="E1264" s="136">
        <f ca="1">OFFSET(INDEX(Composições!A:J,MATCH(Orçamentária!A1264,Composições!A:A,0),8),2,0)</f>
        <v>7.6864423999999998</v>
      </c>
      <c r="F1264" s="137">
        <f t="shared" ca="1" si="60"/>
        <v>0</v>
      </c>
      <c r="G1264" s="138" t="e">
        <f>IF(A1264&lt;&gt;"",IF(AND(#REF!="Padrão",$H$4=#REF!),BDI!$B$17,IF(AND(#REF!="Padrão",$H$4=#REF!),BDI!#REF!,IF(AND(#REF!="Diferenciado",$H$4=#REF!),BDI!$E$17,IF(AND(#REF!="Diferenciado",$H$4=#REF!),BDI!#REF!,IF(#REF!="ZERO",0))))),"")</f>
        <v>#REF!</v>
      </c>
      <c r="H1264" s="139" t="e">
        <f t="shared" ca="1" si="61"/>
        <v>#REF!</v>
      </c>
      <c r="I1264" s="137" t="e">
        <f t="shared" ca="1" si="62"/>
        <v>#REF!</v>
      </c>
      <c r="J1264" s="117"/>
    </row>
    <row r="1265" spans="1:10" hidden="1" x14ac:dyDescent="0.25">
      <c r="A1265" s="114" t="s">
        <v>2981</v>
      </c>
      <c r="B1265" s="115" t="s">
        <v>3030</v>
      </c>
      <c r="C1265" s="116" t="s">
        <v>16</v>
      </c>
      <c r="D1265" s="116">
        <v>0</v>
      </c>
      <c r="E1265" s="136">
        <f ca="1">OFFSET(INDEX(Composições!A:J,MATCH(Orçamentária!A1265,Composições!A:A,0),8),2,0)</f>
        <v>7.5182999999999982</v>
      </c>
      <c r="F1265" s="137">
        <f t="shared" ca="1" si="60"/>
        <v>0</v>
      </c>
      <c r="G1265" s="138" t="e">
        <f>IF(A1265&lt;&gt;"",IF(AND(#REF!="Padrão",$H$4=#REF!),BDI!$B$17,IF(AND(#REF!="Padrão",$H$4=#REF!),BDI!#REF!,IF(AND(#REF!="Diferenciado",$H$4=#REF!),BDI!$E$17,IF(AND(#REF!="Diferenciado",$H$4=#REF!),BDI!#REF!,IF(#REF!="ZERO",0))))),"")</f>
        <v>#REF!</v>
      </c>
      <c r="H1265" s="139" t="e">
        <f t="shared" ca="1" si="61"/>
        <v>#REF!</v>
      </c>
      <c r="I1265" s="137" t="e">
        <f t="shared" ca="1" si="62"/>
        <v>#REF!</v>
      </c>
      <c r="J1265" s="117"/>
    </row>
    <row r="1266" spans="1:10" hidden="1" x14ac:dyDescent="0.25">
      <c r="A1266" s="114" t="s">
        <v>2982</v>
      </c>
      <c r="B1266" s="115" t="s">
        <v>3031</v>
      </c>
      <c r="C1266" s="116" t="s">
        <v>16</v>
      </c>
      <c r="D1266" s="116">
        <v>0</v>
      </c>
      <c r="E1266" s="136">
        <f ca="1">OFFSET(INDEX(Composições!A:J,MATCH(Orçamentária!A1266,Composições!A:A,0),8),2,0)</f>
        <v>17.427886800000003</v>
      </c>
      <c r="F1266" s="137">
        <f t="shared" ca="1" si="60"/>
        <v>0</v>
      </c>
      <c r="G1266" s="138" t="e">
        <f>IF(A1266&lt;&gt;"",IF(AND(#REF!="Padrão",$H$4=#REF!),BDI!$B$17,IF(AND(#REF!="Padrão",$H$4=#REF!),BDI!#REF!,IF(AND(#REF!="Diferenciado",$H$4=#REF!),BDI!$E$17,IF(AND(#REF!="Diferenciado",$H$4=#REF!),BDI!#REF!,IF(#REF!="ZERO",0))))),"")</f>
        <v>#REF!</v>
      </c>
      <c r="H1266" s="139" t="e">
        <f t="shared" ca="1" si="61"/>
        <v>#REF!</v>
      </c>
      <c r="I1266" s="137" t="e">
        <f t="shared" ca="1" si="62"/>
        <v>#REF!</v>
      </c>
      <c r="J1266" s="117"/>
    </row>
    <row r="1267" spans="1:10" hidden="1" x14ac:dyDescent="0.25">
      <c r="A1267" s="114" t="s">
        <v>2983</v>
      </c>
      <c r="B1267" s="115" t="s">
        <v>3032</v>
      </c>
      <c r="C1267" s="116" t="s">
        <v>16</v>
      </c>
      <c r="D1267" s="116">
        <v>0</v>
      </c>
      <c r="E1267" s="136">
        <f ca="1">OFFSET(INDEX(Composições!A:J,MATCH(Orçamentária!A1267,Composições!A:A,0),8),2,0)</f>
        <v>33.392034500000001</v>
      </c>
      <c r="F1267" s="137">
        <f t="shared" ca="1" si="60"/>
        <v>0</v>
      </c>
      <c r="G1267" s="138" t="e">
        <f>IF(A1267&lt;&gt;"",IF(AND(#REF!="Padrão",$H$4=#REF!),BDI!$B$17,IF(AND(#REF!="Padrão",$H$4=#REF!),BDI!#REF!,IF(AND(#REF!="Diferenciado",$H$4=#REF!),BDI!$E$17,IF(AND(#REF!="Diferenciado",$H$4=#REF!),BDI!#REF!,IF(#REF!="ZERO",0))))),"")</f>
        <v>#REF!</v>
      </c>
      <c r="H1267" s="139" t="e">
        <f t="shared" ca="1" si="61"/>
        <v>#REF!</v>
      </c>
      <c r="I1267" s="137" t="e">
        <f t="shared" ca="1" si="62"/>
        <v>#REF!</v>
      </c>
      <c r="J1267" s="117"/>
    </row>
    <row r="1268" spans="1:10" hidden="1" x14ac:dyDescent="0.25">
      <c r="A1268" s="114" t="s">
        <v>2984</v>
      </c>
      <c r="B1268" s="115" t="s">
        <v>3033</v>
      </c>
      <c r="C1268" s="116" t="s">
        <v>16</v>
      </c>
      <c r="D1268" s="116">
        <v>0</v>
      </c>
      <c r="E1268" s="136">
        <f ca="1">OFFSET(INDEX(Composições!A:J,MATCH(Orçamentária!A1268,Composições!A:A,0),8),2,0)</f>
        <v>35.775494250000001</v>
      </c>
      <c r="F1268" s="137">
        <f t="shared" ca="1" si="60"/>
        <v>0</v>
      </c>
      <c r="G1268" s="138" t="e">
        <f>IF(A1268&lt;&gt;"",IF(AND(#REF!="Padrão",$H$4=#REF!),BDI!$B$17,IF(AND(#REF!="Padrão",$H$4=#REF!),BDI!#REF!,IF(AND(#REF!="Diferenciado",$H$4=#REF!),BDI!$E$17,IF(AND(#REF!="Diferenciado",$H$4=#REF!),BDI!#REF!,IF(#REF!="ZERO",0))))),"")</f>
        <v>#REF!</v>
      </c>
      <c r="H1268" s="139" t="e">
        <f t="shared" ca="1" si="61"/>
        <v>#REF!</v>
      </c>
      <c r="I1268" s="137" t="e">
        <f t="shared" ca="1" si="62"/>
        <v>#REF!</v>
      </c>
      <c r="J1268" s="117"/>
    </row>
    <row r="1269" spans="1:10" hidden="1" x14ac:dyDescent="0.25">
      <c r="A1269" s="114" t="s">
        <v>2985</v>
      </c>
      <c r="B1269" s="115" t="s">
        <v>3034</v>
      </c>
      <c r="C1269" s="116" t="s">
        <v>16</v>
      </c>
      <c r="D1269" s="116">
        <v>0</v>
      </c>
      <c r="E1269" s="136">
        <f ca="1">OFFSET(INDEX(Composições!A:J,MATCH(Orçamentária!A1269,Composições!A:A,0),8),2,0)</f>
        <v>35.775494250000001</v>
      </c>
      <c r="F1269" s="137">
        <f t="shared" ca="1" si="60"/>
        <v>0</v>
      </c>
      <c r="G1269" s="138" t="e">
        <f>IF(A1269&lt;&gt;"",IF(AND(#REF!="Padrão",$H$4=#REF!),BDI!$B$17,IF(AND(#REF!="Padrão",$H$4=#REF!),BDI!#REF!,IF(AND(#REF!="Diferenciado",$H$4=#REF!),BDI!$E$17,IF(AND(#REF!="Diferenciado",$H$4=#REF!),BDI!#REF!,IF(#REF!="ZERO",0))))),"")</f>
        <v>#REF!</v>
      </c>
      <c r="H1269" s="139" t="e">
        <f t="shared" ca="1" si="61"/>
        <v>#REF!</v>
      </c>
      <c r="I1269" s="137" t="e">
        <f t="shared" ca="1" si="62"/>
        <v>#REF!</v>
      </c>
      <c r="J1269" s="117"/>
    </row>
    <row r="1270" spans="1:10" hidden="1" x14ac:dyDescent="0.25">
      <c r="A1270" s="114" t="s">
        <v>2986</v>
      </c>
      <c r="B1270" s="115" t="s">
        <v>3035</v>
      </c>
      <c r="C1270" s="116" t="s">
        <v>16</v>
      </c>
      <c r="D1270" s="116">
        <v>0</v>
      </c>
      <c r="E1270" s="136">
        <f ca="1">OFFSET(INDEX(Composições!A:J,MATCH(Orçamentária!A1270,Composições!A:A,0),8),2,0)</f>
        <v>17.07245</v>
      </c>
      <c r="F1270" s="137">
        <f t="shared" ca="1" si="60"/>
        <v>0</v>
      </c>
      <c r="G1270" s="138" t="e">
        <f>IF(A1270&lt;&gt;"",IF(AND(#REF!="Padrão",$H$4=#REF!),BDI!$B$17,IF(AND(#REF!="Padrão",$H$4=#REF!),BDI!#REF!,IF(AND(#REF!="Diferenciado",$H$4=#REF!),BDI!$E$17,IF(AND(#REF!="Diferenciado",$H$4=#REF!),BDI!#REF!,IF(#REF!="ZERO",0))))),"")</f>
        <v>#REF!</v>
      </c>
      <c r="H1270" s="139" t="e">
        <f t="shared" ca="1" si="61"/>
        <v>#REF!</v>
      </c>
      <c r="I1270" s="137" t="e">
        <f t="shared" ca="1" si="62"/>
        <v>#REF!</v>
      </c>
      <c r="J1270" s="117"/>
    </row>
    <row r="1271" spans="1:10" hidden="1" x14ac:dyDescent="0.25">
      <c r="A1271" s="114" t="s">
        <v>2987</v>
      </c>
      <c r="B1271" s="115" t="s">
        <v>7722</v>
      </c>
      <c r="C1271" s="116" t="s">
        <v>16</v>
      </c>
      <c r="D1271" s="116">
        <v>0</v>
      </c>
      <c r="E1271" s="136">
        <f ca="1">OFFSET(INDEX(Composições!A:J,MATCH(Orçamentária!A1271,Composições!A:A,0),8),2,0)</f>
        <v>272.27072199999998</v>
      </c>
      <c r="F1271" s="137">
        <f t="shared" ca="1" si="60"/>
        <v>0</v>
      </c>
      <c r="G1271" s="138" t="e">
        <f>IF(A1271&lt;&gt;"",IF(AND(#REF!="Padrão",$H$4=#REF!),BDI!$B$17,IF(AND(#REF!="Padrão",$H$4=#REF!),BDI!#REF!,IF(AND(#REF!="Diferenciado",$H$4=#REF!),BDI!$E$17,IF(AND(#REF!="Diferenciado",$H$4=#REF!),BDI!#REF!,IF(#REF!="ZERO",0))))),"")</f>
        <v>#REF!</v>
      </c>
      <c r="H1271" s="139" t="e">
        <f t="shared" ca="1" si="61"/>
        <v>#REF!</v>
      </c>
      <c r="I1271" s="137" t="e">
        <f t="shared" ca="1" si="62"/>
        <v>#REF!</v>
      </c>
      <c r="J1271" s="117"/>
    </row>
    <row r="1272" spans="1:10" hidden="1" x14ac:dyDescent="0.25">
      <c r="A1272" s="114" t="s">
        <v>2988</v>
      </c>
      <c r="B1272" s="115" t="s">
        <v>7723</v>
      </c>
      <c r="C1272" s="116" t="s">
        <v>16</v>
      </c>
      <c r="D1272" s="116">
        <v>0</v>
      </c>
      <c r="E1272" s="136">
        <f ca="1">OFFSET(INDEX(Composições!A:J,MATCH(Orçamentária!A1272,Composições!A:A,0),8),2,0)</f>
        <v>296.53729399999997</v>
      </c>
      <c r="F1272" s="137">
        <f t="shared" ca="1" si="60"/>
        <v>0</v>
      </c>
      <c r="G1272" s="138" t="e">
        <f>IF(A1272&lt;&gt;"",IF(AND(#REF!="Padrão",$H$4=#REF!),BDI!$B$17,IF(AND(#REF!="Padrão",$H$4=#REF!),BDI!#REF!,IF(AND(#REF!="Diferenciado",$H$4=#REF!),BDI!$E$17,IF(AND(#REF!="Diferenciado",$H$4=#REF!),BDI!#REF!,IF(#REF!="ZERO",0))))),"")</f>
        <v>#REF!</v>
      </c>
      <c r="H1272" s="139" t="e">
        <f t="shared" ca="1" si="61"/>
        <v>#REF!</v>
      </c>
      <c r="I1272" s="137" t="e">
        <f t="shared" ca="1" si="62"/>
        <v>#REF!</v>
      </c>
      <c r="J1272" s="117"/>
    </row>
    <row r="1273" spans="1:10" hidden="1" x14ac:dyDescent="0.25">
      <c r="A1273" s="114" t="s">
        <v>2989</v>
      </c>
      <c r="B1273" s="115" t="s">
        <v>7724</v>
      </c>
      <c r="C1273" s="116" t="s">
        <v>16</v>
      </c>
      <c r="D1273" s="116">
        <v>0</v>
      </c>
      <c r="E1273" s="136">
        <f ca="1">OFFSET(INDEX(Composições!A:J,MATCH(Orçamentária!A1273,Composições!A:A,0),8),2,0)</f>
        <v>333.44836599999996</v>
      </c>
      <c r="F1273" s="137">
        <f t="shared" ca="1" si="60"/>
        <v>0</v>
      </c>
      <c r="G1273" s="138" t="e">
        <f>IF(A1273&lt;&gt;"",IF(AND(#REF!="Padrão",$H$4=#REF!),BDI!$B$17,IF(AND(#REF!="Padrão",$H$4=#REF!),BDI!#REF!,IF(AND(#REF!="Diferenciado",$H$4=#REF!),BDI!$E$17,IF(AND(#REF!="Diferenciado",$H$4=#REF!),BDI!#REF!,IF(#REF!="ZERO",0))))),"")</f>
        <v>#REF!</v>
      </c>
      <c r="H1273" s="139" t="e">
        <f t="shared" ca="1" si="61"/>
        <v>#REF!</v>
      </c>
      <c r="I1273" s="137" t="e">
        <f t="shared" ca="1" si="62"/>
        <v>#REF!</v>
      </c>
      <c r="J1273" s="117"/>
    </row>
    <row r="1274" spans="1:10" hidden="1" x14ac:dyDescent="0.25">
      <c r="A1274" s="114" t="s">
        <v>2990</v>
      </c>
      <c r="B1274" s="115" t="s">
        <v>7725</v>
      </c>
      <c r="C1274" s="116" t="s">
        <v>16</v>
      </c>
      <c r="D1274" s="116">
        <v>0</v>
      </c>
      <c r="E1274" s="136">
        <f ca="1">OFFSET(INDEX(Composições!A:J,MATCH(Orçamentária!A1274,Composições!A:A,0),8),2,0)</f>
        <v>371.22393799999998</v>
      </c>
      <c r="F1274" s="137">
        <f t="shared" ca="1" si="60"/>
        <v>0</v>
      </c>
      <c r="G1274" s="138" t="e">
        <f>IF(A1274&lt;&gt;"",IF(AND(#REF!="Padrão",$H$4=#REF!),BDI!$B$17,IF(AND(#REF!="Padrão",$H$4=#REF!),BDI!#REF!,IF(AND(#REF!="Diferenciado",$H$4=#REF!),BDI!$E$17,IF(AND(#REF!="Diferenciado",$H$4=#REF!),BDI!#REF!,IF(#REF!="ZERO",0))))),"")</f>
        <v>#REF!</v>
      </c>
      <c r="H1274" s="139" t="e">
        <f t="shared" ca="1" si="61"/>
        <v>#REF!</v>
      </c>
      <c r="I1274" s="137" t="e">
        <f t="shared" ca="1" si="62"/>
        <v>#REF!</v>
      </c>
      <c r="J1274" s="117"/>
    </row>
    <row r="1275" spans="1:10" hidden="1" x14ac:dyDescent="0.25">
      <c r="A1275" s="114" t="s">
        <v>2991</v>
      </c>
      <c r="B1275" s="115" t="s">
        <v>3036</v>
      </c>
      <c r="C1275" s="116" t="s">
        <v>16</v>
      </c>
      <c r="D1275" s="116">
        <v>0</v>
      </c>
      <c r="E1275" s="136">
        <f ca="1">OFFSET(INDEX(Composições!A:J,MATCH(Orçamentária!A1275,Composições!A:A,0),8),2,0)</f>
        <v>87.210000000000008</v>
      </c>
      <c r="F1275" s="137">
        <f t="shared" ca="1" si="60"/>
        <v>0</v>
      </c>
      <c r="G1275" s="138" t="e">
        <f>IF(A1275&lt;&gt;"",IF(AND(#REF!="Padrão",$H$4=#REF!),BDI!$B$17,IF(AND(#REF!="Padrão",$H$4=#REF!),BDI!#REF!,IF(AND(#REF!="Diferenciado",$H$4=#REF!),BDI!$E$17,IF(AND(#REF!="Diferenciado",$H$4=#REF!),BDI!#REF!,IF(#REF!="ZERO",0))))),"")</f>
        <v>#REF!</v>
      </c>
      <c r="H1275" s="139" t="e">
        <f t="shared" ca="1" si="61"/>
        <v>#REF!</v>
      </c>
      <c r="I1275" s="137" t="e">
        <f t="shared" ca="1" si="62"/>
        <v>#REF!</v>
      </c>
      <c r="J1275" s="117"/>
    </row>
    <row r="1276" spans="1:10" hidden="1" x14ac:dyDescent="0.25">
      <c r="A1276" s="114" t="s">
        <v>2992</v>
      </c>
      <c r="B1276" s="115" t="s">
        <v>3037</v>
      </c>
      <c r="C1276" s="116" t="s">
        <v>70</v>
      </c>
      <c r="D1276" s="116">
        <v>0</v>
      </c>
      <c r="E1276" s="136">
        <f ca="1">OFFSET(INDEX(Composições!A:J,MATCH(Orçamentária!A1276,Composições!A:A,0),8),2,0)</f>
        <v>28.691519999999997</v>
      </c>
      <c r="F1276" s="137">
        <f t="shared" ca="1" si="60"/>
        <v>0</v>
      </c>
      <c r="G1276" s="138" t="e">
        <f>IF(A1276&lt;&gt;"",IF(AND(#REF!="Padrão",$H$4=#REF!),BDI!$B$17,IF(AND(#REF!="Padrão",$H$4=#REF!),BDI!#REF!,IF(AND(#REF!="Diferenciado",$H$4=#REF!),BDI!$E$17,IF(AND(#REF!="Diferenciado",$H$4=#REF!),BDI!#REF!,IF(#REF!="ZERO",0))))),"")</f>
        <v>#REF!</v>
      </c>
      <c r="H1276" s="139" t="e">
        <f t="shared" ca="1" si="61"/>
        <v>#REF!</v>
      </c>
      <c r="I1276" s="137" t="e">
        <f t="shared" ca="1" si="62"/>
        <v>#REF!</v>
      </c>
      <c r="J1276" s="117"/>
    </row>
    <row r="1277" spans="1:10" hidden="1" x14ac:dyDescent="0.25">
      <c r="A1277" s="114" t="s">
        <v>2993</v>
      </c>
      <c r="B1277" s="115" t="s">
        <v>7726</v>
      </c>
      <c r="C1277" s="116" t="s">
        <v>70</v>
      </c>
      <c r="D1277" s="116">
        <v>0</v>
      </c>
      <c r="E1277" s="136">
        <f ca="1">OFFSET(INDEX(Composições!A:J,MATCH(Orçamentária!A1277,Composições!A:A,0),8),2,0)</f>
        <v>32.594309999999993</v>
      </c>
      <c r="F1277" s="137">
        <f t="shared" ca="1" si="60"/>
        <v>0</v>
      </c>
      <c r="G1277" s="138" t="e">
        <f>IF(A1277&lt;&gt;"",IF(AND(#REF!="Padrão",$H$4=#REF!),BDI!$B$17,IF(AND(#REF!="Padrão",$H$4=#REF!),BDI!#REF!,IF(AND(#REF!="Diferenciado",$H$4=#REF!),BDI!$E$17,IF(AND(#REF!="Diferenciado",$H$4=#REF!),BDI!#REF!,IF(#REF!="ZERO",0))))),"")</f>
        <v>#REF!</v>
      </c>
      <c r="H1277" s="139" t="e">
        <f t="shared" ca="1" si="61"/>
        <v>#REF!</v>
      </c>
      <c r="I1277" s="137" t="e">
        <f t="shared" ca="1" si="62"/>
        <v>#REF!</v>
      </c>
      <c r="J1277" s="117"/>
    </row>
    <row r="1278" spans="1:10" hidden="1" x14ac:dyDescent="0.25">
      <c r="A1278" s="114" t="s">
        <v>2994</v>
      </c>
      <c r="B1278" s="115" t="s">
        <v>3038</v>
      </c>
      <c r="C1278" s="116" t="s">
        <v>70</v>
      </c>
      <c r="D1278" s="116">
        <v>0</v>
      </c>
      <c r="E1278" s="136">
        <f ca="1">OFFSET(INDEX(Composições!A:J,MATCH(Orçamentária!A1278,Composições!A:A,0),8),2,0)</f>
        <v>44.856254499999991</v>
      </c>
      <c r="F1278" s="137">
        <f t="shared" ca="1" si="60"/>
        <v>0</v>
      </c>
      <c r="G1278" s="138" t="e">
        <f>IF(A1278&lt;&gt;"",IF(AND(#REF!="Padrão",$H$4=#REF!),BDI!$B$17,IF(AND(#REF!="Padrão",$H$4=#REF!),BDI!#REF!,IF(AND(#REF!="Diferenciado",$H$4=#REF!),BDI!$E$17,IF(AND(#REF!="Diferenciado",$H$4=#REF!),BDI!#REF!,IF(#REF!="ZERO",0))))),"")</f>
        <v>#REF!</v>
      </c>
      <c r="H1278" s="139" t="e">
        <f t="shared" ca="1" si="61"/>
        <v>#REF!</v>
      </c>
      <c r="I1278" s="137" t="e">
        <f t="shared" ca="1" si="62"/>
        <v>#REF!</v>
      </c>
      <c r="J1278" s="117"/>
    </row>
    <row r="1279" spans="1:10" hidden="1" x14ac:dyDescent="0.25">
      <c r="A1279" s="114" t="s">
        <v>2995</v>
      </c>
      <c r="B1279" s="115" t="s">
        <v>3039</v>
      </c>
      <c r="C1279" s="116" t="s">
        <v>69</v>
      </c>
      <c r="D1279" s="116">
        <v>0</v>
      </c>
      <c r="E1279" s="136" t="s">
        <v>416</v>
      </c>
      <c r="F1279" s="137" t="str">
        <f t="shared" si="60"/>
        <v/>
      </c>
      <c r="G1279" s="138" t="e">
        <f>IF(A1279&lt;&gt;"",IF(AND(#REF!="Padrão",$H$4=#REF!),BDI!$B$17,IF(AND(#REF!="Padrão",$H$4=#REF!),BDI!#REF!,IF(AND(#REF!="Diferenciado",$H$4=#REF!),BDI!$E$17,IF(AND(#REF!="Diferenciado",$H$4=#REF!),BDI!#REF!,IF(#REF!="ZERO",0))))),"")</f>
        <v>#REF!</v>
      </c>
      <c r="H1279" s="139" t="str">
        <f t="shared" si="61"/>
        <v/>
      </c>
      <c r="I1279" s="137" t="str">
        <f t="shared" si="62"/>
        <v/>
      </c>
      <c r="J1279" s="117"/>
    </row>
    <row r="1280" spans="1:10" hidden="1" x14ac:dyDescent="0.25">
      <c r="A1280" s="114" t="s">
        <v>2996</v>
      </c>
      <c r="B1280" s="115" t="s">
        <v>3040</v>
      </c>
      <c r="C1280" s="116" t="s">
        <v>69</v>
      </c>
      <c r="D1280" s="116">
        <v>0</v>
      </c>
      <c r="E1280" s="136" t="s">
        <v>416</v>
      </c>
      <c r="F1280" s="137" t="str">
        <f t="shared" si="60"/>
        <v/>
      </c>
      <c r="G1280" s="138" t="e">
        <f>IF(A1280&lt;&gt;"",IF(AND(#REF!="Padrão",$H$4=#REF!),BDI!$B$17,IF(AND(#REF!="Padrão",$H$4=#REF!),BDI!#REF!,IF(AND(#REF!="Diferenciado",$H$4=#REF!),BDI!$E$17,IF(AND(#REF!="Diferenciado",$H$4=#REF!),BDI!#REF!,IF(#REF!="ZERO",0))))),"")</f>
        <v>#REF!</v>
      </c>
      <c r="H1280" s="139" t="str">
        <f t="shared" si="61"/>
        <v/>
      </c>
      <c r="I1280" s="137" t="str">
        <f t="shared" si="62"/>
        <v/>
      </c>
      <c r="J1280" s="117"/>
    </row>
    <row r="1281" spans="1:10" hidden="1" x14ac:dyDescent="0.25">
      <c r="A1281" s="114" t="s">
        <v>2997</v>
      </c>
      <c r="B1281" s="115" t="s">
        <v>3041</v>
      </c>
      <c r="C1281" s="116" t="s">
        <v>69</v>
      </c>
      <c r="D1281" s="116">
        <v>0</v>
      </c>
      <c r="E1281" s="136" t="s">
        <v>416</v>
      </c>
      <c r="F1281" s="137" t="str">
        <f t="shared" si="60"/>
        <v/>
      </c>
      <c r="G1281" s="138" t="e">
        <f>IF(A1281&lt;&gt;"",IF(AND(#REF!="Padrão",$H$4=#REF!),BDI!$B$17,IF(AND(#REF!="Padrão",$H$4=#REF!),BDI!#REF!,IF(AND(#REF!="Diferenciado",$H$4=#REF!),BDI!$E$17,IF(AND(#REF!="Diferenciado",$H$4=#REF!),BDI!#REF!,IF(#REF!="ZERO",0))))),"")</f>
        <v>#REF!</v>
      </c>
      <c r="H1281" s="139" t="str">
        <f t="shared" si="61"/>
        <v/>
      </c>
      <c r="I1281" s="137" t="str">
        <f t="shared" si="62"/>
        <v/>
      </c>
      <c r="J1281" s="117"/>
    </row>
    <row r="1282" spans="1:10" hidden="1" x14ac:dyDescent="0.25">
      <c r="A1282" s="114" t="s">
        <v>2998</v>
      </c>
      <c r="B1282" s="115" t="s">
        <v>3042</v>
      </c>
      <c r="C1282" s="116" t="s">
        <v>69</v>
      </c>
      <c r="D1282" s="116">
        <v>0</v>
      </c>
      <c r="E1282" s="136" t="s">
        <v>416</v>
      </c>
      <c r="F1282" s="137" t="str">
        <f t="shared" si="60"/>
        <v/>
      </c>
      <c r="G1282" s="138" t="e">
        <f>IF(A1282&lt;&gt;"",IF(AND(#REF!="Padrão",$H$4=#REF!),BDI!$B$17,IF(AND(#REF!="Padrão",$H$4=#REF!),BDI!#REF!,IF(AND(#REF!="Diferenciado",$H$4=#REF!),BDI!$E$17,IF(AND(#REF!="Diferenciado",$H$4=#REF!),BDI!#REF!,IF(#REF!="ZERO",0))))),"")</f>
        <v>#REF!</v>
      </c>
      <c r="H1282" s="139" t="str">
        <f t="shared" si="61"/>
        <v/>
      </c>
      <c r="I1282" s="137" t="str">
        <f t="shared" si="62"/>
        <v/>
      </c>
      <c r="J1282" s="117"/>
    </row>
    <row r="1283" spans="1:10" hidden="1" x14ac:dyDescent="0.25">
      <c r="A1283" s="114" t="s">
        <v>2999</v>
      </c>
      <c r="B1283" s="115" t="s">
        <v>3043</v>
      </c>
      <c r="C1283" s="116" t="s">
        <v>69</v>
      </c>
      <c r="D1283" s="116">
        <v>0</v>
      </c>
      <c r="E1283" s="136">
        <f ca="1">OFFSET(INDEX(Composições!A:J,MATCH(Orçamentária!A1283,Composições!A:A,0),8),2,0)</f>
        <v>10.659000000000001</v>
      </c>
      <c r="F1283" s="137">
        <f t="shared" ca="1" si="60"/>
        <v>0</v>
      </c>
      <c r="G1283" s="138" t="e">
        <f>IF(A1283&lt;&gt;"",IF(AND(#REF!="Padrão",$H$4=#REF!),BDI!$B$17,IF(AND(#REF!="Padrão",$H$4=#REF!),BDI!#REF!,IF(AND(#REF!="Diferenciado",$H$4=#REF!),BDI!$E$17,IF(AND(#REF!="Diferenciado",$H$4=#REF!),BDI!#REF!,IF(#REF!="ZERO",0))))),"")</f>
        <v>#REF!</v>
      </c>
      <c r="H1283" s="139" t="e">
        <f t="shared" ca="1" si="61"/>
        <v>#REF!</v>
      </c>
      <c r="I1283" s="137" t="e">
        <f t="shared" ca="1" si="62"/>
        <v>#REF!</v>
      </c>
      <c r="J1283" s="117"/>
    </row>
    <row r="1284" spans="1:10" hidden="1" x14ac:dyDescent="0.25">
      <c r="A1284" s="114" t="s">
        <v>3000</v>
      </c>
      <c r="B1284" s="115" t="s">
        <v>6098</v>
      </c>
      <c r="C1284" s="116" t="s">
        <v>69</v>
      </c>
      <c r="D1284" s="116">
        <v>0</v>
      </c>
      <c r="E1284" s="136">
        <f ca="1">OFFSET(INDEX(Composições!A:J,MATCH(Orçamentária!A1284,Composições!A:A,0),8),2,0)</f>
        <v>30.089378500000002</v>
      </c>
      <c r="F1284" s="137">
        <f t="shared" ca="1" si="60"/>
        <v>0</v>
      </c>
      <c r="G1284" s="138" t="e">
        <f>IF(A1284&lt;&gt;"",IF(AND(#REF!="Padrão",$H$4=#REF!),BDI!$B$17,IF(AND(#REF!="Padrão",$H$4=#REF!),BDI!#REF!,IF(AND(#REF!="Diferenciado",$H$4=#REF!),BDI!$E$17,IF(AND(#REF!="Diferenciado",$H$4=#REF!),BDI!#REF!,IF(#REF!="ZERO",0))))),"")</f>
        <v>#REF!</v>
      </c>
      <c r="H1284" s="139" t="e">
        <f t="shared" ca="1" si="61"/>
        <v>#REF!</v>
      </c>
      <c r="I1284" s="137" t="e">
        <f t="shared" ca="1" si="62"/>
        <v>#REF!</v>
      </c>
      <c r="J1284" s="117"/>
    </row>
    <row r="1285" spans="1:10" hidden="1" x14ac:dyDescent="0.25">
      <c r="A1285" s="114" t="s">
        <v>3001</v>
      </c>
      <c r="B1285" s="115" t="s">
        <v>7727</v>
      </c>
      <c r="C1285" s="116" t="s">
        <v>69</v>
      </c>
      <c r="D1285" s="116">
        <v>0</v>
      </c>
      <c r="E1285" s="136">
        <f ca="1">OFFSET(INDEX(Composições!A:J,MATCH(Orçamentária!A1285,Composições!A:A,0),8),2,0)</f>
        <v>43.004058499999992</v>
      </c>
      <c r="F1285" s="137">
        <f t="shared" ca="1" si="60"/>
        <v>0</v>
      </c>
      <c r="G1285" s="138" t="e">
        <f>IF(A1285&lt;&gt;"",IF(AND(#REF!="Padrão",$H$4=#REF!),BDI!$B$17,IF(AND(#REF!="Padrão",$H$4=#REF!),BDI!#REF!,IF(AND(#REF!="Diferenciado",$H$4=#REF!),BDI!$E$17,IF(AND(#REF!="Diferenciado",$H$4=#REF!),BDI!#REF!,IF(#REF!="ZERO",0))))),"")</f>
        <v>#REF!</v>
      </c>
      <c r="H1285" s="139" t="e">
        <f t="shared" ca="1" si="61"/>
        <v>#REF!</v>
      </c>
      <c r="I1285" s="137" t="e">
        <f t="shared" ca="1" si="62"/>
        <v>#REF!</v>
      </c>
      <c r="J1285" s="117"/>
    </row>
    <row r="1286" spans="1:10" hidden="1" x14ac:dyDescent="0.25">
      <c r="A1286" s="114" t="s">
        <v>3002</v>
      </c>
      <c r="B1286" s="115" t="s">
        <v>3044</v>
      </c>
      <c r="C1286" s="116" t="s">
        <v>16</v>
      </c>
      <c r="D1286" s="116">
        <v>0</v>
      </c>
      <c r="E1286" s="136">
        <f ca="1">OFFSET(INDEX(Composições!A:J,MATCH(Orçamentária!A1286,Composições!A:A,0),8),2,0)</f>
        <v>86.792199499999981</v>
      </c>
      <c r="F1286" s="137">
        <f t="shared" ca="1" si="60"/>
        <v>0</v>
      </c>
      <c r="G1286" s="138" t="e">
        <f>IF(A1286&lt;&gt;"",IF(AND(#REF!="Padrão",$H$4=#REF!),BDI!$B$17,IF(AND(#REF!="Padrão",$H$4=#REF!),BDI!#REF!,IF(AND(#REF!="Diferenciado",$H$4=#REF!),BDI!$E$17,IF(AND(#REF!="Diferenciado",$H$4=#REF!),BDI!#REF!,IF(#REF!="ZERO",0))))),"")</f>
        <v>#REF!</v>
      </c>
      <c r="H1286" s="139" t="e">
        <f t="shared" ca="1" si="61"/>
        <v>#REF!</v>
      </c>
      <c r="I1286" s="137" t="e">
        <f t="shared" ca="1" si="62"/>
        <v>#REF!</v>
      </c>
      <c r="J1286" s="117"/>
    </row>
    <row r="1287" spans="1:10" hidden="1" x14ac:dyDescent="0.25">
      <c r="A1287" s="114" t="s">
        <v>3003</v>
      </c>
      <c r="B1287" s="115" t="s">
        <v>3045</v>
      </c>
      <c r="C1287" s="116" t="s">
        <v>16</v>
      </c>
      <c r="D1287" s="116">
        <v>0</v>
      </c>
      <c r="E1287" s="136">
        <f ca="1">OFFSET(INDEX(Composições!A:J,MATCH(Orçamentária!A1287,Composições!A:A,0),8),2,0)</f>
        <v>24.1226831</v>
      </c>
      <c r="F1287" s="137">
        <f t="shared" ca="1" si="60"/>
        <v>0</v>
      </c>
      <c r="G1287" s="138" t="e">
        <f>IF(A1287&lt;&gt;"",IF(AND(#REF!="Padrão",$H$4=#REF!),BDI!$B$17,IF(AND(#REF!="Padrão",$H$4=#REF!),BDI!#REF!,IF(AND(#REF!="Diferenciado",$H$4=#REF!),BDI!$E$17,IF(AND(#REF!="Diferenciado",$H$4=#REF!),BDI!#REF!,IF(#REF!="ZERO",0))))),"")</f>
        <v>#REF!</v>
      </c>
      <c r="H1287" s="139" t="e">
        <f t="shared" ca="1" si="61"/>
        <v>#REF!</v>
      </c>
      <c r="I1287" s="137" t="e">
        <f t="shared" ca="1" si="62"/>
        <v>#REF!</v>
      </c>
      <c r="J1287" s="117"/>
    </row>
    <row r="1288" spans="1:10" hidden="1" x14ac:dyDescent="0.25">
      <c r="A1288" s="114" t="s">
        <v>3004</v>
      </c>
      <c r="B1288" s="115" t="s">
        <v>3046</v>
      </c>
      <c r="C1288" s="116" t="s">
        <v>16</v>
      </c>
      <c r="D1288" s="116">
        <v>0</v>
      </c>
      <c r="E1288" s="136">
        <f ca="1">OFFSET(INDEX(Composições!A:J,MATCH(Orçamentária!A1288,Composições!A:A,0),8),2,0)</f>
        <v>14.901851999999998</v>
      </c>
      <c r="F1288" s="137">
        <f t="shared" ca="1" si="60"/>
        <v>0</v>
      </c>
      <c r="G1288" s="138" t="e">
        <f>IF(A1288&lt;&gt;"",IF(AND(#REF!="Padrão",$H$4=#REF!),BDI!$B$17,IF(AND(#REF!="Padrão",$H$4=#REF!),BDI!#REF!,IF(AND(#REF!="Diferenciado",$H$4=#REF!),BDI!$E$17,IF(AND(#REF!="Diferenciado",$H$4=#REF!),BDI!#REF!,IF(#REF!="ZERO",0))))),"")</f>
        <v>#REF!</v>
      </c>
      <c r="H1288" s="139" t="e">
        <f t="shared" ca="1" si="61"/>
        <v>#REF!</v>
      </c>
      <c r="I1288" s="137" t="e">
        <f t="shared" ca="1" si="62"/>
        <v>#REF!</v>
      </c>
      <c r="J1288" s="117"/>
    </row>
    <row r="1289" spans="1:10" hidden="1" x14ac:dyDescent="0.25">
      <c r="A1289" s="114" t="s">
        <v>3005</v>
      </c>
      <c r="B1289" s="115" t="s">
        <v>3047</v>
      </c>
      <c r="C1289" s="116" t="s">
        <v>16</v>
      </c>
      <c r="D1289" s="116">
        <v>0</v>
      </c>
      <c r="E1289" s="136">
        <f ca="1">OFFSET(INDEX(Composições!A:J,MATCH(Orçamentária!A1289,Composições!A:A,0),8),2,0)</f>
        <v>291.18450000000001</v>
      </c>
      <c r="F1289" s="137">
        <f t="shared" ca="1" si="60"/>
        <v>0</v>
      </c>
      <c r="G1289" s="138" t="e">
        <f>IF(A1289&lt;&gt;"",IF(AND(#REF!="Padrão",$H$4=#REF!),BDI!$B$17,IF(AND(#REF!="Padrão",$H$4=#REF!),BDI!#REF!,IF(AND(#REF!="Diferenciado",$H$4=#REF!),BDI!$E$17,IF(AND(#REF!="Diferenciado",$H$4=#REF!),BDI!#REF!,IF(#REF!="ZERO",0))))),"")</f>
        <v>#REF!</v>
      </c>
      <c r="H1289" s="139" t="e">
        <f t="shared" ca="1" si="61"/>
        <v>#REF!</v>
      </c>
      <c r="I1289" s="137" t="e">
        <f t="shared" ca="1" si="62"/>
        <v>#REF!</v>
      </c>
      <c r="J1289" s="117"/>
    </row>
    <row r="1290" spans="1:10" hidden="1" x14ac:dyDescent="0.25">
      <c r="A1290" s="114" t="s">
        <v>3006</v>
      </c>
      <c r="B1290" s="115" t="s">
        <v>3048</v>
      </c>
      <c r="C1290" s="116" t="s">
        <v>16</v>
      </c>
      <c r="D1290" s="116">
        <v>0</v>
      </c>
      <c r="E1290" s="136">
        <f ca="1">OFFSET(INDEX(Composições!A:J,MATCH(Orçamentária!A1290,Composições!A:A,0),8),2,0)</f>
        <v>20.974243449999996</v>
      </c>
      <c r="F1290" s="137">
        <f t="shared" ca="1" si="60"/>
        <v>0</v>
      </c>
      <c r="G1290" s="138" t="e">
        <f>IF(A1290&lt;&gt;"",IF(AND(#REF!="Padrão",$H$4=#REF!),BDI!$B$17,IF(AND(#REF!="Padrão",$H$4=#REF!),BDI!#REF!,IF(AND(#REF!="Diferenciado",$H$4=#REF!),BDI!$E$17,IF(AND(#REF!="Diferenciado",$H$4=#REF!),BDI!#REF!,IF(#REF!="ZERO",0))))),"")</f>
        <v>#REF!</v>
      </c>
      <c r="H1290" s="139" t="e">
        <f t="shared" ca="1" si="61"/>
        <v>#REF!</v>
      </c>
      <c r="I1290" s="137" t="e">
        <f t="shared" ca="1" si="62"/>
        <v>#REF!</v>
      </c>
      <c r="J1290" s="117"/>
    </row>
    <row r="1291" spans="1:10" hidden="1" x14ac:dyDescent="0.25">
      <c r="A1291" s="114" t="s">
        <v>3007</v>
      </c>
      <c r="B1291" s="115" t="s">
        <v>3049</v>
      </c>
      <c r="C1291" s="116" t="s">
        <v>16</v>
      </c>
      <c r="D1291" s="116">
        <v>0</v>
      </c>
      <c r="E1291" s="136">
        <f ca="1">OFFSET(INDEX(Composições!A:J,MATCH(Orçamentária!A1291,Composições!A:A,0),8),2,0)</f>
        <v>10.488461699999998</v>
      </c>
      <c r="F1291" s="137">
        <f t="shared" ca="1" si="60"/>
        <v>0</v>
      </c>
      <c r="G1291" s="138" t="e">
        <f>IF(A1291&lt;&gt;"",IF(AND(#REF!="Padrão",$H$4=#REF!),BDI!$B$17,IF(AND(#REF!="Padrão",$H$4=#REF!),BDI!#REF!,IF(AND(#REF!="Diferenciado",$H$4=#REF!),BDI!$E$17,IF(AND(#REF!="Diferenciado",$H$4=#REF!),BDI!#REF!,IF(#REF!="ZERO",0))))),"")</f>
        <v>#REF!</v>
      </c>
      <c r="H1291" s="139" t="e">
        <f t="shared" ca="1" si="61"/>
        <v>#REF!</v>
      </c>
      <c r="I1291" s="137" t="e">
        <f t="shared" ca="1" si="62"/>
        <v>#REF!</v>
      </c>
      <c r="J1291" s="117"/>
    </row>
    <row r="1292" spans="1:10" hidden="1" x14ac:dyDescent="0.25">
      <c r="A1292" s="114" t="s">
        <v>3008</v>
      </c>
      <c r="B1292" s="115" t="s">
        <v>3050</v>
      </c>
      <c r="C1292" s="116" t="s">
        <v>16</v>
      </c>
      <c r="D1292" s="116">
        <v>0</v>
      </c>
      <c r="E1292" s="136">
        <f ca="1">OFFSET(INDEX(Composições!A:J,MATCH(Orçamentária!A1292,Composições!A:A,0),8),2,0)</f>
        <v>17.346069</v>
      </c>
      <c r="F1292" s="137">
        <f t="shared" ref="F1292:F1299" ca="1" si="63">IF(ISNUMBER(E1292),D1292*E1292,"")</f>
        <v>0</v>
      </c>
      <c r="G1292" s="138" t="e">
        <f>IF(A1292&lt;&gt;"",IF(AND(#REF!="Padrão",$H$4=#REF!),BDI!$B$17,IF(AND(#REF!="Padrão",$H$4=#REF!),BDI!#REF!,IF(AND(#REF!="Diferenciado",$H$4=#REF!),BDI!$E$17,IF(AND(#REF!="Diferenciado",$H$4=#REF!),BDI!#REF!,IF(#REF!="ZERO",0))))),"")</f>
        <v>#REF!</v>
      </c>
      <c r="H1292" s="139" t="e">
        <f t="shared" ref="H1292:H1299" ca="1" si="64">IF(ISNUMBER(E1292),ROUND(E1292*(1+G1292),2),"")</f>
        <v>#REF!</v>
      </c>
      <c r="I1292" s="137" t="e">
        <f t="shared" ref="I1292:I1299" ca="1" si="65">IF(ISNUMBER(E1292),ROUND(H1292*D1292,2),"")</f>
        <v>#REF!</v>
      </c>
      <c r="J1292" s="117"/>
    </row>
    <row r="1293" spans="1:10" hidden="1" x14ac:dyDescent="0.25">
      <c r="A1293" s="114" t="s">
        <v>3009</v>
      </c>
      <c r="B1293" s="115" t="s">
        <v>3051</v>
      </c>
      <c r="C1293" s="116" t="s">
        <v>16</v>
      </c>
      <c r="D1293" s="116">
        <v>0</v>
      </c>
      <c r="E1293" s="136">
        <f ca="1">OFFSET(INDEX(Composições!A:J,MATCH(Orçamentária!A1293,Composições!A:A,0),8),2,0)</f>
        <v>17.484275</v>
      </c>
      <c r="F1293" s="137">
        <f t="shared" ca="1" si="63"/>
        <v>0</v>
      </c>
      <c r="G1293" s="138" t="e">
        <f>IF(A1293&lt;&gt;"",IF(AND(#REF!="Padrão",$H$4=#REF!),BDI!$B$17,IF(AND(#REF!="Padrão",$H$4=#REF!),BDI!#REF!,IF(AND(#REF!="Diferenciado",$H$4=#REF!),BDI!$E$17,IF(AND(#REF!="Diferenciado",$H$4=#REF!),BDI!#REF!,IF(#REF!="ZERO",0))))),"")</f>
        <v>#REF!</v>
      </c>
      <c r="H1293" s="139" t="e">
        <f t="shared" ca="1" si="64"/>
        <v>#REF!</v>
      </c>
      <c r="I1293" s="137" t="e">
        <f t="shared" ca="1" si="65"/>
        <v>#REF!</v>
      </c>
      <c r="J1293" s="117"/>
    </row>
    <row r="1294" spans="1:10" hidden="1" x14ac:dyDescent="0.25">
      <c r="A1294" s="114" t="s">
        <v>3010</v>
      </c>
      <c r="B1294" s="115" t="s">
        <v>3052</v>
      </c>
      <c r="C1294" s="116" t="s">
        <v>16</v>
      </c>
      <c r="D1294" s="116">
        <v>0</v>
      </c>
      <c r="E1294" s="136">
        <f ca="1">OFFSET(INDEX(Composições!A:J,MATCH(Orçamentária!A1294,Composições!A:A,0),8),2,0)</f>
        <v>124.6169872</v>
      </c>
      <c r="F1294" s="137">
        <f t="shared" ca="1" si="63"/>
        <v>0</v>
      </c>
      <c r="G1294" s="138" t="e">
        <f>IF(A1294&lt;&gt;"",IF(AND(#REF!="Padrão",$H$4=#REF!),BDI!$B$17,IF(AND(#REF!="Padrão",$H$4=#REF!),BDI!#REF!,IF(AND(#REF!="Diferenciado",$H$4=#REF!),BDI!$E$17,IF(AND(#REF!="Diferenciado",$H$4=#REF!),BDI!#REF!,IF(#REF!="ZERO",0))))),"")</f>
        <v>#REF!</v>
      </c>
      <c r="H1294" s="139" t="e">
        <f t="shared" ca="1" si="64"/>
        <v>#REF!</v>
      </c>
      <c r="I1294" s="137" t="e">
        <f t="shared" ca="1" si="65"/>
        <v>#REF!</v>
      </c>
      <c r="J1294" s="117"/>
    </row>
    <row r="1295" spans="1:10" hidden="1" x14ac:dyDescent="0.25">
      <c r="A1295" s="114" t="s">
        <v>3011</v>
      </c>
      <c r="B1295" s="115" t="s">
        <v>3053</v>
      </c>
      <c r="C1295" s="116" t="s">
        <v>16</v>
      </c>
      <c r="D1295" s="116">
        <v>0</v>
      </c>
      <c r="E1295" s="136" t="s">
        <v>416</v>
      </c>
      <c r="F1295" s="137" t="str">
        <f t="shared" si="63"/>
        <v/>
      </c>
      <c r="G1295" s="138" t="e">
        <f>IF(A1295&lt;&gt;"",IF(AND(#REF!="Padrão",$H$4=#REF!),BDI!$B$17,IF(AND(#REF!="Padrão",$H$4=#REF!),BDI!#REF!,IF(AND(#REF!="Diferenciado",$H$4=#REF!),BDI!$E$17,IF(AND(#REF!="Diferenciado",$H$4=#REF!),BDI!#REF!,IF(#REF!="ZERO",0))))),"")</f>
        <v>#REF!</v>
      </c>
      <c r="H1295" s="139" t="str">
        <f t="shared" si="64"/>
        <v/>
      </c>
      <c r="I1295" s="137" t="str">
        <f t="shared" si="65"/>
        <v/>
      </c>
      <c r="J1295" s="117"/>
    </row>
    <row r="1296" spans="1:10" hidden="1" x14ac:dyDescent="0.25">
      <c r="A1296" s="114" t="s">
        <v>3012</v>
      </c>
      <c r="B1296" s="115" t="s">
        <v>3226</v>
      </c>
      <c r="C1296" s="116" t="s">
        <v>70</v>
      </c>
      <c r="D1296" s="116">
        <v>0</v>
      </c>
      <c r="E1296" s="136" t="s">
        <v>416</v>
      </c>
      <c r="F1296" s="137" t="str">
        <f t="shared" si="63"/>
        <v/>
      </c>
      <c r="G1296" s="138" t="e">
        <f>IF(A1296&lt;&gt;"",IF(AND(#REF!="Padrão",$H$4=#REF!),BDI!$B$17,IF(AND(#REF!="Padrão",$H$4=#REF!),BDI!#REF!,IF(AND(#REF!="Diferenciado",$H$4=#REF!),BDI!$E$17,IF(AND(#REF!="Diferenciado",$H$4=#REF!),BDI!#REF!,IF(#REF!="ZERO",0))))),"")</f>
        <v>#REF!</v>
      </c>
      <c r="H1296" s="139" t="str">
        <f t="shared" si="64"/>
        <v/>
      </c>
      <c r="I1296" s="137" t="str">
        <f t="shared" si="65"/>
        <v/>
      </c>
      <c r="J1296" s="117"/>
    </row>
    <row r="1297" spans="1:10" hidden="1" x14ac:dyDescent="0.25">
      <c r="A1297" s="114" t="s">
        <v>3057</v>
      </c>
      <c r="B1297" s="115" t="s">
        <v>3054</v>
      </c>
      <c r="C1297" s="116" t="s">
        <v>16</v>
      </c>
      <c r="D1297" s="116">
        <v>0</v>
      </c>
      <c r="E1297" s="136" t="s">
        <v>416</v>
      </c>
      <c r="F1297" s="137" t="str">
        <f t="shared" si="63"/>
        <v/>
      </c>
      <c r="G1297" s="138" t="e">
        <f>IF(A1297&lt;&gt;"",IF(AND(#REF!="Padrão",$H$4=#REF!),BDI!$B$17,IF(AND(#REF!="Padrão",$H$4=#REF!),BDI!#REF!,IF(AND(#REF!="Diferenciado",$H$4=#REF!),BDI!$E$17,IF(AND(#REF!="Diferenciado",$H$4=#REF!),BDI!#REF!,IF(#REF!="ZERO",0))))),"")</f>
        <v>#REF!</v>
      </c>
      <c r="H1297" s="139" t="str">
        <f t="shared" si="64"/>
        <v/>
      </c>
      <c r="I1297" s="137" t="str">
        <f t="shared" si="65"/>
        <v/>
      </c>
      <c r="J1297" s="117"/>
    </row>
    <row r="1298" spans="1:10" hidden="1" x14ac:dyDescent="0.25">
      <c r="A1298" s="114" t="s">
        <v>3058</v>
      </c>
      <c r="B1298" s="115" t="s">
        <v>3055</v>
      </c>
      <c r="C1298" s="116" t="s">
        <v>16</v>
      </c>
      <c r="D1298" s="116">
        <v>0</v>
      </c>
      <c r="E1298" s="136" t="s">
        <v>416</v>
      </c>
      <c r="F1298" s="137" t="str">
        <f t="shared" si="63"/>
        <v/>
      </c>
      <c r="G1298" s="138" t="e">
        <f>IF(A1298&lt;&gt;"",IF(AND(#REF!="Padrão",$H$4=#REF!),BDI!$B$17,IF(AND(#REF!="Padrão",$H$4=#REF!),BDI!#REF!,IF(AND(#REF!="Diferenciado",$H$4=#REF!),BDI!$E$17,IF(AND(#REF!="Diferenciado",$H$4=#REF!),BDI!#REF!,IF(#REF!="ZERO",0))))),"")</f>
        <v>#REF!</v>
      </c>
      <c r="H1298" s="139" t="str">
        <f t="shared" si="64"/>
        <v/>
      </c>
      <c r="I1298" s="137" t="str">
        <f t="shared" si="65"/>
        <v/>
      </c>
      <c r="J1298" s="117"/>
    </row>
    <row r="1299" spans="1:10" hidden="1" x14ac:dyDescent="0.25">
      <c r="A1299" s="114" t="s">
        <v>3059</v>
      </c>
      <c r="B1299" s="115" t="s">
        <v>3056</v>
      </c>
      <c r="C1299" s="116" t="s">
        <v>16</v>
      </c>
      <c r="D1299" s="116">
        <v>0</v>
      </c>
      <c r="E1299" s="136" t="s">
        <v>416</v>
      </c>
      <c r="F1299" s="137" t="str">
        <f t="shared" si="63"/>
        <v/>
      </c>
      <c r="G1299" s="138" t="e">
        <f>IF(A1299&lt;&gt;"",IF(AND(#REF!="Padrão",$H$4=#REF!),BDI!$B$17,IF(AND(#REF!="Padrão",$H$4=#REF!),BDI!#REF!,IF(AND(#REF!="Diferenciado",$H$4=#REF!),BDI!$E$17,IF(AND(#REF!="Diferenciado",$H$4=#REF!),BDI!#REF!,IF(#REF!="ZERO",0))))),"")</f>
        <v>#REF!</v>
      </c>
      <c r="H1299" s="139" t="str">
        <f t="shared" si="64"/>
        <v/>
      </c>
      <c r="I1299" s="137" t="str">
        <f t="shared" si="65"/>
        <v/>
      </c>
      <c r="J1299" s="117"/>
    </row>
    <row r="1300" spans="1:10" hidden="1" x14ac:dyDescent="0.25">
      <c r="A1300" s="114" t="s">
        <v>3116</v>
      </c>
      <c r="B1300" s="115" t="s">
        <v>3117</v>
      </c>
      <c r="C1300" s="116" t="s">
        <v>70</v>
      </c>
      <c r="D1300" s="116">
        <v>0</v>
      </c>
      <c r="E1300" s="136">
        <f ca="1">OFFSET(INDEX(Composições!A:J,MATCH(Orçamentária!A1300,Composições!A:A,0),8),2,0)</f>
        <v>223.08651155952376</v>
      </c>
      <c r="F1300" s="137">
        <f t="shared" ref="F1300:F1343" ca="1" si="66">IF(ISNUMBER(E1300),D1300*E1300,"")</f>
        <v>0</v>
      </c>
      <c r="G1300" s="138" t="e">
        <f>IF(A1300&lt;&gt;"",IF(AND(#REF!="Padrão",$H$4=#REF!),BDI!$B$17,IF(AND(#REF!="Padrão",$H$4=#REF!),BDI!#REF!,IF(AND(#REF!="Diferenciado",$H$4=#REF!),BDI!$E$17,IF(AND(#REF!="Diferenciado",$H$4=#REF!),BDI!#REF!,IF(#REF!="ZERO",0))))),"")</f>
        <v>#REF!</v>
      </c>
      <c r="H1300" s="139" t="e">
        <f t="shared" ref="H1300:H1343" ca="1" si="67">IF(ISNUMBER(E1300),ROUND(E1300*(1+G1300),2),"")</f>
        <v>#REF!</v>
      </c>
      <c r="I1300" s="137" t="e">
        <f t="shared" ref="I1300:I1343" ca="1" si="68">IF(ISNUMBER(E1300),ROUND(H1300*D1300,2),"")</f>
        <v>#REF!</v>
      </c>
      <c r="J1300" s="117"/>
    </row>
    <row r="1301" spans="1:10" hidden="1" x14ac:dyDescent="0.25">
      <c r="A1301" s="114" t="s">
        <v>3118</v>
      </c>
      <c r="B1301" s="115" t="s">
        <v>3119</v>
      </c>
      <c r="C1301" s="116" t="s">
        <v>70</v>
      </c>
      <c r="D1301" s="116">
        <v>0</v>
      </c>
      <c r="E1301" s="136">
        <f ca="1">OFFSET(INDEX(Composições!A:J,MATCH(Orçamentária!A1301,Composições!A:A,0),8),2,0)</f>
        <v>239.38078181666663</v>
      </c>
      <c r="F1301" s="137">
        <f t="shared" ca="1" si="66"/>
        <v>0</v>
      </c>
      <c r="G1301" s="138" t="e">
        <f>IF(A1301&lt;&gt;"",IF(AND(#REF!="Padrão",$H$4=#REF!),BDI!$B$17,IF(AND(#REF!="Padrão",$H$4=#REF!),BDI!#REF!,IF(AND(#REF!="Diferenciado",$H$4=#REF!),BDI!$E$17,IF(AND(#REF!="Diferenciado",$H$4=#REF!),BDI!#REF!,IF(#REF!="ZERO",0))))),"")</f>
        <v>#REF!</v>
      </c>
      <c r="H1301" s="139" t="e">
        <f t="shared" ca="1" si="67"/>
        <v>#REF!</v>
      </c>
      <c r="I1301" s="137" t="e">
        <f t="shared" ca="1" si="68"/>
        <v>#REF!</v>
      </c>
      <c r="J1301" s="117"/>
    </row>
    <row r="1302" spans="1:10" ht="25.5" hidden="1" x14ac:dyDescent="0.25">
      <c r="A1302" s="114" t="s">
        <v>3120</v>
      </c>
      <c r="B1302" s="115" t="s">
        <v>3121</v>
      </c>
      <c r="C1302" s="116" t="s">
        <v>16</v>
      </c>
      <c r="D1302" s="116">
        <v>0</v>
      </c>
      <c r="E1302" s="136" t="s">
        <v>416</v>
      </c>
      <c r="F1302" s="137" t="str">
        <f t="shared" si="66"/>
        <v/>
      </c>
      <c r="G1302" s="138" t="e">
        <f>IF(A1302&lt;&gt;"",IF(AND(#REF!="Padrão",$H$4=#REF!),BDI!$B$17,IF(AND(#REF!="Padrão",$H$4=#REF!),BDI!#REF!,IF(AND(#REF!="Diferenciado",$H$4=#REF!),BDI!$E$17,IF(AND(#REF!="Diferenciado",$H$4=#REF!),BDI!#REF!,IF(#REF!="ZERO",0))))),"")</f>
        <v>#REF!</v>
      </c>
      <c r="H1302" s="139" t="str">
        <f t="shared" si="67"/>
        <v/>
      </c>
      <c r="I1302" s="137" t="str">
        <f t="shared" si="68"/>
        <v/>
      </c>
      <c r="J1302" s="117"/>
    </row>
    <row r="1303" spans="1:10" ht="25.5" hidden="1" x14ac:dyDescent="0.25">
      <c r="A1303" s="114" t="s">
        <v>3122</v>
      </c>
      <c r="B1303" s="115" t="s">
        <v>3123</v>
      </c>
      <c r="C1303" s="116" t="s">
        <v>16</v>
      </c>
      <c r="D1303" s="116">
        <v>0</v>
      </c>
      <c r="E1303" s="136" t="s">
        <v>416</v>
      </c>
      <c r="F1303" s="137" t="str">
        <f t="shared" si="66"/>
        <v/>
      </c>
      <c r="G1303" s="138" t="e">
        <f>IF(A1303&lt;&gt;"",IF(AND(#REF!="Padrão",$H$4=#REF!),BDI!$B$17,IF(AND(#REF!="Padrão",$H$4=#REF!),BDI!#REF!,IF(AND(#REF!="Diferenciado",$H$4=#REF!),BDI!$E$17,IF(AND(#REF!="Diferenciado",$H$4=#REF!),BDI!#REF!,IF(#REF!="ZERO",0))))),"")</f>
        <v>#REF!</v>
      </c>
      <c r="H1303" s="139" t="str">
        <f t="shared" si="67"/>
        <v/>
      </c>
      <c r="I1303" s="137" t="str">
        <f t="shared" si="68"/>
        <v/>
      </c>
      <c r="J1303" s="117"/>
    </row>
    <row r="1304" spans="1:10" ht="25.5" hidden="1" x14ac:dyDescent="0.25">
      <c r="A1304" s="114" t="s">
        <v>3124</v>
      </c>
      <c r="B1304" s="115" t="s">
        <v>3125</v>
      </c>
      <c r="C1304" s="116" t="s">
        <v>16</v>
      </c>
      <c r="D1304" s="116">
        <v>0</v>
      </c>
      <c r="E1304" s="136" t="s">
        <v>416</v>
      </c>
      <c r="F1304" s="137" t="str">
        <f t="shared" si="66"/>
        <v/>
      </c>
      <c r="G1304" s="138" t="e">
        <f>IF(A1304&lt;&gt;"",IF(AND(#REF!="Padrão",$H$4=#REF!),BDI!$B$17,IF(AND(#REF!="Padrão",$H$4=#REF!),BDI!#REF!,IF(AND(#REF!="Diferenciado",$H$4=#REF!),BDI!$E$17,IF(AND(#REF!="Diferenciado",$H$4=#REF!),BDI!#REF!,IF(#REF!="ZERO",0))))),"")</f>
        <v>#REF!</v>
      </c>
      <c r="H1304" s="139" t="str">
        <f t="shared" si="67"/>
        <v/>
      </c>
      <c r="I1304" s="137" t="str">
        <f t="shared" si="68"/>
        <v/>
      </c>
      <c r="J1304" s="117"/>
    </row>
    <row r="1305" spans="1:10" ht="25.5" hidden="1" x14ac:dyDescent="0.25">
      <c r="A1305" s="114" t="s">
        <v>3126</v>
      </c>
      <c r="B1305" s="115" t="s">
        <v>3127</v>
      </c>
      <c r="C1305" s="116" t="s">
        <v>16</v>
      </c>
      <c r="D1305" s="116">
        <v>0</v>
      </c>
      <c r="E1305" s="136" t="s">
        <v>416</v>
      </c>
      <c r="F1305" s="137" t="str">
        <f t="shared" si="66"/>
        <v/>
      </c>
      <c r="G1305" s="138" t="e">
        <f>IF(A1305&lt;&gt;"",IF(AND(#REF!="Padrão",$H$4=#REF!),BDI!$B$17,IF(AND(#REF!="Padrão",$H$4=#REF!),BDI!#REF!,IF(AND(#REF!="Diferenciado",$H$4=#REF!),BDI!$E$17,IF(AND(#REF!="Diferenciado",$H$4=#REF!),BDI!#REF!,IF(#REF!="ZERO",0))))),"")</f>
        <v>#REF!</v>
      </c>
      <c r="H1305" s="139" t="str">
        <f t="shared" si="67"/>
        <v/>
      </c>
      <c r="I1305" s="137" t="str">
        <f t="shared" si="68"/>
        <v/>
      </c>
      <c r="J1305" s="117"/>
    </row>
    <row r="1306" spans="1:10" ht="38.25" hidden="1" x14ac:dyDescent="0.25">
      <c r="A1306" s="114" t="s">
        <v>3128</v>
      </c>
      <c r="B1306" s="115" t="s">
        <v>3129</v>
      </c>
      <c r="C1306" s="116" t="s">
        <v>16</v>
      </c>
      <c r="D1306" s="116">
        <v>0</v>
      </c>
      <c r="E1306" s="136" t="s">
        <v>416</v>
      </c>
      <c r="F1306" s="137" t="str">
        <f t="shared" si="66"/>
        <v/>
      </c>
      <c r="G1306" s="138" t="e">
        <f>IF(A1306&lt;&gt;"",IF(AND(#REF!="Padrão",$H$4=#REF!),BDI!$B$17,IF(AND(#REF!="Padrão",$H$4=#REF!),BDI!#REF!,IF(AND(#REF!="Diferenciado",$H$4=#REF!),BDI!$E$17,IF(AND(#REF!="Diferenciado",$H$4=#REF!),BDI!#REF!,IF(#REF!="ZERO",0))))),"")</f>
        <v>#REF!</v>
      </c>
      <c r="H1306" s="139" t="str">
        <f t="shared" si="67"/>
        <v/>
      </c>
      <c r="I1306" s="137" t="str">
        <f t="shared" si="68"/>
        <v/>
      </c>
      <c r="J1306" s="117"/>
    </row>
    <row r="1307" spans="1:10" ht="25.5" hidden="1" x14ac:dyDescent="0.25">
      <c r="A1307" s="114" t="s">
        <v>3130</v>
      </c>
      <c r="B1307" s="115" t="s">
        <v>3131</v>
      </c>
      <c r="C1307" s="116" t="s">
        <v>16</v>
      </c>
      <c r="D1307" s="116">
        <v>0</v>
      </c>
      <c r="E1307" s="136" t="s">
        <v>416</v>
      </c>
      <c r="F1307" s="137" t="str">
        <f t="shared" si="66"/>
        <v/>
      </c>
      <c r="G1307" s="138" t="e">
        <f>IF(A1307&lt;&gt;"",IF(AND(#REF!="Padrão",$H$4=#REF!),BDI!$B$17,IF(AND(#REF!="Padrão",$H$4=#REF!),BDI!#REF!,IF(AND(#REF!="Diferenciado",$H$4=#REF!),BDI!$E$17,IF(AND(#REF!="Diferenciado",$H$4=#REF!),BDI!#REF!,IF(#REF!="ZERO",0))))),"")</f>
        <v>#REF!</v>
      </c>
      <c r="H1307" s="139" t="str">
        <f t="shared" si="67"/>
        <v/>
      </c>
      <c r="I1307" s="137" t="str">
        <f t="shared" si="68"/>
        <v/>
      </c>
      <c r="J1307" s="117"/>
    </row>
    <row r="1308" spans="1:10" ht="25.5" hidden="1" x14ac:dyDescent="0.25">
      <c r="A1308" s="114" t="s">
        <v>3132</v>
      </c>
      <c r="B1308" s="115" t="s">
        <v>3133</v>
      </c>
      <c r="C1308" s="116" t="s">
        <v>16</v>
      </c>
      <c r="D1308" s="116">
        <v>0</v>
      </c>
      <c r="E1308" s="136" t="s">
        <v>416</v>
      </c>
      <c r="F1308" s="137" t="str">
        <f t="shared" si="66"/>
        <v/>
      </c>
      <c r="G1308" s="138" t="e">
        <f>IF(A1308&lt;&gt;"",IF(AND(#REF!="Padrão",$H$4=#REF!),BDI!$B$17,IF(AND(#REF!="Padrão",$H$4=#REF!),BDI!#REF!,IF(AND(#REF!="Diferenciado",$H$4=#REF!),BDI!$E$17,IF(AND(#REF!="Diferenciado",$H$4=#REF!),BDI!#REF!,IF(#REF!="ZERO",0))))),"")</f>
        <v>#REF!</v>
      </c>
      <c r="H1308" s="139" t="str">
        <f t="shared" si="67"/>
        <v/>
      </c>
      <c r="I1308" s="137" t="str">
        <f t="shared" si="68"/>
        <v/>
      </c>
      <c r="J1308" s="117"/>
    </row>
    <row r="1309" spans="1:10" ht="38.25" hidden="1" x14ac:dyDescent="0.25">
      <c r="A1309" s="114" t="s">
        <v>3134</v>
      </c>
      <c r="B1309" s="115" t="s">
        <v>3135</v>
      </c>
      <c r="C1309" s="116" t="s">
        <v>16</v>
      </c>
      <c r="D1309" s="116">
        <v>0</v>
      </c>
      <c r="E1309" s="136" t="s">
        <v>416</v>
      </c>
      <c r="F1309" s="137" t="str">
        <f t="shared" si="66"/>
        <v/>
      </c>
      <c r="G1309" s="138" t="e">
        <f>IF(A1309&lt;&gt;"",IF(AND(#REF!="Padrão",$H$4=#REF!),BDI!$B$17,IF(AND(#REF!="Padrão",$H$4=#REF!),BDI!#REF!,IF(AND(#REF!="Diferenciado",$H$4=#REF!),BDI!$E$17,IF(AND(#REF!="Diferenciado",$H$4=#REF!),BDI!#REF!,IF(#REF!="ZERO",0))))),"")</f>
        <v>#REF!</v>
      </c>
      <c r="H1309" s="139" t="str">
        <f t="shared" si="67"/>
        <v/>
      </c>
      <c r="I1309" s="137" t="str">
        <f t="shared" si="68"/>
        <v/>
      </c>
      <c r="J1309" s="117"/>
    </row>
    <row r="1310" spans="1:10" ht="38.25" hidden="1" x14ac:dyDescent="0.25">
      <c r="A1310" s="114" t="s">
        <v>3136</v>
      </c>
      <c r="B1310" s="115" t="s">
        <v>3137</v>
      </c>
      <c r="C1310" s="116" t="s">
        <v>16</v>
      </c>
      <c r="D1310" s="116">
        <v>0</v>
      </c>
      <c r="E1310" s="136" t="s">
        <v>416</v>
      </c>
      <c r="F1310" s="137" t="str">
        <f t="shared" si="66"/>
        <v/>
      </c>
      <c r="G1310" s="138" t="e">
        <f>IF(A1310&lt;&gt;"",IF(AND(#REF!="Padrão",$H$4=#REF!),BDI!$B$17,IF(AND(#REF!="Padrão",$H$4=#REF!),BDI!#REF!,IF(AND(#REF!="Diferenciado",$H$4=#REF!),BDI!$E$17,IF(AND(#REF!="Diferenciado",$H$4=#REF!),BDI!#REF!,IF(#REF!="ZERO",0))))),"")</f>
        <v>#REF!</v>
      </c>
      <c r="H1310" s="139" t="str">
        <f t="shared" si="67"/>
        <v/>
      </c>
      <c r="I1310" s="137" t="str">
        <f t="shared" si="68"/>
        <v/>
      </c>
      <c r="J1310" s="117"/>
    </row>
    <row r="1311" spans="1:10" ht="25.5" hidden="1" x14ac:dyDescent="0.25">
      <c r="A1311" s="114" t="s">
        <v>3138</v>
      </c>
      <c r="B1311" s="115" t="s">
        <v>3139</v>
      </c>
      <c r="C1311" s="116" t="s">
        <v>16</v>
      </c>
      <c r="D1311" s="116">
        <v>0</v>
      </c>
      <c r="E1311" s="136" t="s">
        <v>416</v>
      </c>
      <c r="F1311" s="137" t="str">
        <f t="shared" si="66"/>
        <v/>
      </c>
      <c r="G1311" s="138" t="e">
        <f>IF(A1311&lt;&gt;"",IF(AND(#REF!="Padrão",$H$4=#REF!),BDI!$B$17,IF(AND(#REF!="Padrão",$H$4=#REF!),BDI!#REF!,IF(AND(#REF!="Diferenciado",$H$4=#REF!),BDI!$E$17,IF(AND(#REF!="Diferenciado",$H$4=#REF!),BDI!#REF!,IF(#REF!="ZERO",0))))),"")</f>
        <v>#REF!</v>
      </c>
      <c r="H1311" s="139" t="str">
        <f t="shared" si="67"/>
        <v/>
      </c>
      <c r="I1311" s="137" t="str">
        <f t="shared" si="68"/>
        <v/>
      </c>
      <c r="J1311" s="117"/>
    </row>
    <row r="1312" spans="1:10" ht="38.25" hidden="1" x14ac:dyDescent="0.25">
      <c r="A1312" s="114" t="s">
        <v>3140</v>
      </c>
      <c r="B1312" s="115" t="s">
        <v>3141</v>
      </c>
      <c r="C1312" s="116" t="s">
        <v>16</v>
      </c>
      <c r="D1312" s="116">
        <v>0</v>
      </c>
      <c r="E1312" s="136" t="s">
        <v>416</v>
      </c>
      <c r="F1312" s="137" t="str">
        <f t="shared" si="66"/>
        <v/>
      </c>
      <c r="G1312" s="138" t="e">
        <f>IF(A1312&lt;&gt;"",IF(AND(#REF!="Padrão",$H$4=#REF!),BDI!$B$17,IF(AND(#REF!="Padrão",$H$4=#REF!),BDI!#REF!,IF(AND(#REF!="Diferenciado",$H$4=#REF!),BDI!$E$17,IF(AND(#REF!="Diferenciado",$H$4=#REF!),BDI!#REF!,IF(#REF!="ZERO",0))))),"")</f>
        <v>#REF!</v>
      </c>
      <c r="H1312" s="139" t="str">
        <f t="shared" si="67"/>
        <v/>
      </c>
      <c r="I1312" s="137" t="str">
        <f t="shared" si="68"/>
        <v/>
      </c>
      <c r="J1312" s="117"/>
    </row>
    <row r="1313" spans="1:10" ht="25.5" hidden="1" x14ac:dyDescent="0.25">
      <c r="A1313" s="114" t="s">
        <v>3142</v>
      </c>
      <c r="B1313" s="115" t="s">
        <v>3143</v>
      </c>
      <c r="C1313" s="116" t="s">
        <v>16</v>
      </c>
      <c r="D1313" s="116">
        <v>0</v>
      </c>
      <c r="E1313" s="136" t="s">
        <v>416</v>
      </c>
      <c r="F1313" s="137" t="str">
        <f t="shared" si="66"/>
        <v/>
      </c>
      <c r="G1313" s="138" t="e">
        <f>IF(A1313&lt;&gt;"",IF(AND(#REF!="Padrão",$H$4=#REF!),BDI!$B$17,IF(AND(#REF!="Padrão",$H$4=#REF!),BDI!#REF!,IF(AND(#REF!="Diferenciado",$H$4=#REF!),BDI!$E$17,IF(AND(#REF!="Diferenciado",$H$4=#REF!),BDI!#REF!,IF(#REF!="ZERO",0))))),"")</f>
        <v>#REF!</v>
      </c>
      <c r="H1313" s="139" t="str">
        <f t="shared" si="67"/>
        <v/>
      </c>
      <c r="I1313" s="137" t="str">
        <f t="shared" si="68"/>
        <v/>
      </c>
      <c r="J1313" s="117"/>
    </row>
    <row r="1314" spans="1:10" ht="38.25" hidden="1" x14ac:dyDescent="0.25">
      <c r="A1314" s="114" t="s">
        <v>3144</v>
      </c>
      <c r="B1314" s="115" t="s">
        <v>3145</v>
      </c>
      <c r="C1314" s="116" t="s">
        <v>16</v>
      </c>
      <c r="D1314" s="116">
        <v>0</v>
      </c>
      <c r="E1314" s="136" t="s">
        <v>416</v>
      </c>
      <c r="F1314" s="137" t="str">
        <f t="shared" si="66"/>
        <v/>
      </c>
      <c r="G1314" s="138" t="e">
        <f>IF(A1314&lt;&gt;"",IF(AND(#REF!="Padrão",$H$4=#REF!),BDI!$B$17,IF(AND(#REF!="Padrão",$H$4=#REF!),BDI!#REF!,IF(AND(#REF!="Diferenciado",$H$4=#REF!),BDI!$E$17,IF(AND(#REF!="Diferenciado",$H$4=#REF!),BDI!#REF!,IF(#REF!="ZERO",0))))),"")</f>
        <v>#REF!</v>
      </c>
      <c r="H1314" s="139" t="str">
        <f t="shared" si="67"/>
        <v/>
      </c>
      <c r="I1314" s="137" t="str">
        <f t="shared" si="68"/>
        <v/>
      </c>
      <c r="J1314" s="117"/>
    </row>
    <row r="1315" spans="1:10" hidden="1" x14ac:dyDescent="0.25">
      <c r="A1315" s="114" t="s">
        <v>3146</v>
      </c>
      <c r="B1315" s="115" t="s">
        <v>3147</v>
      </c>
      <c r="C1315" s="116" t="s">
        <v>16</v>
      </c>
      <c r="D1315" s="116">
        <v>0</v>
      </c>
      <c r="E1315" s="136">
        <f ca="1">OFFSET(INDEX(Composições!A:J,MATCH(Orçamentária!A1315,Composições!A:A,0),8),2,0)</f>
        <v>44.607915000000006</v>
      </c>
      <c r="F1315" s="137">
        <f t="shared" ca="1" si="66"/>
        <v>0</v>
      </c>
      <c r="G1315" s="138" t="e">
        <f>IF(A1315&lt;&gt;"",IF(AND(#REF!="Padrão",$H$4=#REF!),BDI!$B$17,IF(AND(#REF!="Padrão",$H$4=#REF!),BDI!#REF!,IF(AND(#REF!="Diferenciado",$H$4=#REF!),BDI!$E$17,IF(AND(#REF!="Diferenciado",$H$4=#REF!),BDI!#REF!,IF(#REF!="ZERO",0))))),"")</f>
        <v>#REF!</v>
      </c>
      <c r="H1315" s="139" t="e">
        <f t="shared" ca="1" si="67"/>
        <v>#REF!</v>
      </c>
      <c r="I1315" s="137" t="e">
        <f t="shared" ca="1" si="68"/>
        <v>#REF!</v>
      </c>
      <c r="J1315" s="117"/>
    </row>
    <row r="1316" spans="1:10" hidden="1" x14ac:dyDescent="0.25">
      <c r="A1316" s="114" t="s">
        <v>3148</v>
      </c>
      <c r="B1316" s="115" t="s">
        <v>3149</v>
      </c>
      <c r="C1316" s="116" t="s">
        <v>16</v>
      </c>
      <c r="D1316" s="116">
        <v>0</v>
      </c>
      <c r="E1316" s="136">
        <f ca="1">OFFSET(INDEX(Composições!A:J,MATCH(Orçamentária!A1316,Composições!A:A,0),8),2,0)</f>
        <v>95.78424115</v>
      </c>
      <c r="F1316" s="137">
        <f t="shared" ca="1" si="66"/>
        <v>0</v>
      </c>
      <c r="G1316" s="138" t="e">
        <f>IF(A1316&lt;&gt;"",IF(AND(#REF!="Padrão",$H$4=#REF!),BDI!$B$17,IF(AND(#REF!="Padrão",$H$4=#REF!),BDI!#REF!,IF(AND(#REF!="Diferenciado",$H$4=#REF!),BDI!$E$17,IF(AND(#REF!="Diferenciado",$H$4=#REF!),BDI!#REF!,IF(#REF!="ZERO",0))))),"")</f>
        <v>#REF!</v>
      </c>
      <c r="H1316" s="139" t="e">
        <f t="shared" ca="1" si="67"/>
        <v>#REF!</v>
      </c>
      <c r="I1316" s="137" t="e">
        <f t="shared" ca="1" si="68"/>
        <v>#REF!</v>
      </c>
      <c r="J1316" s="117"/>
    </row>
    <row r="1317" spans="1:10" hidden="1" x14ac:dyDescent="0.25">
      <c r="A1317" s="114" t="s">
        <v>3150</v>
      </c>
      <c r="B1317" s="115" t="s">
        <v>3151</v>
      </c>
      <c r="C1317" s="116" t="s">
        <v>16</v>
      </c>
      <c r="D1317" s="116">
        <v>0</v>
      </c>
      <c r="E1317" s="136">
        <f ca="1">OFFSET(INDEX(Composições!A:J,MATCH(Orçamentária!A1317,Composições!A:A,0),8),2,0)</f>
        <v>95.78424115</v>
      </c>
      <c r="F1317" s="137">
        <f t="shared" ca="1" si="66"/>
        <v>0</v>
      </c>
      <c r="G1317" s="138" t="e">
        <f>IF(A1317&lt;&gt;"",IF(AND(#REF!="Padrão",$H$4=#REF!),BDI!$B$17,IF(AND(#REF!="Padrão",$H$4=#REF!),BDI!#REF!,IF(AND(#REF!="Diferenciado",$H$4=#REF!),BDI!$E$17,IF(AND(#REF!="Diferenciado",$H$4=#REF!),BDI!#REF!,IF(#REF!="ZERO",0))))),"")</f>
        <v>#REF!</v>
      </c>
      <c r="H1317" s="139" t="e">
        <f t="shared" ca="1" si="67"/>
        <v>#REF!</v>
      </c>
      <c r="I1317" s="137" t="e">
        <f t="shared" ca="1" si="68"/>
        <v>#REF!</v>
      </c>
      <c r="J1317" s="117"/>
    </row>
    <row r="1318" spans="1:10" hidden="1" x14ac:dyDescent="0.25">
      <c r="A1318" s="114" t="s">
        <v>3152</v>
      </c>
      <c r="B1318" s="115" t="s">
        <v>3153</v>
      </c>
      <c r="C1318" s="116" t="s">
        <v>16</v>
      </c>
      <c r="D1318" s="116">
        <v>0</v>
      </c>
      <c r="E1318" s="136">
        <f ca="1">OFFSET(INDEX(Composições!A:J,MATCH(Orçamentária!A1318,Composições!A:A,0),8),2,0)</f>
        <v>95.78424115</v>
      </c>
      <c r="F1318" s="137">
        <f t="shared" ca="1" si="66"/>
        <v>0</v>
      </c>
      <c r="G1318" s="138" t="e">
        <f>IF(A1318&lt;&gt;"",IF(AND(#REF!="Padrão",$H$4=#REF!),BDI!$B$17,IF(AND(#REF!="Padrão",$H$4=#REF!),BDI!#REF!,IF(AND(#REF!="Diferenciado",$H$4=#REF!),BDI!$E$17,IF(AND(#REF!="Diferenciado",$H$4=#REF!),BDI!#REF!,IF(#REF!="ZERO",0))))),"")</f>
        <v>#REF!</v>
      </c>
      <c r="H1318" s="139" t="e">
        <f t="shared" ca="1" si="67"/>
        <v>#REF!</v>
      </c>
      <c r="I1318" s="137" t="e">
        <f t="shared" ca="1" si="68"/>
        <v>#REF!</v>
      </c>
      <c r="J1318" s="117"/>
    </row>
    <row r="1319" spans="1:10" hidden="1" x14ac:dyDescent="0.25">
      <c r="A1319" s="114" t="s">
        <v>3154</v>
      </c>
      <c r="B1319" s="115" t="s">
        <v>3155</v>
      </c>
      <c r="C1319" s="116" t="s">
        <v>16</v>
      </c>
      <c r="D1319" s="116">
        <v>0</v>
      </c>
      <c r="E1319" s="136">
        <f ca="1">OFFSET(INDEX(Composições!A:J,MATCH(Orçamentária!A1319,Composições!A:A,0),8),2,0)</f>
        <v>110.52027824999999</v>
      </c>
      <c r="F1319" s="137">
        <f t="shared" ca="1" si="66"/>
        <v>0</v>
      </c>
      <c r="G1319" s="138" t="e">
        <f>IF(A1319&lt;&gt;"",IF(AND(#REF!="Padrão",$H$4=#REF!),BDI!$B$17,IF(AND(#REF!="Padrão",$H$4=#REF!),BDI!#REF!,IF(AND(#REF!="Diferenciado",$H$4=#REF!),BDI!$E$17,IF(AND(#REF!="Diferenciado",$H$4=#REF!),BDI!#REF!,IF(#REF!="ZERO",0))))),"")</f>
        <v>#REF!</v>
      </c>
      <c r="H1319" s="139" t="e">
        <f t="shared" ca="1" si="67"/>
        <v>#REF!</v>
      </c>
      <c r="I1319" s="137" t="e">
        <f t="shared" ca="1" si="68"/>
        <v>#REF!</v>
      </c>
      <c r="J1319" s="117"/>
    </row>
    <row r="1320" spans="1:10" hidden="1" x14ac:dyDescent="0.25">
      <c r="A1320" s="114" t="s">
        <v>3156</v>
      </c>
      <c r="B1320" s="115" t="s">
        <v>3157</v>
      </c>
      <c r="C1320" s="116" t="s">
        <v>16</v>
      </c>
      <c r="D1320" s="116">
        <v>0</v>
      </c>
      <c r="E1320" s="136">
        <f ca="1">OFFSET(INDEX(Composições!A:J,MATCH(Orçamentária!A1320,Composições!A:A,0),8),2,0)</f>
        <v>18.802475999999999</v>
      </c>
      <c r="F1320" s="137">
        <f t="shared" ca="1" si="66"/>
        <v>0</v>
      </c>
      <c r="G1320" s="138" t="e">
        <f>IF(A1320&lt;&gt;"",IF(AND(#REF!="Padrão",$H$4=#REF!),BDI!$B$17,IF(AND(#REF!="Padrão",$H$4=#REF!),BDI!#REF!,IF(AND(#REF!="Diferenciado",$H$4=#REF!),BDI!$E$17,IF(AND(#REF!="Diferenciado",$H$4=#REF!),BDI!#REF!,IF(#REF!="ZERO",0))))),"")</f>
        <v>#REF!</v>
      </c>
      <c r="H1320" s="139" t="e">
        <f t="shared" ca="1" si="67"/>
        <v>#REF!</v>
      </c>
      <c r="I1320" s="137" t="e">
        <f t="shared" ca="1" si="68"/>
        <v>#REF!</v>
      </c>
      <c r="J1320" s="117"/>
    </row>
    <row r="1321" spans="1:10" hidden="1" x14ac:dyDescent="0.25">
      <c r="A1321" s="114" t="s">
        <v>3158</v>
      </c>
      <c r="B1321" s="115" t="s">
        <v>3159</v>
      </c>
      <c r="C1321" s="116" t="s">
        <v>16</v>
      </c>
      <c r="D1321" s="116">
        <v>0</v>
      </c>
      <c r="E1321" s="136">
        <f ca="1">OFFSET(INDEX(Composições!A:J,MATCH(Orçamentária!A1321,Composições!A:A,0),8),2,0)</f>
        <v>95.78424115</v>
      </c>
      <c r="F1321" s="137">
        <f t="shared" ca="1" si="66"/>
        <v>0</v>
      </c>
      <c r="G1321" s="138" t="e">
        <f>IF(A1321&lt;&gt;"",IF(AND(#REF!="Padrão",$H$4=#REF!),BDI!$B$17,IF(AND(#REF!="Padrão",$H$4=#REF!),BDI!#REF!,IF(AND(#REF!="Diferenciado",$H$4=#REF!),BDI!$E$17,IF(AND(#REF!="Diferenciado",$H$4=#REF!),BDI!#REF!,IF(#REF!="ZERO",0))))),"")</f>
        <v>#REF!</v>
      </c>
      <c r="H1321" s="139" t="e">
        <f t="shared" ca="1" si="67"/>
        <v>#REF!</v>
      </c>
      <c r="I1321" s="137" t="e">
        <f t="shared" ca="1" si="68"/>
        <v>#REF!</v>
      </c>
      <c r="J1321" s="117"/>
    </row>
    <row r="1322" spans="1:10" hidden="1" x14ac:dyDescent="0.25">
      <c r="A1322" s="114" t="s">
        <v>3160</v>
      </c>
      <c r="B1322" s="115" t="s">
        <v>3161</v>
      </c>
      <c r="C1322" s="116" t="s">
        <v>69</v>
      </c>
      <c r="D1322" s="116">
        <v>0</v>
      </c>
      <c r="E1322" s="136">
        <f ca="1">OFFSET(INDEX(Composições!A:J,MATCH(Orçamentária!A1322,Composições!A:A,0),8),2,0)</f>
        <v>4.6046879999999994</v>
      </c>
      <c r="F1322" s="137">
        <f t="shared" ca="1" si="66"/>
        <v>0</v>
      </c>
      <c r="G1322" s="138" t="e">
        <f>IF(A1322&lt;&gt;"",IF(AND(#REF!="Padrão",$H$4=#REF!),BDI!$B$17,IF(AND(#REF!="Padrão",$H$4=#REF!),BDI!#REF!,IF(AND(#REF!="Diferenciado",$H$4=#REF!),BDI!$E$17,IF(AND(#REF!="Diferenciado",$H$4=#REF!),BDI!#REF!,IF(#REF!="ZERO",0))))),"")</f>
        <v>#REF!</v>
      </c>
      <c r="H1322" s="139" t="e">
        <f t="shared" ca="1" si="67"/>
        <v>#REF!</v>
      </c>
      <c r="I1322" s="137" t="e">
        <f t="shared" ca="1" si="68"/>
        <v>#REF!</v>
      </c>
      <c r="J1322" s="117"/>
    </row>
    <row r="1323" spans="1:10" hidden="1" x14ac:dyDescent="0.25">
      <c r="A1323" s="114" t="s">
        <v>3162</v>
      </c>
      <c r="B1323" s="115" t="s">
        <v>3163</v>
      </c>
      <c r="C1323" s="116" t="s">
        <v>16</v>
      </c>
      <c r="D1323" s="116">
        <v>0</v>
      </c>
      <c r="E1323" s="136">
        <f ca="1">OFFSET(INDEX(Composições!A:J,MATCH(Orçamentária!A1323,Composições!A:A,0),8),2,0)</f>
        <v>8.9620815</v>
      </c>
      <c r="F1323" s="137">
        <f t="shared" ca="1" si="66"/>
        <v>0</v>
      </c>
      <c r="G1323" s="138" t="e">
        <f>IF(A1323&lt;&gt;"",IF(AND(#REF!="Padrão",$H$4=#REF!),BDI!$B$17,IF(AND(#REF!="Padrão",$H$4=#REF!),BDI!#REF!,IF(AND(#REF!="Diferenciado",$H$4=#REF!),BDI!$E$17,IF(AND(#REF!="Diferenciado",$H$4=#REF!),BDI!#REF!,IF(#REF!="ZERO",0))))),"")</f>
        <v>#REF!</v>
      </c>
      <c r="H1323" s="139" t="e">
        <f t="shared" ca="1" si="67"/>
        <v>#REF!</v>
      </c>
      <c r="I1323" s="137" t="e">
        <f t="shared" ca="1" si="68"/>
        <v>#REF!</v>
      </c>
      <c r="J1323" s="117"/>
    </row>
    <row r="1324" spans="1:10" ht="25.5" hidden="1" x14ac:dyDescent="0.25">
      <c r="A1324" s="114" t="s">
        <v>3164</v>
      </c>
      <c r="B1324" s="115" t="s">
        <v>3165</v>
      </c>
      <c r="C1324" s="116" t="s">
        <v>16</v>
      </c>
      <c r="D1324" s="116">
        <v>0</v>
      </c>
      <c r="E1324" s="136">
        <f ca="1">OFFSET(INDEX(Composições!A:J,MATCH(Orçamentária!A1324,Composições!A:A,0),8),2,0)</f>
        <v>65.263439150000011</v>
      </c>
      <c r="F1324" s="137">
        <f t="shared" ca="1" si="66"/>
        <v>0</v>
      </c>
      <c r="G1324" s="138" t="e">
        <f>IF(A1324&lt;&gt;"",IF(AND(#REF!="Padrão",$H$4=#REF!),BDI!$B$17,IF(AND(#REF!="Padrão",$H$4=#REF!),BDI!#REF!,IF(AND(#REF!="Diferenciado",$H$4=#REF!),BDI!$E$17,IF(AND(#REF!="Diferenciado",$H$4=#REF!),BDI!#REF!,IF(#REF!="ZERO",0))))),"")</f>
        <v>#REF!</v>
      </c>
      <c r="H1324" s="139" t="e">
        <f t="shared" ca="1" si="67"/>
        <v>#REF!</v>
      </c>
      <c r="I1324" s="137" t="e">
        <f t="shared" ca="1" si="68"/>
        <v>#REF!</v>
      </c>
      <c r="J1324" s="117"/>
    </row>
    <row r="1325" spans="1:10" hidden="1" x14ac:dyDescent="0.25">
      <c r="A1325" s="114" t="s">
        <v>3166</v>
      </c>
      <c r="B1325" s="115" t="s">
        <v>3167</v>
      </c>
      <c r="C1325" s="116" t="s">
        <v>16</v>
      </c>
      <c r="D1325" s="116">
        <v>0</v>
      </c>
      <c r="E1325" s="136" t="s">
        <v>416</v>
      </c>
      <c r="F1325" s="137" t="str">
        <f t="shared" si="66"/>
        <v/>
      </c>
      <c r="G1325" s="138" t="e">
        <f>IF(A1325&lt;&gt;"",IF(AND(#REF!="Padrão",$H$4=#REF!),BDI!$B$17,IF(AND(#REF!="Padrão",$H$4=#REF!),BDI!#REF!,IF(AND(#REF!="Diferenciado",$H$4=#REF!),BDI!$E$17,IF(AND(#REF!="Diferenciado",$H$4=#REF!),BDI!#REF!,IF(#REF!="ZERO",0))))),"")</f>
        <v>#REF!</v>
      </c>
      <c r="H1325" s="139" t="str">
        <f t="shared" si="67"/>
        <v/>
      </c>
      <c r="I1325" s="137" t="str">
        <f t="shared" si="68"/>
        <v/>
      </c>
      <c r="J1325" s="117"/>
    </row>
    <row r="1326" spans="1:10" hidden="1" x14ac:dyDescent="0.25">
      <c r="A1326" s="114" t="s">
        <v>3168</v>
      </c>
      <c r="B1326" s="115" t="s">
        <v>3169</v>
      </c>
      <c r="C1326" s="116" t="s">
        <v>16</v>
      </c>
      <c r="D1326" s="116">
        <v>0</v>
      </c>
      <c r="E1326" s="136" t="s">
        <v>416</v>
      </c>
      <c r="F1326" s="137" t="str">
        <f t="shared" si="66"/>
        <v/>
      </c>
      <c r="G1326" s="138" t="e">
        <f>IF(A1326&lt;&gt;"",IF(AND(#REF!="Padrão",$H$4=#REF!),BDI!$B$17,IF(AND(#REF!="Padrão",$H$4=#REF!),BDI!#REF!,IF(AND(#REF!="Diferenciado",$H$4=#REF!),BDI!$E$17,IF(AND(#REF!="Diferenciado",$H$4=#REF!),BDI!#REF!,IF(#REF!="ZERO",0))))),"")</f>
        <v>#REF!</v>
      </c>
      <c r="H1326" s="139" t="str">
        <f t="shared" si="67"/>
        <v/>
      </c>
      <c r="I1326" s="137" t="str">
        <f t="shared" si="68"/>
        <v/>
      </c>
      <c r="J1326" s="117"/>
    </row>
    <row r="1327" spans="1:10" hidden="1" x14ac:dyDescent="0.25">
      <c r="A1327" s="114" t="s">
        <v>3170</v>
      </c>
      <c r="B1327" s="115" t="s">
        <v>3171</v>
      </c>
      <c r="C1327" s="116" t="s">
        <v>16</v>
      </c>
      <c r="D1327" s="116">
        <v>0</v>
      </c>
      <c r="E1327" s="136" t="s">
        <v>416</v>
      </c>
      <c r="F1327" s="137" t="str">
        <f t="shared" si="66"/>
        <v/>
      </c>
      <c r="G1327" s="138" t="e">
        <f>IF(A1327&lt;&gt;"",IF(AND(#REF!="Padrão",$H$4=#REF!),BDI!$B$17,IF(AND(#REF!="Padrão",$H$4=#REF!),BDI!#REF!,IF(AND(#REF!="Diferenciado",$H$4=#REF!),BDI!$E$17,IF(AND(#REF!="Diferenciado",$H$4=#REF!),BDI!#REF!,IF(#REF!="ZERO",0))))),"")</f>
        <v>#REF!</v>
      </c>
      <c r="H1327" s="139" t="str">
        <f t="shared" si="67"/>
        <v/>
      </c>
      <c r="I1327" s="137" t="str">
        <f t="shared" si="68"/>
        <v/>
      </c>
      <c r="J1327" s="117"/>
    </row>
    <row r="1328" spans="1:10" hidden="1" x14ac:dyDescent="0.25">
      <c r="A1328" s="114" t="s">
        <v>3172</v>
      </c>
      <c r="B1328" s="115" t="s">
        <v>3173</v>
      </c>
      <c r="C1328" s="116" t="s">
        <v>16</v>
      </c>
      <c r="D1328" s="116">
        <v>0</v>
      </c>
      <c r="E1328" s="136" t="s">
        <v>416</v>
      </c>
      <c r="F1328" s="137" t="str">
        <f t="shared" si="66"/>
        <v/>
      </c>
      <c r="G1328" s="138" t="e">
        <f>IF(A1328&lt;&gt;"",IF(AND(#REF!="Padrão",$H$4=#REF!),BDI!$B$17,IF(AND(#REF!="Padrão",$H$4=#REF!),BDI!#REF!,IF(AND(#REF!="Diferenciado",$H$4=#REF!),BDI!$E$17,IF(AND(#REF!="Diferenciado",$H$4=#REF!),BDI!#REF!,IF(#REF!="ZERO",0))))),"")</f>
        <v>#REF!</v>
      </c>
      <c r="H1328" s="139" t="str">
        <f t="shared" si="67"/>
        <v/>
      </c>
      <c r="I1328" s="137" t="str">
        <f t="shared" si="68"/>
        <v/>
      </c>
      <c r="J1328" s="117"/>
    </row>
    <row r="1329" spans="1:10" hidden="1" x14ac:dyDescent="0.25">
      <c r="A1329" s="114" t="s">
        <v>3174</v>
      </c>
      <c r="B1329" s="115" t="s">
        <v>3175</v>
      </c>
      <c r="C1329" s="116" t="s">
        <v>16</v>
      </c>
      <c r="D1329" s="116">
        <v>0</v>
      </c>
      <c r="E1329" s="136" t="s">
        <v>416</v>
      </c>
      <c r="F1329" s="137" t="str">
        <f t="shared" si="66"/>
        <v/>
      </c>
      <c r="G1329" s="138" t="e">
        <f>IF(A1329&lt;&gt;"",IF(AND(#REF!="Padrão",$H$4=#REF!),BDI!$B$17,IF(AND(#REF!="Padrão",$H$4=#REF!),BDI!#REF!,IF(AND(#REF!="Diferenciado",$H$4=#REF!),BDI!$E$17,IF(AND(#REF!="Diferenciado",$H$4=#REF!),BDI!#REF!,IF(#REF!="ZERO",0))))),"")</f>
        <v>#REF!</v>
      </c>
      <c r="H1329" s="139" t="str">
        <f t="shared" si="67"/>
        <v/>
      </c>
      <c r="I1329" s="137" t="str">
        <f t="shared" si="68"/>
        <v/>
      </c>
      <c r="J1329" s="117"/>
    </row>
    <row r="1330" spans="1:10" hidden="1" x14ac:dyDescent="0.25">
      <c r="A1330" s="114" t="s">
        <v>3176</v>
      </c>
      <c r="B1330" s="115" t="s">
        <v>3177</v>
      </c>
      <c r="C1330" s="116" t="s">
        <v>16</v>
      </c>
      <c r="D1330" s="116">
        <v>0</v>
      </c>
      <c r="E1330" s="136">
        <f ca="1">OFFSET(INDEX(Composições!A:J,MATCH(Orçamentária!A1330,Composições!A:A,0),8),2,0)</f>
        <v>101.02197495</v>
      </c>
      <c r="F1330" s="137">
        <f t="shared" ca="1" si="66"/>
        <v>0</v>
      </c>
      <c r="G1330" s="138" t="e">
        <f>IF(A1330&lt;&gt;"",IF(AND(#REF!="Padrão",$H$4=#REF!),BDI!$B$17,IF(AND(#REF!="Padrão",$H$4=#REF!),BDI!#REF!,IF(AND(#REF!="Diferenciado",$H$4=#REF!),BDI!$E$17,IF(AND(#REF!="Diferenciado",$H$4=#REF!),BDI!#REF!,IF(#REF!="ZERO",0))))),"")</f>
        <v>#REF!</v>
      </c>
      <c r="H1330" s="139" t="e">
        <f t="shared" ca="1" si="67"/>
        <v>#REF!</v>
      </c>
      <c r="I1330" s="137" t="e">
        <f t="shared" ca="1" si="68"/>
        <v>#REF!</v>
      </c>
      <c r="J1330" s="117"/>
    </row>
    <row r="1331" spans="1:10" hidden="1" x14ac:dyDescent="0.25">
      <c r="A1331" s="114" t="s">
        <v>3178</v>
      </c>
      <c r="B1331" s="115" t="s">
        <v>3179</v>
      </c>
      <c r="C1331" s="116" t="s">
        <v>69</v>
      </c>
      <c r="D1331" s="116">
        <v>0</v>
      </c>
      <c r="E1331" s="136">
        <f ca="1">OFFSET(INDEX(Composições!A:J,MATCH(Orçamentária!A1331,Composições!A:A,0),8),2,0)</f>
        <v>307.44434534326399</v>
      </c>
      <c r="F1331" s="137">
        <f t="shared" ca="1" si="66"/>
        <v>0</v>
      </c>
      <c r="G1331" s="138" t="e">
        <f>IF(A1331&lt;&gt;"",IF(AND(#REF!="Padrão",$H$4=#REF!),BDI!$B$17,IF(AND(#REF!="Padrão",$H$4=#REF!),BDI!#REF!,IF(AND(#REF!="Diferenciado",$H$4=#REF!),BDI!$E$17,IF(AND(#REF!="Diferenciado",$H$4=#REF!),BDI!#REF!,IF(#REF!="ZERO",0))))),"")</f>
        <v>#REF!</v>
      </c>
      <c r="H1331" s="139" t="e">
        <f t="shared" ca="1" si="67"/>
        <v>#REF!</v>
      </c>
      <c r="I1331" s="137" t="e">
        <f t="shared" ca="1" si="68"/>
        <v>#REF!</v>
      </c>
      <c r="J1331" s="117"/>
    </row>
    <row r="1332" spans="1:10" hidden="1" x14ac:dyDescent="0.25">
      <c r="A1332" s="114" t="s">
        <v>3180</v>
      </c>
      <c r="B1332" s="115" t="s">
        <v>3181</v>
      </c>
      <c r="C1332" s="116" t="s">
        <v>69</v>
      </c>
      <c r="D1332" s="116">
        <v>0</v>
      </c>
      <c r="E1332" s="136">
        <f ca="1">OFFSET(INDEX(Composições!A:J,MATCH(Orçamentária!A1332,Composições!A:A,0),8),2,0)</f>
        <v>515.86146289004751</v>
      </c>
      <c r="F1332" s="137">
        <f t="shared" ca="1" si="66"/>
        <v>0</v>
      </c>
      <c r="G1332" s="138" t="e">
        <f>IF(A1332&lt;&gt;"",IF(AND(#REF!="Padrão",$H$4=#REF!),BDI!$B$17,IF(AND(#REF!="Padrão",$H$4=#REF!),BDI!#REF!,IF(AND(#REF!="Diferenciado",$H$4=#REF!),BDI!$E$17,IF(AND(#REF!="Diferenciado",$H$4=#REF!),BDI!#REF!,IF(#REF!="ZERO",0))))),"")</f>
        <v>#REF!</v>
      </c>
      <c r="H1332" s="139" t="e">
        <f t="shared" ca="1" si="67"/>
        <v>#REF!</v>
      </c>
      <c r="I1332" s="137" t="e">
        <f t="shared" ca="1" si="68"/>
        <v>#REF!</v>
      </c>
      <c r="J1332" s="117"/>
    </row>
    <row r="1333" spans="1:10" hidden="1" x14ac:dyDescent="0.25">
      <c r="A1333" s="114" t="s">
        <v>3182</v>
      </c>
      <c r="B1333" s="115" t="s">
        <v>3183</v>
      </c>
      <c r="C1333" s="116" t="s">
        <v>16</v>
      </c>
      <c r="D1333" s="116">
        <v>0</v>
      </c>
      <c r="E1333" s="136">
        <f ca="1">OFFSET(INDEX(Composições!A:J,MATCH(Orçamentária!A1333,Composições!A:A,0),8),2,0)</f>
        <v>56.973266049999992</v>
      </c>
      <c r="F1333" s="137">
        <f t="shared" ca="1" si="66"/>
        <v>0</v>
      </c>
      <c r="G1333" s="138" t="e">
        <f>IF(A1333&lt;&gt;"",IF(AND(#REF!="Padrão",$H$4=#REF!),BDI!$B$17,IF(AND(#REF!="Padrão",$H$4=#REF!),BDI!#REF!,IF(AND(#REF!="Diferenciado",$H$4=#REF!),BDI!$E$17,IF(AND(#REF!="Diferenciado",$H$4=#REF!),BDI!#REF!,IF(#REF!="ZERO",0))))),"")</f>
        <v>#REF!</v>
      </c>
      <c r="H1333" s="139" t="e">
        <f t="shared" ca="1" si="67"/>
        <v>#REF!</v>
      </c>
      <c r="I1333" s="137" t="e">
        <f t="shared" ca="1" si="68"/>
        <v>#REF!</v>
      </c>
      <c r="J1333" s="117"/>
    </row>
    <row r="1334" spans="1:10" hidden="1" x14ac:dyDescent="0.25">
      <c r="A1334" s="114" t="s">
        <v>3184</v>
      </c>
      <c r="B1334" s="115" t="s">
        <v>3185</v>
      </c>
      <c r="C1334" s="116" t="s">
        <v>16</v>
      </c>
      <c r="D1334" s="116">
        <v>0</v>
      </c>
      <c r="E1334" s="136">
        <f ca="1">OFFSET(INDEX(Composições!A:J,MATCH(Orçamentária!A1334,Composições!A:A,0),8),2,0)</f>
        <v>35.327943550000001</v>
      </c>
      <c r="F1334" s="137">
        <f t="shared" ca="1" si="66"/>
        <v>0</v>
      </c>
      <c r="G1334" s="138" t="e">
        <f>IF(A1334&lt;&gt;"",IF(AND(#REF!="Padrão",$H$4=#REF!),BDI!$B$17,IF(AND(#REF!="Padrão",$H$4=#REF!),BDI!#REF!,IF(AND(#REF!="Diferenciado",$H$4=#REF!),BDI!$E$17,IF(AND(#REF!="Diferenciado",$H$4=#REF!),BDI!#REF!,IF(#REF!="ZERO",0))))),"")</f>
        <v>#REF!</v>
      </c>
      <c r="H1334" s="139" t="e">
        <f t="shared" ca="1" si="67"/>
        <v>#REF!</v>
      </c>
      <c r="I1334" s="137" t="e">
        <f t="shared" ca="1" si="68"/>
        <v>#REF!</v>
      </c>
      <c r="J1334" s="117"/>
    </row>
    <row r="1335" spans="1:10" hidden="1" x14ac:dyDescent="0.25">
      <c r="A1335" s="114" t="s">
        <v>3186</v>
      </c>
      <c r="B1335" s="115" t="s">
        <v>3187</v>
      </c>
      <c r="C1335" s="116" t="s">
        <v>16</v>
      </c>
      <c r="D1335" s="116">
        <v>0</v>
      </c>
      <c r="E1335" s="136" t="s">
        <v>416</v>
      </c>
      <c r="F1335" s="137" t="str">
        <f t="shared" si="66"/>
        <v/>
      </c>
      <c r="G1335" s="138" t="e">
        <f>IF(A1335&lt;&gt;"",IF(AND(#REF!="Padrão",$H$4=#REF!),BDI!$B$17,IF(AND(#REF!="Padrão",$H$4=#REF!),BDI!#REF!,IF(AND(#REF!="Diferenciado",$H$4=#REF!),BDI!$E$17,IF(AND(#REF!="Diferenciado",$H$4=#REF!),BDI!#REF!,IF(#REF!="ZERO",0))))),"")</f>
        <v>#REF!</v>
      </c>
      <c r="H1335" s="139" t="str">
        <f t="shared" si="67"/>
        <v/>
      </c>
      <c r="I1335" s="137" t="str">
        <f t="shared" si="68"/>
        <v/>
      </c>
      <c r="J1335" s="117"/>
    </row>
    <row r="1336" spans="1:10" hidden="1" x14ac:dyDescent="0.25">
      <c r="A1336" s="114" t="s">
        <v>3188</v>
      </c>
      <c r="B1336" s="115" t="s">
        <v>3189</v>
      </c>
      <c r="C1336" s="116" t="s">
        <v>69</v>
      </c>
      <c r="D1336" s="116">
        <v>0</v>
      </c>
      <c r="E1336" s="136">
        <f ca="1">OFFSET(INDEX(Composições!A:J,MATCH(Orçamentária!A1336,Composições!A:A,0),8),2,0)</f>
        <v>3.5136908999999998</v>
      </c>
      <c r="F1336" s="137">
        <f t="shared" ca="1" si="66"/>
        <v>0</v>
      </c>
      <c r="G1336" s="138" t="e">
        <f>IF(A1336&lt;&gt;"",IF(AND(#REF!="Padrão",$H$4=#REF!),BDI!$B$17,IF(AND(#REF!="Padrão",$H$4=#REF!),BDI!#REF!,IF(AND(#REF!="Diferenciado",$H$4=#REF!),BDI!$E$17,IF(AND(#REF!="Diferenciado",$H$4=#REF!),BDI!#REF!,IF(#REF!="ZERO",0))))),"")</f>
        <v>#REF!</v>
      </c>
      <c r="H1336" s="139" t="e">
        <f t="shared" ca="1" si="67"/>
        <v>#REF!</v>
      </c>
      <c r="I1336" s="137" t="e">
        <f t="shared" ca="1" si="68"/>
        <v>#REF!</v>
      </c>
      <c r="J1336" s="117"/>
    </row>
    <row r="1337" spans="1:10" hidden="1" x14ac:dyDescent="0.25">
      <c r="A1337" s="114" t="s">
        <v>3190</v>
      </c>
      <c r="B1337" s="115" t="s">
        <v>3191</v>
      </c>
      <c r="C1337" s="116" t="s">
        <v>69</v>
      </c>
      <c r="D1337" s="116">
        <v>0</v>
      </c>
      <c r="E1337" s="136">
        <f ca="1">OFFSET(INDEX(Composições!A:J,MATCH(Orçamentária!A1337,Composições!A:A,0),8),2,0)</f>
        <v>6.8593571999999998</v>
      </c>
      <c r="F1337" s="137">
        <f t="shared" ca="1" si="66"/>
        <v>0</v>
      </c>
      <c r="G1337" s="138" t="e">
        <f>IF(A1337&lt;&gt;"",IF(AND(#REF!="Padrão",$H$4=#REF!),BDI!$B$17,IF(AND(#REF!="Padrão",$H$4=#REF!),BDI!#REF!,IF(AND(#REF!="Diferenciado",$H$4=#REF!),BDI!$E$17,IF(AND(#REF!="Diferenciado",$H$4=#REF!),BDI!#REF!,IF(#REF!="ZERO",0))))),"")</f>
        <v>#REF!</v>
      </c>
      <c r="H1337" s="139" t="e">
        <f t="shared" ca="1" si="67"/>
        <v>#REF!</v>
      </c>
      <c r="I1337" s="137" t="e">
        <f t="shared" ca="1" si="68"/>
        <v>#REF!</v>
      </c>
      <c r="J1337" s="117"/>
    </row>
    <row r="1338" spans="1:10" hidden="1" x14ac:dyDescent="0.25">
      <c r="A1338" s="114" t="s">
        <v>3192</v>
      </c>
      <c r="B1338" s="115" t="s">
        <v>5581</v>
      </c>
      <c r="C1338" s="116" t="s">
        <v>69</v>
      </c>
      <c r="D1338" s="116">
        <v>0</v>
      </c>
      <c r="E1338" s="136">
        <f ca="1">OFFSET(INDEX(Composições!A:J,MATCH(Orçamentária!A1338,Composições!A:A,0),8),2,0)</f>
        <v>12.251722500000001</v>
      </c>
      <c r="F1338" s="137">
        <f t="shared" ca="1" si="66"/>
        <v>0</v>
      </c>
      <c r="G1338" s="138" t="e">
        <f>IF(A1338&lt;&gt;"",IF(AND(#REF!="Padrão",$H$4=#REF!),BDI!$B$17,IF(AND(#REF!="Padrão",$H$4=#REF!),BDI!#REF!,IF(AND(#REF!="Diferenciado",$H$4=#REF!),BDI!$E$17,IF(AND(#REF!="Diferenciado",$H$4=#REF!),BDI!#REF!,IF(#REF!="ZERO",0))))),"")</f>
        <v>#REF!</v>
      </c>
      <c r="H1338" s="139" t="e">
        <f t="shared" ca="1" si="67"/>
        <v>#REF!</v>
      </c>
      <c r="I1338" s="137" t="e">
        <f t="shared" ca="1" si="68"/>
        <v>#REF!</v>
      </c>
      <c r="J1338" s="117"/>
    </row>
    <row r="1339" spans="1:10" hidden="1" x14ac:dyDescent="0.25">
      <c r="A1339" s="114" t="s">
        <v>3193</v>
      </c>
      <c r="B1339" s="115" t="s">
        <v>7728</v>
      </c>
      <c r="C1339" s="116" t="s">
        <v>16</v>
      </c>
      <c r="D1339" s="116">
        <v>0</v>
      </c>
      <c r="E1339" s="136">
        <f ca="1">OFFSET(INDEX(Composições!A:J,MATCH(Orçamentária!A1339,Composições!A:A,0),8),2,0)</f>
        <v>1904.9566248985502</v>
      </c>
      <c r="F1339" s="137">
        <f t="shared" ca="1" si="66"/>
        <v>0</v>
      </c>
      <c r="G1339" s="138" t="e">
        <f>IF(A1339&lt;&gt;"",IF(AND(#REF!="Padrão",$H$4=#REF!),BDI!$B$17,IF(AND(#REF!="Padrão",$H$4=#REF!),BDI!#REF!,IF(AND(#REF!="Diferenciado",$H$4=#REF!),BDI!$E$17,IF(AND(#REF!="Diferenciado",$H$4=#REF!),BDI!#REF!,IF(#REF!="ZERO",0))))),"")</f>
        <v>#REF!</v>
      </c>
      <c r="H1339" s="139" t="e">
        <f t="shared" ca="1" si="67"/>
        <v>#REF!</v>
      </c>
      <c r="I1339" s="137" t="e">
        <f t="shared" ca="1" si="68"/>
        <v>#REF!</v>
      </c>
      <c r="J1339" s="117"/>
    </row>
    <row r="1340" spans="1:10" hidden="1" x14ac:dyDescent="0.25">
      <c r="A1340" s="114" t="s">
        <v>3194</v>
      </c>
      <c r="B1340" s="115" t="s">
        <v>3195</v>
      </c>
      <c r="C1340" s="116" t="s">
        <v>16</v>
      </c>
      <c r="D1340" s="116">
        <v>0</v>
      </c>
      <c r="E1340" s="136">
        <f ca="1">OFFSET(INDEX(Composições!A:J,MATCH(Orçamentária!A1340,Composições!A:A,0),8),2,0)</f>
        <v>5945.09</v>
      </c>
      <c r="F1340" s="137">
        <f t="shared" ca="1" si="66"/>
        <v>0</v>
      </c>
      <c r="G1340" s="138" t="e">
        <f>IF(A1340&lt;&gt;"",IF(AND(#REF!="Padrão",$H$4=#REF!),BDI!$B$17,IF(AND(#REF!="Padrão",$H$4=#REF!),BDI!#REF!,IF(AND(#REF!="Diferenciado",$H$4=#REF!),BDI!$E$17,IF(AND(#REF!="Diferenciado",$H$4=#REF!),BDI!#REF!,IF(#REF!="ZERO",0))))),"")</f>
        <v>#REF!</v>
      </c>
      <c r="H1340" s="139" t="e">
        <f t="shared" ca="1" si="67"/>
        <v>#REF!</v>
      </c>
      <c r="I1340" s="137" t="e">
        <f t="shared" ca="1" si="68"/>
        <v>#REF!</v>
      </c>
      <c r="J1340" s="117"/>
    </row>
    <row r="1341" spans="1:10" hidden="1" x14ac:dyDescent="0.25">
      <c r="A1341" s="114" t="s">
        <v>3196</v>
      </c>
      <c r="B1341" s="115" t="s">
        <v>3197</v>
      </c>
      <c r="C1341" s="116" t="s">
        <v>69</v>
      </c>
      <c r="D1341" s="116">
        <v>0</v>
      </c>
      <c r="E1341" s="136">
        <f ca="1">OFFSET(INDEX(Composições!A:J,MATCH(Orçamentária!A1341,Composições!A:A,0),8),2,0)</f>
        <v>10.710195500000001</v>
      </c>
      <c r="F1341" s="137">
        <f t="shared" ca="1" si="66"/>
        <v>0</v>
      </c>
      <c r="G1341" s="138" t="e">
        <f>IF(A1341&lt;&gt;"",IF(AND(#REF!="Padrão",$H$4=#REF!),BDI!$B$17,IF(AND(#REF!="Padrão",$H$4=#REF!),BDI!#REF!,IF(AND(#REF!="Diferenciado",$H$4=#REF!),BDI!$E$17,IF(AND(#REF!="Diferenciado",$H$4=#REF!),BDI!#REF!,IF(#REF!="ZERO",0))))),"")</f>
        <v>#REF!</v>
      </c>
      <c r="H1341" s="139" t="e">
        <f t="shared" ca="1" si="67"/>
        <v>#REF!</v>
      </c>
      <c r="I1341" s="137" t="e">
        <f t="shared" ca="1" si="68"/>
        <v>#REF!</v>
      </c>
      <c r="J1341" s="117"/>
    </row>
    <row r="1342" spans="1:10" hidden="1" x14ac:dyDescent="0.25">
      <c r="A1342" s="114" t="s">
        <v>3198</v>
      </c>
      <c r="B1342" s="115" t="s">
        <v>3199</v>
      </c>
      <c r="C1342" s="116" t="s">
        <v>69</v>
      </c>
      <c r="D1342" s="116">
        <v>0</v>
      </c>
      <c r="E1342" s="136" t="s">
        <v>416</v>
      </c>
      <c r="F1342" s="137" t="str">
        <f t="shared" si="66"/>
        <v/>
      </c>
      <c r="G1342" s="138" t="e">
        <f>IF(A1342&lt;&gt;"",IF(AND(#REF!="Padrão",$H$4=#REF!),BDI!$B$17,IF(AND(#REF!="Padrão",$H$4=#REF!),BDI!#REF!,IF(AND(#REF!="Diferenciado",$H$4=#REF!),BDI!$E$17,IF(AND(#REF!="Diferenciado",$H$4=#REF!),BDI!#REF!,IF(#REF!="ZERO",0))))),"")</f>
        <v>#REF!</v>
      </c>
      <c r="H1342" s="139" t="str">
        <f t="shared" si="67"/>
        <v/>
      </c>
      <c r="I1342" s="137" t="str">
        <f t="shared" si="68"/>
        <v/>
      </c>
      <c r="J1342" s="117"/>
    </row>
    <row r="1343" spans="1:10" hidden="1" x14ac:dyDescent="0.25">
      <c r="A1343" s="114" t="s">
        <v>3200</v>
      </c>
      <c r="B1343" s="115" t="s">
        <v>3201</v>
      </c>
      <c r="C1343" s="116" t="s">
        <v>69</v>
      </c>
      <c r="D1343" s="116">
        <v>0</v>
      </c>
      <c r="E1343" s="136" t="s">
        <v>416</v>
      </c>
      <c r="F1343" s="137" t="str">
        <f t="shared" si="66"/>
        <v/>
      </c>
      <c r="G1343" s="138" t="e">
        <f>IF(A1343&lt;&gt;"",IF(AND(#REF!="Padrão",$H$4=#REF!),BDI!$B$17,IF(AND(#REF!="Padrão",$H$4=#REF!),BDI!#REF!,IF(AND(#REF!="Diferenciado",$H$4=#REF!),BDI!$E$17,IF(AND(#REF!="Diferenciado",$H$4=#REF!),BDI!#REF!,IF(#REF!="ZERO",0))))),"")</f>
        <v>#REF!</v>
      </c>
      <c r="H1343" s="139" t="str">
        <f t="shared" si="67"/>
        <v/>
      </c>
      <c r="I1343" s="137" t="str">
        <f t="shared" si="68"/>
        <v/>
      </c>
      <c r="J1343" s="117"/>
    </row>
    <row r="1344" spans="1:10" hidden="1" x14ac:dyDescent="0.25">
      <c r="A1344" s="114" t="s">
        <v>3202</v>
      </c>
      <c r="B1344" s="115" t="s">
        <v>3203</v>
      </c>
      <c r="C1344" s="116" t="s">
        <v>16</v>
      </c>
      <c r="D1344" s="116">
        <v>0</v>
      </c>
      <c r="E1344" s="136">
        <f ca="1">OFFSET(INDEX(Composições!A:J,MATCH(Orçamentária!A1344,Composições!A:A,0),8),2,0)</f>
        <v>783.12721341458939</v>
      </c>
      <c r="F1344" s="137">
        <f t="shared" ref="F1344:F1351" ca="1" si="69">IF(ISNUMBER(E1344),D1344*E1344,"")</f>
        <v>0</v>
      </c>
      <c r="G1344" s="138" t="e">
        <f>IF(A1344&lt;&gt;"",IF(AND(#REF!="Padrão",$H$4=#REF!),BDI!$B$17,IF(AND(#REF!="Padrão",$H$4=#REF!),BDI!#REF!,IF(AND(#REF!="Diferenciado",$H$4=#REF!),BDI!$E$17,IF(AND(#REF!="Diferenciado",$H$4=#REF!),BDI!#REF!,IF(#REF!="ZERO",0))))),"")</f>
        <v>#REF!</v>
      </c>
      <c r="H1344" s="139" t="e">
        <f t="shared" ref="H1344:H1351" ca="1" si="70">IF(ISNUMBER(E1344),ROUND(E1344*(1+G1344),2),"")</f>
        <v>#REF!</v>
      </c>
      <c r="I1344" s="137" t="e">
        <f t="shared" ref="I1344:I1351" ca="1" si="71">IF(ISNUMBER(E1344),ROUND(H1344*D1344,2),"")</f>
        <v>#REF!</v>
      </c>
      <c r="J1344" s="117"/>
    </row>
    <row r="1345" spans="1:10" hidden="1" x14ac:dyDescent="0.25">
      <c r="A1345" s="114" t="s">
        <v>3237</v>
      </c>
      <c r="B1345" s="115" t="s">
        <v>3238</v>
      </c>
      <c r="C1345" s="116" t="s">
        <v>16</v>
      </c>
      <c r="D1345" s="116">
        <v>0</v>
      </c>
      <c r="E1345" s="136" t="s">
        <v>416</v>
      </c>
      <c r="F1345" s="137" t="str">
        <f t="shared" si="69"/>
        <v/>
      </c>
      <c r="G1345" s="138" t="e">
        <f>IF(A1345&lt;&gt;"",IF(AND(#REF!="Padrão",$H$4=#REF!),BDI!$B$17,IF(AND(#REF!="Padrão",$H$4=#REF!),BDI!#REF!,IF(AND(#REF!="Diferenciado",$H$4=#REF!),BDI!$E$17,IF(AND(#REF!="Diferenciado",$H$4=#REF!),BDI!#REF!,IF(#REF!="ZERO",0))))),"")</f>
        <v>#REF!</v>
      </c>
      <c r="H1345" s="139" t="str">
        <f t="shared" si="70"/>
        <v/>
      </c>
      <c r="I1345" s="137" t="str">
        <f t="shared" si="71"/>
        <v/>
      </c>
      <c r="J1345" s="117"/>
    </row>
    <row r="1346" spans="1:10" hidden="1" x14ac:dyDescent="0.25">
      <c r="A1346" s="114" t="s">
        <v>3239</v>
      </c>
      <c r="B1346" s="115" t="s">
        <v>3240</v>
      </c>
      <c r="C1346" s="116" t="s">
        <v>16</v>
      </c>
      <c r="D1346" s="116">
        <v>0</v>
      </c>
      <c r="E1346" s="136" t="s">
        <v>416</v>
      </c>
      <c r="F1346" s="137" t="str">
        <f t="shared" si="69"/>
        <v/>
      </c>
      <c r="G1346" s="138" t="e">
        <f>IF(A1346&lt;&gt;"",IF(AND(#REF!="Padrão",$H$4=#REF!),BDI!$B$17,IF(AND(#REF!="Padrão",$H$4=#REF!),BDI!#REF!,IF(AND(#REF!="Diferenciado",$H$4=#REF!),BDI!$E$17,IF(AND(#REF!="Diferenciado",$H$4=#REF!),BDI!#REF!,IF(#REF!="ZERO",0))))),"")</f>
        <v>#REF!</v>
      </c>
      <c r="H1346" s="139" t="str">
        <f t="shared" si="70"/>
        <v/>
      </c>
      <c r="I1346" s="137" t="str">
        <f t="shared" si="71"/>
        <v/>
      </c>
      <c r="J1346" s="117"/>
    </row>
    <row r="1347" spans="1:10" hidden="1" x14ac:dyDescent="0.25">
      <c r="A1347" s="114" t="s">
        <v>3241</v>
      </c>
      <c r="B1347" s="115" t="s">
        <v>5491</v>
      </c>
      <c r="C1347" s="116" t="s">
        <v>69</v>
      </c>
      <c r="D1347" s="116">
        <v>0</v>
      </c>
      <c r="E1347" s="136">
        <f ca="1">OFFSET(INDEX(Composições!A:J,MATCH(Orçamentária!A1347,Composições!A:A,0),8),2,0)</f>
        <v>26.504540199999997</v>
      </c>
      <c r="F1347" s="137">
        <f t="shared" ca="1" si="69"/>
        <v>0</v>
      </c>
      <c r="G1347" s="138" t="e">
        <f>IF(A1347&lt;&gt;"",IF(AND(#REF!="Padrão",$H$4=#REF!),BDI!$B$17,IF(AND(#REF!="Padrão",$H$4=#REF!),BDI!#REF!,IF(AND(#REF!="Diferenciado",$H$4=#REF!),BDI!$E$17,IF(AND(#REF!="Diferenciado",$H$4=#REF!),BDI!#REF!,IF(#REF!="ZERO",0))))),"")</f>
        <v>#REF!</v>
      </c>
      <c r="H1347" s="139" t="e">
        <f t="shared" ca="1" si="70"/>
        <v>#REF!</v>
      </c>
      <c r="I1347" s="137" t="e">
        <f t="shared" ca="1" si="71"/>
        <v>#REF!</v>
      </c>
      <c r="J1347" s="117"/>
    </row>
    <row r="1348" spans="1:10" hidden="1" x14ac:dyDescent="0.25">
      <c r="A1348" s="114" t="s">
        <v>3242</v>
      </c>
      <c r="B1348" s="115" t="s">
        <v>5492</v>
      </c>
      <c r="C1348" s="116" t="s">
        <v>69</v>
      </c>
      <c r="D1348" s="116">
        <v>0</v>
      </c>
      <c r="E1348" s="136">
        <f ca="1">OFFSET(INDEX(Composições!A:J,MATCH(Orçamentária!A1348,Composições!A:A,0),8),2,0)</f>
        <v>35.020505499999999</v>
      </c>
      <c r="F1348" s="137">
        <f t="shared" ca="1" si="69"/>
        <v>0</v>
      </c>
      <c r="G1348" s="138" t="e">
        <f>IF(A1348&lt;&gt;"",IF(AND(#REF!="Padrão",$H$4=#REF!),BDI!$B$17,IF(AND(#REF!="Padrão",$H$4=#REF!),BDI!#REF!,IF(AND(#REF!="Diferenciado",$H$4=#REF!),BDI!$E$17,IF(AND(#REF!="Diferenciado",$H$4=#REF!),BDI!#REF!,IF(#REF!="ZERO",0))))),"")</f>
        <v>#REF!</v>
      </c>
      <c r="H1348" s="139" t="e">
        <f t="shared" ca="1" si="70"/>
        <v>#REF!</v>
      </c>
      <c r="I1348" s="137" t="e">
        <f t="shared" ca="1" si="71"/>
        <v>#REF!</v>
      </c>
      <c r="J1348" s="117"/>
    </row>
    <row r="1349" spans="1:10" hidden="1" x14ac:dyDescent="0.25">
      <c r="A1349" s="114" t="s">
        <v>3243</v>
      </c>
      <c r="B1349" s="115" t="s">
        <v>5493</v>
      </c>
      <c r="C1349" s="116" t="s">
        <v>16</v>
      </c>
      <c r="D1349" s="116">
        <v>0</v>
      </c>
      <c r="E1349" s="136" t="s">
        <v>416</v>
      </c>
      <c r="F1349" s="137" t="str">
        <f t="shared" si="69"/>
        <v/>
      </c>
      <c r="G1349" s="138" t="e">
        <f>IF(A1349&lt;&gt;"",IF(AND(#REF!="Padrão",$H$4=#REF!),BDI!$B$17,IF(AND(#REF!="Padrão",$H$4=#REF!),BDI!#REF!,IF(AND(#REF!="Diferenciado",$H$4=#REF!),BDI!$E$17,IF(AND(#REF!="Diferenciado",$H$4=#REF!),BDI!#REF!,IF(#REF!="ZERO",0))))),"")</f>
        <v>#REF!</v>
      </c>
      <c r="H1349" s="139" t="str">
        <f t="shared" si="70"/>
        <v/>
      </c>
      <c r="I1349" s="137" t="str">
        <f t="shared" si="71"/>
        <v/>
      </c>
      <c r="J1349" s="117"/>
    </row>
    <row r="1350" spans="1:10" hidden="1" x14ac:dyDescent="0.25">
      <c r="A1350" s="114" t="s">
        <v>3244</v>
      </c>
      <c r="B1350" s="115" t="s">
        <v>3246</v>
      </c>
      <c r="C1350" s="116" t="s">
        <v>16</v>
      </c>
      <c r="D1350" s="116">
        <v>0</v>
      </c>
      <c r="E1350" s="136" t="s">
        <v>416</v>
      </c>
      <c r="F1350" s="137" t="str">
        <f t="shared" si="69"/>
        <v/>
      </c>
      <c r="G1350" s="138" t="e">
        <f>IF(A1350&lt;&gt;"",IF(AND(#REF!="Padrão",$H$4=#REF!),BDI!$B$17,IF(AND(#REF!="Padrão",$H$4=#REF!),BDI!#REF!,IF(AND(#REF!="Diferenciado",$H$4=#REF!),BDI!$E$17,IF(AND(#REF!="Diferenciado",$H$4=#REF!),BDI!#REF!,IF(#REF!="ZERO",0))))),"")</f>
        <v>#REF!</v>
      </c>
      <c r="H1350" s="139" t="str">
        <f t="shared" si="70"/>
        <v/>
      </c>
      <c r="I1350" s="137" t="str">
        <f t="shared" si="71"/>
        <v/>
      </c>
      <c r="J1350" s="117"/>
    </row>
    <row r="1351" spans="1:10" hidden="1" x14ac:dyDescent="0.25">
      <c r="A1351" s="114" t="s">
        <v>3245</v>
      </c>
      <c r="B1351" s="115" t="s">
        <v>5494</v>
      </c>
      <c r="C1351" s="116" t="s">
        <v>16</v>
      </c>
      <c r="D1351" s="116">
        <v>0</v>
      </c>
      <c r="E1351" s="136" t="s">
        <v>416</v>
      </c>
      <c r="F1351" s="137" t="str">
        <f t="shared" si="69"/>
        <v/>
      </c>
      <c r="G1351" s="138" t="e">
        <f>IF(A1351&lt;&gt;"",IF(AND(#REF!="Padrão",$H$4=#REF!),BDI!$B$17,IF(AND(#REF!="Padrão",$H$4=#REF!),BDI!#REF!,IF(AND(#REF!="Diferenciado",$H$4=#REF!),BDI!$E$17,IF(AND(#REF!="Diferenciado",$H$4=#REF!),BDI!#REF!,IF(#REF!="ZERO",0))))),"")</f>
        <v>#REF!</v>
      </c>
      <c r="H1351" s="139" t="str">
        <f t="shared" si="70"/>
        <v/>
      </c>
      <c r="I1351" s="137" t="str">
        <f t="shared" si="71"/>
        <v/>
      </c>
      <c r="J1351" s="117"/>
    </row>
    <row r="1352" spans="1:10" hidden="1" x14ac:dyDescent="0.25">
      <c r="A1352" s="114" t="s">
        <v>3265</v>
      </c>
      <c r="B1352" s="115" t="s">
        <v>3297</v>
      </c>
      <c r="C1352" s="116" t="s">
        <v>16</v>
      </c>
      <c r="D1352" s="116">
        <v>0</v>
      </c>
      <c r="E1352" s="136">
        <f ca="1">OFFSET(INDEX(Composições!A:J,MATCH(Orçamentária!A1352,Composições!A:A,0),8),2,0)</f>
        <v>6.6108656999999997</v>
      </c>
      <c r="F1352" s="137">
        <f t="shared" ref="F1352:F1383" ca="1" si="72">IF(ISNUMBER(E1352),D1352*E1352,"")</f>
        <v>0</v>
      </c>
      <c r="G1352" s="138" t="e">
        <f>IF(A1352&lt;&gt;"",IF(AND(#REF!="Padrão",$H$4=#REF!),BDI!$B$17,IF(AND(#REF!="Padrão",$H$4=#REF!),BDI!#REF!,IF(AND(#REF!="Diferenciado",$H$4=#REF!),BDI!$E$17,IF(AND(#REF!="Diferenciado",$H$4=#REF!),BDI!#REF!,IF(#REF!="ZERO",0))))),"")</f>
        <v>#REF!</v>
      </c>
      <c r="H1352" s="139" t="e">
        <f t="shared" ref="H1352:H1383" ca="1" si="73">IF(ISNUMBER(E1352),ROUND(E1352*(1+G1352),2),"")</f>
        <v>#REF!</v>
      </c>
      <c r="I1352" s="137" t="e">
        <f t="shared" ref="I1352:I1383" ca="1" si="74">IF(ISNUMBER(E1352),ROUND(H1352*D1352,2),"")</f>
        <v>#REF!</v>
      </c>
      <c r="J1352" s="117"/>
    </row>
    <row r="1353" spans="1:10" hidden="1" x14ac:dyDescent="0.25">
      <c r="A1353" s="114" t="s">
        <v>3266</v>
      </c>
      <c r="B1353" s="115" t="s">
        <v>3298</v>
      </c>
      <c r="C1353" s="116" t="s">
        <v>69</v>
      </c>
      <c r="D1353" s="116">
        <v>0</v>
      </c>
      <c r="E1353" s="136">
        <f ca="1">OFFSET(INDEX(Composições!A:J,MATCH(Orçamentária!A1353,Composições!A:A,0),8),2,0)</f>
        <v>0.1383732</v>
      </c>
      <c r="F1353" s="137">
        <f t="shared" ca="1" si="72"/>
        <v>0</v>
      </c>
      <c r="G1353" s="138" t="e">
        <f>IF(A1353&lt;&gt;"",IF(AND(#REF!="Padrão",$H$4=#REF!),BDI!$B$17,IF(AND(#REF!="Padrão",$H$4=#REF!),BDI!#REF!,IF(AND(#REF!="Diferenciado",$H$4=#REF!),BDI!$E$17,IF(AND(#REF!="Diferenciado",$H$4=#REF!),BDI!#REF!,IF(#REF!="ZERO",0))))),"")</f>
        <v>#REF!</v>
      </c>
      <c r="H1353" s="139" t="e">
        <f t="shared" ca="1" si="73"/>
        <v>#REF!</v>
      </c>
      <c r="I1353" s="137" t="e">
        <f t="shared" ca="1" si="74"/>
        <v>#REF!</v>
      </c>
      <c r="J1353" s="117"/>
    </row>
    <row r="1354" spans="1:10" hidden="1" x14ac:dyDescent="0.25">
      <c r="A1354" s="114" t="s">
        <v>3267</v>
      </c>
      <c r="B1354" s="115" t="s">
        <v>3299</v>
      </c>
      <c r="C1354" s="116" t="s">
        <v>69</v>
      </c>
      <c r="D1354" s="116">
        <v>0</v>
      </c>
      <c r="E1354" s="136">
        <f ca="1">OFFSET(INDEX(Composições!A:J,MATCH(Orçamentária!A1354,Composições!A:A,0),8),2,0)</f>
        <v>3.5136908999999998</v>
      </c>
      <c r="F1354" s="137">
        <f t="shared" ca="1" si="72"/>
        <v>0</v>
      </c>
      <c r="G1354" s="138" t="e">
        <f>IF(A1354&lt;&gt;"",IF(AND(#REF!="Padrão",$H$4=#REF!),BDI!$B$17,IF(AND(#REF!="Padrão",$H$4=#REF!),BDI!#REF!,IF(AND(#REF!="Diferenciado",$H$4=#REF!),BDI!$E$17,IF(AND(#REF!="Diferenciado",$H$4=#REF!),BDI!#REF!,IF(#REF!="ZERO",0))))),"")</f>
        <v>#REF!</v>
      </c>
      <c r="H1354" s="139" t="e">
        <f t="shared" ca="1" si="73"/>
        <v>#REF!</v>
      </c>
      <c r="I1354" s="137" t="e">
        <f t="shared" ca="1" si="74"/>
        <v>#REF!</v>
      </c>
      <c r="J1354" s="117"/>
    </row>
    <row r="1355" spans="1:10" hidden="1" x14ac:dyDescent="0.25">
      <c r="A1355" s="114" t="s">
        <v>3268</v>
      </c>
      <c r="B1355" s="115" t="s">
        <v>3300</v>
      </c>
      <c r="C1355" s="116" t="s">
        <v>69</v>
      </c>
      <c r="D1355" s="116">
        <v>0</v>
      </c>
      <c r="E1355" s="136">
        <f ca="1">OFFSET(INDEX(Composições!A:J,MATCH(Orçamentária!A1355,Composições!A:A,0),8),2,0)</f>
        <v>0.1383732</v>
      </c>
      <c r="F1355" s="137">
        <f t="shared" ca="1" si="72"/>
        <v>0</v>
      </c>
      <c r="G1355" s="138" t="e">
        <f>IF(A1355&lt;&gt;"",IF(AND(#REF!="Padrão",$H$4=#REF!),BDI!$B$17,IF(AND(#REF!="Padrão",$H$4=#REF!),BDI!#REF!,IF(AND(#REF!="Diferenciado",$H$4=#REF!),BDI!$E$17,IF(AND(#REF!="Diferenciado",$H$4=#REF!),BDI!#REF!,IF(#REF!="ZERO",0))))),"")</f>
        <v>#REF!</v>
      </c>
      <c r="H1355" s="139" t="e">
        <f t="shared" ca="1" si="73"/>
        <v>#REF!</v>
      </c>
      <c r="I1355" s="137" t="e">
        <f t="shared" ca="1" si="74"/>
        <v>#REF!</v>
      </c>
      <c r="J1355" s="117"/>
    </row>
    <row r="1356" spans="1:10" hidden="1" x14ac:dyDescent="0.25">
      <c r="A1356" s="114" t="s">
        <v>3269</v>
      </c>
      <c r="B1356" s="115" t="s">
        <v>3301</v>
      </c>
      <c r="C1356" s="116" t="s">
        <v>69</v>
      </c>
      <c r="D1356" s="116">
        <v>0</v>
      </c>
      <c r="E1356" s="136">
        <f ca="1">OFFSET(INDEX(Composições!A:J,MATCH(Orçamentária!A1356,Composições!A:A,0),8),2,0)</f>
        <v>0.1383732</v>
      </c>
      <c r="F1356" s="137">
        <f t="shared" ca="1" si="72"/>
        <v>0</v>
      </c>
      <c r="G1356" s="138" t="e">
        <f>IF(A1356&lt;&gt;"",IF(AND(#REF!="Padrão",$H$4=#REF!),BDI!$B$17,IF(AND(#REF!="Padrão",$H$4=#REF!),BDI!#REF!,IF(AND(#REF!="Diferenciado",$H$4=#REF!),BDI!$E$17,IF(AND(#REF!="Diferenciado",$H$4=#REF!),BDI!#REF!,IF(#REF!="ZERO",0))))),"")</f>
        <v>#REF!</v>
      </c>
      <c r="H1356" s="139" t="e">
        <f t="shared" ca="1" si="73"/>
        <v>#REF!</v>
      </c>
      <c r="I1356" s="137" t="e">
        <f t="shared" ca="1" si="74"/>
        <v>#REF!</v>
      </c>
      <c r="J1356" s="117"/>
    </row>
    <row r="1357" spans="1:10" hidden="1" x14ac:dyDescent="0.25">
      <c r="A1357" s="114" t="s">
        <v>3270</v>
      </c>
      <c r="B1357" s="115" t="s">
        <v>3302</v>
      </c>
      <c r="C1357" s="116" t="s">
        <v>16</v>
      </c>
      <c r="D1357" s="116">
        <v>0</v>
      </c>
      <c r="E1357" s="136">
        <f ca="1">OFFSET(INDEX(Composições!A:J,MATCH(Orçamentária!A1357,Composições!A:A,0),8),2,0)</f>
        <v>71.762469899999999</v>
      </c>
      <c r="F1357" s="137">
        <f t="shared" ca="1" si="72"/>
        <v>0</v>
      </c>
      <c r="G1357" s="138" t="e">
        <f>IF(A1357&lt;&gt;"",IF(AND(#REF!="Padrão",$H$4=#REF!),BDI!$B$17,IF(AND(#REF!="Padrão",$H$4=#REF!),BDI!#REF!,IF(AND(#REF!="Diferenciado",$H$4=#REF!),BDI!$E$17,IF(AND(#REF!="Diferenciado",$H$4=#REF!),BDI!#REF!,IF(#REF!="ZERO",0))))),"")</f>
        <v>#REF!</v>
      </c>
      <c r="H1357" s="139" t="e">
        <f t="shared" ca="1" si="73"/>
        <v>#REF!</v>
      </c>
      <c r="I1357" s="137" t="e">
        <f t="shared" ca="1" si="74"/>
        <v>#REF!</v>
      </c>
      <c r="J1357" s="117"/>
    </row>
    <row r="1358" spans="1:10" hidden="1" x14ac:dyDescent="0.25">
      <c r="A1358" s="114" t="s">
        <v>3271</v>
      </c>
      <c r="B1358" s="115" t="s">
        <v>5560</v>
      </c>
      <c r="C1358" s="116" t="s">
        <v>69</v>
      </c>
      <c r="D1358" s="116">
        <v>0</v>
      </c>
      <c r="E1358" s="136">
        <f ca="1">OFFSET(INDEX(Composições!A:J,MATCH(Orçamentária!A1358,Composições!A:A,0),8),2,0)</f>
        <v>6.3608580000000003</v>
      </c>
      <c r="F1358" s="137">
        <f t="shared" ca="1" si="72"/>
        <v>0</v>
      </c>
      <c r="G1358" s="138" t="e">
        <f>IF(A1358&lt;&gt;"",IF(AND(#REF!="Padrão",$H$4=#REF!),BDI!$B$17,IF(AND(#REF!="Padrão",$H$4=#REF!),BDI!#REF!,IF(AND(#REF!="Diferenciado",$H$4=#REF!),BDI!$E$17,IF(AND(#REF!="Diferenciado",$H$4=#REF!),BDI!#REF!,IF(#REF!="ZERO",0))))),"")</f>
        <v>#REF!</v>
      </c>
      <c r="H1358" s="139" t="e">
        <f t="shared" ca="1" si="73"/>
        <v>#REF!</v>
      </c>
      <c r="I1358" s="137" t="e">
        <f t="shared" ca="1" si="74"/>
        <v>#REF!</v>
      </c>
      <c r="J1358" s="117"/>
    </row>
    <row r="1359" spans="1:10" hidden="1" x14ac:dyDescent="0.25">
      <c r="A1359" s="114" t="s">
        <v>3272</v>
      </c>
      <c r="B1359" s="115" t="s">
        <v>5561</v>
      </c>
      <c r="C1359" s="116" t="s">
        <v>69</v>
      </c>
      <c r="D1359" s="116">
        <v>0</v>
      </c>
      <c r="E1359" s="136">
        <f ca="1">OFFSET(INDEX(Composições!A:J,MATCH(Orçamentária!A1359,Composições!A:A,0),8),2,0)</f>
        <v>13.032423</v>
      </c>
      <c r="F1359" s="137">
        <f t="shared" ca="1" si="72"/>
        <v>0</v>
      </c>
      <c r="G1359" s="138" t="e">
        <f>IF(A1359&lt;&gt;"",IF(AND(#REF!="Padrão",$H$4=#REF!),BDI!$B$17,IF(AND(#REF!="Padrão",$H$4=#REF!),BDI!#REF!,IF(AND(#REF!="Diferenciado",$H$4=#REF!),BDI!$E$17,IF(AND(#REF!="Diferenciado",$H$4=#REF!),BDI!#REF!,IF(#REF!="ZERO",0))))),"")</f>
        <v>#REF!</v>
      </c>
      <c r="H1359" s="139" t="e">
        <f t="shared" ca="1" si="73"/>
        <v>#REF!</v>
      </c>
      <c r="I1359" s="137" t="e">
        <f t="shared" ca="1" si="74"/>
        <v>#REF!</v>
      </c>
      <c r="J1359" s="117"/>
    </row>
    <row r="1360" spans="1:10" hidden="1" x14ac:dyDescent="0.25">
      <c r="A1360" s="114" t="s">
        <v>3273</v>
      </c>
      <c r="B1360" s="115" t="s">
        <v>3303</v>
      </c>
      <c r="C1360" s="116" t="s">
        <v>16</v>
      </c>
      <c r="D1360" s="116">
        <v>0</v>
      </c>
      <c r="E1360" s="136">
        <f ca="1">OFFSET(INDEX(Composições!A:J,MATCH(Orçamentária!A1360,Composições!A:A,0),8),2,0)</f>
        <v>123.54750000000001</v>
      </c>
      <c r="F1360" s="137">
        <f t="shared" ca="1" si="72"/>
        <v>0</v>
      </c>
      <c r="G1360" s="138" t="e">
        <f>IF(A1360&lt;&gt;"",IF(AND(#REF!="Padrão",$H$4=#REF!),BDI!$B$17,IF(AND(#REF!="Padrão",$H$4=#REF!),BDI!#REF!,IF(AND(#REF!="Diferenciado",$H$4=#REF!),BDI!$E$17,IF(AND(#REF!="Diferenciado",$H$4=#REF!),BDI!#REF!,IF(#REF!="ZERO",0))))),"")</f>
        <v>#REF!</v>
      </c>
      <c r="H1360" s="139" t="e">
        <f t="shared" ca="1" si="73"/>
        <v>#REF!</v>
      </c>
      <c r="I1360" s="137" t="e">
        <f t="shared" ca="1" si="74"/>
        <v>#REF!</v>
      </c>
      <c r="J1360" s="117"/>
    </row>
    <row r="1361" spans="1:10" hidden="1" x14ac:dyDescent="0.25">
      <c r="A1361" s="114" t="s">
        <v>3274</v>
      </c>
      <c r="B1361" s="115" t="s">
        <v>3304</v>
      </c>
      <c r="C1361" s="116" t="s">
        <v>69</v>
      </c>
      <c r="D1361" s="116">
        <v>0</v>
      </c>
      <c r="E1361" s="136">
        <f ca="1">OFFSET(INDEX(Composições!A:J,MATCH(Orçamentária!A1361,Composições!A:A,0),8),2,0)</f>
        <v>11.36637</v>
      </c>
      <c r="F1361" s="137">
        <f t="shared" ca="1" si="72"/>
        <v>0</v>
      </c>
      <c r="G1361" s="138" t="e">
        <f>IF(A1361&lt;&gt;"",IF(AND(#REF!="Padrão",$H$4=#REF!),BDI!$B$17,IF(AND(#REF!="Padrão",$H$4=#REF!),BDI!#REF!,IF(AND(#REF!="Diferenciado",$H$4=#REF!),BDI!$E$17,IF(AND(#REF!="Diferenciado",$H$4=#REF!),BDI!#REF!,IF(#REF!="ZERO",0))))),"")</f>
        <v>#REF!</v>
      </c>
      <c r="H1361" s="139" t="e">
        <f t="shared" ca="1" si="73"/>
        <v>#REF!</v>
      </c>
      <c r="I1361" s="137" t="e">
        <f t="shared" ca="1" si="74"/>
        <v>#REF!</v>
      </c>
      <c r="J1361" s="117"/>
    </row>
    <row r="1362" spans="1:10" hidden="1" x14ac:dyDescent="0.25">
      <c r="A1362" s="114" t="s">
        <v>3275</v>
      </c>
      <c r="B1362" s="115" t="s">
        <v>3305</v>
      </c>
      <c r="C1362" s="116" t="s">
        <v>16</v>
      </c>
      <c r="D1362" s="116">
        <v>0</v>
      </c>
      <c r="E1362" s="136" t="s">
        <v>416</v>
      </c>
      <c r="F1362" s="137" t="str">
        <f t="shared" si="72"/>
        <v/>
      </c>
      <c r="G1362" s="138" t="e">
        <f>IF(A1362&lt;&gt;"",IF(AND(#REF!="Padrão",$H$4=#REF!),BDI!$B$17,IF(AND(#REF!="Padrão",$H$4=#REF!),BDI!#REF!,IF(AND(#REF!="Diferenciado",$H$4=#REF!),BDI!$E$17,IF(AND(#REF!="Diferenciado",$H$4=#REF!),BDI!#REF!,IF(#REF!="ZERO",0))))),"")</f>
        <v>#REF!</v>
      </c>
      <c r="H1362" s="139" t="str">
        <f t="shared" si="73"/>
        <v/>
      </c>
      <c r="I1362" s="137" t="str">
        <f t="shared" si="74"/>
        <v/>
      </c>
      <c r="J1362" s="117"/>
    </row>
    <row r="1363" spans="1:10" hidden="1" x14ac:dyDescent="0.25">
      <c r="A1363" s="114" t="s">
        <v>3276</v>
      </c>
      <c r="B1363" s="115" t="s">
        <v>3306</v>
      </c>
      <c r="C1363" s="116" t="s">
        <v>16</v>
      </c>
      <c r="D1363" s="116">
        <v>0</v>
      </c>
      <c r="E1363" s="136">
        <f ca="1">OFFSET(INDEX(Composições!A:J,MATCH(Orçamentária!A1363,Composições!A:A,0),8),2,0)</f>
        <v>13.62285</v>
      </c>
      <c r="F1363" s="137">
        <f t="shared" ca="1" si="72"/>
        <v>0</v>
      </c>
      <c r="G1363" s="138" t="e">
        <f>IF(A1363&lt;&gt;"",IF(AND(#REF!="Padrão",$H$4=#REF!),BDI!$B$17,IF(AND(#REF!="Padrão",$H$4=#REF!),BDI!#REF!,IF(AND(#REF!="Diferenciado",$H$4=#REF!),BDI!$E$17,IF(AND(#REF!="Diferenciado",$H$4=#REF!),BDI!#REF!,IF(#REF!="ZERO",0))))),"")</f>
        <v>#REF!</v>
      </c>
      <c r="H1363" s="139" t="e">
        <f t="shared" ca="1" si="73"/>
        <v>#REF!</v>
      </c>
      <c r="I1363" s="137" t="e">
        <f t="shared" ca="1" si="74"/>
        <v>#REF!</v>
      </c>
      <c r="J1363" s="117"/>
    </row>
    <row r="1364" spans="1:10" hidden="1" x14ac:dyDescent="0.25">
      <c r="A1364" s="114" t="s">
        <v>3277</v>
      </c>
      <c r="B1364" s="115" t="s">
        <v>7729</v>
      </c>
      <c r="C1364" s="116" t="s">
        <v>69</v>
      </c>
      <c r="D1364" s="116">
        <v>0</v>
      </c>
      <c r="E1364" s="136">
        <f ca="1">OFFSET(INDEX(Composições!A:J,MATCH(Orçamentária!A1364,Composições!A:A,0),8),2,0)</f>
        <v>29.651400000000002</v>
      </c>
      <c r="F1364" s="137">
        <f t="shared" ca="1" si="72"/>
        <v>0</v>
      </c>
      <c r="G1364" s="138" t="e">
        <f>IF(A1364&lt;&gt;"",IF(AND(#REF!="Padrão",$H$4=#REF!),BDI!$B$17,IF(AND(#REF!="Padrão",$H$4=#REF!),BDI!#REF!,IF(AND(#REF!="Diferenciado",$H$4=#REF!),BDI!$E$17,IF(AND(#REF!="Diferenciado",$H$4=#REF!),BDI!#REF!,IF(#REF!="ZERO",0))))),"")</f>
        <v>#REF!</v>
      </c>
      <c r="H1364" s="139" t="e">
        <f t="shared" ca="1" si="73"/>
        <v>#REF!</v>
      </c>
      <c r="I1364" s="137" t="e">
        <f t="shared" ca="1" si="74"/>
        <v>#REF!</v>
      </c>
      <c r="J1364" s="117"/>
    </row>
    <row r="1365" spans="1:10" hidden="1" x14ac:dyDescent="0.25">
      <c r="A1365" s="114" t="s">
        <v>3278</v>
      </c>
      <c r="B1365" s="115" t="s">
        <v>7730</v>
      </c>
      <c r="C1365" s="116" t="s">
        <v>69</v>
      </c>
      <c r="D1365" s="116">
        <v>0</v>
      </c>
      <c r="E1365" s="136">
        <f ca="1">OFFSET(INDEX(Composições!A:J,MATCH(Orçamentária!A1365,Composições!A:A,0),8),2,0)</f>
        <v>34.593299999999999</v>
      </c>
      <c r="F1365" s="137">
        <f t="shared" ca="1" si="72"/>
        <v>0</v>
      </c>
      <c r="G1365" s="138" t="e">
        <f>IF(A1365&lt;&gt;"",IF(AND(#REF!="Padrão",$H$4=#REF!),BDI!$B$17,IF(AND(#REF!="Padrão",$H$4=#REF!),BDI!#REF!,IF(AND(#REF!="Diferenciado",$H$4=#REF!),BDI!$E$17,IF(AND(#REF!="Diferenciado",$H$4=#REF!),BDI!#REF!,IF(#REF!="ZERO",0))))),"")</f>
        <v>#REF!</v>
      </c>
      <c r="H1365" s="139" t="e">
        <f t="shared" ca="1" si="73"/>
        <v>#REF!</v>
      </c>
      <c r="I1365" s="137" t="e">
        <f t="shared" ca="1" si="74"/>
        <v>#REF!</v>
      </c>
      <c r="J1365" s="117"/>
    </row>
    <row r="1366" spans="1:10" hidden="1" x14ac:dyDescent="0.25">
      <c r="A1366" s="114" t="s">
        <v>3279</v>
      </c>
      <c r="B1366" s="115" t="s">
        <v>3307</v>
      </c>
      <c r="C1366" s="116" t="s">
        <v>16</v>
      </c>
      <c r="D1366" s="116">
        <v>0</v>
      </c>
      <c r="E1366" s="136">
        <f ca="1">OFFSET(INDEX(Composições!A:J,MATCH(Orçamentária!A1366,Composições!A:A,0),8),2,0)</f>
        <v>15.262380800000001</v>
      </c>
      <c r="F1366" s="137">
        <f t="shared" ca="1" si="72"/>
        <v>0</v>
      </c>
      <c r="G1366" s="138" t="e">
        <f>IF(A1366&lt;&gt;"",IF(AND(#REF!="Padrão",$H$4=#REF!),BDI!$B$17,IF(AND(#REF!="Padrão",$H$4=#REF!),BDI!#REF!,IF(AND(#REF!="Diferenciado",$H$4=#REF!),BDI!$E$17,IF(AND(#REF!="Diferenciado",$H$4=#REF!),BDI!#REF!,IF(#REF!="ZERO",0))))),"")</f>
        <v>#REF!</v>
      </c>
      <c r="H1366" s="139" t="e">
        <f t="shared" ca="1" si="73"/>
        <v>#REF!</v>
      </c>
      <c r="I1366" s="137" t="e">
        <f t="shared" ca="1" si="74"/>
        <v>#REF!</v>
      </c>
      <c r="J1366" s="117"/>
    </row>
    <row r="1367" spans="1:10" hidden="1" x14ac:dyDescent="0.25">
      <c r="A1367" s="114" t="s">
        <v>3280</v>
      </c>
      <c r="B1367" s="115" t="s">
        <v>7546</v>
      </c>
      <c r="C1367" s="116" t="s">
        <v>16</v>
      </c>
      <c r="D1367" s="116">
        <v>0</v>
      </c>
      <c r="E1367" s="136">
        <f ca="1">OFFSET(INDEX(Composições!A:J,MATCH(Orçamentária!A1367,Composições!A:A,0),8),2,0)</f>
        <v>444.71779810000004</v>
      </c>
      <c r="F1367" s="137">
        <f t="shared" ca="1" si="72"/>
        <v>0</v>
      </c>
      <c r="G1367" s="138" t="e">
        <f>IF(A1367&lt;&gt;"",IF(AND(#REF!="Padrão",$H$4=#REF!),BDI!$B$17,IF(AND(#REF!="Padrão",$H$4=#REF!),BDI!#REF!,IF(AND(#REF!="Diferenciado",$H$4=#REF!),BDI!$E$17,IF(AND(#REF!="Diferenciado",$H$4=#REF!),BDI!#REF!,IF(#REF!="ZERO",0))))),"")</f>
        <v>#REF!</v>
      </c>
      <c r="H1367" s="139" t="e">
        <f t="shared" ca="1" si="73"/>
        <v>#REF!</v>
      </c>
      <c r="I1367" s="137" t="e">
        <f t="shared" ca="1" si="74"/>
        <v>#REF!</v>
      </c>
      <c r="J1367" s="117"/>
    </row>
    <row r="1368" spans="1:10" hidden="1" x14ac:dyDescent="0.25">
      <c r="A1368" s="114" t="s">
        <v>3281</v>
      </c>
      <c r="B1368" s="115" t="s">
        <v>7547</v>
      </c>
      <c r="C1368" s="116" t="s">
        <v>16</v>
      </c>
      <c r="D1368" s="116">
        <v>0</v>
      </c>
      <c r="E1368" s="136">
        <f ca="1">OFFSET(INDEX(Composições!A:J,MATCH(Orçamentária!A1368,Composições!A:A,0),8),2,0)</f>
        <v>569.48129809999989</v>
      </c>
      <c r="F1368" s="137">
        <f t="shared" ca="1" si="72"/>
        <v>0</v>
      </c>
      <c r="G1368" s="138" t="e">
        <f>IF(A1368&lt;&gt;"",IF(AND(#REF!="Padrão",$H$4=#REF!),BDI!$B$17,IF(AND(#REF!="Padrão",$H$4=#REF!),BDI!#REF!,IF(AND(#REF!="Diferenciado",$H$4=#REF!),BDI!$E$17,IF(AND(#REF!="Diferenciado",$H$4=#REF!),BDI!#REF!,IF(#REF!="ZERO",0))))),"")</f>
        <v>#REF!</v>
      </c>
      <c r="H1368" s="139" t="e">
        <f t="shared" ca="1" si="73"/>
        <v>#REF!</v>
      </c>
      <c r="I1368" s="137" t="e">
        <f t="shared" ca="1" si="74"/>
        <v>#REF!</v>
      </c>
      <c r="J1368" s="117"/>
    </row>
    <row r="1369" spans="1:10" hidden="1" x14ac:dyDescent="0.25">
      <c r="A1369" s="114" t="s">
        <v>3282</v>
      </c>
      <c r="B1369" s="115" t="s">
        <v>3310</v>
      </c>
      <c r="C1369" s="116" t="s">
        <v>16</v>
      </c>
      <c r="D1369" s="116">
        <v>0</v>
      </c>
      <c r="E1369" s="136" t="s">
        <v>416</v>
      </c>
      <c r="F1369" s="137" t="str">
        <f t="shared" si="72"/>
        <v/>
      </c>
      <c r="G1369" s="138" t="e">
        <f>IF(A1369&lt;&gt;"",IF(AND(#REF!="Padrão",$H$4=#REF!),BDI!$B$17,IF(AND(#REF!="Padrão",$H$4=#REF!),BDI!#REF!,IF(AND(#REF!="Diferenciado",$H$4=#REF!),BDI!$E$17,IF(AND(#REF!="Diferenciado",$H$4=#REF!),BDI!#REF!,IF(#REF!="ZERO",0))))),"")</f>
        <v>#REF!</v>
      </c>
      <c r="H1369" s="139" t="str">
        <f t="shared" si="73"/>
        <v/>
      </c>
      <c r="I1369" s="137" t="str">
        <f t="shared" si="74"/>
        <v/>
      </c>
      <c r="J1369" s="117"/>
    </row>
    <row r="1370" spans="1:10" hidden="1" x14ac:dyDescent="0.25">
      <c r="A1370" s="114" t="s">
        <v>3283</v>
      </c>
      <c r="B1370" s="115" t="s">
        <v>3311</v>
      </c>
      <c r="C1370" s="116" t="s">
        <v>16</v>
      </c>
      <c r="D1370" s="116">
        <v>0</v>
      </c>
      <c r="E1370" s="136" t="s">
        <v>416</v>
      </c>
      <c r="F1370" s="137" t="str">
        <f t="shared" si="72"/>
        <v/>
      </c>
      <c r="G1370" s="138" t="e">
        <f>IF(A1370&lt;&gt;"",IF(AND(#REF!="Padrão",$H$4=#REF!),BDI!$B$17,IF(AND(#REF!="Padrão",$H$4=#REF!),BDI!#REF!,IF(AND(#REF!="Diferenciado",$H$4=#REF!),BDI!$E$17,IF(AND(#REF!="Diferenciado",$H$4=#REF!),BDI!#REF!,IF(#REF!="ZERO",0))))),"")</f>
        <v>#REF!</v>
      </c>
      <c r="H1370" s="139" t="str">
        <f t="shared" si="73"/>
        <v/>
      </c>
      <c r="I1370" s="137" t="str">
        <f t="shared" si="74"/>
        <v/>
      </c>
      <c r="J1370" s="117"/>
    </row>
    <row r="1371" spans="1:10" hidden="1" x14ac:dyDescent="0.25">
      <c r="A1371" s="114" t="s">
        <v>3284</v>
      </c>
      <c r="B1371" s="115" t="s">
        <v>3312</v>
      </c>
      <c r="C1371" s="116" t="s">
        <v>16</v>
      </c>
      <c r="D1371" s="116">
        <v>0</v>
      </c>
      <c r="E1371" s="136" t="s">
        <v>416</v>
      </c>
      <c r="F1371" s="137" t="str">
        <f t="shared" si="72"/>
        <v/>
      </c>
      <c r="G1371" s="138" t="e">
        <f>IF(A1371&lt;&gt;"",IF(AND(#REF!="Padrão",$H$4=#REF!),BDI!$B$17,IF(AND(#REF!="Padrão",$H$4=#REF!),BDI!#REF!,IF(AND(#REF!="Diferenciado",$H$4=#REF!),BDI!$E$17,IF(AND(#REF!="Diferenciado",$H$4=#REF!),BDI!#REF!,IF(#REF!="ZERO",0))))),"")</f>
        <v>#REF!</v>
      </c>
      <c r="H1371" s="139" t="str">
        <f t="shared" si="73"/>
        <v/>
      </c>
      <c r="I1371" s="137" t="str">
        <f t="shared" si="74"/>
        <v/>
      </c>
      <c r="J1371" s="117"/>
    </row>
    <row r="1372" spans="1:10" hidden="1" x14ac:dyDescent="0.25">
      <c r="A1372" s="114" t="s">
        <v>3285</v>
      </c>
      <c r="B1372" s="115" t="s">
        <v>3313</v>
      </c>
      <c r="C1372" s="116" t="s">
        <v>16</v>
      </c>
      <c r="D1372" s="116">
        <v>0</v>
      </c>
      <c r="E1372" s="136" t="s">
        <v>416</v>
      </c>
      <c r="F1372" s="137" t="str">
        <f t="shared" si="72"/>
        <v/>
      </c>
      <c r="G1372" s="138" t="e">
        <f>IF(A1372&lt;&gt;"",IF(AND(#REF!="Padrão",$H$4=#REF!),BDI!$B$17,IF(AND(#REF!="Padrão",$H$4=#REF!),BDI!#REF!,IF(AND(#REF!="Diferenciado",$H$4=#REF!),BDI!$E$17,IF(AND(#REF!="Diferenciado",$H$4=#REF!),BDI!#REF!,IF(#REF!="ZERO",0))))),"")</f>
        <v>#REF!</v>
      </c>
      <c r="H1372" s="139" t="str">
        <f t="shared" si="73"/>
        <v/>
      </c>
      <c r="I1372" s="137" t="str">
        <f t="shared" si="74"/>
        <v/>
      </c>
      <c r="J1372" s="117"/>
    </row>
    <row r="1373" spans="1:10" hidden="1" x14ac:dyDescent="0.25">
      <c r="A1373" s="114" t="s">
        <v>3286</v>
      </c>
      <c r="B1373" s="115" t="s">
        <v>3314</v>
      </c>
      <c r="C1373" s="116" t="s">
        <v>16</v>
      </c>
      <c r="D1373" s="116">
        <v>0</v>
      </c>
      <c r="E1373" s="136" t="s">
        <v>416</v>
      </c>
      <c r="F1373" s="137" t="str">
        <f t="shared" si="72"/>
        <v/>
      </c>
      <c r="G1373" s="138" t="e">
        <f>IF(A1373&lt;&gt;"",IF(AND(#REF!="Padrão",$H$4=#REF!),BDI!$B$17,IF(AND(#REF!="Padrão",$H$4=#REF!),BDI!#REF!,IF(AND(#REF!="Diferenciado",$H$4=#REF!),BDI!$E$17,IF(AND(#REF!="Diferenciado",$H$4=#REF!),BDI!#REF!,IF(#REF!="ZERO",0))))),"")</f>
        <v>#REF!</v>
      </c>
      <c r="H1373" s="139" t="str">
        <f t="shared" si="73"/>
        <v/>
      </c>
      <c r="I1373" s="137" t="str">
        <f t="shared" si="74"/>
        <v/>
      </c>
      <c r="J1373" s="117"/>
    </row>
    <row r="1374" spans="1:10" hidden="1" x14ac:dyDescent="0.25">
      <c r="A1374" s="114" t="s">
        <v>3287</v>
      </c>
      <c r="B1374" s="115" t="s">
        <v>3315</v>
      </c>
      <c r="C1374" s="116" t="s">
        <v>16</v>
      </c>
      <c r="D1374" s="116">
        <v>0</v>
      </c>
      <c r="E1374" s="136">
        <f ca="1">OFFSET(INDEX(Composições!A:J,MATCH(Orçamentária!A1374,Composições!A:A,0),8),2,0)</f>
        <v>1984.6974399999999</v>
      </c>
      <c r="F1374" s="137">
        <f t="shared" ca="1" si="72"/>
        <v>0</v>
      </c>
      <c r="G1374" s="138" t="e">
        <f>IF(A1374&lt;&gt;"",IF(AND(#REF!="Padrão",$H$4=#REF!),BDI!$B$17,IF(AND(#REF!="Padrão",$H$4=#REF!),BDI!#REF!,IF(AND(#REF!="Diferenciado",$H$4=#REF!),BDI!$E$17,IF(AND(#REF!="Diferenciado",$H$4=#REF!),BDI!#REF!,IF(#REF!="ZERO",0))))),"")</f>
        <v>#REF!</v>
      </c>
      <c r="H1374" s="139" t="e">
        <f t="shared" ca="1" si="73"/>
        <v>#REF!</v>
      </c>
      <c r="I1374" s="137" t="e">
        <f t="shared" ca="1" si="74"/>
        <v>#REF!</v>
      </c>
      <c r="J1374" s="117"/>
    </row>
    <row r="1375" spans="1:10" hidden="1" x14ac:dyDescent="0.25">
      <c r="A1375" s="114" t="s">
        <v>3288</v>
      </c>
      <c r="B1375" s="115" t="s">
        <v>7731</v>
      </c>
      <c r="C1375" s="116" t="s">
        <v>16</v>
      </c>
      <c r="D1375" s="116">
        <v>0</v>
      </c>
      <c r="E1375" s="136">
        <f ca="1">OFFSET(INDEX(Composições!A:J,MATCH(Orçamentária!A1375,Composições!A:A,0),8),2,0)</f>
        <v>268.03917371116376</v>
      </c>
      <c r="F1375" s="137">
        <f t="shared" ca="1" si="72"/>
        <v>0</v>
      </c>
      <c r="G1375" s="138" t="e">
        <f>IF(A1375&lt;&gt;"",IF(AND(#REF!="Padrão",$H$4=#REF!),BDI!$B$17,IF(AND(#REF!="Padrão",$H$4=#REF!),BDI!#REF!,IF(AND(#REF!="Diferenciado",$H$4=#REF!),BDI!$E$17,IF(AND(#REF!="Diferenciado",$H$4=#REF!),BDI!#REF!,IF(#REF!="ZERO",0))))),"")</f>
        <v>#REF!</v>
      </c>
      <c r="H1375" s="139" t="e">
        <f t="shared" ca="1" si="73"/>
        <v>#REF!</v>
      </c>
      <c r="I1375" s="137" t="e">
        <f t="shared" ca="1" si="74"/>
        <v>#REF!</v>
      </c>
      <c r="J1375" s="117"/>
    </row>
    <row r="1376" spans="1:10" hidden="1" x14ac:dyDescent="0.25">
      <c r="A1376" s="114" t="s">
        <v>3289</v>
      </c>
      <c r="B1376" s="115" t="s">
        <v>3316</v>
      </c>
      <c r="C1376" s="116" t="s">
        <v>16</v>
      </c>
      <c r="D1376" s="116">
        <v>0</v>
      </c>
      <c r="E1376" s="136" t="s">
        <v>416</v>
      </c>
      <c r="F1376" s="137" t="str">
        <f t="shared" si="72"/>
        <v/>
      </c>
      <c r="G1376" s="138" t="e">
        <f>IF(A1376&lt;&gt;"",IF(AND(#REF!="Padrão",$H$4=#REF!),BDI!$B$17,IF(AND(#REF!="Padrão",$H$4=#REF!),BDI!#REF!,IF(AND(#REF!="Diferenciado",$H$4=#REF!),BDI!$E$17,IF(AND(#REF!="Diferenciado",$H$4=#REF!),BDI!#REF!,IF(#REF!="ZERO",0))))),"")</f>
        <v>#REF!</v>
      </c>
      <c r="H1376" s="139" t="str">
        <f t="shared" si="73"/>
        <v/>
      </c>
      <c r="I1376" s="137" t="str">
        <f t="shared" si="74"/>
        <v/>
      </c>
      <c r="J1376" s="117"/>
    </row>
    <row r="1377" spans="1:10" hidden="1" x14ac:dyDescent="0.25">
      <c r="A1377" s="114" t="s">
        <v>3290</v>
      </c>
      <c r="B1377" s="115" t="s">
        <v>3317</v>
      </c>
      <c r="C1377" s="116" t="s">
        <v>16</v>
      </c>
      <c r="D1377" s="116">
        <v>0</v>
      </c>
      <c r="E1377" s="136" t="s">
        <v>416</v>
      </c>
      <c r="F1377" s="137" t="str">
        <f t="shared" si="72"/>
        <v/>
      </c>
      <c r="G1377" s="138" t="e">
        <f>IF(A1377&lt;&gt;"",IF(AND(#REF!="Padrão",$H$4=#REF!),BDI!$B$17,IF(AND(#REF!="Padrão",$H$4=#REF!),BDI!#REF!,IF(AND(#REF!="Diferenciado",$H$4=#REF!),BDI!$E$17,IF(AND(#REF!="Diferenciado",$H$4=#REF!),BDI!#REF!,IF(#REF!="ZERO",0))))),"")</f>
        <v>#REF!</v>
      </c>
      <c r="H1377" s="139" t="str">
        <f t="shared" si="73"/>
        <v/>
      </c>
      <c r="I1377" s="137" t="str">
        <f t="shared" si="74"/>
        <v/>
      </c>
      <c r="J1377" s="117"/>
    </row>
    <row r="1378" spans="1:10" x14ac:dyDescent="0.25">
      <c r="A1378" s="189" t="s">
        <v>3291</v>
      </c>
      <c r="B1378" s="190" t="s">
        <v>7732</v>
      </c>
      <c r="C1378" s="191" t="s">
        <v>16</v>
      </c>
      <c r="D1378" s="191">
        <v>2</v>
      </c>
      <c r="E1378" s="136">
        <f ca="1">OFFSET(INDEX(Composições!A:J,MATCH(Orçamentária!A1378,Composições!A:A,0),8),2,0)</f>
        <v>713.57941617594531</v>
      </c>
      <c r="F1378" s="137">
        <f t="shared" ca="1" si="72"/>
        <v>1427.1588323518906</v>
      </c>
      <c r="G1378" s="138">
        <f>BDI!$B$17</f>
        <v>0.191</v>
      </c>
      <c r="H1378" s="139">
        <f t="shared" ca="1" si="73"/>
        <v>849.87</v>
      </c>
      <c r="I1378" s="137">
        <f t="shared" ca="1" si="74"/>
        <v>1699.74</v>
      </c>
      <c r="J1378" s="117"/>
    </row>
    <row r="1379" spans="1:10" hidden="1" x14ac:dyDescent="0.25">
      <c r="A1379" s="114" t="s">
        <v>3292</v>
      </c>
      <c r="B1379" s="115" t="s">
        <v>3318</v>
      </c>
      <c r="C1379" s="116" t="s">
        <v>16</v>
      </c>
      <c r="D1379" s="116">
        <v>0</v>
      </c>
      <c r="E1379" s="136" t="s">
        <v>416</v>
      </c>
      <c r="F1379" s="137" t="str">
        <f t="shared" si="72"/>
        <v/>
      </c>
      <c r="G1379" s="138" t="e">
        <f>IF(A1379&lt;&gt;"",IF(AND(#REF!="Padrão",$H$4=#REF!),BDI!$B$17,IF(AND(#REF!="Padrão",$H$4=#REF!),BDI!#REF!,IF(AND(#REF!="Diferenciado",$H$4=#REF!),BDI!$E$17,IF(AND(#REF!="Diferenciado",$H$4=#REF!),BDI!#REF!,IF(#REF!="ZERO",0))))),"")</f>
        <v>#REF!</v>
      </c>
      <c r="H1379" s="139" t="str">
        <f t="shared" si="73"/>
        <v/>
      </c>
      <c r="I1379" s="137" t="str">
        <f t="shared" si="74"/>
        <v/>
      </c>
      <c r="J1379" s="117"/>
    </row>
    <row r="1380" spans="1:10" hidden="1" x14ac:dyDescent="0.25">
      <c r="A1380" s="114" t="s">
        <v>3293</v>
      </c>
      <c r="B1380" s="115" t="s">
        <v>7733</v>
      </c>
      <c r="C1380" s="116" t="s">
        <v>16</v>
      </c>
      <c r="D1380" s="116">
        <v>0</v>
      </c>
      <c r="E1380" s="136">
        <f ca="1">OFFSET(INDEX(Composições!A:J,MATCH(Orçamentária!A1380,Composições!A:A,0),8),2,0)</f>
        <v>24.709499999999998</v>
      </c>
      <c r="F1380" s="137">
        <f t="shared" ca="1" si="72"/>
        <v>0</v>
      </c>
      <c r="G1380" s="138" t="e">
        <f>IF(A1380&lt;&gt;"",IF(AND(#REF!="Padrão",$H$4=#REF!),BDI!$B$17,IF(AND(#REF!="Padrão",$H$4=#REF!),BDI!#REF!,IF(AND(#REF!="Diferenciado",$H$4=#REF!),BDI!$E$17,IF(AND(#REF!="Diferenciado",$H$4=#REF!),BDI!#REF!,IF(#REF!="ZERO",0))))),"")</f>
        <v>#REF!</v>
      </c>
      <c r="H1380" s="139" t="e">
        <f t="shared" ca="1" si="73"/>
        <v>#REF!</v>
      </c>
      <c r="I1380" s="137" t="e">
        <f t="shared" ca="1" si="74"/>
        <v>#REF!</v>
      </c>
      <c r="J1380" s="117"/>
    </row>
    <row r="1381" spans="1:10" hidden="1" x14ac:dyDescent="0.25">
      <c r="A1381" s="114" t="s">
        <v>3294</v>
      </c>
      <c r="B1381" s="115" t="s">
        <v>7734</v>
      </c>
      <c r="C1381" s="116" t="s">
        <v>16</v>
      </c>
      <c r="D1381" s="116">
        <v>0</v>
      </c>
      <c r="E1381" s="136">
        <f ca="1">OFFSET(INDEX(Composições!A:J,MATCH(Orçamentária!A1381,Composições!A:A,0),8),2,0)</f>
        <v>24.709499999999998</v>
      </c>
      <c r="F1381" s="137">
        <f t="shared" ca="1" si="72"/>
        <v>0</v>
      </c>
      <c r="G1381" s="138" t="e">
        <f>IF(A1381&lt;&gt;"",IF(AND(#REF!="Padrão",$H$4=#REF!),BDI!$B$17,IF(AND(#REF!="Padrão",$H$4=#REF!),BDI!#REF!,IF(AND(#REF!="Diferenciado",$H$4=#REF!),BDI!$E$17,IF(AND(#REF!="Diferenciado",$H$4=#REF!),BDI!#REF!,IF(#REF!="ZERO",0))))),"")</f>
        <v>#REF!</v>
      </c>
      <c r="H1381" s="139" t="e">
        <f t="shared" ca="1" si="73"/>
        <v>#REF!</v>
      </c>
      <c r="I1381" s="137" t="e">
        <f t="shared" ca="1" si="74"/>
        <v>#REF!</v>
      </c>
      <c r="J1381" s="117"/>
    </row>
    <row r="1382" spans="1:10" hidden="1" x14ac:dyDescent="0.25">
      <c r="A1382" s="114" t="s">
        <v>3295</v>
      </c>
      <c r="B1382" s="115" t="s">
        <v>3319</v>
      </c>
      <c r="C1382" s="116" t="s">
        <v>16</v>
      </c>
      <c r="D1382" s="116">
        <v>0</v>
      </c>
      <c r="E1382" s="136">
        <f ca="1">OFFSET(INDEX(Composições!A:J,MATCH(Orçamentária!A1382,Composições!A:A,0),8),2,0)</f>
        <v>21.431052000000001</v>
      </c>
      <c r="F1382" s="137">
        <f t="shared" ca="1" si="72"/>
        <v>0</v>
      </c>
      <c r="G1382" s="138" t="e">
        <f>IF(A1382&lt;&gt;"",IF(AND(#REF!="Padrão",$H$4=#REF!),BDI!$B$17,IF(AND(#REF!="Padrão",$H$4=#REF!),BDI!#REF!,IF(AND(#REF!="Diferenciado",$H$4=#REF!),BDI!$E$17,IF(AND(#REF!="Diferenciado",$H$4=#REF!),BDI!#REF!,IF(#REF!="ZERO",0))))),"")</f>
        <v>#REF!</v>
      </c>
      <c r="H1382" s="139" t="e">
        <f t="shared" ca="1" si="73"/>
        <v>#REF!</v>
      </c>
      <c r="I1382" s="137" t="e">
        <f t="shared" ca="1" si="74"/>
        <v>#REF!</v>
      </c>
      <c r="J1382" s="117"/>
    </row>
    <row r="1383" spans="1:10" hidden="1" x14ac:dyDescent="0.25">
      <c r="A1383" s="114" t="s">
        <v>3296</v>
      </c>
      <c r="B1383" s="115" t="s">
        <v>3320</v>
      </c>
      <c r="C1383" s="116" t="s">
        <v>16</v>
      </c>
      <c r="D1383" s="116">
        <v>0</v>
      </c>
      <c r="E1383" s="136" t="s">
        <v>416</v>
      </c>
      <c r="F1383" s="137" t="str">
        <f t="shared" si="72"/>
        <v/>
      </c>
      <c r="G1383" s="138" t="e">
        <f>IF(A1383&lt;&gt;"",IF(AND(#REF!="Padrão",$H$4=#REF!),BDI!$B$17,IF(AND(#REF!="Padrão",$H$4=#REF!),BDI!#REF!,IF(AND(#REF!="Diferenciado",$H$4=#REF!),BDI!$E$17,IF(AND(#REF!="Diferenciado",$H$4=#REF!),BDI!#REF!,IF(#REF!="ZERO",0))))),"")</f>
        <v>#REF!</v>
      </c>
      <c r="H1383" s="139" t="str">
        <f t="shared" si="73"/>
        <v/>
      </c>
      <c r="I1383" s="137" t="str">
        <f t="shared" si="74"/>
        <v/>
      </c>
      <c r="J1383" s="117"/>
    </row>
    <row r="1384" spans="1:10" hidden="1" x14ac:dyDescent="0.25">
      <c r="A1384" s="114" t="s">
        <v>3250</v>
      </c>
      <c r="B1384" s="115" t="s">
        <v>3251</v>
      </c>
      <c r="C1384" s="116" t="s">
        <v>16</v>
      </c>
      <c r="D1384" s="116">
        <v>0</v>
      </c>
      <c r="E1384" s="136" t="s">
        <v>416</v>
      </c>
      <c r="F1384" s="137" t="str">
        <f>IF(ISNUMBER(E1384),D1384*E1384,"")</f>
        <v/>
      </c>
      <c r="G1384" s="138" t="e">
        <f>IF(A1384&lt;&gt;"",IF(AND(#REF!="Padrão",$H$4=#REF!),BDI!$B$17,IF(AND(#REF!="Padrão",$H$4=#REF!),BDI!#REF!,IF(AND(#REF!="Diferenciado",$H$4=#REF!),BDI!$E$17,IF(AND(#REF!="Diferenciado",$H$4=#REF!),BDI!#REF!,IF(#REF!="ZERO",0))))),"")</f>
        <v>#REF!</v>
      </c>
      <c r="H1384" s="139" t="str">
        <f>IF(ISNUMBER(E1384),ROUND(E1384*(1+G1384),2),"")</f>
        <v/>
      </c>
      <c r="I1384" s="137" t="str">
        <f>IF(ISNUMBER(E1384),ROUND(H1384*D1384,2),"")</f>
        <v/>
      </c>
      <c r="J1384" s="117"/>
    </row>
    <row r="1385" spans="1:10" hidden="1" x14ac:dyDescent="0.25">
      <c r="A1385" s="114" t="s">
        <v>3248</v>
      </c>
      <c r="B1385" s="115" t="s">
        <v>3249</v>
      </c>
      <c r="C1385" s="116" t="s">
        <v>4170</v>
      </c>
      <c r="D1385" s="116">
        <v>0</v>
      </c>
      <c r="E1385" s="136" t="s">
        <v>416</v>
      </c>
      <c r="F1385" s="137" t="str">
        <f>IF(ISNUMBER(E1385),D1385*E1385,"")</f>
        <v/>
      </c>
      <c r="G1385" s="138" t="e">
        <f>IF(A1385&lt;&gt;"",IF(AND(#REF!="Padrão",$H$4=#REF!),BDI!$B$17,IF(AND(#REF!="Padrão",$H$4=#REF!),BDI!#REF!,IF(AND(#REF!="Diferenciado",$H$4=#REF!),BDI!$E$17,IF(AND(#REF!="Diferenciado",$H$4=#REF!),BDI!#REF!,IF(#REF!="ZERO",0))))),"")</f>
        <v>#REF!</v>
      </c>
      <c r="H1385" s="139" t="str">
        <f>IF(ISNUMBER(E1385),ROUND(E1385*(1+G1385),2),"")</f>
        <v/>
      </c>
      <c r="I1385" s="137" t="str">
        <f>IF(ISNUMBER(E1385),ROUND(H1385*D1385,2),"")</f>
        <v/>
      </c>
      <c r="J1385" s="117"/>
    </row>
    <row r="1386" spans="1:10" hidden="1" x14ac:dyDescent="0.25">
      <c r="A1386" s="114" t="s">
        <v>3253</v>
      </c>
      <c r="B1386" s="115" t="s">
        <v>3256</v>
      </c>
      <c r="C1386" s="116" t="s">
        <v>70</v>
      </c>
      <c r="D1386" s="116">
        <v>0</v>
      </c>
      <c r="E1386" s="136" t="s">
        <v>416</v>
      </c>
      <c r="F1386" s="137" t="str">
        <f>IF(ISNUMBER(E1386),D1386*E1386,"")</f>
        <v/>
      </c>
      <c r="G1386" s="138" t="e">
        <f>IF(A1386&lt;&gt;"",IF(AND(#REF!="Padrão",$H$4=#REF!),BDI!$B$17,IF(AND(#REF!="Padrão",$H$4=#REF!),BDI!#REF!,IF(AND(#REF!="Diferenciado",$H$4=#REF!),BDI!$E$17,IF(AND(#REF!="Diferenciado",$H$4=#REF!),BDI!#REF!,IF(#REF!="ZERO",0))))),"")</f>
        <v>#REF!</v>
      </c>
      <c r="H1386" s="139" t="str">
        <f>IF(ISNUMBER(E1386),ROUND(E1386*(1+G1386),2),"")</f>
        <v/>
      </c>
      <c r="I1386" s="137" t="str">
        <f>IF(ISNUMBER(E1386),ROUND(H1386*D1386,2),"")</f>
        <v/>
      </c>
      <c r="J1386" s="117"/>
    </row>
    <row r="1387" spans="1:10" hidden="1" x14ac:dyDescent="0.25">
      <c r="A1387" s="114" t="s">
        <v>3254</v>
      </c>
      <c r="B1387" s="115" t="s">
        <v>3257</v>
      </c>
      <c r="C1387" s="116" t="s">
        <v>70</v>
      </c>
      <c r="D1387" s="116">
        <v>0</v>
      </c>
      <c r="E1387" s="136" t="s">
        <v>416</v>
      </c>
      <c r="F1387" s="137" t="str">
        <f>IF(ISNUMBER(E1387),D1387*E1387,"")</f>
        <v/>
      </c>
      <c r="G1387" s="138" t="e">
        <f>IF(A1387&lt;&gt;"",IF(AND(#REF!="Padrão",$H$4=#REF!),BDI!$B$17,IF(AND(#REF!="Padrão",$H$4=#REF!),BDI!#REF!,IF(AND(#REF!="Diferenciado",$H$4=#REF!),BDI!$E$17,IF(AND(#REF!="Diferenciado",$H$4=#REF!),BDI!#REF!,IF(#REF!="ZERO",0))))),"")</f>
        <v>#REF!</v>
      </c>
      <c r="H1387" s="139" t="str">
        <f>IF(ISNUMBER(E1387),ROUND(E1387*(1+G1387),2),"")</f>
        <v/>
      </c>
      <c r="I1387" s="137" t="str">
        <f>IF(ISNUMBER(E1387),ROUND(H1387*D1387,2),"")</f>
        <v/>
      </c>
      <c r="J1387" s="117"/>
    </row>
    <row r="1388" spans="1:10" hidden="1" x14ac:dyDescent="0.25">
      <c r="A1388" s="114" t="s">
        <v>3255</v>
      </c>
      <c r="B1388" s="115" t="s">
        <v>3258</v>
      </c>
      <c r="C1388" s="116" t="s">
        <v>70</v>
      </c>
      <c r="D1388" s="116">
        <v>0</v>
      </c>
      <c r="E1388" s="136" t="s">
        <v>416</v>
      </c>
      <c r="F1388" s="137" t="str">
        <f>IF(ISNUMBER(E1388),D1388*E1388,"")</f>
        <v/>
      </c>
      <c r="G1388" s="138" t="e">
        <f>IF(A1388&lt;&gt;"",IF(AND(#REF!="Padrão",$H$4=#REF!),BDI!$B$17,IF(AND(#REF!="Padrão",$H$4=#REF!),BDI!#REF!,IF(AND(#REF!="Diferenciado",$H$4=#REF!),BDI!$E$17,IF(AND(#REF!="Diferenciado",$H$4=#REF!),BDI!#REF!,IF(#REF!="ZERO",0))))),"")</f>
        <v>#REF!</v>
      </c>
      <c r="H1388" s="139" t="str">
        <f>IF(ISNUMBER(E1388),ROUND(E1388*(1+G1388),2),"")</f>
        <v/>
      </c>
      <c r="I1388" s="137" t="str">
        <f>IF(ISNUMBER(E1388),ROUND(H1388*D1388,2),"")</f>
        <v/>
      </c>
      <c r="J1388" s="117"/>
    </row>
    <row r="1389" spans="1:10" hidden="1" x14ac:dyDescent="0.25">
      <c r="A1389" s="114" t="s">
        <v>4173</v>
      </c>
      <c r="B1389" s="115" t="s">
        <v>3321</v>
      </c>
      <c r="C1389" s="116" t="s">
        <v>69</v>
      </c>
      <c r="D1389" s="116">
        <v>0</v>
      </c>
      <c r="E1389" s="136">
        <f ca="1">OFFSET(INDEX(Composições!A:J,MATCH(Orçamentária!A1389,Composições!A:A,0),8),2,0)</f>
        <v>60.916920300000008</v>
      </c>
      <c r="F1389" s="137">
        <f t="shared" ref="F1389:F1452" ca="1" si="75">IF(ISNUMBER(E1389),D1389*E1389,"")</f>
        <v>0</v>
      </c>
      <c r="G1389" s="138" t="e">
        <f>IF(A1389&lt;&gt;"",IF(AND(#REF!="Padrão",$H$4=#REF!),BDI!$B$17,IF(AND(#REF!="Padrão",$H$4=#REF!),BDI!#REF!,IF(AND(#REF!="Diferenciado",$H$4=#REF!),BDI!$E$17,IF(AND(#REF!="Diferenciado",$H$4=#REF!),BDI!#REF!,IF(#REF!="ZERO",0))))),"")</f>
        <v>#REF!</v>
      </c>
      <c r="H1389" s="139" t="e">
        <f t="shared" ref="H1389:H1452" ca="1" si="76">IF(ISNUMBER(E1389),ROUND(E1389*(1+G1389),2),"")</f>
        <v>#REF!</v>
      </c>
      <c r="I1389" s="137" t="e">
        <f t="shared" ref="I1389:I1452" ca="1" si="77">IF(ISNUMBER(E1389),ROUND(H1389*D1389,2),"")</f>
        <v>#REF!</v>
      </c>
      <c r="J1389" s="117"/>
    </row>
    <row r="1390" spans="1:10" hidden="1" x14ac:dyDescent="0.25">
      <c r="A1390" s="114" t="s">
        <v>4174</v>
      </c>
      <c r="B1390" s="115" t="s">
        <v>3322</v>
      </c>
      <c r="C1390" s="116" t="s">
        <v>16</v>
      </c>
      <c r="D1390" s="116">
        <v>0</v>
      </c>
      <c r="E1390" s="136" t="s">
        <v>416</v>
      </c>
      <c r="F1390" s="137" t="str">
        <f t="shared" si="75"/>
        <v/>
      </c>
      <c r="G1390" s="138" t="e">
        <f>IF(A1390&lt;&gt;"",IF(AND(#REF!="Padrão",$H$4=#REF!),BDI!$B$17,IF(AND(#REF!="Padrão",$H$4=#REF!),BDI!#REF!,IF(AND(#REF!="Diferenciado",$H$4=#REF!),BDI!$E$17,IF(AND(#REF!="Diferenciado",$H$4=#REF!),BDI!#REF!,IF(#REF!="ZERO",0))))),"")</f>
        <v>#REF!</v>
      </c>
      <c r="H1390" s="139" t="str">
        <f t="shared" si="76"/>
        <v/>
      </c>
      <c r="I1390" s="137" t="str">
        <f t="shared" si="77"/>
        <v/>
      </c>
      <c r="J1390" s="117"/>
    </row>
    <row r="1391" spans="1:10" hidden="1" x14ac:dyDescent="0.25">
      <c r="A1391" s="114" t="s">
        <v>4175</v>
      </c>
      <c r="B1391" s="115" t="s">
        <v>3323</v>
      </c>
      <c r="C1391" s="116" t="s">
        <v>16</v>
      </c>
      <c r="D1391" s="116">
        <v>0</v>
      </c>
      <c r="E1391" s="136">
        <f ca="1">OFFSET(INDEX(Composições!A:J,MATCH(Orçamentária!A1391,Composições!A:A,0),8),2,0)</f>
        <v>19.5452145</v>
      </c>
      <c r="F1391" s="137">
        <f t="shared" ca="1" si="75"/>
        <v>0</v>
      </c>
      <c r="G1391" s="138" t="e">
        <f>IF(A1391&lt;&gt;"",IF(AND(#REF!="Padrão",$H$4=#REF!),BDI!$B$17,IF(AND(#REF!="Padrão",$H$4=#REF!),BDI!#REF!,IF(AND(#REF!="Diferenciado",$H$4=#REF!),BDI!$E$17,IF(AND(#REF!="Diferenciado",$H$4=#REF!),BDI!#REF!,IF(#REF!="ZERO",0))))),"")</f>
        <v>#REF!</v>
      </c>
      <c r="H1391" s="139" t="e">
        <f t="shared" ca="1" si="76"/>
        <v>#REF!</v>
      </c>
      <c r="I1391" s="137" t="e">
        <f t="shared" ca="1" si="77"/>
        <v>#REF!</v>
      </c>
      <c r="J1391" s="117"/>
    </row>
    <row r="1392" spans="1:10" hidden="1" x14ac:dyDescent="0.25">
      <c r="A1392" s="114" t="s">
        <v>4176</v>
      </c>
      <c r="B1392" s="115" t="s">
        <v>7735</v>
      </c>
      <c r="C1392" s="116" t="s">
        <v>69</v>
      </c>
      <c r="D1392" s="116">
        <v>0</v>
      </c>
      <c r="E1392" s="136">
        <f ca="1">OFFSET(INDEX(Composições!A:J,MATCH(Orçamentária!A1392,Composições!A:A,0),8),2,0)</f>
        <v>37.064250000000001</v>
      </c>
      <c r="F1392" s="137">
        <f t="shared" ca="1" si="75"/>
        <v>0</v>
      </c>
      <c r="G1392" s="138" t="e">
        <f>IF(A1392&lt;&gt;"",IF(AND(#REF!="Padrão",$H$4=#REF!),BDI!$B$17,IF(AND(#REF!="Padrão",$H$4=#REF!),BDI!#REF!,IF(AND(#REF!="Diferenciado",$H$4=#REF!),BDI!$E$17,IF(AND(#REF!="Diferenciado",$H$4=#REF!),BDI!#REF!,IF(#REF!="ZERO",0))))),"")</f>
        <v>#REF!</v>
      </c>
      <c r="H1392" s="139" t="e">
        <f t="shared" ca="1" si="76"/>
        <v>#REF!</v>
      </c>
      <c r="I1392" s="137" t="e">
        <f t="shared" ca="1" si="77"/>
        <v>#REF!</v>
      </c>
      <c r="J1392" s="117"/>
    </row>
    <row r="1393" spans="1:10" hidden="1" x14ac:dyDescent="0.25">
      <c r="A1393" s="114" t="s">
        <v>4177</v>
      </c>
      <c r="B1393" s="115" t="s">
        <v>3324</v>
      </c>
      <c r="C1393" s="116" t="s">
        <v>1286</v>
      </c>
      <c r="D1393" s="116">
        <v>0</v>
      </c>
      <c r="E1393" s="136">
        <f ca="1">OFFSET(INDEX(Composições!A:J,MATCH(Orçamentária!A1393,Composições!A:A,0),8),2,0)</f>
        <v>124.203</v>
      </c>
      <c r="F1393" s="137">
        <f t="shared" ca="1" si="75"/>
        <v>0</v>
      </c>
      <c r="G1393" s="138" t="e">
        <f>IF(A1393&lt;&gt;"",IF(AND(#REF!="Padrão",$H$4=#REF!),BDI!$B$17,IF(AND(#REF!="Padrão",$H$4=#REF!),BDI!#REF!,IF(AND(#REF!="Diferenciado",$H$4=#REF!),BDI!$E$17,IF(AND(#REF!="Diferenciado",$H$4=#REF!),BDI!#REF!,IF(#REF!="ZERO",0))))),"")</f>
        <v>#REF!</v>
      </c>
      <c r="H1393" s="139" t="e">
        <f t="shared" ca="1" si="76"/>
        <v>#REF!</v>
      </c>
      <c r="I1393" s="137" t="e">
        <f t="shared" ca="1" si="77"/>
        <v>#REF!</v>
      </c>
      <c r="J1393" s="117"/>
    </row>
    <row r="1394" spans="1:10" hidden="1" x14ac:dyDescent="0.25">
      <c r="A1394" s="114" t="s">
        <v>4178</v>
      </c>
      <c r="B1394" s="115" t="s">
        <v>3325</v>
      </c>
      <c r="C1394" s="116" t="s">
        <v>16</v>
      </c>
      <c r="D1394" s="116">
        <v>0</v>
      </c>
      <c r="E1394" s="136" t="s">
        <v>416</v>
      </c>
      <c r="F1394" s="137" t="str">
        <f t="shared" si="75"/>
        <v/>
      </c>
      <c r="G1394" s="138" t="e">
        <f>IF(A1394&lt;&gt;"",IF(AND(#REF!="Padrão",$H$4=#REF!),BDI!$B$17,IF(AND(#REF!="Padrão",$H$4=#REF!),BDI!#REF!,IF(AND(#REF!="Diferenciado",$H$4=#REF!),BDI!$E$17,IF(AND(#REF!="Diferenciado",$H$4=#REF!),BDI!#REF!,IF(#REF!="ZERO",0))))),"")</f>
        <v>#REF!</v>
      </c>
      <c r="H1394" s="139" t="str">
        <f t="shared" si="76"/>
        <v/>
      </c>
      <c r="I1394" s="137" t="str">
        <f t="shared" si="77"/>
        <v/>
      </c>
      <c r="J1394" s="117"/>
    </row>
    <row r="1395" spans="1:10" hidden="1" x14ac:dyDescent="0.25">
      <c r="A1395" s="114" t="s">
        <v>4179</v>
      </c>
      <c r="B1395" s="115" t="s">
        <v>3326</v>
      </c>
      <c r="C1395" s="116" t="s">
        <v>16</v>
      </c>
      <c r="D1395" s="116">
        <v>0</v>
      </c>
      <c r="E1395" s="136">
        <f ca="1">OFFSET(INDEX(Composições!A:J,MATCH(Orçamentária!A1395,Composições!A:A,0),8),2,0)</f>
        <v>19.732790099999999</v>
      </c>
      <c r="F1395" s="137">
        <f t="shared" ca="1" si="75"/>
        <v>0</v>
      </c>
      <c r="G1395" s="138" t="e">
        <f>IF(A1395&lt;&gt;"",IF(AND(#REF!="Padrão",$H$4=#REF!),BDI!$B$17,IF(AND(#REF!="Padrão",$H$4=#REF!),BDI!#REF!,IF(AND(#REF!="Diferenciado",$H$4=#REF!),BDI!$E$17,IF(AND(#REF!="Diferenciado",$H$4=#REF!),BDI!#REF!,IF(#REF!="ZERO",0))))),"")</f>
        <v>#REF!</v>
      </c>
      <c r="H1395" s="139" t="e">
        <f t="shared" ca="1" si="76"/>
        <v>#REF!</v>
      </c>
      <c r="I1395" s="137" t="e">
        <f t="shared" ca="1" si="77"/>
        <v>#REF!</v>
      </c>
      <c r="J1395" s="117"/>
    </row>
    <row r="1396" spans="1:10" hidden="1" x14ac:dyDescent="0.25">
      <c r="A1396" s="114" t="s">
        <v>4180</v>
      </c>
      <c r="B1396" s="115" t="s">
        <v>3327</v>
      </c>
      <c r="C1396" s="116" t="s">
        <v>75</v>
      </c>
      <c r="D1396" s="116">
        <v>0</v>
      </c>
      <c r="E1396" s="136">
        <f ca="1">OFFSET(INDEX(Composições!A:J,MATCH(Orçamentária!A1396,Composições!A:A,0),8),2,0)</f>
        <v>5.7285000000000004</v>
      </c>
      <c r="F1396" s="137">
        <f t="shared" ca="1" si="75"/>
        <v>0</v>
      </c>
      <c r="G1396" s="138" t="e">
        <f>IF(A1396&lt;&gt;"",IF(AND(#REF!="Padrão",$H$4=#REF!),BDI!$B$17,IF(AND(#REF!="Padrão",$H$4=#REF!),BDI!#REF!,IF(AND(#REF!="Diferenciado",$H$4=#REF!),BDI!$E$17,IF(AND(#REF!="Diferenciado",$H$4=#REF!),BDI!#REF!,IF(#REF!="ZERO",0))))),"")</f>
        <v>#REF!</v>
      </c>
      <c r="H1396" s="139" t="e">
        <f t="shared" ca="1" si="76"/>
        <v>#REF!</v>
      </c>
      <c r="I1396" s="137" t="e">
        <f t="shared" ca="1" si="77"/>
        <v>#REF!</v>
      </c>
      <c r="J1396" s="117"/>
    </row>
    <row r="1397" spans="1:10" hidden="1" x14ac:dyDescent="0.25">
      <c r="A1397" s="114" t="s">
        <v>4181</v>
      </c>
      <c r="B1397" s="115" t="s">
        <v>3328</v>
      </c>
      <c r="C1397" s="116" t="s">
        <v>16</v>
      </c>
      <c r="D1397" s="116">
        <v>0</v>
      </c>
      <c r="E1397" s="136" t="s">
        <v>416</v>
      </c>
      <c r="F1397" s="137" t="str">
        <f t="shared" si="75"/>
        <v/>
      </c>
      <c r="G1397" s="138" t="e">
        <f>IF(A1397&lt;&gt;"",IF(AND(#REF!="Padrão",$H$4=#REF!),BDI!$B$17,IF(AND(#REF!="Padrão",$H$4=#REF!),BDI!#REF!,IF(AND(#REF!="Diferenciado",$H$4=#REF!),BDI!$E$17,IF(AND(#REF!="Diferenciado",$H$4=#REF!),BDI!#REF!,IF(#REF!="ZERO",0))))),"")</f>
        <v>#REF!</v>
      </c>
      <c r="H1397" s="139" t="str">
        <f t="shared" si="76"/>
        <v/>
      </c>
      <c r="I1397" s="137" t="str">
        <f t="shared" si="77"/>
        <v/>
      </c>
      <c r="J1397" s="117"/>
    </row>
    <row r="1398" spans="1:10" hidden="1" x14ac:dyDescent="0.25">
      <c r="A1398" s="114" t="s">
        <v>4182</v>
      </c>
      <c r="B1398" s="115" t="s">
        <v>3329</v>
      </c>
      <c r="C1398" s="116" t="s">
        <v>16</v>
      </c>
      <c r="D1398" s="116">
        <v>0</v>
      </c>
      <c r="E1398" s="136" t="s">
        <v>416</v>
      </c>
      <c r="F1398" s="137" t="str">
        <f t="shared" si="75"/>
        <v/>
      </c>
      <c r="G1398" s="138" t="e">
        <f>IF(A1398&lt;&gt;"",IF(AND(#REF!="Padrão",$H$4=#REF!),BDI!$B$17,IF(AND(#REF!="Padrão",$H$4=#REF!),BDI!#REF!,IF(AND(#REF!="Diferenciado",$H$4=#REF!),BDI!$E$17,IF(AND(#REF!="Diferenciado",$H$4=#REF!),BDI!#REF!,IF(#REF!="ZERO",0))))),"")</f>
        <v>#REF!</v>
      </c>
      <c r="H1398" s="139" t="str">
        <f t="shared" si="76"/>
        <v/>
      </c>
      <c r="I1398" s="137" t="str">
        <f t="shared" si="77"/>
        <v/>
      </c>
      <c r="J1398" s="117"/>
    </row>
    <row r="1399" spans="1:10" hidden="1" x14ac:dyDescent="0.25">
      <c r="A1399" s="114" t="s">
        <v>4183</v>
      </c>
      <c r="B1399" s="115" t="s">
        <v>3330</v>
      </c>
      <c r="C1399" s="116" t="s">
        <v>16</v>
      </c>
      <c r="D1399" s="116">
        <v>0</v>
      </c>
      <c r="E1399" s="136" t="s">
        <v>416</v>
      </c>
      <c r="F1399" s="137" t="str">
        <f t="shared" si="75"/>
        <v/>
      </c>
      <c r="G1399" s="138" t="e">
        <f>IF(A1399&lt;&gt;"",IF(AND(#REF!="Padrão",$H$4=#REF!),BDI!$B$17,IF(AND(#REF!="Padrão",$H$4=#REF!),BDI!#REF!,IF(AND(#REF!="Diferenciado",$H$4=#REF!),BDI!$E$17,IF(AND(#REF!="Diferenciado",$H$4=#REF!),BDI!#REF!,IF(#REF!="ZERO",0))))),"")</f>
        <v>#REF!</v>
      </c>
      <c r="H1399" s="139" t="str">
        <f t="shared" si="76"/>
        <v/>
      </c>
      <c r="I1399" s="137" t="str">
        <f t="shared" si="77"/>
        <v/>
      </c>
      <c r="J1399" s="117"/>
    </row>
    <row r="1400" spans="1:10" hidden="1" x14ac:dyDescent="0.25">
      <c r="A1400" s="114" t="s">
        <v>4184</v>
      </c>
      <c r="B1400" s="115" t="s">
        <v>3331</v>
      </c>
      <c r="C1400" s="116" t="s">
        <v>16</v>
      </c>
      <c r="D1400" s="116">
        <v>0</v>
      </c>
      <c r="E1400" s="136" t="s">
        <v>416</v>
      </c>
      <c r="F1400" s="137" t="str">
        <f t="shared" si="75"/>
        <v/>
      </c>
      <c r="G1400" s="138" t="e">
        <f>IF(A1400&lt;&gt;"",IF(AND(#REF!="Padrão",$H$4=#REF!),BDI!$B$17,IF(AND(#REF!="Padrão",$H$4=#REF!),BDI!#REF!,IF(AND(#REF!="Diferenciado",$H$4=#REF!),BDI!$E$17,IF(AND(#REF!="Diferenciado",$H$4=#REF!),BDI!#REF!,IF(#REF!="ZERO",0))))),"")</f>
        <v>#REF!</v>
      </c>
      <c r="H1400" s="139" t="str">
        <f t="shared" si="76"/>
        <v/>
      </c>
      <c r="I1400" s="137" t="str">
        <f t="shared" si="77"/>
        <v/>
      </c>
      <c r="J1400" s="117"/>
    </row>
    <row r="1401" spans="1:10" hidden="1" x14ac:dyDescent="0.25">
      <c r="A1401" s="114" t="s">
        <v>4185</v>
      </c>
      <c r="B1401" s="115" t="s">
        <v>3332</v>
      </c>
      <c r="C1401" s="116" t="s">
        <v>16</v>
      </c>
      <c r="D1401" s="116">
        <v>0</v>
      </c>
      <c r="E1401" s="136" t="s">
        <v>416</v>
      </c>
      <c r="F1401" s="137" t="str">
        <f t="shared" si="75"/>
        <v/>
      </c>
      <c r="G1401" s="138" t="e">
        <f>IF(A1401&lt;&gt;"",IF(AND(#REF!="Padrão",$H$4=#REF!),BDI!$B$17,IF(AND(#REF!="Padrão",$H$4=#REF!),BDI!#REF!,IF(AND(#REF!="Diferenciado",$H$4=#REF!),BDI!$E$17,IF(AND(#REF!="Diferenciado",$H$4=#REF!),BDI!#REF!,IF(#REF!="ZERO",0))))),"")</f>
        <v>#REF!</v>
      </c>
      <c r="H1401" s="139" t="str">
        <f t="shared" si="76"/>
        <v/>
      </c>
      <c r="I1401" s="137" t="str">
        <f t="shared" si="77"/>
        <v/>
      </c>
      <c r="J1401" s="117"/>
    </row>
    <row r="1402" spans="1:10" hidden="1" x14ac:dyDescent="0.25">
      <c r="A1402" s="114" t="s">
        <v>4186</v>
      </c>
      <c r="B1402" s="115" t="s">
        <v>3333</v>
      </c>
      <c r="C1402" s="116" t="s">
        <v>16</v>
      </c>
      <c r="D1402" s="116">
        <v>0</v>
      </c>
      <c r="E1402" s="136" t="s">
        <v>416</v>
      </c>
      <c r="F1402" s="137" t="str">
        <f t="shared" si="75"/>
        <v/>
      </c>
      <c r="G1402" s="138" t="e">
        <f>IF(A1402&lt;&gt;"",IF(AND(#REF!="Padrão",$H$4=#REF!),BDI!$B$17,IF(AND(#REF!="Padrão",$H$4=#REF!),BDI!#REF!,IF(AND(#REF!="Diferenciado",$H$4=#REF!),BDI!$E$17,IF(AND(#REF!="Diferenciado",$H$4=#REF!),BDI!#REF!,IF(#REF!="ZERO",0))))),"")</f>
        <v>#REF!</v>
      </c>
      <c r="H1402" s="139" t="str">
        <f t="shared" si="76"/>
        <v/>
      </c>
      <c r="I1402" s="137" t="str">
        <f t="shared" si="77"/>
        <v/>
      </c>
      <c r="J1402" s="117"/>
    </row>
    <row r="1403" spans="1:10" hidden="1" x14ac:dyDescent="0.25">
      <c r="A1403" s="114" t="s">
        <v>4187</v>
      </c>
      <c r="B1403" s="115" t="s">
        <v>3334</v>
      </c>
      <c r="C1403" s="116" t="s">
        <v>16</v>
      </c>
      <c r="D1403" s="116">
        <v>0</v>
      </c>
      <c r="E1403" s="136" t="s">
        <v>416</v>
      </c>
      <c r="F1403" s="137" t="str">
        <f t="shared" si="75"/>
        <v/>
      </c>
      <c r="G1403" s="138" t="e">
        <f>IF(A1403&lt;&gt;"",IF(AND(#REF!="Padrão",$H$4=#REF!),BDI!$B$17,IF(AND(#REF!="Padrão",$H$4=#REF!),BDI!#REF!,IF(AND(#REF!="Diferenciado",$H$4=#REF!),BDI!$E$17,IF(AND(#REF!="Diferenciado",$H$4=#REF!),BDI!#REF!,IF(#REF!="ZERO",0))))),"")</f>
        <v>#REF!</v>
      </c>
      <c r="H1403" s="139" t="str">
        <f t="shared" si="76"/>
        <v/>
      </c>
      <c r="I1403" s="137" t="str">
        <f t="shared" si="77"/>
        <v/>
      </c>
      <c r="J1403" s="117"/>
    </row>
    <row r="1404" spans="1:10" hidden="1" x14ac:dyDescent="0.25">
      <c r="A1404" s="114" t="s">
        <v>4188</v>
      </c>
      <c r="B1404" s="115" t="s">
        <v>3335</v>
      </c>
      <c r="C1404" s="116" t="s">
        <v>16</v>
      </c>
      <c r="D1404" s="116">
        <v>0</v>
      </c>
      <c r="E1404" s="136" t="s">
        <v>416</v>
      </c>
      <c r="F1404" s="137" t="str">
        <f t="shared" si="75"/>
        <v/>
      </c>
      <c r="G1404" s="138" t="e">
        <f>IF(A1404&lt;&gt;"",IF(AND(#REF!="Padrão",$H$4=#REF!),BDI!$B$17,IF(AND(#REF!="Padrão",$H$4=#REF!),BDI!#REF!,IF(AND(#REF!="Diferenciado",$H$4=#REF!),BDI!$E$17,IF(AND(#REF!="Diferenciado",$H$4=#REF!),BDI!#REF!,IF(#REF!="ZERO",0))))),"")</f>
        <v>#REF!</v>
      </c>
      <c r="H1404" s="139" t="str">
        <f t="shared" si="76"/>
        <v/>
      </c>
      <c r="I1404" s="137" t="str">
        <f t="shared" si="77"/>
        <v/>
      </c>
      <c r="J1404" s="117"/>
    </row>
    <row r="1405" spans="1:10" hidden="1" x14ac:dyDescent="0.25">
      <c r="A1405" s="114" t="s">
        <v>4189</v>
      </c>
      <c r="B1405" s="115" t="s">
        <v>3336</v>
      </c>
      <c r="C1405" s="116" t="s">
        <v>16</v>
      </c>
      <c r="D1405" s="116">
        <v>0</v>
      </c>
      <c r="E1405" s="136" t="s">
        <v>416</v>
      </c>
      <c r="F1405" s="137" t="str">
        <f t="shared" si="75"/>
        <v/>
      </c>
      <c r="G1405" s="138" t="e">
        <f>IF(A1405&lt;&gt;"",IF(AND(#REF!="Padrão",$H$4=#REF!),BDI!$B$17,IF(AND(#REF!="Padrão",$H$4=#REF!),BDI!#REF!,IF(AND(#REF!="Diferenciado",$H$4=#REF!),BDI!$E$17,IF(AND(#REF!="Diferenciado",$H$4=#REF!),BDI!#REF!,IF(#REF!="ZERO",0))))),"")</f>
        <v>#REF!</v>
      </c>
      <c r="H1405" s="139" t="str">
        <f t="shared" si="76"/>
        <v/>
      </c>
      <c r="I1405" s="137" t="str">
        <f t="shared" si="77"/>
        <v/>
      </c>
      <c r="J1405" s="117"/>
    </row>
    <row r="1406" spans="1:10" hidden="1" x14ac:dyDescent="0.25">
      <c r="A1406" s="114" t="s">
        <v>4190</v>
      </c>
      <c r="B1406" s="115" t="s">
        <v>3337</v>
      </c>
      <c r="C1406" s="116" t="s">
        <v>16</v>
      </c>
      <c r="D1406" s="116">
        <v>0</v>
      </c>
      <c r="E1406" s="136" t="s">
        <v>416</v>
      </c>
      <c r="F1406" s="137" t="str">
        <f t="shared" si="75"/>
        <v/>
      </c>
      <c r="G1406" s="138" t="e">
        <f>IF(A1406&lt;&gt;"",IF(AND(#REF!="Padrão",$H$4=#REF!),BDI!$B$17,IF(AND(#REF!="Padrão",$H$4=#REF!),BDI!#REF!,IF(AND(#REF!="Diferenciado",$H$4=#REF!),BDI!$E$17,IF(AND(#REF!="Diferenciado",$H$4=#REF!),BDI!#REF!,IF(#REF!="ZERO",0))))),"")</f>
        <v>#REF!</v>
      </c>
      <c r="H1406" s="139" t="str">
        <f t="shared" si="76"/>
        <v/>
      </c>
      <c r="I1406" s="137" t="str">
        <f t="shared" si="77"/>
        <v/>
      </c>
      <c r="J1406" s="117"/>
    </row>
    <row r="1407" spans="1:10" ht="25.5" hidden="1" x14ac:dyDescent="0.25">
      <c r="A1407" s="114" t="s">
        <v>4191</v>
      </c>
      <c r="B1407" s="115" t="s">
        <v>3338</v>
      </c>
      <c r="C1407" s="116" t="s">
        <v>16</v>
      </c>
      <c r="D1407" s="116">
        <v>0</v>
      </c>
      <c r="E1407" s="136" t="s">
        <v>416</v>
      </c>
      <c r="F1407" s="137" t="str">
        <f t="shared" si="75"/>
        <v/>
      </c>
      <c r="G1407" s="138" t="e">
        <f>IF(A1407&lt;&gt;"",IF(AND(#REF!="Padrão",$H$4=#REF!),BDI!$B$17,IF(AND(#REF!="Padrão",$H$4=#REF!),BDI!#REF!,IF(AND(#REF!="Diferenciado",$H$4=#REF!),BDI!$E$17,IF(AND(#REF!="Diferenciado",$H$4=#REF!),BDI!#REF!,IF(#REF!="ZERO",0))))),"")</f>
        <v>#REF!</v>
      </c>
      <c r="H1407" s="139" t="str">
        <f t="shared" si="76"/>
        <v/>
      </c>
      <c r="I1407" s="137" t="str">
        <f t="shared" si="77"/>
        <v/>
      </c>
      <c r="J1407" s="117"/>
    </row>
    <row r="1408" spans="1:10" hidden="1" x14ac:dyDescent="0.25">
      <c r="A1408" s="114" t="s">
        <v>4192</v>
      </c>
      <c r="B1408" s="115" t="s">
        <v>3339</v>
      </c>
      <c r="C1408" s="116" t="s">
        <v>2177</v>
      </c>
      <c r="D1408" s="116">
        <v>0</v>
      </c>
      <c r="E1408" s="136">
        <f ca="1">OFFSET(INDEX(Composições!A:J,MATCH(Orçamentária!A1408,Composições!A:A,0),8),2,0)</f>
        <v>13003.0728963</v>
      </c>
      <c r="F1408" s="137">
        <f t="shared" ca="1" si="75"/>
        <v>0</v>
      </c>
      <c r="G1408" s="138" t="e">
        <f>IF(A1408&lt;&gt;"",IF(AND(#REF!="Padrão",$H$4=#REF!),BDI!$B$17,IF(AND(#REF!="Padrão",$H$4=#REF!),BDI!#REF!,IF(AND(#REF!="Diferenciado",$H$4=#REF!),BDI!$E$17,IF(AND(#REF!="Diferenciado",$H$4=#REF!),BDI!#REF!,IF(#REF!="ZERO",0))))),"")</f>
        <v>#REF!</v>
      </c>
      <c r="H1408" s="139" t="e">
        <f t="shared" ca="1" si="76"/>
        <v>#REF!</v>
      </c>
      <c r="I1408" s="137" t="e">
        <f t="shared" ca="1" si="77"/>
        <v>#REF!</v>
      </c>
      <c r="J1408" s="117"/>
    </row>
    <row r="1409" spans="1:10" hidden="1" x14ac:dyDescent="0.25">
      <c r="A1409" s="114" t="s">
        <v>4193</v>
      </c>
      <c r="B1409" s="115" t="s">
        <v>3340</v>
      </c>
      <c r="C1409" s="116" t="s">
        <v>2177</v>
      </c>
      <c r="D1409" s="116">
        <v>0</v>
      </c>
      <c r="E1409" s="136">
        <f ca="1">OFFSET(INDEX(Composições!A:J,MATCH(Orçamentária!A1409,Composições!A:A,0),8),2,0)</f>
        <v>13003.0728963</v>
      </c>
      <c r="F1409" s="137">
        <f t="shared" ca="1" si="75"/>
        <v>0</v>
      </c>
      <c r="G1409" s="138" t="e">
        <f>IF(A1409&lt;&gt;"",IF(AND(#REF!="Padrão",$H$4=#REF!),BDI!$B$17,IF(AND(#REF!="Padrão",$H$4=#REF!),BDI!#REF!,IF(AND(#REF!="Diferenciado",$H$4=#REF!),BDI!$E$17,IF(AND(#REF!="Diferenciado",$H$4=#REF!),BDI!#REF!,IF(#REF!="ZERO",0))))),"")</f>
        <v>#REF!</v>
      </c>
      <c r="H1409" s="139" t="e">
        <f t="shared" ca="1" si="76"/>
        <v>#REF!</v>
      </c>
      <c r="I1409" s="137" t="e">
        <f t="shared" ca="1" si="77"/>
        <v>#REF!</v>
      </c>
      <c r="J1409" s="117"/>
    </row>
    <row r="1410" spans="1:10" hidden="1" x14ac:dyDescent="0.25">
      <c r="A1410" s="114" t="s">
        <v>4194</v>
      </c>
      <c r="B1410" s="115" t="s">
        <v>3341</v>
      </c>
      <c r="C1410" s="116" t="s">
        <v>2177</v>
      </c>
      <c r="D1410" s="116">
        <v>0</v>
      </c>
      <c r="E1410" s="136">
        <f ca="1">OFFSET(INDEX(Composições!A:J,MATCH(Orçamentária!A1410,Composições!A:A,0),8),2,0)</f>
        <v>4606.8711684</v>
      </c>
      <c r="F1410" s="137">
        <f t="shared" ca="1" si="75"/>
        <v>0</v>
      </c>
      <c r="G1410" s="138" t="e">
        <f>IF(A1410&lt;&gt;"",IF(AND(#REF!="Padrão",$H$4=#REF!),BDI!$B$17,IF(AND(#REF!="Padrão",$H$4=#REF!),BDI!#REF!,IF(AND(#REF!="Diferenciado",$H$4=#REF!),BDI!$E$17,IF(AND(#REF!="Diferenciado",$H$4=#REF!),BDI!#REF!,IF(#REF!="ZERO",0))))),"")</f>
        <v>#REF!</v>
      </c>
      <c r="H1410" s="139" t="e">
        <f t="shared" ca="1" si="76"/>
        <v>#REF!</v>
      </c>
      <c r="I1410" s="137" t="e">
        <f t="shared" ca="1" si="77"/>
        <v>#REF!</v>
      </c>
      <c r="J1410" s="117"/>
    </row>
    <row r="1411" spans="1:10" hidden="1" x14ac:dyDescent="0.25">
      <c r="A1411" s="114" t="s">
        <v>4195</v>
      </c>
      <c r="B1411" s="115" t="s">
        <v>3342</v>
      </c>
      <c r="C1411" s="116" t="s">
        <v>2177</v>
      </c>
      <c r="D1411" s="116">
        <v>0</v>
      </c>
      <c r="E1411" s="136">
        <f ca="1">OFFSET(INDEX(Composições!A:J,MATCH(Orçamentária!A1411,Composições!A:A,0),8),2,0)</f>
        <v>2204.9726641500001</v>
      </c>
      <c r="F1411" s="137">
        <f t="shared" ca="1" si="75"/>
        <v>0</v>
      </c>
      <c r="G1411" s="138" t="e">
        <f>IF(A1411&lt;&gt;"",IF(AND(#REF!="Padrão",$H$4=#REF!),BDI!$B$17,IF(AND(#REF!="Padrão",$H$4=#REF!),BDI!#REF!,IF(AND(#REF!="Diferenciado",$H$4=#REF!),BDI!$E$17,IF(AND(#REF!="Diferenciado",$H$4=#REF!),BDI!#REF!,IF(#REF!="ZERO",0))))),"")</f>
        <v>#REF!</v>
      </c>
      <c r="H1411" s="139" t="e">
        <f t="shared" ca="1" si="76"/>
        <v>#REF!</v>
      </c>
      <c r="I1411" s="137" t="e">
        <f t="shared" ca="1" si="77"/>
        <v>#REF!</v>
      </c>
      <c r="J1411" s="117"/>
    </row>
    <row r="1412" spans="1:10" hidden="1" x14ac:dyDescent="0.25">
      <c r="A1412" s="114" t="s">
        <v>4196</v>
      </c>
      <c r="B1412" s="115" t="s">
        <v>3343</v>
      </c>
      <c r="C1412" s="116" t="s">
        <v>2177</v>
      </c>
      <c r="D1412" s="116">
        <v>0</v>
      </c>
      <c r="E1412" s="136">
        <f ca="1">OFFSET(INDEX(Composições!A:J,MATCH(Orçamentária!A1412,Composições!A:A,0),8),2,0)</f>
        <v>2483.4536501499997</v>
      </c>
      <c r="F1412" s="137">
        <f t="shared" ca="1" si="75"/>
        <v>0</v>
      </c>
      <c r="G1412" s="138" t="e">
        <f>IF(A1412&lt;&gt;"",IF(AND(#REF!="Padrão",$H$4=#REF!),BDI!$B$17,IF(AND(#REF!="Padrão",$H$4=#REF!),BDI!#REF!,IF(AND(#REF!="Diferenciado",$H$4=#REF!),BDI!$E$17,IF(AND(#REF!="Diferenciado",$H$4=#REF!),BDI!#REF!,IF(#REF!="ZERO",0))))),"")</f>
        <v>#REF!</v>
      </c>
      <c r="H1412" s="139" t="e">
        <f t="shared" ca="1" si="76"/>
        <v>#REF!</v>
      </c>
      <c r="I1412" s="137" t="e">
        <f t="shared" ca="1" si="77"/>
        <v>#REF!</v>
      </c>
      <c r="J1412" s="117"/>
    </row>
    <row r="1413" spans="1:10" hidden="1" x14ac:dyDescent="0.25">
      <c r="A1413" s="114" t="s">
        <v>4197</v>
      </c>
      <c r="B1413" s="115" t="s">
        <v>3344</v>
      </c>
      <c r="C1413" s="116" t="s">
        <v>2177</v>
      </c>
      <c r="D1413" s="116">
        <v>0</v>
      </c>
      <c r="E1413" s="136">
        <f ca="1">OFFSET(INDEX(Composições!A:J,MATCH(Orçamentária!A1413,Composições!A:A,0),8),2,0)</f>
        <v>1665.9130412499999</v>
      </c>
      <c r="F1413" s="137">
        <f t="shared" ca="1" si="75"/>
        <v>0</v>
      </c>
      <c r="G1413" s="138" t="e">
        <f>IF(A1413&lt;&gt;"",IF(AND(#REF!="Padrão",$H$4=#REF!),BDI!$B$17,IF(AND(#REF!="Padrão",$H$4=#REF!),BDI!#REF!,IF(AND(#REF!="Diferenciado",$H$4=#REF!),BDI!$E$17,IF(AND(#REF!="Diferenciado",$H$4=#REF!),BDI!#REF!,IF(#REF!="ZERO",0))))),"")</f>
        <v>#REF!</v>
      </c>
      <c r="H1413" s="139" t="e">
        <f t="shared" ca="1" si="76"/>
        <v>#REF!</v>
      </c>
      <c r="I1413" s="137" t="e">
        <f t="shared" ca="1" si="77"/>
        <v>#REF!</v>
      </c>
      <c r="J1413" s="117"/>
    </row>
    <row r="1414" spans="1:10" hidden="1" x14ac:dyDescent="0.25">
      <c r="A1414" s="114" t="s">
        <v>4198</v>
      </c>
      <c r="B1414" s="115" t="s">
        <v>3345</v>
      </c>
      <c r="C1414" s="116" t="s">
        <v>2177</v>
      </c>
      <c r="D1414" s="116">
        <v>0</v>
      </c>
      <c r="E1414" s="136">
        <f ca="1">OFFSET(INDEX(Composições!A:J,MATCH(Orçamentária!A1414,Composições!A:A,0),8),2,0)</f>
        <v>3527.7573476499997</v>
      </c>
      <c r="F1414" s="137">
        <f t="shared" ca="1" si="75"/>
        <v>0</v>
      </c>
      <c r="G1414" s="138" t="e">
        <f>IF(A1414&lt;&gt;"",IF(AND(#REF!="Padrão",$H$4=#REF!),BDI!$B$17,IF(AND(#REF!="Padrão",$H$4=#REF!),BDI!#REF!,IF(AND(#REF!="Diferenciado",$H$4=#REF!),BDI!$E$17,IF(AND(#REF!="Diferenciado",$H$4=#REF!),BDI!#REF!,IF(#REF!="ZERO",0))))),"")</f>
        <v>#REF!</v>
      </c>
      <c r="H1414" s="139" t="e">
        <f t="shared" ca="1" si="76"/>
        <v>#REF!</v>
      </c>
      <c r="I1414" s="137" t="e">
        <f t="shared" ca="1" si="77"/>
        <v>#REF!</v>
      </c>
      <c r="J1414" s="117"/>
    </row>
    <row r="1415" spans="1:10" hidden="1" x14ac:dyDescent="0.25">
      <c r="A1415" s="114" t="s">
        <v>4199</v>
      </c>
      <c r="B1415" s="115" t="s">
        <v>3346</v>
      </c>
      <c r="C1415" s="116" t="s">
        <v>2177</v>
      </c>
      <c r="D1415" s="116">
        <v>0</v>
      </c>
      <c r="E1415" s="136">
        <f ca="1">OFFSET(INDEX(Composições!A:J,MATCH(Orçamentária!A1415,Composições!A:A,0),8),2,0)</f>
        <v>3527.7573476499997</v>
      </c>
      <c r="F1415" s="137">
        <f t="shared" ca="1" si="75"/>
        <v>0</v>
      </c>
      <c r="G1415" s="138" t="e">
        <f>IF(A1415&lt;&gt;"",IF(AND(#REF!="Padrão",$H$4=#REF!),BDI!$B$17,IF(AND(#REF!="Padrão",$H$4=#REF!),BDI!#REF!,IF(AND(#REF!="Diferenciado",$H$4=#REF!),BDI!$E$17,IF(AND(#REF!="Diferenciado",$H$4=#REF!),BDI!#REF!,IF(#REF!="ZERO",0))))),"")</f>
        <v>#REF!</v>
      </c>
      <c r="H1415" s="139" t="e">
        <f t="shared" ca="1" si="76"/>
        <v>#REF!</v>
      </c>
      <c r="I1415" s="137" t="e">
        <f t="shared" ca="1" si="77"/>
        <v>#REF!</v>
      </c>
      <c r="J1415" s="117"/>
    </row>
    <row r="1416" spans="1:10" hidden="1" x14ac:dyDescent="0.25">
      <c r="A1416" s="114" t="s">
        <v>4200</v>
      </c>
      <c r="B1416" s="115" t="s">
        <v>3347</v>
      </c>
      <c r="C1416" s="116" t="s">
        <v>2177</v>
      </c>
      <c r="D1416" s="116">
        <v>0</v>
      </c>
      <c r="E1416" s="136">
        <f ca="1">OFFSET(INDEX(Composições!A:J,MATCH(Orçamentária!A1416,Composições!A:A,0),8),2,0)</f>
        <v>3527.7573476499997</v>
      </c>
      <c r="F1416" s="137">
        <f t="shared" ca="1" si="75"/>
        <v>0</v>
      </c>
      <c r="G1416" s="138" t="e">
        <f>IF(A1416&lt;&gt;"",IF(AND(#REF!="Padrão",$H$4=#REF!),BDI!$B$17,IF(AND(#REF!="Padrão",$H$4=#REF!),BDI!#REF!,IF(AND(#REF!="Diferenciado",$H$4=#REF!),BDI!$E$17,IF(AND(#REF!="Diferenciado",$H$4=#REF!),BDI!#REF!,IF(#REF!="ZERO",0))))),"")</f>
        <v>#REF!</v>
      </c>
      <c r="H1416" s="139" t="e">
        <f t="shared" ca="1" si="76"/>
        <v>#REF!</v>
      </c>
      <c r="I1416" s="137" t="e">
        <f t="shared" ca="1" si="77"/>
        <v>#REF!</v>
      </c>
      <c r="J1416" s="117"/>
    </row>
    <row r="1417" spans="1:10" hidden="1" x14ac:dyDescent="0.25">
      <c r="A1417" s="114" t="s">
        <v>4201</v>
      </c>
      <c r="B1417" s="115" t="s">
        <v>3348</v>
      </c>
      <c r="C1417" s="116" t="s">
        <v>2177</v>
      </c>
      <c r="D1417" s="116">
        <v>0</v>
      </c>
      <c r="E1417" s="136">
        <f ca="1">OFFSET(INDEX(Composições!A:J,MATCH(Orçamentária!A1417,Composições!A:A,0),8),2,0)</f>
        <v>3527.7573476499997</v>
      </c>
      <c r="F1417" s="137">
        <f t="shared" ca="1" si="75"/>
        <v>0</v>
      </c>
      <c r="G1417" s="138" t="e">
        <f>IF(A1417&lt;&gt;"",IF(AND(#REF!="Padrão",$H$4=#REF!),BDI!$B$17,IF(AND(#REF!="Padrão",$H$4=#REF!),BDI!#REF!,IF(AND(#REF!="Diferenciado",$H$4=#REF!),BDI!$E$17,IF(AND(#REF!="Diferenciado",$H$4=#REF!),BDI!#REF!,IF(#REF!="ZERO",0))))),"")</f>
        <v>#REF!</v>
      </c>
      <c r="H1417" s="139" t="e">
        <f t="shared" ca="1" si="76"/>
        <v>#REF!</v>
      </c>
      <c r="I1417" s="137" t="e">
        <f t="shared" ca="1" si="77"/>
        <v>#REF!</v>
      </c>
      <c r="J1417" s="117"/>
    </row>
    <row r="1418" spans="1:10" hidden="1" x14ac:dyDescent="0.25">
      <c r="A1418" s="114" t="s">
        <v>4202</v>
      </c>
      <c r="B1418" s="115" t="s">
        <v>3349</v>
      </c>
      <c r="C1418" s="116" t="s">
        <v>2177</v>
      </c>
      <c r="D1418" s="116">
        <v>0</v>
      </c>
      <c r="E1418" s="136">
        <f ca="1">OFFSET(INDEX(Composições!A:J,MATCH(Orçamentária!A1418,Composições!A:A,0),8),2,0)</f>
        <v>2914.1046034999999</v>
      </c>
      <c r="F1418" s="137">
        <f t="shared" ca="1" si="75"/>
        <v>0</v>
      </c>
      <c r="G1418" s="138" t="e">
        <f>IF(A1418&lt;&gt;"",IF(AND(#REF!="Padrão",$H$4=#REF!),BDI!$B$17,IF(AND(#REF!="Padrão",$H$4=#REF!),BDI!#REF!,IF(AND(#REF!="Diferenciado",$H$4=#REF!),BDI!$E$17,IF(AND(#REF!="Diferenciado",$H$4=#REF!),BDI!#REF!,IF(#REF!="ZERO",0))))),"")</f>
        <v>#REF!</v>
      </c>
      <c r="H1418" s="139" t="e">
        <f t="shared" ca="1" si="76"/>
        <v>#REF!</v>
      </c>
      <c r="I1418" s="137" t="e">
        <f t="shared" ca="1" si="77"/>
        <v>#REF!</v>
      </c>
      <c r="J1418" s="117"/>
    </row>
    <row r="1419" spans="1:10" hidden="1" x14ac:dyDescent="0.25">
      <c r="A1419" s="114" t="s">
        <v>4203</v>
      </c>
      <c r="B1419" s="115" t="s">
        <v>3350</v>
      </c>
      <c r="C1419" s="116" t="s">
        <v>2177</v>
      </c>
      <c r="D1419" s="116">
        <v>0</v>
      </c>
      <c r="E1419" s="136">
        <f ca="1">OFFSET(INDEX(Composições!A:J,MATCH(Orçamentária!A1419,Composições!A:A,0),8),2,0)</f>
        <v>2259.6742863999998</v>
      </c>
      <c r="F1419" s="137">
        <f t="shared" ca="1" si="75"/>
        <v>0</v>
      </c>
      <c r="G1419" s="138" t="e">
        <f>IF(A1419&lt;&gt;"",IF(AND(#REF!="Padrão",$H$4=#REF!),BDI!$B$17,IF(AND(#REF!="Padrão",$H$4=#REF!),BDI!#REF!,IF(AND(#REF!="Diferenciado",$H$4=#REF!),BDI!$E$17,IF(AND(#REF!="Diferenciado",$H$4=#REF!),BDI!#REF!,IF(#REF!="ZERO",0))))),"")</f>
        <v>#REF!</v>
      </c>
      <c r="H1419" s="139" t="e">
        <f t="shared" ca="1" si="76"/>
        <v>#REF!</v>
      </c>
      <c r="I1419" s="137" t="e">
        <f t="shared" ca="1" si="77"/>
        <v>#REF!</v>
      </c>
      <c r="J1419" s="117"/>
    </row>
    <row r="1420" spans="1:10" hidden="1" x14ac:dyDescent="0.25">
      <c r="A1420" s="114" t="s">
        <v>4204</v>
      </c>
      <c r="B1420" s="115" t="s">
        <v>3351</v>
      </c>
      <c r="C1420" s="116" t="s">
        <v>2177</v>
      </c>
      <c r="D1420" s="116">
        <v>0</v>
      </c>
      <c r="E1420" s="136">
        <f ca="1">OFFSET(INDEX(Composições!A:J,MATCH(Orçamentária!A1420,Composições!A:A,0),8),2,0)</f>
        <v>3527.7573476499997</v>
      </c>
      <c r="F1420" s="137">
        <f t="shared" ca="1" si="75"/>
        <v>0</v>
      </c>
      <c r="G1420" s="138" t="e">
        <f>IF(A1420&lt;&gt;"",IF(AND(#REF!="Padrão",$H$4=#REF!),BDI!$B$17,IF(AND(#REF!="Padrão",$H$4=#REF!),BDI!#REF!,IF(AND(#REF!="Diferenciado",$H$4=#REF!),BDI!$E$17,IF(AND(#REF!="Diferenciado",$H$4=#REF!),BDI!#REF!,IF(#REF!="ZERO",0))))),"")</f>
        <v>#REF!</v>
      </c>
      <c r="H1420" s="139" t="e">
        <f t="shared" ca="1" si="76"/>
        <v>#REF!</v>
      </c>
      <c r="I1420" s="137" t="e">
        <f t="shared" ca="1" si="77"/>
        <v>#REF!</v>
      </c>
      <c r="J1420" s="117"/>
    </row>
    <row r="1421" spans="1:10" hidden="1" x14ac:dyDescent="0.25">
      <c r="A1421" s="114" t="s">
        <v>4205</v>
      </c>
      <c r="B1421" s="115" t="s">
        <v>3352</v>
      </c>
      <c r="C1421" s="116" t="s">
        <v>2177</v>
      </c>
      <c r="D1421" s="116">
        <v>0</v>
      </c>
      <c r="E1421" s="136">
        <f ca="1">OFFSET(INDEX(Composições!A:J,MATCH(Orçamentária!A1421,Composições!A:A,0),8),2,0)</f>
        <v>3527.7573476499997</v>
      </c>
      <c r="F1421" s="137">
        <f t="shared" ca="1" si="75"/>
        <v>0</v>
      </c>
      <c r="G1421" s="138" t="e">
        <f>IF(A1421&lt;&gt;"",IF(AND(#REF!="Padrão",$H$4=#REF!),BDI!$B$17,IF(AND(#REF!="Padrão",$H$4=#REF!),BDI!#REF!,IF(AND(#REF!="Diferenciado",$H$4=#REF!),BDI!$E$17,IF(AND(#REF!="Diferenciado",$H$4=#REF!),BDI!#REF!,IF(#REF!="ZERO",0))))),"")</f>
        <v>#REF!</v>
      </c>
      <c r="H1421" s="139" t="e">
        <f t="shared" ca="1" si="76"/>
        <v>#REF!</v>
      </c>
      <c r="I1421" s="137" t="e">
        <f t="shared" ca="1" si="77"/>
        <v>#REF!</v>
      </c>
      <c r="J1421" s="117"/>
    </row>
    <row r="1422" spans="1:10" hidden="1" x14ac:dyDescent="0.25">
      <c r="A1422" s="114" t="s">
        <v>4206</v>
      </c>
      <c r="B1422" s="115" t="s">
        <v>3353</v>
      </c>
      <c r="C1422" s="116" t="s">
        <v>2177</v>
      </c>
      <c r="D1422" s="116">
        <v>0</v>
      </c>
      <c r="E1422" s="136">
        <f ca="1">OFFSET(INDEX(Composições!A:J,MATCH(Orçamentária!A1422,Composições!A:A,0),8),2,0)</f>
        <v>3527.7573476499997</v>
      </c>
      <c r="F1422" s="137">
        <f t="shared" ca="1" si="75"/>
        <v>0</v>
      </c>
      <c r="G1422" s="138" t="e">
        <f>IF(A1422&lt;&gt;"",IF(AND(#REF!="Padrão",$H$4=#REF!),BDI!$B$17,IF(AND(#REF!="Padrão",$H$4=#REF!),BDI!#REF!,IF(AND(#REF!="Diferenciado",$H$4=#REF!),BDI!$E$17,IF(AND(#REF!="Diferenciado",$H$4=#REF!),BDI!#REF!,IF(#REF!="ZERO",0))))),"")</f>
        <v>#REF!</v>
      </c>
      <c r="H1422" s="139" t="e">
        <f t="shared" ca="1" si="76"/>
        <v>#REF!</v>
      </c>
      <c r="I1422" s="137" t="e">
        <f t="shared" ca="1" si="77"/>
        <v>#REF!</v>
      </c>
      <c r="J1422" s="117"/>
    </row>
    <row r="1423" spans="1:10" hidden="1" x14ac:dyDescent="0.25">
      <c r="A1423" s="114" t="s">
        <v>4207</v>
      </c>
      <c r="B1423" s="115" t="s">
        <v>3354</v>
      </c>
      <c r="C1423" s="116" t="s">
        <v>2177</v>
      </c>
      <c r="D1423" s="116">
        <v>0</v>
      </c>
      <c r="E1423" s="136">
        <f ca="1">OFFSET(INDEX(Composições!A:J,MATCH(Orçamentária!A1423,Composições!A:A,0),8),2,0)</f>
        <v>3527.7573476499997</v>
      </c>
      <c r="F1423" s="137">
        <f t="shared" ca="1" si="75"/>
        <v>0</v>
      </c>
      <c r="G1423" s="138" t="e">
        <f>IF(A1423&lt;&gt;"",IF(AND(#REF!="Padrão",$H$4=#REF!),BDI!$B$17,IF(AND(#REF!="Padrão",$H$4=#REF!),BDI!#REF!,IF(AND(#REF!="Diferenciado",$H$4=#REF!),BDI!$E$17,IF(AND(#REF!="Diferenciado",$H$4=#REF!),BDI!#REF!,IF(#REF!="ZERO",0))))),"")</f>
        <v>#REF!</v>
      </c>
      <c r="H1423" s="139" t="e">
        <f t="shared" ca="1" si="76"/>
        <v>#REF!</v>
      </c>
      <c r="I1423" s="137" t="e">
        <f t="shared" ca="1" si="77"/>
        <v>#REF!</v>
      </c>
      <c r="J1423" s="117"/>
    </row>
    <row r="1424" spans="1:10" hidden="1" x14ac:dyDescent="0.25">
      <c r="A1424" s="114" t="s">
        <v>4208</v>
      </c>
      <c r="B1424" s="115" t="s">
        <v>3355</v>
      </c>
      <c r="C1424" s="116" t="s">
        <v>2177</v>
      </c>
      <c r="D1424" s="116">
        <v>0</v>
      </c>
      <c r="E1424" s="136">
        <f ca="1">OFFSET(INDEX(Composições!A:J,MATCH(Orçamentária!A1424,Composições!A:A,0),8),2,0)</f>
        <v>2914.1046034999999</v>
      </c>
      <c r="F1424" s="137">
        <f t="shared" ca="1" si="75"/>
        <v>0</v>
      </c>
      <c r="G1424" s="138" t="e">
        <f>IF(A1424&lt;&gt;"",IF(AND(#REF!="Padrão",$H$4=#REF!),BDI!$B$17,IF(AND(#REF!="Padrão",$H$4=#REF!),BDI!#REF!,IF(AND(#REF!="Diferenciado",$H$4=#REF!),BDI!$E$17,IF(AND(#REF!="Diferenciado",$H$4=#REF!),BDI!#REF!,IF(#REF!="ZERO",0))))),"")</f>
        <v>#REF!</v>
      </c>
      <c r="H1424" s="139" t="e">
        <f t="shared" ca="1" si="76"/>
        <v>#REF!</v>
      </c>
      <c r="I1424" s="137" t="e">
        <f t="shared" ca="1" si="77"/>
        <v>#REF!</v>
      </c>
      <c r="J1424" s="117"/>
    </row>
    <row r="1425" spans="1:10" hidden="1" x14ac:dyDescent="0.25">
      <c r="A1425" s="114" t="s">
        <v>4209</v>
      </c>
      <c r="B1425" s="115" t="s">
        <v>3356</v>
      </c>
      <c r="C1425" s="116" t="s">
        <v>2177</v>
      </c>
      <c r="D1425" s="116">
        <v>0</v>
      </c>
      <c r="E1425" s="136">
        <f ca="1">OFFSET(INDEX(Composições!A:J,MATCH(Orçamentária!A1425,Composições!A:A,0),8),2,0)</f>
        <v>2914.1046034999999</v>
      </c>
      <c r="F1425" s="137">
        <f t="shared" ca="1" si="75"/>
        <v>0</v>
      </c>
      <c r="G1425" s="138" t="e">
        <f>IF(A1425&lt;&gt;"",IF(AND(#REF!="Padrão",$H$4=#REF!),BDI!$B$17,IF(AND(#REF!="Padrão",$H$4=#REF!),BDI!#REF!,IF(AND(#REF!="Diferenciado",$H$4=#REF!),BDI!$E$17,IF(AND(#REF!="Diferenciado",$H$4=#REF!),BDI!#REF!,IF(#REF!="ZERO",0))))),"")</f>
        <v>#REF!</v>
      </c>
      <c r="H1425" s="139" t="e">
        <f t="shared" ca="1" si="76"/>
        <v>#REF!</v>
      </c>
      <c r="I1425" s="137" t="e">
        <f t="shared" ca="1" si="77"/>
        <v>#REF!</v>
      </c>
      <c r="J1425" s="117"/>
    </row>
    <row r="1426" spans="1:10" hidden="1" x14ac:dyDescent="0.25">
      <c r="A1426" s="114" t="s">
        <v>4210</v>
      </c>
      <c r="B1426" s="115" t="s">
        <v>3357</v>
      </c>
      <c r="C1426" s="116" t="s">
        <v>2177</v>
      </c>
      <c r="D1426" s="116">
        <v>0</v>
      </c>
      <c r="E1426" s="136">
        <f ca="1">OFFSET(INDEX(Composições!A:J,MATCH(Orçamentária!A1426,Composições!A:A,0),8),2,0)</f>
        <v>2914.1046034999999</v>
      </c>
      <c r="F1426" s="137">
        <f t="shared" ca="1" si="75"/>
        <v>0</v>
      </c>
      <c r="G1426" s="138" t="e">
        <f>IF(A1426&lt;&gt;"",IF(AND(#REF!="Padrão",$H$4=#REF!),BDI!$B$17,IF(AND(#REF!="Padrão",$H$4=#REF!),BDI!#REF!,IF(AND(#REF!="Diferenciado",$H$4=#REF!),BDI!$E$17,IF(AND(#REF!="Diferenciado",$H$4=#REF!),BDI!#REF!,IF(#REF!="ZERO",0))))),"")</f>
        <v>#REF!</v>
      </c>
      <c r="H1426" s="139" t="e">
        <f t="shared" ca="1" si="76"/>
        <v>#REF!</v>
      </c>
      <c r="I1426" s="137" t="e">
        <f t="shared" ca="1" si="77"/>
        <v>#REF!</v>
      </c>
      <c r="J1426" s="117"/>
    </row>
    <row r="1427" spans="1:10" hidden="1" x14ac:dyDescent="0.25">
      <c r="A1427" s="114" t="s">
        <v>4211</v>
      </c>
      <c r="B1427" s="115" t="s">
        <v>3358</v>
      </c>
      <c r="C1427" s="116" t="s">
        <v>2177</v>
      </c>
      <c r="D1427" s="116">
        <v>0</v>
      </c>
      <c r="E1427" s="136">
        <f ca="1">OFFSET(INDEX(Composições!A:J,MATCH(Orçamentária!A1427,Composições!A:A,0),8),2,0)</f>
        <v>2914.1046034999999</v>
      </c>
      <c r="F1427" s="137">
        <f t="shared" ca="1" si="75"/>
        <v>0</v>
      </c>
      <c r="G1427" s="138" t="e">
        <f>IF(A1427&lt;&gt;"",IF(AND(#REF!="Padrão",$H$4=#REF!),BDI!$B$17,IF(AND(#REF!="Padrão",$H$4=#REF!),BDI!#REF!,IF(AND(#REF!="Diferenciado",$H$4=#REF!),BDI!$E$17,IF(AND(#REF!="Diferenciado",$H$4=#REF!),BDI!#REF!,IF(#REF!="ZERO",0))))),"")</f>
        <v>#REF!</v>
      </c>
      <c r="H1427" s="139" t="e">
        <f t="shared" ca="1" si="76"/>
        <v>#REF!</v>
      </c>
      <c r="I1427" s="137" t="e">
        <f t="shared" ca="1" si="77"/>
        <v>#REF!</v>
      </c>
      <c r="J1427" s="117"/>
    </row>
    <row r="1428" spans="1:10" hidden="1" x14ac:dyDescent="0.25">
      <c r="A1428" s="114" t="s">
        <v>4212</v>
      </c>
      <c r="B1428" s="115" t="s">
        <v>3359</v>
      </c>
      <c r="C1428" s="116" t="s">
        <v>16</v>
      </c>
      <c r="D1428" s="116">
        <v>0</v>
      </c>
      <c r="E1428" s="136" t="s">
        <v>416</v>
      </c>
      <c r="F1428" s="137" t="str">
        <f t="shared" si="75"/>
        <v/>
      </c>
      <c r="G1428" s="138" t="e">
        <f>IF(A1428&lt;&gt;"",IF(AND(#REF!="Padrão",$H$4=#REF!),BDI!$B$17,IF(AND(#REF!="Padrão",$H$4=#REF!),BDI!#REF!,IF(AND(#REF!="Diferenciado",$H$4=#REF!),BDI!$E$17,IF(AND(#REF!="Diferenciado",$H$4=#REF!),BDI!#REF!,IF(#REF!="ZERO",0))))),"")</f>
        <v>#REF!</v>
      </c>
      <c r="H1428" s="139" t="str">
        <f t="shared" si="76"/>
        <v/>
      </c>
      <c r="I1428" s="137" t="str">
        <f t="shared" si="77"/>
        <v/>
      </c>
      <c r="J1428" s="117"/>
    </row>
    <row r="1429" spans="1:10" hidden="1" x14ac:dyDescent="0.25">
      <c r="A1429" s="114" t="s">
        <v>4213</v>
      </c>
      <c r="B1429" s="115" t="s">
        <v>3360</v>
      </c>
      <c r="C1429" s="116" t="s">
        <v>16</v>
      </c>
      <c r="D1429" s="116">
        <v>0</v>
      </c>
      <c r="E1429" s="136" t="s">
        <v>416</v>
      </c>
      <c r="F1429" s="137" t="str">
        <f t="shared" si="75"/>
        <v/>
      </c>
      <c r="G1429" s="138" t="e">
        <f>IF(A1429&lt;&gt;"",IF(AND(#REF!="Padrão",$H$4=#REF!),BDI!$B$17,IF(AND(#REF!="Padrão",$H$4=#REF!),BDI!#REF!,IF(AND(#REF!="Diferenciado",$H$4=#REF!),BDI!$E$17,IF(AND(#REF!="Diferenciado",$H$4=#REF!),BDI!#REF!,IF(#REF!="ZERO",0))))),"")</f>
        <v>#REF!</v>
      </c>
      <c r="H1429" s="139" t="str">
        <f t="shared" si="76"/>
        <v/>
      </c>
      <c r="I1429" s="137" t="str">
        <f t="shared" si="77"/>
        <v/>
      </c>
      <c r="J1429" s="117"/>
    </row>
    <row r="1430" spans="1:10" hidden="1" x14ac:dyDescent="0.25">
      <c r="A1430" s="114" t="s">
        <v>4214</v>
      </c>
      <c r="B1430" s="115" t="s">
        <v>3361</v>
      </c>
      <c r="C1430" s="116" t="s">
        <v>16</v>
      </c>
      <c r="D1430" s="116">
        <v>0</v>
      </c>
      <c r="E1430" s="136" t="s">
        <v>416</v>
      </c>
      <c r="F1430" s="137" t="str">
        <f t="shared" si="75"/>
        <v/>
      </c>
      <c r="G1430" s="138" t="e">
        <f>IF(A1430&lt;&gt;"",IF(AND(#REF!="Padrão",$H$4=#REF!),BDI!$B$17,IF(AND(#REF!="Padrão",$H$4=#REF!),BDI!#REF!,IF(AND(#REF!="Diferenciado",$H$4=#REF!),BDI!$E$17,IF(AND(#REF!="Diferenciado",$H$4=#REF!),BDI!#REF!,IF(#REF!="ZERO",0))))),"")</f>
        <v>#REF!</v>
      </c>
      <c r="H1430" s="139" t="str">
        <f t="shared" si="76"/>
        <v/>
      </c>
      <c r="I1430" s="137" t="str">
        <f t="shared" si="77"/>
        <v/>
      </c>
      <c r="J1430" s="117"/>
    </row>
    <row r="1431" spans="1:10" hidden="1" x14ac:dyDescent="0.25">
      <c r="A1431" s="114" t="s">
        <v>4215</v>
      </c>
      <c r="B1431" s="115" t="s">
        <v>3362</v>
      </c>
      <c r="C1431" s="116" t="s">
        <v>16</v>
      </c>
      <c r="D1431" s="116">
        <v>0</v>
      </c>
      <c r="E1431" s="136" t="s">
        <v>416</v>
      </c>
      <c r="F1431" s="137" t="str">
        <f t="shared" si="75"/>
        <v/>
      </c>
      <c r="G1431" s="138" t="e">
        <f>IF(A1431&lt;&gt;"",IF(AND(#REF!="Padrão",$H$4=#REF!),BDI!$B$17,IF(AND(#REF!="Padrão",$H$4=#REF!),BDI!#REF!,IF(AND(#REF!="Diferenciado",$H$4=#REF!),BDI!$E$17,IF(AND(#REF!="Diferenciado",$H$4=#REF!),BDI!#REF!,IF(#REF!="ZERO",0))))),"")</f>
        <v>#REF!</v>
      </c>
      <c r="H1431" s="139" t="str">
        <f t="shared" si="76"/>
        <v/>
      </c>
      <c r="I1431" s="137" t="str">
        <f t="shared" si="77"/>
        <v/>
      </c>
      <c r="J1431" s="117"/>
    </row>
    <row r="1432" spans="1:10" hidden="1" x14ac:dyDescent="0.25">
      <c r="A1432" s="114" t="s">
        <v>4216</v>
      </c>
      <c r="B1432" s="115" t="s">
        <v>3363</v>
      </c>
      <c r="C1432" s="116" t="s">
        <v>16</v>
      </c>
      <c r="D1432" s="116">
        <v>0</v>
      </c>
      <c r="E1432" s="136" t="s">
        <v>416</v>
      </c>
      <c r="F1432" s="137" t="str">
        <f t="shared" si="75"/>
        <v/>
      </c>
      <c r="G1432" s="138" t="e">
        <f>IF(A1432&lt;&gt;"",IF(AND(#REF!="Padrão",$H$4=#REF!),BDI!$B$17,IF(AND(#REF!="Padrão",$H$4=#REF!),BDI!#REF!,IF(AND(#REF!="Diferenciado",$H$4=#REF!),BDI!$E$17,IF(AND(#REF!="Diferenciado",$H$4=#REF!),BDI!#REF!,IF(#REF!="ZERO",0))))),"")</f>
        <v>#REF!</v>
      </c>
      <c r="H1432" s="139" t="str">
        <f t="shared" si="76"/>
        <v/>
      </c>
      <c r="I1432" s="137" t="str">
        <f t="shared" si="77"/>
        <v/>
      </c>
      <c r="J1432" s="117"/>
    </row>
    <row r="1433" spans="1:10" hidden="1" x14ac:dyDescent="0.25">
      <c r="A1433" s="114" t="s">
        <v>4217</v>
      </c>
      <c r="B1433" s="115" t="s">
        <v>3364</v>
      </c>
      <c r="C1433" s="116" t="s">
        <v>16</v>
      </c>
      <c r="D1433" s="116">
        <v>0</v>
      </c>
      <c r="E1433" s="136" t="s">
        <v>416</v>
      </c>
      <c r="F1433" s="137" t="str">
        <f t="shared" si="75"/>
        <v/>
      </c>
      <c r="G1433" s="138" t="e">
        <f>IF(A1433&lt;&gt;"",IF(AND(#REF!="Padrão",$H$4=#REF!),BDI!$B$17,IF(AND(#REF!="Padrão",$H$4=#REF!),BDI!#REF!,IF(AND(#REF!="Diferenciado",$H$4=#REF!),BDI!$E$17,IF(AND(#REF!="Diferenciado",$H$4=#REF!),BDI!#REF!,IF(#REF!="ZERO",0))))),"")</f>
        <v>#REF!</v>
      </c>
      <c r="H1433" s="139" t="str">
        <f t="shared" si="76"/>
        <v/>
      </c>
      <c r="I1433" s="137" t="str">
        <f t="shared" si="77"/>
        <v/>
      </c>
      <c r="J1433" s="117"/>
    </row>
    <row r="1434" spans="1:10" hidden="1" x14ac:dyDescent="0.25">
      <c r="A1434" s="114" t="s">
        <v>4218</v>
      </c>
      <c r="B1434" s="115" t="s">
        <v>3365</v>
      </c>
      <c r="C1434" s="116" t="s">
        <v>16</v>
      </c>
      <c r="D1434" s="116">
        <v>0</v>
      </c>
      <c r="E1434" s="136" t="s">
        <v>416</v>
      </c>
      <c r="F1434" s="137" t="str">
        <f t="shared" si="75"/>
        <v/>
      </c>
      <c r="G1434" s="138" t="e">
        <f>IF(A1434&lt;&gt;"",IF(AND(#REF!="Padrão",$H$4=#REF!),BDI!$B$17,IF(AND(#REF!="Padrão",$H$4=#REF!),BDI!#REF!,IF(AND(#REF!="Diferenciado",$H$4=#REF!),BDI!$E$17,IF(AND(#REF!="Diferenciado",$H$4=#REF!),BDI!#REF!,IF(#REF!="ZERO",0))))),"")</f>
        <v>#REF!</v>
      </c>
      <c r="H1434" s="139" t="str">
        <f t="shared" si="76"/>
        <v/>
      </c>
      <c r="I1434" s="137" t="str">
        <f t="shared" si="77"/>
        <v/>
      </c>
      <c r="J1434" s="117"/>
    </row>
    <row r="1435" spans="1:10" hidden="1" x14ac:dyDescent="0.25">
      <c r="A1435" s="114" t="s">
        <v>4219</v>
      </c>
      <c r="B1435" s="115" t="s">
        <v>3366</v>
      </c>
      <c r="C1435" s="116" t="s">
        <v>16</v>
      </c>
      <c r="D1435" s="116">
        <v>0</v>
      </c>
      <c r="E1435" s="136" t="s">
        <v>416</v>
      </c>
      <c r="F1435" s="137" t="str">
        <f t="shared" si="75"/>
        <v/>
      </c>
      <c r="G1435" s="138" t="e">
        <f>IF(A1435&lt;&gt;"",IF(AND(#REF!="Padrão",$H$4=#REF!),BDI!$B$17,IF(AND(#REF!="Padrão",$H$4=#REF!),BDI!#REF!,IF(AND(#REF!="Diferenciado",$H$4=#REF!),BDI!$E$17,IF(AND(#REF!="Diferenciado",$H$4=#REF!),BDI!#REF!,IF(#REF!="ZERO",0))))),"")</f>
        <v>#REF!</v>
      </c>
      <c r="H1435" s="139" t="str">
        <f t="shared" si="76"/>
        <v/>
      </c>
      <c r="I1435" s="137" t="str">
        <f t="shared" si="77"/>
        <v/>
      </c>
      <c r="J1435" s="117"/>
    </row>
    <row r="1436" spans="1:10" hidden="1" x14ac:dyDescent="0.25">
      <c r="A1436" s="114" t="s">
        <v>4220</v>
      </c>
      <c r="B1436" s="115" t="s">
        <v>3367</v>
      </c>
      <c r="C1436" s="116" t="s">
        <v>16</v>
      </c>
      <c r="D1436" s="116">
        <v>0</v>
      </c>
      <c r="E1436" s="136" t="s">
        <v>416</v>
      </c>
      <c r="F1436" s="137" t="str">
        <f t="shared" si="75"/>
        <v/>
      </c>
      <c r="G1436" s="138" t="e">
        <f>IF(A1436&lt;&gt;"",IF(AND(#REF!="Padrão",$H$4=#REF!),BDI!$B$17,IF(AND(#REF!="Padrão",$H$4=#REF!),BDI!#REF!,IF(AND(#REF!="Diferenciado",$H$4=#REF!),BDI!$E$17,IF(AND(#REF!="Diferenciado",$H$4=#REF!),BDI!#REF!,IF(#REF!="ZERO",0))))),"")</f>
        <v>#REF!</v>
      </c>
      <c r="H1436" s="139" t="str">
        <f t="shared" si="76"/>
        <v/>
      </c>
      <c r="I1436" s="137" t="str">
        <f t="shared" si="77"/>
        <v/>
      </c>
      <c r="J1436" s="117"/>
    </row>
    <row r="1437" spans="1:10" hidden="1" x14ac:dyDescent="0.25">
      <c r="A1437" s="114" t="s">
        <v>4221</v>
      </c>
      <c r="B1437" s="115" t="s">
        <v>3368</v>
      </c>
      <c r="C1437" s="116" t="s">
        <v>16</v>
      </c>
      <c r="D1437" s="116">
        <v>0</v>
      </c>
      <c r="E1437" s="136" t="s">
        <v>416</v>
      </c>
      <c r="F1437" s="137" t="str">
        <f t="shared" si="75"/>
        <v/>
      </c>
      <c r="G1437" s="138" t="e">
        <f>IF(A1437&lt;&gt;"",IF(AND(#REF!="Padrão",$H$4=#REF!),BDI!$B$17,IF(AND(#REF!="Padrão",$H$4=#REF!),BDI!#REF!,IF(AND(#REF!="Diferenciado",$H$4=#REF!),BDI!$E$17,IF(AND(#REF!="Diferenciado",$H$4=#REF!),BDI!#REF!,IF(#REF!="ZERO",0))))),"")</f>
        <v>#REF!</v>
      </c>
      <c r="H1437" s="139" t="str">
        <f t="shared" si="76"/>
        <v/>
      </c>
      <c r="I1437" s="137" t="str">
        <f t="shared" si="77"/>
        <v/>
      </c>
      <c r="J1437" s="117"/>
    </row>
    <row r="1438" spans="1:10" hidden="1" x14ac:dyDescent="0.25">
      <c r="A1438" s="114" t="s">
        <v>4222</v>
      </c>
      <c r="B1438" s="115" t="s">
        <v>3369</v>
      </c>
      <c r="C1438" s="116" t="s">
        <v>16</v>
      </c>
      <c r="D1438" s="116">
        <v>0</v>
      </c>
      <c r="E1438" s="136" t="s">
        <v>416</v>
      </c>
      <c r="F1438" s="137" t="str">
        <f t="shared" si="75"/>
        <v/>
      </c>
      <c r="G1438" s="138" t="e">
        <f>IF(A1438&lt;&gt;"",IF(AND(#REF!="Padrão",$H$4=#REF!),BDI!$B$17,IF(AND(#REF!="Padrão",$H$4=#REF!),BDI!#REF!,IF(AND(#REF!="Diferenciado",$H$4=#REF!),BDI!$E$17,IF(AND(#REF!="Diferenciado",$H$4=#REF!),BDI!#REF!,IF(#REF!="ZERO",0))))),"")</f>
        <v>#REF!</v>
      </c>
      <c r="H1438" s="139" t="str">
        <f t="shared" si="76"/>
        <v/>
      </c>
      <c r="I1438" s="137" t="str">
        <f t="shared" si="77"/>
        <v/>
      </c>
      <c r="J1438" s="117"/>
    </row>
    <row r="1439" spans="1:10" hidden="1" x14ac:dyDescent="0.25">
      <c r="A1439" s="114" t="s">
        <v>4223</v>
      </c>
      <c r="B1439" s="115" t="s">
        <v>3370</v>
      </c>
      <c r="C1439" s="116" t="s">
        <v>16</v>
      </c>
      <c r="D1439" s="116">
        <v>0</v>
      </c>
      <c r="E1439" s="136" t="s">
        <v>416</v>
      </c>
      <c r="F1439" s="137" t="str">
        <f t="shared" si="75"/>
        <v/>
      </c>
      <c r="G1439" s="138" t="e">
        <f>IF(A1439&lt;&gt;"",IF(AND(#REF!="Padrão",$H$4=#REF!),BDI!$B$17,IF(AND(#REF!="Padrão",$H$4=#REF!),BDI!#REF!,IF(AND(#REF!="Diferenciado",$H$4=#REF!),BDI!$E$17,IF(AND(#REF!="Diferenciado",$H$4=#REF!),BDI!#REF!,IF(#REF!="ZERO",0))))),"")</f>
        <v>#REF!</v>
      </c>
      <c r="H1439" s="139" t="str">
        <f t="shared" si="76"/>
        <v/>
      </c>
      <c r="I1439" s="137" t="str">
        <f t="shared" si="77"/>
        <v/>
      </c>
      <c r="J1439" s="117"/>
    </row>
    <row r="1440" spans="1:10" hidden="1" x14ac:dyDescent="0.25">
      <c r="A1440" s="114" t="s">
        <v>4224</v>
      </c>
      <c r="B1440" s="115" t="s">
        <v>7736</v>
      </c>
      <c r="C1440" s="116" t="s">
        <v>69</v>
      </c>
      <c r="D1440" s="116">
        <v>0</v>
      </c>
      <c r="E1440" s="136" t="s">
        <v>416</v>
      </c>
      <c r="F1440" s="137" t="str">
        <f t="shared" si="75"/>
        <v/>
      </c>
      <c r="G1440" s="138" t="e">
        <f>IF(A1440&lt;&gt;"",IF(AND(#REF!="Padrão",$H$4=#REF!),BDI!$B$17,IF(AND(#REF!="Padrão",$H$4=#REF!),BDI!#REF!,IF(AND(#REF!="Diferenciado",$H$4=#REF!),BDI!$E$17,IF(AND(#REF!="Diferenciado",$H$4=#REF!),BDI!#REF!,IF(#REF!="ZERO",0))))),"")</f>
        <v>#REF!</v>
      </c>
      <c r="H1440" s="139" t="str">
        <f t="shared" si="76"/>
        <v/>
      </c>
      <c r="I1440" s="137" t="str">
        <f t="shared" si="77"/>
        <v/>
      </c>
      <c r="J1440" s="117"/>
    </row>
    <row r="1441" spans="1:10" hidden="1" x14ac:dyDescent="0.25">
      <c r="A1441" s="114" t="s">
        <v>4225</v>
      </c>
      <c r="B1441" s="115" t="s">
        <v>3371</v>
      </c>
      <c r="C1441" s="116" t="s">
        <v>16</v>
      </c>
      <c r="D1441" s="116">
        <v>0</v>
      </c>
      <c r="E1441" s="136" t="s">
        <v>416</v>
      </c>
      <c r="F1441" s="137" t="str">
        <f t="shared" si="75"/>
        <v/>
      </c>
      <c r="G1441" s="138" t="e">
        <f>IF(A1441&lt;&gt;"",IF(AND(#REF!="Padrão",$H$4=#REF!),BDI!$B$17,IF(AND(#REF!="Padrão",$H$4=#REF!),BDI!#REF!,IF(AND(#REF!="Diferenciado",$H$4=#REF!),BDI!$E$17,IF(AND(#REF!="Diferenciado",$H$4=#REF!),BDI!#REF!,IF(#REF!="ZERO",0))))),"")</f>
        <v>#REF!</v>
      </c>
      <c r="H1441" s="139" t="str">
        <f t="shared" si="76"/>
        <v/>
      </c>
      <c r="I1441" s="137" t="str">
        <f t="shared" si="77"/>
        <v/>
      </c>
      <c r="J1441" s="117"/>
    </row>
    <row r="1442" spans="1:10" hidden="1" x14ac:dyDescent="0.25">
      <c r="A1442" s="114" t="s">
        <v>4226</v>
      </c>
      <c r="B1442" s="115" t="s">
        <v>3372</v>
      </c>
      <c r="C1442" s="116" t="s">
        <v>5416</v>
      </c>
      <c r="D1442" s="116">
        <v>0</v>
      </c>
      <c r="E1442" s="136" t="s">
        <v>416</v>
      </c>
      <c r="F1442" s="137" t="str">
        <f t="shared" si="75"/>
        <v/>
      </c>
      <c r="G1442" s="138" t="e">
        <f>IF(A1442&lt;&gt;"",IF(AND(#REF!="Padrão",$H$4=#REF!),BDI!$B$17,IF(AND(#REF!="Padrão",$H$4=#REF!),BDI!#REF!,IF(AND(#REF!="Diferenciado",$H$4=#REF!),BDI!$E$17,IF(AND(#REF!="Diferenciado",$H$4=#REF!),BDI!#REF!,IF(#REF!="ZERO",0))))),"")</f>
        <v>#REF!</v>
      </c>
      <c r="H1442" s="139" t="str">
        <f t="shared" si="76"/>
        <v/>
      </c>
      <c r="I1442" s="137" t="str">
        <f t="shared" si="77"/>
        <v/>
      </c>
      <c r="J1442" s="117"/>
    </row>
    <row r="1443" spans="1:10" hidden="1" x14ac:dyDescent="0.25">
      <c r="A1443" s="114" t="s">
        <v>4227</v>
      </c>
      <c r="B1443" s="115" t="s">
        <v>3373</v>
      </c>
      <c r="C1443" s="116" t="s">
        <v>16</v>
      </c>
      <c r="D1443" s="116">
        <v>0</v>
      </c>
      <c r="E1443" s="136" t="s">
        <v>416</v>
      </c>
      <c r="F1443" s="137" t="str">
        <f t="shared" si="75"/>
        <v/>
      </c>
      <c r="G1443" s="138" t="e">
        <f>IF(A1443&lt;&gt;"",IF(AND(#REF!="Padrão",$H$4=#REF!),BDI!$B$17,IF(AND(#REF!="Padrão",$H$4=#REF!),BDI!#REF!,IF(AND(#REF!="Diferenciado",$H$4=#REF!),BDI!$E$17,IF(AND(#REF!="Diferenciado",$H$4=#REF!),BDI!#REF!,IF(#REF!="ZERO",0))))),"")</f>
        <v>#REF!</v>
      </c>
      <c r="H1443" s="139" t="str">
        <f t="shared" si="76"/>
        <v/>
      </c>
      <c r="I1443" s="137" t="str">
        <f t="shared" si="77"/>
        <v/>
      </c>
      <c r="J1443" s="117"/>
    </row>
    <row r="1444" spans="1:10" hidden="1" x14ac:dyDescent="0.25">
      <c r="A1444" s="114" t="s">
        <v>4228</v>
      </c>
      <c r="B1444" s="115" t="s">
        <v>3374</v>
      </c>
      <c r="C1444" s="116" t="s">
        <v>16</v>
      </c>
      <c r="D1444" s="116">
        <v>0</v>
      </c>
      <c r="E1444" s="136" t="s">
        <v>416</v>
      </c>
      <c r="F1444" s="137" t="str">
        <f t="shared" si="75"/>
        <v/>
      </c>
      <c r="G1444" s="138" t="e">
        <f>IF(A1444&lt;&gt;"",IF(AND(#REF!="Padrão",$H$4=#REF!),BDI!$B$17,IF(AND(#REF!="Padrão",$H$4=#REF!),BDI!#REF!,IF(AND(#REF!="Diferenciado",$H$4=#REF!),BDI!$E$17,IF(AND(#REF!="Diferenciado",$H$4=#REF!),BDI!#REF!,IF(#REF!="ZERO",0))))),"")</f>
        <v>#REF!</v>
      </c>
      <c r="H1444" s="139" t="str">
        <f t="shared" si="76"/>
        <v/>
      </c>
      <c r="I1444" s="137" t="str">
        <f t="shared" si="77"/>
        <v/>
      </c>
      <c r="J1444" s="117"/>
    </row>
    <row r="1445" spans="1:10" hidden="1" x14ac:dyDescent="0.25">
      <c r="A1445" s="114" t="s">
        <v>4229</v>
      </c>
      <c r="B1445" s="115" t="s">
        <v>3375</v>
      </c>
      <c r="C1445" s="116" t="s">
        <v>16</v>
      </c>
      <c r="D1445" s="116">
        <v>0</v>
      </c>
      <c r="E1445" s="136" t="s">
        <v>416</v>
      </c>
      <c r="F1445" s="137" t="str">
        <f t="shared" si="75"/>
        <v/>
      </c>
      <c r="G1445" s="138" t="e">
        <f>IF(A1445&lt;&gt;"",IF(AND(#REF!="Padrão",$H$4=#REF!),BDI!$B$17,IF(AND(#REF!="Padrão",$H$4=#REF!),BDI!#REF!,IF(AND(#REF!="Diferenciado",$H$4=#REF!),BDI!$E$17,IF(AND(#REF!="Diferenciado",$H$4=#REF!),BDI!#REF!,IF(#REF!="ZERO",0))))),"")</f>
        <v>#REF!</v>
      </c>
      <c r="H1445" s="139" t="str">
        <f t="shared" si="76"/>
        <v/>
      </c>
      <c r="I1445" s="137" t="str">
        <f t="shared" si="77"/>
        <v/>
      </c>
      <c r="J1445" s="117"/>
    </row>
    <row r="1446" spans="1:10" hidden="1" x14ac:dyDescent="0.25">
      <c r="A1446" s="114" t="s">
        <v>4230</v>
      </c>
      <c r="B1446" s="115" t="s">
        <v>3376</v>
      </c>
      <c r="C1446" s="116" t="s">
        <v>16</v>
      </c>
      <c r="D1446" s="116">
        <v>0</v>
      </c>
      <c r="E1446" s="136" t="s">
        <v>416</v>
      </c>
      <c r="F1446" s="137" t="str">
        <f t="shared" si="75"/>
        <v/>
      </c>
      <c r="G1446" s="138" t="e">
        <f>IF(A1446&lt;&gt;"",IF(AND(#REF!="Padrão",$H$4=#REF!),BDI!$B$17,IF(AND(#REF!="Padrão",$H$4=#REF!),BDI!#REF!,IF(AND(#REF!="Diferenciado",$H$4=#REF!),BDI!$E$17,IF(AND(#REF!="Diferenciado",$H$4=#REF!),BDI!#REF!,IF(#REF!="ZERO",0))))),"")</f>
        <v>#REF!</v>
      </c>
      <c r="H1446" s="139" t="str">
        <f t="shared" si="76"/>
        <v/>
      </c>
      <c r="I1446" s="137" t="str">
        <f t="shared" si="77"/>
        <v/>
      </c>
      <c r="J1446" s="117"/>
    </row>
    <row r="1447" spans="1:10" hidden="1" x14ac:dyDescent="0.25">
      <c r="A1447" s="114" t="s">
        <v>4231</v>
      </c>
      <c r="B1447" s="115" t="s">
        <v>3377</v>
      </c>
      <c r="C1447" s="116" t="s">
        <v>16</v>
      </c>
      <c r="D1447" s="116">
        <v>0</v>
      </c>
      <c r="E1447" s="136" t="s">
        <v>416</v>
      </c>
      <c r="F1447" s="137" t="str">
        <f t="shared" si="75"/>
        <v/>
      </c>
      <c r="G1447" s="138" t="e">
        <f>IF(A1447&lt;&gt;"",IF(AND(#REF!="Padrão",$H$4=#REF!),BDI!$B$17,IF(AND(#REF!="Padrão",$H$4=#REF!),BDI!#REF!,IF(AND(#REF!="Diferenciado",$H$4=#REF!),BDI!$E$17,IF(AND(#REF!="Diferenciado",$H$4=#REF!),BDI!#REF!,IF(#REF!="ZERO",0))))),"")</f>
        <v>#REF!</v>
      </c>
      <c r="H1447" s="139" t="str">
        <f t="shared" si="76"/>
        <v/>
      </c>
      <c r="I1447" s="137" t="str">
        <f t="shared" si="77"/>
        <v/>
      </c>
      <c r="J1447" s="117"/>
    </row>
    <row r="1448" spans="1:10" hidden="1" x14ac:dyDescent="0.25">
      <c r="A1448" s="114" t="s">
        <v>4232</v>
      </c>
      <c r="B1448" s="115" t="s">
        <v>3378</v>
      </c>
      <c r="C1448" s="116" t="s">
        <v>16</v>
      </c>
      <c r="D1448" s="116">
        <v>0</v>
      </c>
      <c r="E1448" s="136" t="s">
        <v>416</v>
      </c>
      <c r="F1448" s="137" t="str">
        <f t="shared" si="75"/>
        <v/>
      </c>
      <c r="G1448" s="138" t="e">
        <f>IF(A1448&lt;&gt;"",IF(AND(#REF!="Padrão",$H$4=#REF!),BDI!$B$17,IF(AND(#REF!="Padrão",$H$4=#REF!),BDI!#REF!,IF(AND(#REF!="Diferenciado",$H$4=#REF!),BDI!$E$17,IF(AND(#REF!="Diferenciado",$H$4=#REF!),BDI!#REF!,IF(#REF!="ZERO",0))))),"")</f>
        <v>#REF!</v>
      </c>
      <c r="H1448" s="139" t="str">
        <f t="shared" si="76"/>
        <v/>
      </c>
      <c r="I1448" s="137" t="str">
        <f t="shared" si="77"/>
        <v/>
      </c>
      <c r="J1448" s="117"/>
    </row>
    <row r="1449" spans="1:10" hidden="1" x14ac:dyDescent="0.25">
      <c r="A1449" s="114" t="s">
        <v>4233</v>
      </c>
      <c r="B1449" s="115" t="s">
        <v>3379</v>
      </c>
      <c r="C1449" s="116" t="s">
        <v>16</v>
      </c>
      <c r="D1449" s="116">
        <v>0</v>
      </c>
      <c r="E1449" s="136" t="s">
        <v>416</v>
      </c>
      <c r="F1449" s="137" t="str">
        <f t="shared" si="75"/>
        <v/>
      </c>
      <c r="G1449" s="138" t="e">
        <f>IF(A1449&lt;&gt;"",IF(AND(#REF!="Padrão",$H$4=#REF!),BDI!$B$17,IF(AND(#REF!="Padrão",$H$4=#REF!),BDI!#REF!,IF(AND(#REF!="Diferenciado",$H$4=#REF!),BDI!$E$17,IF(AND(#REF!="Diferenciado",$H$4=#REF!),BDI!#REF!,IF(#REF!="ZERO",0))))),"")</f>
        <v>#REF!</v>
      </c>
      <c r="H1449" s="139" t="str">
        <f t="shared" si="76"/>
        <v/>
      </c>
      <c r="I1449" s="137" t="str">
        <f t="shared" si="77"/>
        <v/>
      </c>
      <c r="J1449" s="117"/>
    </row>
    <row r="1450" spans="1:10" hidden="1" x14ac:dyDescent="0.25">
      <c r="A1450" s="114" t="s">
        <v>4234</v>
      </c>
      <c r="B1450" s="115" t="s">
        <v>3380</v>
      </c>
      <c r="C1450" s="116" t="s">
        <v>4171</v>
      </c>
      <c r="D1450" s="116">
        <v>0</v>
      </c>
      <c r="E1450" s="136" t="s">
        <v>416</v>
      </c>
      <c r="F1450" s="137" t="str">
        <f t="shared" si="75"/>
        <v/>
      </c>
      <c r="G1450" s="138" t="e">
        <f>IF(A1450&lt;&gt;"",IF(AND(#REF!="Padrão",$H$4=#REF!),BDI!$B$17,IF(AND(#REF!="Padrão",$H$4=#REF!),BDI!#REF!,IF(AND(#REF!="Diferenciado",$H$4=#REF!),BDI!$E$17,IF(AND(#REF!="Diferenciado",$H$4=#REF!),BDI!#REF!,IF(#REF!="ZERO",0))))),"")</f>
        <v>#REF!</v>
      </c>
      <c r="H1450" s="139" t="str">
        <f t="shared" si="76"/>
        <v/>
      </c>
      <c r="I1450" s="137" t="str">
        <f t="shared" si="77"/>
        <v/>
      </c>
      <c r="J1450" s="117"/>
    </row>
    <row r="1451" spans="1:10" hidden="1" x14ac:dyDescent="0.25">
      <c r="A1451" s="114" t="s">
        <v>4235</v>
      </c>
      <c r="B1451" s="115" t="s">
        <v>7737</v>
      </c>
      <c r="C1451" s="116" t="s">
        <v>69</v>
      </c>
      <c r="D1451" s="116">
        <v>0</v>
      </c>
      <c r="E1451" s="136" t="s">
        <v>416</v>
      </c>
      <c r="F1451" s="137" t="str">
        <f t="shared" si="75"/>
        <v/>
      </c>
      <c r="G1451" s="138" t="e">
        <f>IF(A1451&lt;&gt;"",IF(AND(#REF!="Padrão",$H$4=#REF!),BDI!$B$17,IF(AND(#REF!="Padrão",$H$4=#REF!),BDI!#REF!,IF(AND(#REF!="Diferenciado",$H$4=#REF!),BDI!$E$17,IF(AND(#REF!="Diferenciado",$H$4=#REF!),BDI!#REF!,IF(#REF!="ZERO",0))))),"")</f>
        <v>#REF!</v>
      </c>
      <c r="H1451" s="139" t="str">
        <f t="shared" si="76"/>
        <v/>
      </c>
      <c r="I1451" s="137" t="str">
        <f t="shared" si="77"/>
        <v/>
      </c>
      <c r="J1451" s="117"/>
    </row>
    <row r="1452" spans="1:10" hidden="1" x14ac:dyDescent="0.25">
      <c r="A1452" s="114" t="s">
        <v>4236</v>
      </c>
      <c r="B1452" s="115" t="s">
        <v>7738</v>
      </c>
      <c r="C1452" s="116" t="s">
        <v>69</v>
      </c>
      <c r="D1452" s="116">
        <v>0</v>
      </c>
      <c r="E1452" s="136" t="s">
        <v>416</v>
      </c>
      <c r="F1452" s="137" t="str">
        <f t="shared" si="75"/>
        <v/>
      </c>
      <c r="G1452" s="138" t="e">
        <f>IF(A1452&lt;&gt;"",IF(AND(#REF!="Padrão",$H$4=#REF!),BDI!$B$17,IF(AND(#REF!="Padrão",$H$4=#REF!),BDI!#REF!,IF(AND(#REF!="Diferenciado",$H$4=#REF!),BDI!$E$17,IF(AND(#REF!="Diferenciado",$H$4=#REF!),BDI!#REF!,IF(#REF!="ZERO",0))))),"")</f>
        <v>#REF!</v>
      </c>
      <c r="H1452" s="139" t="str">
        <f t="shared" si="76"/>
        <v/>
      </c>
      <c r="I1452" s="137" t="str">
        <f t="shared" si="77"/>
        <v/>
      </c>
      <c r="J1452" s="117"/>
    </row>
    <row r="1453" spans="1:10" hidden="1" x14ac:dyDescent="0.25">
      <c r="A1453" s="114" t="s">
        <v>4237</v>
      </c>
      <c r="B1453" s="115" t="s">
        <v>7739</v>
      </c>
      <c r="C1453" s="116" t="s">
        <v>69</v>
      </c>
      <c r="D1453" s="116">
        <v>0</v>
      </c>
      <c r="E1453" s="136" t="s">
        <v>416</v>
      </c>
      <c r="F1453" s="137" t="str">
        <f t="shared" ref="F1453:F1516" si="78">IF(ISNUMBER(E1453),D1453*E1453,"")</f>
        <v/>
      </c>
      <c r="G1453" s="138" t="e">
        <f>IF(A1453&lt;&gt;"",IF(AND(#REF!="Padrão",$H$4=#REF!),BDI!$B$17,IF(AND(#REF!="Padrão",$H$4=#REF!),BDI!#REF!,IF(AND(#REF!="Diferenciado",$H$4=#REF!),BDI!$E$17,IF(AND(#REF!="Diferenciado",$H$4=#REF!),BDI!#REF!,IF(#REF!="ZERO",0))))),"")</f>
        <v>#REF!</v>
      </c>
      <c r="H1453" s="139" t="str">
        <f t="shared" ref="H1453:H1516" si="79">IF(ISNUMBER(E1453),ROUND(E1453*(1+G1453),2),"")</f>
        <v/>
      </c>
      <c r="I1453" s="137" t="str">
        <f t="shared" ref="I1453:I1516" si="80">IF(ISNUMBER(E1453),ROUND(H1453*D1453,2),"")</f>
        <v/>
      </c>
      <c r="J1453" s="117"/>
    </row>
    <row r="1454" spans="1:10" hidden="1" x14ac:dyDescent="0.25">
      <c r="A1454" s="114" t="s">
        <v>4238</v>
      </c>
      <c r="B1454" s="115" t="s">
        <v>7740</v>
      </c>
      <c r="C1454" s="116" t="s">
        <v>69</v>
      </c>
      <c r="D1454" s="116">
        <v>0</v>
      </c>
      <c r="E1454" s="136" t="s">
        <v>416</v>
      </c>
      <c r="F1454" s="137" t="str">
        <f t="shared" si="78"/>
        <v/>
      </c>
      <c r="G1454" s="138" t="e">
        <f>IF(A1454&lt;&gt;"",IF(AND(#REF!="Padrão",$H$4=#REF!),BDI!$B$17,IF(AND(#REF!="Padrão",$H$4=#REF!),BDI!#REF!,IF(AND(#REF!="Diferenciado",$H$4=#REF!),BDI!$E$17,IF(AND(#REF!="Diferenciado",$H$4=#REF!),BDI!#REF!,IF(#REF!="ZERO",0))))),"")</f>
        <v>#REF!</v>
      </c>
      <c r="H1454" s="139" t="str">
        <f t="shared" si="79"/>
        <v/>
      </c>
      <c r="I1454" s="137" t="str">
        <f t="shared" si="80"/>
        <v/>
      </c>
      <c r="J1454" s="117"/>
    </row>
    <row r="1455" spans="1:10" hidden="1" x14ac:dyDescent="0.25">
      <c r="A1455" s="114" t="s">
        <v>4239</v>
      </c>
      <c r="B1455" s="115" t="s">
        <v>3381</v>
      </c>
      <c r="C1455" s="116" t="s">
        <v>69</v>
      </c>
      <c r="D1455" s="116">
        <v>0</v>
      </c>
      <c r="E1455" s="136" t="s">
        <v>416</v>
      </c>
      <c r="F1455" s="137" t="str">
        <f t="shared" si="78"/>
        <v/>
      </c>
      <c r="G1455" s="138" t="e">
        <f>IF(A1455&lt;&gt;"",IF(AND(#REF!="Padrão",$H$4=#REF!),BDI!$B$17,IF(AND(#REF!="Padrão",$H$4=#REF!),BDI!#REF!,IF(AND(#REF!="Diferenciado",$H$4=#REF!),BDI!$E$17,IF(AND(#REF!="Diferenciado",$H$4=#REF!),BDI!#REF!,IF(#REF!="ZERO",0))))),"")</f>
        <v>#REF!</v>
      </c>
      <c r="H1455" s="139" t="str">
        <f t="shared" si="79"/>
        <v/>
      </c>
      <c r="I1455" s="137" t="str">
        <f t="shared" si="80"/>
        <v/>
      </c>
      <c r="J1455" s="117"/>
    </row>
    <row r="1456" spans="1:10" hidden="1" x14ac:dyDescent="0.25">
      <c r="A1456" s="114" t="s">
        <v>4240</v>
      </c>
      <c r="B1456" s="115" t="s">
        <v>3382</v>
      </c>
      <c r="C1456" s="116" t="s">
        <v>69</v>
      </c>
      <c r="D1456" s="116">
        <v>0</v>
      </c>
      <c r="E1456" s="136" t="s">
        <v>416</v>
      </c>
      <c r="F1456" s="137" t="str">
        <f t="shared" si="78"/>
        <v/>
      </c>
      <c r="G1456" s="138" t="e">
        <f>IF(A1456&lt;&gt;"",IF(AND(#REF!="Padrão",$H$4=#REF!),BDI!$B$17,IF(AND(#REF!="Padrão",$H$4=#REF!),BDI!#REF!,IF(AND(#REF!="Diferenciado",$H$4=#REF!),BDI!$E$17,IF(AND(#REF!="Diferenciado",$H$4=#REF!),BDI!#REF!,IF(#REF!="ZERO",0))))),"")</f>
        <v>#REF!</v>
      </c>
      <c r="H1456" s="139" t="str">
        <f t="shared" si="79"/>
        <v/>
      </c>
      <c r="I1456" s="137" t="str">
        <f t="shared" si="80"/>
        <v/>
      </c>
      <c r="J1456" s="117"/>
    </row>
    <row r="1457" spans="1:10" hidden="1" x14ac:dyDescent="0.25">
      <c r="A1457" s="114" t="s">
        <v>4241</v>
      </c>
      <c r="B1457" s="115" t="s">
        <v>3383</v>
      </c>
      <c r="C1457" s="116" t="s">
        <v>69</v>
      </c>
      <c r="D1457" s="116">
        <v>0</v>
      </c>
      <c r="E1457" s="136" t="s">
        <v>416</v>
      </c>
      <c r="F1457" s="137" t="str">
        <f t="shared" si="78"/>
        <v/>
      </c>
      <c r="G1457" s="138" t="e">
        <f>IF(A1457&lt;&gt;"",IF(AND(#REF!="Padrão",$H$4=#REF!),BDI!$B$17,IF(AND(#REF!="Padrão",$H$4=#REF!),BDI!#REF!,IF(AND(#REF!="Diferenciado",$H$4=#REF!),BDI!$E$17,IF(AND(#REF!="Diferenciado",$H$4=#REF!),BDI!#REF!,IF(#REF!="ZERO",0))))),"")</f>
        <v>#REF!</v>
      </c>
      <c r="H1457" s="139" t="str">
        <f t="shared" si="79"/>
        <v/>
      </c>
      <c r="I1457" s="137" t="str">
        <f t="shared" si="80"/>
        <v/>
      </c>
      <c r="J1457" s="117"/>
    </row>
    <row r="1458" spans="1:10" hidden="1" x14ac:dyDescent="0.25">
      <c r="A1458" s="114" t="s">
        <v>4242</v>
      </c>
      <c r="B1458" s="115" t="s">
        <v>3384</v>
      </c>
      <c r="C1458" s="116" t="s">
        <v>69</v>
      </c>
      <c r="D1458" s="116">
        <v>0</v>
      </c>
      <c r="E1458" s="136" t="s">
        <v>416</v>
      </c>
      <c r="F1458" s="137" t="str">
        <f t="shared" si="78"/>
        <v/>
      </c>
      <c r="G1458" s="138" t="e">
        <f>IF(A1458&lt;&gt;"",IF(AND(#REF!="Padrão",$H$4=#REF!),BDI!$B$17,IF(AND(#REF!="Padrão",$H$4=#REF!),BDI!#REF!,IF(AND(#REF!="Diferenciado",$H$4=#REF!),BDI!$E$17,IF(AND(#REF!="Diferenciado",$H$4=#REF!),BDI!#REF!,IF(#REF!="ZERO",0))))),"")</f>
        <v>#REF!</v>
      </c>
      <c r="H1458" s="139" t="str">
        <f t="shared" si="79"/>
        <v/>
      </c>
      <c r="I1458" s="137" t="str">
        <f t="shared" si="80"/>
        <v/>
      </c>
      <c r="J1458" s="117"/>
    </row>
    <row r="1459" spans="1:10" hidden="1" x14ac:dyDescent="0.25">
      <c r="A1459" s="114" t="s">
        <v>4243</v>
      </c>
      <c r="B1459" s="115" t="s">
        <v>3385</v>
      </c>
      <c r="C1459" s="116" t="s">
        <v>69</v>
      </c>
      <c r="D1459" s="116">
        <v>0</v>
      </c>
      <c r="E1459" s="136" t="s">
        <v>416</v>
      </c>
      <c r="F1459" s="137" t="str">
        <f t="shared" si="78"/>
        <v/>
      </c>
      <c r="G1459" s="138" t="e">
        <f>IF(A1459&lt;&gt;"",IF(AND(#REF!="Padrão",$H$4=#REF!),BDI!$B$17,IF(AND(#REF!="Padrão",$H$4=#REF!),BDI!#REF!,IF(AND(#REF!="Diferenciado",$H$4=#REF!),BDI!$E$17,IF(AND(#REF!="Diferenciado",$H$4=#REF!),BDI!#REF!,IF(#REF!="ZERO",0))))),"")</f>
        <v>#REF!</v>
      </c>
      <c r="H1459" s="139" t="str">
        <f t="shared" si="79"/>
        <v/>
      </c>
      <c r="I1459" s="137" t="str">
        <f t="shared" si="80"/>
        <v/>
      </c>
      <c r="J1459" s="117"/>
    </row>
    <row r="1460" spans="1:10" hidden="1" x14ac:dyDescent="0.25">
      <c r="A1460" s="114" t="s">
        <v>4244</v>
      </c>
      <c r="B1460" s="115" t="s">
        <v>3386</v>
      </c>
      <c r="C1460" s="116" t="s">
        <v>69</v>
      </c>
      <c r="D1460" s="116">
        <v>0</v>
      </c>
      <c r="E1460" s="136" t="s">
        <v>416</v>
      </c>
      <c r="F1460" s="137" t="str">
        <f t="shared" si="78"/>
        <v/>
      </c>
      <c r="G1460" s="138" t="e">
        <f>IF(A1460&lt;&gt;"",IF(AND(#REF!="Padrão",$H$4=#REF!),BDI!$B$17,IF(AND(#REF!="Padrão",$H$4=#REF!),BDI!#REF!,IF(AND(#REF!="Diferenciado",$H$4=#REF!),BDI!$E$17,IF(AND(#REF!="Diferenciado",$H$4=#REF!),BDI!#REF!,IF(#REF!="ZERO",0))))),"")</f>
        <v>#REF!</v>
      </c>
      <c r="H1460" s="139" t="str">
        <f t="shared" si="79"/>
        <v/>
      </c>
      <c r="I1460" s="137" t="str">
        <f t="shared" si="80"/>
        <v/>
      </c>
      <c r="J1460" s="117"/>
    </row>
    <row r="1461" spans="1:10" hidden="1" x14ac:dyDescent="0.25">
      <c r="A1461" s="114" t="s">
        <v>4245</v>
      </c>
      <c r="B1461" s="115" t="s">
        <v>3387</v>
      </c>
      <c r="C1461" s="116" t="s">
        <v>69</v>
      </c>
      <c r="D1461" s="116">
        <v>0</v>
      </c>
      <c r="E1461" s="136" t="s">
        <v>416</v>
      </c>
      <c r="F1461" s="137" t="str">
        <f t="shared" si="78"/>
        <v/>
      </c>
      <c r="G1461" s="138" t="e">
        <f>IF(A1461&lt;&gt;"",IF(AND(#REF!="Padrão",$H$4=#REF!),BDI!$B$17,IF(AND(#REF!="Padrão",$H$4=#REF!),BDI!#REF!,IF(AND(#REF!="Diferenciado",$H$4=#REF!),BDI!$E$17,IF(AND(#REF!="Diferenciado",$H$4=#REF!),BDI!#REF!,IF(#REF!="ZERO",0))))),"")</f>
        <v>#REF!</v>
      </c>
      <c r="H1461" s="139" t="str">
        <f t="shared" si="79"/>
        <v/>
      </c>
      <c r="I1461" s="137" t="str">
        <f t="shared" si="80"/>
        <v/>
      </c>
      <c r="J1461" s="117"/>
    </row>
    <row r="1462" spans="1:10" hidden="1" x14ac:dyDescent="0.25">
      <c r="A1462" s="114" t="s">
        <v>4246</v>
      </c>
      <c r="B1462" s="115" t="s">
        <v>3388</v>
      </c>
      <c r="C1462" s="116" t="s">
        <v>16</v>
      </c>
      <c r="D1462" s="116">
        <v>0</v>
      </c>
      <c r="E1462" s="136" t="s">
        <v>416</v>
      </c>
      <c r="F1462" s="137" t="str">
        <f t="shared" si="78"/>
        <v/>
      </c>
      <c r="G1462" s="138" t="e">
        <f>IF(A1462&lt;&gt;"",IF(AND(#REF!="Padrão",$H$4=#REF!),BDI!$B$17,IF(AND(#REF!="Padrão",$H$4=#REF!),BDI!#REF!,IF(AND(#REF!="Diferenciado",$H$4=#REF!),BDI!$E$17,IF(AND(#REF!="Diferenciado",$H$4=#REF!),BDI!#REF!,IF(#REF!="ZERO",0))))),"")</f>
        <v>#REF!</v>
      </c>
      <c r="H1462" s="139" t="str">
        <f t="shared" si="79"/>
        <v/>
      </c>
      <c r="I1462" s="137" t="str">
        <f t="shared" si="80"/>
        <v/>
      </c>
      <c r="J1462" s="117"/>
    </row>
    <row r="1463" spans="1:10" hidden="1" x14ac:dyDescent="0.25">
      <c r="A1463" s="114" t="s">
        <v>4247</v>
      </c>
      <c r="B1463" s="115" t="s">
        <v>3389</v>
      </c>
      <c r="C1463" s="116" t="s">
        <v>16</v>
      </c>
      <c r="D1463" s="116">
        <v>0</v>
      </c>
      <c r="E1463" s="136" t="s">
        <v>416</v>
      </c>
      <c r="F1463" s="137" t="str">
        <f t="shared" si="78"/>
        <v/>
      </c>
      <c r="G1463" s="138" t="e">
        <f>IF(A1463&lt;&gt;"",IF(AND(#REF!="Padrão",$H$4=#REF!),BDI!$B$17,IF(AND(#REF!="Padrão",$H$4=#REF!),BDI!#REF!,IF(AND(#REF!="Diferenciado",$H$4=#REF!),BDI!$E$17,IF(AND(#REF!="Diferenciado",$H$4=#REF!),BDI!#REF!,IF(#REF!="ZERO",0))))),"")</f>
        <v>#REF!</v>
      </c>
      <c r="H1463" s="139" t="str">
        <f t="shared" si="79"/>
        <v/>
      </c>
      <c r="I1463" s="137" t="str">
        <f t="shared" si="80"/>
        <v/>
      </c>
      <c r="J1463" s="117"/>
    </row>
    <row r="1464" spans="1:10" hidden="1" x14ac:dyDescent="0.25">
      <c r="A1464" s="114" t="s">
        <v>4248</v>
      </c>
      <c r="B1464" s="115" t="s">
        <v>3390</v>
      </c>
      <c r="C1464" s="116" t="s">
        <v>16</v>
      </c>
      <c r="D1464" s="116">
        <v>0</v>
      </c>
      <c r="E1464" s="136" t="s">
        <v>416</v>
      </c>
      <c r="F1464" s="137" t="str">
        <f t="shared" si="78"/>
        <v/>
      </c>
      <c r="G1464" s="138" t="e">
        <f>IF(A1464&lt;&gt;"",IF(AND(#REF!="Padrão",$H$4=#REF!),BDI!$B$17,IF(AND(#REF!="Padrão",$H$4=#REF!),BDI!#REF!,IF(AND(#REF!="Diferenciado",$H$4=#REF!),BDI!$E$17,IF(AND(#REF!="Diferenciado",$H$4=#REF!),BDI!#REF!,IF(#REF!="ZERO",0))))),"")</f>
        <v>#REF!</v>
      </c>
      <c r="H1464" s="139" t="str">
        <f t="shared" si="79"/>
        <v/>
      </c>
      <c r="I1464" s="137" t="str">
        <f t="shared" si="80"/>
        <v/>
      </c>
      <c r="J1464" s="117"/>
    </row>
    <row r="1465" spans="1:10" hidden="1" x14ac:dyDescent="0.25">
      <c r="A1465" s="114" t="s">
        <v>4249</v>
      </c>
      <c r="B1465" s="115" t="s">
        <v>3391</v>
      </c>
      <c r="C1465" s="116" t="s">
        <v>16</v>
      </c>
      <c r="D1465" s="116">
        <v>0</v>
      </c>
      <c r="E1465" s="136" t="s">
        <v>416</v>
      </c>
      <c r="F1465" s="137" t="str">
        <f t="shared" si="78"/>
        <v/>
      </c>
      <c r="G1465" s="138" t="e">
        <f>IF(A1465&lt;&gt;"",IF(AND(#REF!="Padrão",$H$4=#REF!),BDI!$B$17,IF(AND(#REF!="Padrão",$H$4=#REF!),BDI!#REF!,IF(AND(#REF!="Diferenciado",$H$4=#REF!),BDI!$E$17,IF(AND(#REF!="Diferenciado",$H$4=#REF!),BDI!#REF!,IF(#REF!="ZERO",0))))),"")</f>
        <v>#REF!</v>
      </c>
      <c r="H1465" s="139" t="str">
        <f t="shared" si="79"/>
        <v/>
      </c>
      <c r="I1465" s="137" t="str">
        <f t="shared" si="80"/>
        <v/>
      </c>
      <c r="J1465" s="117"/>
    </row>
    <row r="1466" spans="1:10" hidden="1" x14ac:dyDescent="0.25">
      <c r="A1466" s="114" t="s">
        <v>4250</v>
      </c>
      <c r="B1466" s="115" t="s">
        <v>3392</v>
      </c>
      <c r="C1466" s="116" t="s">
        <v>16</v>
      </c>
      <c r="D1466" s="116">
        <v>0</v>
      </c>
      <c r="E1466" s="136" t="s">
        <v>416</v>
      </c>
      <c r="F1466" s="137" t="str">
        <f t="shared" si="78"/>
        <v/>
      </c>
      <c r="G1466" s="138" t="e">
        <f>IF(A1466&lt;&gt;"",IF(AND(#REF!="Padrão",$H$4=#REF!),BDI!$B$17,IF(AND(#REF!="Padrão",$H$4=#REF!),BDI!#REF!,IF(AND(#REF!="Diferenciado",$H$4=#REF!),BDI!$E$17,IF(AND(#REF!="Diferenciado",$H$4=#REF!),BDI!#REF!,IF(#REF!="ZERO",0))))),"")</f>
        <v>#REF!</v>
      </c>
      <c r="H1466" s="139" t="str">
        <f t="shared" si="79"/>
        <v/>
      </c>
      <c r="I1466" s="137" t="str">
        <f t="shared" si="80"/>
        <v/>
      </c>
      <c r="J1466" s="117"/>
    </row>
    <row r="1467" spans="1:10" hidden="1" x14ac:dyDescent="0.25">
      <c r="A1467" s="114" t="s">
        <v>4251</v>
      </c>
      <c r="B1467" s="115" t="s">
        <v>3393</v>
      </c>
      <c r="C1467" s="116" t="s">
        <v>16</v>
      </c>
      <c r="D1467" s="116">
        <v>0</v>
      </c>
      <c r="E1467" s="136" t="s">
        <v>416</v>
      </c>
      <c r="F1467" s="137" t="str">
        <f t="shared" si="78"/>
        <v/>
      </c>
      <c r="G1467" s="138" t="e">
        <f>IF(A1467&lt;&gt;"",IF(AND(#REF!="Padrão",$H$4=#REF!),BDI!$B$17,IF(AND(#REF!="Padrão",$H$4=#REF!),BDI!#REF!,IF(AND(#REF!="Diferenciado",$H$4=#REF!),BDI!$E$17,IF(AND(#REF!="Diferenciado",$H$4=#REF!),BDI!#REF!,IF(#REF!="ZERO",0))))),"")</f>
        <v>#REF!</v>
      </c>
      <c r="H1467" s="139" t="str">
        <f t="shared" si="79"/>
        <v/>
      </c>
      <c r="I1467" s="137" t="str">
        <f t="shared" si="80"/>
        <v/>
      </c>
      <c r="J1467" s="117"/>
    </row>
    <row r="1468" spans="1:10" hidden="1" x14ac:dyDescent="0.25">
      <c r="A1468" s="114" t="s">
        <v>4252</v>
      </c>
      <c r="B1468" s="115" t="s">
        <v>3394</v>
      </c>
      <c r="C1468" s="116" t="s">
        <v>16</v>
      </c>
      <c r="D1468" s="116">
        <v>0</v>
      </c>
      <c r="E1468" s="136" t="s">
        <v>416</v>
      </c>
      <c r="F1468" s="137" t="str">
        <f t="shared" si="78"/>
        <v/>
      </c>
      <c r="G1468" s="138" t="e">
        <f>IF(A1468&lt;&gt;"",IF(AND(#REF!="Padrão",$H$4=#REF!),BDI!$B$17,IF(AND(#REF!="Padrão",$H$4=#REF!),BDI!#REF!,IF(AND(#REF!="Diferenciado",$H$4=#REF!),BDI!$E$17,IF(AND(#REF!="Diferenciado",$H$4=#REF!),BDI!#REF!,IF(#REF!="ZERO",0))))),"")</f>
        <v>#REF!</v>
      </c>
      <c r="H1468" s="139" t="str">
        <f t="shared" si="79"/>
        <v/>
      </c>
      <c r="I1468" s="137" t="str">
        <f t="shared" si="80"/>
        <v/>
      </c>
      <c r="J1468" s="117"/>
    </row>
    <row r="1469" spans="1:10" hidden="1" x14ac:dyDescent="0.25">
      <c r="A1469" s="114" t="s">
        <v>4253</v>
      </c>
      <c r="B1469" s="115" t="s">
        <v>3395</v>
      </c>
      <c r="C1469" s="116" t="s">
        <v>16</v>
      </c>
      <c r="D1469" s="116">
        <v>0</v>
      </c>
      <c r="E1469" s="136" t="s">
        <v>416</v>
      </c>
      <c r="F1469" s="137" t="str">
        <f t="shared" si="78"/>
        <v/>
      </c>
      <c r="G1469" s="138" t="e">
        <f>IF(A1469&lt;&gt;"",IF(AND(#REF!="Padrão",$H$4=#REF!),BDI!$B$17,IF(AND(#REF!="Padrão",$H$4=#REF!),BDI!#REF!,IF(AND(#REF!="Diferenciado",$H$4=#REF!),BDI!$E$17,IF(AND(#REF!="Diferenciado",$H$4=#REF!),BDI!#REF!,IF(#REF!="ZERO",0))))),"")</f>
        <v>#REF!</v>
      </c>
      <c r="H1469" s="139" t="str">
        <f t="shared" si="79"/>
        <v/>
      </c>
      <c r="I1469" s="137" t="str">
        <f t="shared" si="80"/>
        <v/>
      </c>
      <c r="J1469" s="117"/>
    </row>
    <row r="1470" spans="1:10" hidden="1" x14ac:dyDescent="0.25">
      <c r="A1470" s="114" t="s">
        <v>4254</v>
      </c>
      <c r="B1470" s="115" t="s">
        <v>3396</v>
      </c>
      <c r="C1470" s="116" t="s">
        <v>16</v>
      </c>
      <c r="D1470" s="116">
        <v>0</v>
      </c>
      <c r="E1470" s="136" t="s">
        <v>416</v>
      </c>
      <c r="F1470" s="137" t="str">
        <f t="shared" si="78"/>
        <v/>
      </c>
      <c r="G1470" s="138" t="e">
        <f>IF(A1470&lt;&gt;"",IF(AND(#REF!="Padrão",$H$4=#REF!),BDI!$B$17,IF(AND(#REF!="Padrão",$H$4=#REF!),BDI!#REF!,IF(AND(#REF!="Diferenciado",$H$4=#REF!),BDI!$E$17,IF(AND(#REF!="Diferenciado",$H$4=#REF!),BDI!#REF!,IF(#REF!="ZERO",0))))),"")</f>
        <v>#REF!</v>
      </c>
      <c r="H1470" s="139" t="str">
        <f t="shared" si="79"/>
        <v/>
      </c>
      <c r="I1470" s="137" t="str">
        <f t="shared" si="80"/>
        <v/>
      </c>
      <c r="J1470" s="117"/>
    </row>
    <row r="1471" spans="1:10" hidden="1" x14ac:dyDescent="0.25">
      <c r="A1471" s="114" t="s">
        <v>4255</v>
      </c>
      <c r="B1471" s="115" t="s">
        <v>3397</v>
      </c>
      <c r="C1471" s="116" t="s">
        <v>16</v>
      </c>
      <c r="D1471" s="116">
        <v>0</v>
      </c>
      <c r="E1471" s="136" t="s">
        <v>416</v>
      </c>
      <c r="F1471" s="137" t="str">
        <f t="shared" si="78"/>
        <v/>
      </c>
      <c r="G1471" s="138" t="e">
        <f>IF(A1471&lt;&gt;"",IF(AND(#REF!="Padrão",$H$4=#REF!),BDI!$B$17,IF(AND(#REF!="Padrão",$H$4=#REF!),BDI!#REF!,IF(AND(#REF!="Diferenciado",$H$4=#REF!),BDI!$E$17,IF(AND(#REF!="Diferenciado",$H$4=#REF!),BDI!#REF!,IF(#REF!="ZERO",0))))),"")</f>
        <v>#REF!</v>
      </c>
      <c r="H1471" s="139" t="str">
        <f t="shared" si="79"/>
        <v/>
      </c>
      <c r="I1471" s="137" t="str">
        <f t="shared" si="80"/>
        <v/>
      </c>
      <c r="J1471" s="117"/>
    </row>
    <row r="1472" spans="1:10" hidden="1" x14ac:dyDescent="0.25">
      <c r="A1472" s="114" t="s">
        <v>4256</v>
      </c>
      <c r="B1472" s="115" t="s">
        <v>3398</v>
      </c>
      <c r="C1472" s="116" t="s">
        <v>16</v>
      </c>
      <c r="D1472" s="116">
        <v>0</v>
      </c>
      <c r="E1472" s="136" t="s">
        <v>416</v>
      </c>
      <c r="F1472" s="137" t="str">
        <f t="shared" si="78"/>
        <v/>
      </c>
      <c r="G1472" s="138" t="e">
        <f>IF(A1472&lt;&gt;"",IF(AND(#REF!="Padrão",$H$4=#REF!),BDI!$B$17,IF(AND(#REF!="Padrão",$H$4=#REF!),BDI!#REF!,IF(AND(#REF!="Diferenciado",$H$4=#REF!),BDI!$E$17,IF(AND(#REF!="Diferenciado",$H$4=#REF!),BDI!#REF!,IF(#REF!="ZERO",0))))),"")</f>
        <v>#REF!</v>
      </c>
      <c r="H1472" s="139" t="str">
        <f t="shared" si="79"/>
        <v/>
      </c>
      <c r="I1472" s="137" t="str">
        <f t="shared" si="80"/>
        <v/>
      </c>
      <c r="J1472" s="117"/>
    </row>
    <row r="1473" spans="1:10" hidden="1" x14ac:dyDescent="0.25">
      <c r="A1473" s="114" t="s">
        <v>4257</v>
      </c>
      <c r="B1473" s="115" t="s">
        <v>3399</v>
      </c>
      <c r="C1473" s="116" t="s">
        <v>16</v>
      </c>
      <c r="D1473" s="116">
        <v>0</v>
      </c>
      <c r="E1473" s="136" t="s">
        <v>416</v>
      </c>
      <c r="F1473" s="137" t="str">
        <f t="shared" si="78"/>
        <v/>
      </c>
      <c r="G1473" s="138" t="e">
        <f>IF(A1473&lt;&gt;"",IF(AND(#REF!="Padrão",$H$4=#REF!),BDI!$B$17,IF(AND(#REF!="Padrão",$H$4=#REF!),BDI!#REF!,IF(AND(#REF!="Diferenciado",$H$4=#REF!),BDI!$E$17,IF(AND(#REF!="Diferenciado",$H$4=#REF!),BDI!#REF!,IF(#REF!="ZERO",0))))),"")</f>
        <v>#REF!</v>
      </c>
      <c r="H1473" s="139" t="str">
        <f t="shared" si="79"/>
        <v/>
      </c>
      <c r="I1473" s="137" t="str">
        <f t="shared" si="80"/>
        <v/>
      </c>
      <c r="J1473" s="117"/>
    </row>
    <row r="1474" spans="1:10" hidden="1" x14ac:dyDescent="0.25">
      <c r="A1474" s="114" t="s">
        <v>4258</v>
      </c>
      <c r="B1474" s="115" t="s">
        <v>3400</v>
      </c>
      <c r="C1474" s="116" t="s">
        <v>16</v>
      </c>
      <c r="D1474" s="116">
        <v>0</v>
      </c>
      <c r="E1474" s="136" t="s">
        <v>416</v>
      </c>
      <c r="F1474" s="137" t="str">
        <f t="shared" si="78"/>
        <v/>
      </c>
      <c r="G1474" s="138" t="e">
        <f>IF(A1474&lt;&gt;"",IF(AND(#REF!="Padrão",$H$4=#REF!),BDI!$B$17,IF(AND(#REF!="Padrão",$H$4=#REF!),BDI!#REF!,IF(AND(#REF!="Diferenciado",$H$4=#REF!),BDI!$E$17,IF(AND(#REF!="Diferenciado",$H$4=#REF!),BDI!#REF!,IF(#REF!="ZERO",0))))),"")</f>
        <v>#REF!</v>
      </c>
      <c r="H1474" s="139" t="str">
        <f t="shared" si="79"/>
        <v/>
      </c>
      <c r="I1474" s="137" t="str">
        <f t="shared" si="80"/>
        <v/>
      </c>
      <c r="J1474" s="117"/>
    </row>
    <row r="1475" spans="1:10" hidden="1" x14ac:dyDescent="0.25">
      <c r="A1475" s="114" t="s">
        <v>4259</v>
      </c>
      <c r="B1475" s="115" t="s">
        <v>3401</v>
      </c>
      <c r="C1475" s="116" t="s">
        <v>16</v>
      </c>
      <c r="D1475" s="116">
        <v>0</v>
      </c>
      <c r="E1475" s="136" t="s">
        <v>416</v>
      </c>
      <c r="F1475" s="137" t="str">
        <f t="shared" si="78"/>
        <v/>
      </c>
      <c r="G1475" s="138" t="e">
        <f>IF(A1475&lt;&gt;"",IF(AND(#REF!="Padrão",$H$4=#REF!),BDI!$B$17,IF(AND(#REF!="Padrão",$H$4=#REF!),BDI!#REF!,IF(AND(#REF!="Diferenciado",$H$4=#REF!),BDI!$E$17,IF(AND(#REF!="Diferenciado",$H$4=#REF!),BDI!#REF!,IF(#REF!="ZERO",0))))),"")</f>
        <v>#REF!</v>
      </c>
      <c r="H1475" s="139" t="str">
        <f t="shared" si="79"/>
        <v/>
      </c>
      <c r="I1475" s="137" t="str">
        <f t="shared" si="80"/>
        <v/>
      </c>
      <c r="J1475" s="117"/>
    </row>
    <row r="1476" spans="1:10" hidden="1" x14ac:dyDescent="0.25">
      <c r="A1476" s="114" t="s">
        <v>4260</v>
      </c>
      <c r="B1476" s="115" t="s">
        <v>3402</v>
      </c>
      <c r="C1476" s="116" t="s">
        <v>16</v>
      </c>
      <c r="D1476" s="116">
        <v>0</v>
      </c>
      <c r="E1476" s="136" t="s">
        <v>416</v>
      </c>
      <c r="F1476" s="137" t="str">
        <f t="shared" si="78"/>
        <v/>
      </c>
      <c r="G1476" s="138" t="e">
        <f>IF(A1476&lt;&gt;"",IF(AND(#REF!="Padrão",$H$4=#REF!),BDI!$B$17,IF(AND(#REF!="Padrão",$H$4=#REF!),BDI!#REF!,IF(AND(#REF!="Diferenciado",$H$4=#REF!),BDI!$E$17,IF(AND(#REF!="Diferenciado",$H$4=#REF!),BDI!#REF!,IF(#REF!="ZERO",0))))),"")</f>
        <v>#REF!</v>
      </c>
      <c r="H1476" s="139" t="str">
        <f t="shared" si="79"/>
        <v/>
      </c>
      <c r="I1476" s="137" t="str">
        <f t="shared" si="80"/>
        <v/>
      </c>
      <c r="J1476" s="117"/>
    </row>
    <row r="1477" spans="1:10" hidden="1" x14ac:dyDescent="0.25">
      <c r="A1477" s="114" t="s">
        <v>4261</v>
      </c>
      <c r="B1477" s="115" t="s">
        <v>3403</v>
      </c>
      <c r="C1477" s="116" t="s">
        <v>16</v>
      </c>
      <c r="D1477" s="116">
        <v>0</v>
      </c>
      <c r="E1477" s="136" t="s">
        <v>416</v>
      </c>
      <c r="F1477" s="137" t="str">
        <f t="shared" si="78"/>
        <v/>
      </c>
      <c r="G1477" s="138" t="e">
        <f>IF(A1477&lt;&gt;"",IF(AND(#REF!="Padrão",$H$4=#REF!),BDI!$B$17,IF(AND(#REF!="Padrão",$H$4=#REF!),BDI!#REF!,IF(AND(#REF!="Diferenciado",$H$4=#REF!),BDI!$E$17,IF(AND(#REF!="Diferenciado",$H$4=#REF!),BDI!#REF!,IF(#REF!="ZERO",0))))),"")</f>
        <v>#REF!</v>
      </c>
      <c r="H1477" s="139" t="str">
        <f t="shared" si="79"/>
        <v/>
      </c>
      <c r="I1477" s="137" t="str">
        <f t="shared" si="80"/>
        <v/>
      </c>
      <c r="J1477" s="117"/>
    </row>
    <row r="1478" spans="1:10" hidden="1" x14ac:dyDescent="0.25">
      <c r="A1478" s="114" t="s">
        <v>4262</v>
      </c>
      <c r="B1478" s="115" t="s">
        <v>3404</v>
      </c>
      <c r="C1478" s="116" t="s">
        <v>16</v>
      </c>
      <c r="D1478" s="116">
        <v>0</v>
      </c>
      <c r="E1478" s="136" t="s">
        <v>416</v>
      </c>
      <c r="F1478" s="137" t="str">
        <f t="shared" si="78"/>
        <v/>
      </c>
      <c r="G1478" s="138" t="e">
        <f>IF(A1478&lt;&gt;"",IF(AND(#REF!="Padrão",$H$4=#REF!),BDI!$B$17,IF(AND(#REF!="Padrão",$H$4=#REF!),BDI!#REF!,IF(AND(#REF!="Diferenciado",$H$4=#REF!),BDI!$E$17,IF(AND(#REF!="Diferenciado",$H$4=#REF!),BDI!#REF!,IF(#REF!="ZERO",0))))),"")</f>
        <v>#REF!</v>
      </c>
      <c r="H1478" s="139" t="str">
        <f t="shared" si="79"/>
        <v/>
      </c>
      <c r="I1478" s="137" t="str">
        <f t="shared" si="80"/>
        <v/>
      </c>
      <c r="J1478" s="117"/>
    </row>
    <row r="1479" spans="1:10" hidden="1" x14ac:dyDescent="0.25">
      <c r="A1479" s="114" t="s">
        <v>4263</v>
      </c>
      <c r="B1479" s="115" t="s">
        <v>3405</v>
      </c>
      <c r="C1479" s="116" t="s">
        <v>16</v>
      </c>
      <c r="D1479" s="116">
        <v>0</v>
      </c>
      <c r="E1479" s="136" t="s">
        <v>416</v>
      </c>
      <c r="F1479" s="137" t="str">
        <f t="shared" si="78"/>
        <v/>
      </c>
      <c r="G1479" s="138" t="e">
        <f>IF(A1479&lt;&gt;"",IF(AND(#REF!="Padrão",$H$4=#REF!),BDI!$B$17,IF(AND(#REF!="Padrão",$H$4=#REF!),BDI!#REF!,IF(AND(#REF!="Diferenciado",$H$4=#REF!),BDI!$E$17,IF(AND(#REF!="Diferenciado",$H$4=#REF!),BDI!#REF!,IF(#REF!="ZERO",0))))),"")</f>
        <v>#REF!</v>
      </c>
      <c r="H1479" s="139" t="str">
        <f t="shared" si="79"/>
        <v/>
      </c>
      <c r="I1479" s="137" t="str">
        <f t="shared" si="80"/>
        <v/>
      </c>
      <c r="J1479" s="117"/>
    </row>
    <row r="1480" spans="1:10" hidden="1" x14ac:dyDescent="0.25">
      <c r="A1480" s="114" t="s">
        <v>4264</v>
      </c>
      <c r="B1480" s="115" t="s">
        <v>3406</v>
      </c>
      <c r="C1480" s="116" t="s">
        <v>16</v>
      </c>
      <c r="D1480" s="116">
        <v>0</v>
      </c>
      <c r="E1480" s="136" t="s">
        <v>416</v>
      </c>
      <c r="F1480" s="137" t="str">
        <f t="shared" si="78"/>
        <v/>
      </c>
      <c r="G1480" s="138" t="e">
        <f>IF(A1480&lt;&gt;"",IF(AND(#REF!="Padrão",$H$4=#REF!),BDI!$B$17,IF(AND(#REF!="Padrão",$H$4=#REF!),BDI!#REF!,IF(AND(#REF!="Diferenciado",$H$4=#REF!),BDI!$E$17,IF(AND(#REF!="Diferenciado",$H$4=#REF!),BDI!#REF!,IF(#REF!="ZERO",0))))),"")</f>
        <v>#REF!</v>
      </c>
      <c r="H1480" s="139" t="str">
        <f t="shared" si="79"/>
        <v/>
      </c>
      <c r="I1480" s="137" t="str">
        <f t="shared" si="80"/>
        <v/>
      </c>
      <c r="J1480" s="117"/>
    </row>
    <row r="1481" spans="1:10" hidden="1" x14ac:dyDescent="0.25">
      <c r="A1481" s="114" t="s">
        <v>4265</v>
      </c>
      <c r="B1481" s="115" t="s">
        <v>3407</v>
      </c>
      <c r="C1481" s="116" t="s">
        <v>16</v>
      </c>
      <c r="D1481" s="116">
        <v>0</v>
      </c>
      <c r="E1481" s="136" t="s">
        <v>416</v>
      </c>
      <c r="F1481" s="137" t="str">
        <f t="shared" si="78"/>
        <v/>
      </c>
      <c r="G1481" s="138" t="e">
        <f>IF(A1481&lt;&gt;"",IF(AND(#REF!="Padrão",$H$4=#REF!),BDI!$B$17,IF(AND(#REF!="Padrão",$H$4=#REF!),BDI!#REF!,IF(AND(#REF!="Diferenciado",$H$4=#REF!),BDI!$E$17,IF(AND(#REF!="Diferenciado",$H$4=#REF!),BDI!#REF!,IF(#REF!="ZERO",0))))),"")</f>
        <v>#REF!</v>
      </c>
      <c r="H1481" s="139" t="str">
        <f t="shared" si="79"/>
        <v/>
      </c>
      <c r="I1481" s="137" t="str">
        <f t="shared" si="80"/>
        <v/>
      </c>
      <c r="J1481" s="117"/>
    </row>
    <row r="1482" spans="1:10" hidden="1" x14ac:dyDescent="0.25">
      <c r="A1482" s="114" t="s">
        <v>4266</v>
      </c>
      <c r="B1482" s="115" t="s">
        <v>3408</v>
      </c>
      <c r="C1482" s="116" t="s">
        <v>16</v>
      </c>
      <c r="D1482" s="116">
        <v>0</v>
      </c>
      <c r="E1482" s="136" t="s">
        <v>416</v>
      </c>
      <c r="F1482" s="137" t="str">
        <f t="shared" si="78"/>
        <v/>
      </c>
      <c r="G1482" s="138" t="e">
        <f>IF(A1482&lt;&gt;"",IF(AND(#REF!="Padrão",$H$4=#REF!),BDI!$B$17,IF(AND(#REF!="Padrão",$H$4=#REF!),BDI!#REF!,IF(AND(#REF!="Diferenciado",$H$4=#REF!),BDI!$E$17,IF(AND(#REF!="Diferenciado",$H$4=#REF!),BDI!#REF!,IF(#REF!="ZERO",0))))),"")</f>
        <v>#REF!</v>
      </c>
      <c r="H1482" s="139" t="str">
        <f t="shared" si="79"/>
        <v/>
      </c>
      <c r="I1482" s="137" t="str">
        <f t="shared" si="80"/>
        <v/>
      </c>
      <c r="J1482" s="117"/>
    </row>
    <row r="1483" spans="1:10" hidden="1" x14ac:dyDescent="0.25">
      <c r="A1483" s="114" t="s">
        <v>4267</v>
      </c>
      <c r="B1483" s="115" t="s">
        <v>3409</v>
      </c>
      <c r="C1483" s="116" t="s">
        <v>69</v>
      </c>
      <c r="D1483" s="116">
        <v>0</v>
      </c>
      <c r="E1483" s="136" t="s">
        <v>416</v>
      </c>
      <c r="F1483" s="137" t="str">
        <f t="shared" si="78"/>
        <v/>
      </c>
      <c r="G1483" s="138" t="e">
        <f>IF(A1483&lt;&gt;"",IF(AND(#REF!="Padrão",$H$4=#REF!),BDI!$B$17,IF(AND(#REF!="Padrão",$H$4=#REF!),BDI!#REF!,IF(AND(#REF!="Diferenciado",$H$4=#REF!),BDI!$E$17,IF(AND(#REF!="Diferenciado",$H$4=#REF!),BDI!#REF!,IF(#REF!="ZERO",0))))),"")</f>
        <v>#REF!</v>
      </c>
      <c r="H1483" s="139" t="str">
        <f t="shared" si="79"/>
        <v/>
      </c>
      <c r="I1483" s="137" t="str">
        <f t="shared" si="80"/>
        <v/>
      </c>
      <c r="J1483" s="117"/>
    </row>
    <row r="1484" spans="1:10" hidden="1" x14ac:dyDescent="0.25">
      <c r="A1484" s="114" t="s">
        <v>4268</v>
      </c>
      <c r="B1484" s="115" t="s">
        <v>3410</v>
      </c>
      <c r="C1484" s="116" t="s">
        <v>69</v>
      </c>
      <c r="D1484" s="116">
        <v>0</v>
      </c>
      <c r="E1484" s="136" t="s">
        <v>416</v>
      </c>
      <c r="F1484" s="137" t="str">
        <f t="shared" si="78"/>
        <v/>
      </c>
      <c r="G1484" s="138" t="e">
        <f>IF(A1484&lt;&gt;"",IF(AND(#REF!="Padrão",$H$4=#REF!),BDI!$B$17,IF(AND(#REF!="Padrão",$H$4=#REF!),BDI!#REF!,IF(AND(#REF!="Diferenciado",$H$4=#REF!),BDI!$E$17,IF(AND(#REF!="Diferenciado",$H$4=#REF!),BDI!#REF!,IF(#REF!="ZERO",0))))),"")</f>
        <v>#REF!</v>
      </c>
      <c r="H1484" s="139" t="str">
        <f t="shared" si="79"/>
        <v/>
      </c>
      <c r="I1484" s="137" t="str">
        <f t="shared" si="80"/>
        <v/>
      </c>
      <c r="J1484" s="117"/>
    </row>
    <row r="1485" spans="1:10" hidden="1" x14ac:dyDescent="0.25">
      <c r="A1485" s="114" t="s">
        <v>4269</v>
      </c>
      <c r="B1485" s="115" t="s">
        <v>3411</v>
      </c>
      <c r="C1485" s="116" t="s">
        <v>69</v>
      </c>
      <c r="D1485" s="116">
        <v>0</v>
      </c>
      <c r="E1485" s="136" t="s">
        <v>416</v>
      </c>
      <c r="F1485" s="137" t="str">
        <f t="shared" si="78"/>
        <v/>
      </c>
      <c r="G1485" s="138" t="e">
        <f>IF(A1485&lt;&gt;"",IF(AND(#REF!="Padrão",$H$4=#REF!),BDI!$B$17,IF(AND(#REF!="Padrão",$H$4=#REF!),BDI!#REF!,IF(AND(#REF!="Diferenciado",$H$4=#REF!),BDI!$E$17,IF(AND(#REF!="Diferenciado",$H$4=#REF!),BDI!#REF!,IF(#REF!="ZERO",0))))),"")</f>
        <v>#REF!</v>
      </c>
      <c r="H1485" s="139" t="str">
        <f t="shared" si="79"/>
        <v/>
      </c>
      <c r="I1485" s="137" t="str">
        <f t="shared" si="80"/>
        <v/>
      </c>
      <c r="J1485" s="117"/>
    </row>
    <row r="1486" spans="1:10" hidden="1" x14ac:dyDescent="0.25">
      <c r="A1486" s="114" t="s">
        <v>4270</v>
      </c>
      <c r="B1486" s="115" t="s">
        <v>3412</v>
      </c>
      <c r="C1486" s="116" t="s">
        <v>4171</v>
      </c>
      <c r="D1486" s="116">
        <v>0</v>
      </c>
      <c r="E1486" s="136" t="s">
        <v>416</v>
      </c>
      <c r="F1486" s="137" t="str">
        <f t="shared" si="78"/>
        <v/>
      </c>
      <c r="G1486" s="138" t="e">
        <f>IF(A1486&lt;&gt;"",IF(AND(#REF!="Padrão",$H$4=#REF!),BDI!$B$17,IF(AND(#REF!="Padrão",$H$4=#REF!),BDI!#REF!,IF(AND(#REF!="Diferenciado",$H$4=#REF!),BDI!$E$17,IF(AND(#REF!="Diferenciado",$H$4=#REF!),BDI!#REF!,IF(#REF!="ZERO",0))))),"")</f>
        <v>#REF!</v>
      </c>
      <c r="H1486" s="139" t="str">
        <f t="shared" si="79"/>
        <v/>
      </c>
      <c r="I1486" s="137" t="str">
        <f t="shared" si="80"/>
        <v/>
      </c>
      <c r="J1486" s="117"/>
    </row>
    <row r="1487" spans="1:10" hidden="1" x14ac:dyDescent="0.25">
      <c r="A1487" s="114" t="s">
        <v>4271</v>
      </c>
      <c r="B1487" s="115" t="s">
        <v>3413</v>
      </c>
      <c r="C1487" s="116" t="s">
        <v>16</v>
      </c>
      <c r="D1487" s="116">
        <v>0</v>
      </c>
      <c r="E1487" s="136" t="s">
        <v>416</v>
      </c>
      <c r="F1487" s="137" t="str">
        <f t="shared" si="78"/>
        <v/>
      </c>
      <c r="G1487" s="138" t="e">
        <f>IF(A1487&lt;&gt;"",IF(AND(#REF!="Padrão",$H$4=#REF!),BDI!$B$17,IF(AND(#REF!="Padrão",$H$4=#REF!),BDI!#REF!,IF(AND(#REF!="Diferenciado",$H$4=#REF!),BDI!$E$17,IF(AND(#REF!="Diferenciado",$H$4=#REF!),BDI!#REF!,IF(#REF!="ZERO",0))))),"")</f>
        <v>#REF!</v>
      </c>
      <c r="H1487" s="139" t="str">
        <f t="shared" si="79"/>
        <v/>
      </c>
      <c r="I1487" s="137" t="str">
        <f t="shared" si="80"/>
        <v/>
      </c>
      <c r="J1487" s="117"/>
    </row>
    <row r="1488" spans="1:10" hidden="1" x14ac:dyDescent="0.25">
      <c r="A1488" s="114" t="s">
        <v>4272</v>
      </c>
      <c r="B1488" s="115" t="s">
        <v>3414</v>
      </c>
      <c r="C1488" s="116" t="s">
        <v>16</v>
      </c>
      <c r="D1488" s="116">
        <v>0</v>
      </c>
      <c r="E1488" s="136" t="s">
        <v>416</v>
      </c>
      <c r="F1488" s="137" t="str">
        <f t="shared" si="78"/>
        <v/>
      </c>
      <c r="G1488" s="138" t="e">
        <f>IF(A1488&lt;&gt;"",IF(AND(#REF!="Padrão",$H$4=#REF!),BDI!$B$17,IF(AND(#REF!="Padrão",$H$4=#REF!),BDI!#REF!,IF(AND(#REF!="Diferenciado",$H$4=#REF!),BDI!$E$17,IF(AND(#REF!="Diferenciado",$H$4=#REF!),BDI!#REF!,IF(#REF!="ZERO",0))))),"")</f>
        <v>#REF!</v>
      </c>
      <c r="H1488" s="139" t="str">
        <f t="shared" si="79"/>
        <v/>
      </c>
      <c r="I1488" s="137" t="str">
        <f t="shared" si="80"/>
        <v/>
      </c>
      <c r="J1488" s="117"/>
    </row>
    <row r="1489" spans="1:10" hidden="1" x14ac:dyDescent="0.25">
      <c r="A1489" s="114" t="s">
        <v>4273</v>
      </c>
      <c r="B1489" s="115" t="s">
        <v>3415</v>
      </c>
      <c r="C1489" s="116" t="s">
        <v>16</v>
      </c>
      <c r="D1489" s="116">
        <v>0</v>
      </c>
      <c r="E1489" s="136" t="s">
        <v>416</v>
      </c>
      <c r="F1489" s="137" t="str">
        <f t="shared" si="78"/>
        <v/>
      </c>
      <c r="G1489" s="138" t="e">
        <f>IF(A1489&lt;&gt;"",IF(AND(#REF!="Padrão",$H$4=#REF!),BDI!$B$17,IF(AND(#REF!="Padrão",$H$4=#REF!),BDI!#REF!,IF(AND(#REF!="Diferenciado",$H$4=#REF!),BDI!$E$17,IF(AND(#REF!="Diferenciado",$H$4=#REF!),BDI!#REF!,IF(#REF!="ZERO",0))))),"")</f>
        <v>#REF!</v>
      </c>
      <c r="H1489" s="139" t="str">
        <f t="shared" si="79"/>
        <v/>
      </c>
      <c r="I1489" s="137" t="str">
        <f t="shared" si="80"/>
        <v/>
      </c>
      <c r="J1489" s="117"/>
    </row>
    <row r="1490" spans="1:10" hidden="1" x14ac:dyDescent="0.25">
      <c r="A1490" s="114" t="s">
        <v>4274</v>
      </c>
      <c r="B1490" s="115" t="s">
        <v>3416</v>
      </c>
      <c r="C1490" s="116" t="s">
        <v>16</v>
      </c>
      <c r="D1490" s="116">
        <v>0</v>
      </c>
      <c r="E1490" s="136" t="s">
        <v>416</v>
      </c>
      <c r="F1490" s="137" t="str">
        <f t="shared" si="78"/>
        <v/>
      </c>
      <c r="G1490" s="138" t="e">
        <f>IF(A1490&lt;&gt;"",IF(AND(#REF!="Padrão",$H$4=#REF!),BDI!$B$17,IF(AND(#REF!="Padrão",$H$4=#REF!),BDI!#REF!,IF(AND(#REF!="Diferenciado",$H$4=#REF!),BDI!$E$17,IF(AND(#REF!="Diferenciado",$H$4=#REF!),BDI!#REF!,IF(#REF!="ZERO",0))))),"")</f>
        <v>#REF!</v>
      </c>
      <c r="H1490" s="139" t="str">
        <f t="shared" si="79"/>
        <v/>
      </c>
      <c r="I1490" s="137" t="str">
        <f t="shared" si="80"/>
        <v/>
      </c>
      <c r="J1490" s="117"/>
    </row>
    <row r="1491" spans="1:10" hidden="1" x14ac:dyDescent="0.25">
      <c r="A1491" s="114" t="s">
        <v>4275</v>
      </c>
      <c r="B1491" s="115" t="s">
        <v>3417</v>
      </c>
      <c r="C1491" s="116" t="s">
        <v>70</v>
      </c>
      <c r="D1491" s="116">
        <v>0</v>
      </c>
      <c r="E1491" s="136" t="s">
        <v>416</v>
      </c>
      <c r="F1491" s="137" t="str">
        <f t="shared" si="78"/>
        <v/>
      </c>
      <c r="G1491" s="138" t="e">
        <f>IF(A1491&lt;&gt;"",IF(AND(#REF!="Padrão",$H$4=#REF!),BDI!$B$17,IF(AND(#REF!="Padrão",$H$4=#REF!),BDI!#REF!,IF(AND(#REF!="Diferenciado",$H$4=#REF!),BDI!$E$17,IF(AND(#REF!="Diferenciado",$H$4=#REF!),BDI!#REF!,IF(#REF!="ZERO",0))))),"")</f>
        <v>#REF!</v>
      </c>
      <c r="H1491" s="139" t="str">
        <f t="shared" si="79"/>
        <v/>
      </c>
      <c r="I1491" s="137" t="str">
        <f t="shared" si="80"/>
        <v/>
      </c>
      <c r="J1491" s="117"/>
    </row>
    <row r="1492" spans="1:10" hidden="1" x14ac:dyDescent="0.25">
      <c r="A1492" s="114" t="s">
        <v>4276</v>
      </c>
      <c r="B1492" s="115" t="s">
        <v>3418</v>
      </c>
      <c r="C1492" s="116" t="s">
        <v>70</v>
      </c>
      <c r="D1492" s="116">
        <v>0</v>
      </c>
      <c r="E1492" s="136" t="s">
        <v>416</v>
      </c>
      <c r="F1492" s="137" t="str">
        <f t="shared" si="78"/>
        <v/>
      </c>
      <c r="G1492" s="138" t="e">
        <f>IF(A1492&lt;&gt;"",IF(AND(#REF!="Padrão",$H$4=#REF!),BDI!$B$17,IF(AND(#REF!="Padrão",$H$4=#REF!),BDI!#REF!,IF(AND(#REF!="Diferenciado",$H$4=#REF!),BDI!$E$17,IF(AND(#REF!="Diferenciado",$H$4=#REF!),BDI!#REF!,IF(#REF!="ZERO",0))))),"")</f>
        <v>#REF!</v>
      </c>
      <c r="H1492" s="139" t="str">
        <f t="shared" si="79"/>
        <v/>
      </c>
      <c r="I1492" s="137" t="str">
        <f t="shared" si="80"/>
        <v/>
      </c>
      <c r="J1492" s="117"/>
    </row>
    <row r="1493" spans="1:10" hidden="1" x14ac:dyDescent="0.25">
      <c r="A1493" s="114" t="s">
        <v>4277</v>
      </c>
      <c r="B1493" s="115" t="s">
        <v>3419</v>
      </c>
      <c r="C1493" s="116" t="s">
        <v>28</v>
      </c>
      <c r="D1493" s="116">
        <v>0</v>
      </c>
      <c r="E1493" s="136">
        <f ca="1">OFFSET(INDEX(Composições!A:J,MATCH(Orçamentária!A1493,Composições!A:A,0),8),2,0)</f>
        <v>14.420999999999999</v>
      </c>
      <c r="F1493" s="137">
        <f t="shared" ca="1" si="78"/>
        <v>0</v>
      </c>
      <c r="G1493" s="138" t="e">
        <f>IF(A1493&lt;&gt;"",IF(AND(#REF!="Padrão",$H$4=#REF!),BDI!$B$17,IF(AND(#REF!="Padrão",$H$4=#REF!),BDI!#REF!,IF(AND(#REF!="Diferenciado",$H$4=#REF!),BDI!$E$17,IF(AND(#REF!="Diferenciado",$H$4=#REF!),BDI!#REF!,IF(#REF!="ZERO",0))))),"")</f>
        <v>#REF!</v>
      </c>
      <c r="H1493" s="139" t="e">
        <f t="shared" ca="1" si="79"/>
        <v>#REF!</v>
      </c>
      <c r="I1493" s="137" t="e">
        <f t="shared" ca="1" si="80"/>
        <v>#REF!</v>
      </c>
      <c r="J1493" s="117"/>
    </row>
    <row r="1494" spans="1:10" hidden="1" x14ac:dyDescent="0.25">
      <c r="A1494" s="114" t="s">
        <v>4278</v>
      </c>
      <c r="B1494" s="115" t="s">
        <v>3420</v>
      </c>
      <c r="C1494" s="116" t="s">
        <v>80</v>
      </c>
      <c r="D1494" s="116">
        <v>0</v>
      </c>
      <c r="E1494" s="136" t="s">
        <v>416</v>
      </c>
      <c r="F1494" s="137" t="str">
        <f t="shared" si="78"/>
        <v/>
      </c>
      <c r="G1494" s="138" t="e">
        <f>IF(A1494&lt;&gt;"",IF(AND(#REF!="Padrão",$H$4=#REF!),BDI!$B$17,IF(AND(#REF!="Padrão",$H$4=#REF!),BDI!#REF!,IF(AND(#REF!="Diferenciado",$H$4=#REF!),BDI!$E$17,IF(AND(#REF!="Diferenciado",$H$4=#REF!),BDI!#REF!,IF(#REF!="ZERO",0))))),"")</f>
        <v>#REF!</v>
      </c>
      <c r="H1494" s="139" t="str">
        <f t="shared" si="79"/>
        <v/>
      </c>
      <c r="I1494" s="137" t="str">
        <f t="shared" si="80"/>
        <v/>
      </c>
      <c r="J1494" s="117"/>
    </row>
    <row r="1495" spans="1:10" hidden="1" x14ac:dyDescent="0.25">
      <c r="A1495" s="114" t="s">
        <v>4279</v>
      </c>
      <c r="B1495" s="115" t="s">
        <v>3421</v>
      </c>
      <c r="C1495" s="116" t="s">
        <v>5415</v>
      </c>
      <c r="D1495" s="116">
        <v>0</v>
      </c>
      <c r="E1495" s="136" t="s">
        <v>416</v>
      </c>
      <c r="F1495" s="137" t="str">
        <f t="shared" si="78"/>
        <v/>
      </c>
      <c r="G1495" s="138" t="e">
        <f>IF(A1495&lt;&gt;"",IF(AND(#REF!="Padrão",$H$4=#REF!),BDI!$B$17,IF(AND(#REF!="Padrão",$H$4=#REF!),BDI!#REF!,IF(AND(#REF!="Diferenciado",$H$4=#REF!),BDI!$E$17,IF(AND(#REF!="Diferenciado",$H$4=#REF!),BDI!#REF!,IF(#REF!="ZERO",0))))),"")</f>
        <v>#REF!</v>
      </c>
      <c r="H1495" s="139" t="str">
        <f t="shared" si="79"/>
        <v/>
      </c>
      <c r="I1495" s="137" t="str">
        <f t="shared" si="80"/>
        <v/>
      </c>
      <c r="J1495" s="117"/>
    </row>
    <row r="1496" spans="1:10" hidden="1" x14ac:dyDescent="0.25">
      <c r="A1496" s="114" t="s">
        <v>4280</v>
      </c>
      <c r="B1496" s="115" t="s">
        <v>3422</v>
      </c>
      <c r="C1496" s="116" t="s">
        <v>16</v>
      </c>
      <c r="D1496" s="116">
        <v>0</v>
      </c>
      <c r="E1496" s="136" t="s">
        <v>416</v>
      </c>
      <c r="F1496" s="137" t="str">
        <f t="shared" si="78"/>
        <v/>
      </c>
      <c r="G1496" s="138" t="e">
        <f>IF(A1496&lt;&gt;"",IF(AND(#REF!="Padrão",$H$4=#REF!),BDI!$B$17,IF(AND(#REF!="Padrão",$H$4=#REF!),BDI!#REF!,IF(AND(#REF!="Diferenciado",$H$4=#REF!),BDI!$E$17,IF(AND(#REF!="Diferenciado",$H$4=#REF!),BDI!#REF!,IF(#REF!="ZERO",0))))),"")</f>
        <v>#REF!</v>
      </c>
      <c r="H1496" s="139" t="str">
        <f t="shared" si="79"/>
        <v/>
      </c>
      <c r="I1496" s="137" t="str">
        <f t="shared" si="80"/>
        <v/>
      </c>
      <c r="J1496" s="117"/>
    </row>
    <row r="1497" spans="1:10" hidden="1" x14ac:dyDescent="0.25">
      <c r="A1497" s="114" t="s">
        <v>4281</v>
      </c>
      <c r="B1497" s="115" t="s">
        <v>3423</v>
      </c>
      <c r="C1497" s="116" t="s">
        <v>16</v>
      </c>
      <c r="D1497" s="116">
        <v>0</v>
      </c>
      <c r="E1497" s="136" t="s">
        <v>416</v>
      </c>
      <c r="F1497" s="137" t="str">
        <f t="shared" si="78"/>
        <v/>
      </c>
      <c r="G1497" s="138" t="e">
        <f>IF(A1497&lt;&gt;"",IF(AND(#REF!="Padrão",$H$4=#REF!),BDI!$B$17,IF(AND(#REF!="Padrão",$H$4=#REF!),BDI!#REF!,IF(AND(#REF!="Diferenciado",$H$4=#REF!),BDI!$E$17,IF(AND(#REF!="Diferenciado",$H$4=#REF!),BDI!#REF!,IF(#REF!="ZERO",0))))),"")</f>
        <v>#REF!</v>
      </c>
      <c r="H1497" s="139" t="str">
        <f t="shared" si="79"/>
        <v/>
      </c>
      <c r="I1497" s="137" t="str">
        <f t="shared" si="80"/>
        <v/>
      </c>
      <c r="J1497" s="117"/>
    </row>
    <row r="1498" spans="1:10" hidden="1" x14ac:dyDescent="0.25">
      <c r="A1498" s="114" t="s">
        <v>4282</v>
      </c>
      <c r="B1498" s="115" t="s">
        <v>7741</v>
      </c>
      <c r="C1498" s="116" t="s">
        <v>16</v>
      </c>
      <c r="D1498" s="116">
        <v>0</v>
      </c>
      <c r="E1498" s="136" t="s">
        <v>416</v>
      </c>
      <c r="F1498" s="137" t="str">
        <f t="shared" si="78"/>
        <v/>
      </c>
      <c r="G1498" s="138" t="e">
        <f>IF(A1498&lt;&gt;"",IF(AND(#REF!="Padrão",$H$4=#REF!),BDI!$B$17,IF(AND(#REF!="Padrão",$H$4=#REF!),BDI!#REF!,IF(AND(#REF!="Diferenciado",$H$4=#REF!),BDI!$E$17,IF(AND(#REF!="Diferenciado",$H$4=#REF!),BDI!#REF!,IF(#REF!="ZERO",0))))),"")</f>
        <v>#REF!</v>
      </c>
      <c r="H1498" s="139" t="str">
        <f t="shared" si="79"/>
        <v/>
      </c>
      <c r="I1498" s="137" t="str">
        <f t="shared" si="80"/>
        <v/>
      </c>
      <c r="J1498" s="117"/>
    </row>
    <row r="1499" spans="1:10" hidden="1" x14ac:dyDescent="0.25">
      <c r="A1499" s="114" t="s">
        <v>4283</v>
      </c>
      <c r="B1499" s="115" t="s">
        <v>3424</v>
      </c>
      <c r="C1499" s="116" t="s">
        <v>28</v>
      </c>
      <c r="D1499" s="116">
        <v>0</v>
      </c>
      <c r="E1499" s="136">
        <f ca="1">OFFSET(INDEX(Composições!A:J,MATCH(Orçamentária!A1499,Composições!A:A,0),8),2,0)</f>
        <v>10.069999999999999</v>
      </c>
      <c r="F1499" s="137">
        <f t="shared" ca="1" si="78"/>
        <v>0</v>
      </c>
      <c r="G1499" s="138" t="e">
        <f>IF(A1499&lt;&gt;"",IF(AND(#REF!="Padrão",$H$4=#REF!),BDI!$B$17,IF(AND(#REF!="Padrão",$H$4=#REF!),BDI!#REF!,IF(AND(#REF!="Diferenciado",$H$4=#REF!),BDI!$E$17,IF(AND(#REF!="Diferenciado",$H$4=#REF!),BDI!#REF!,IF(#REF!="ZERO",0))))),"")</f>
        <v>#REF!</v>
      </c>
      <c r="H1499" s="139" t="e">
        <f t="shared" ca="1" si="79"/>
        <v>#REF!</v>
      </c>
      <c r="I1499" s="137" t="e">
        <f t="shared" ca="1" si="80"/>
        <v>#REF!</v>
      </c>
      <c r="J1499" s="117"/>
    </row>
    <row r="1500" spans="1:10" hidden="1" x14ac:dyDescent="0.25">
      <c r="A1500" s="114" t="s">
        <v>4284</v>
      </c>
      <c r="B1500" s="115" t="s">
        <v>3425</v>
      </c>
      <c r="C1500" s="116" t="s">
        <v>16</v>
      </c>
      <c r="D1500" s="116">
        <v>0</v>
      </c>
      <c r="E1500" s="136" t="s">
        <v>416</v>
      </c>
      <c r="F1500" s="137" t="str">
        <f t="shared" si="78"/>
        <v/>
      </c>
      <c r="G1500" s="138" t="e">
        <f>IF(A1500&lt;&gt;"",IF(AND(#REF!="Padrão",$H$4=#REF!),BDI!$B$17,IF(AND(#REF!="Padrão",$H$4=#REF!),BDI!#REF!,IF(AND(#REF!="Diferenciado",$H$4=#REF!),BDI!$E$17,IF(AND(#REF!="Diferenciado",$H$4=#REF!),BDI!#REF!,IF(#REF!="ZERO",0))))),"")</f>
        <v>#REF!</v>
      </c>
      <c r="H1500" s="139" t="str">
        <f t="shared" si="79"/>
        <v/>
      </c>
      <c r="I1500" s="137" t="str">
        <f t="shared" si="80"/>
        <v/>
      </c>
      <c r="J1500" s="117"/>
    </row>
    <row r="1501" spans="1:10" hidden="1" x14ac:dyDescent="0.25">
      <c r="A1501" s="114" t="s">
        <v>4285</v>
      </c>
      <c r="B1501" s="115" t="s">
        <v>3426</v>
      </c>
      <c r="C1501" s="116" t="s">
        <v>16</v>
      </c>
      <c r="D1501" s="116">
        <v>0</v>
      </c>
      <c r="E1501" s="136" t="s">
        <v>416</v>
      </c>
      <c r="F1501" s="137" t="str">
        <f t="shared" si="78"/>
        <v/>
      </c>
      <c r="G1501" s="138" t="e">
        <f>IF(A1501&lt;&gt;"",IF(AND(#REF!="Padrão",$H$4=#REF!),BDI!$B$17,IF(AND(#REF!="Padrão",$H$4=#REF!),BDI!#REF!,IF(AND(#REF!="Diferenciado",$H$4=#REF!),BDI!$E$17,IF(AND(#REF!="Diferenciado",$H$4=#REF!),BDI!#REF!,IF(#REF!="ZERO",0))))),"")</f>
        <v>#REF!</v>
      </c>
      <c r="H1501" s="139" t="str">
        <f t="shared" si="79"/>
        <v/>
      </c>
      <c r="I1501" s="137" t="str">
        <f t="shared" si="80"/>
        <v/>
      </c>
      <c r="J1501" s="117"/>
    </row>
    <row r="1502" spans="1:10" hidden="1" x14ac:dyDescent="0.25">
      <c r="A1502" s="114" t="s">
        <v>4286</v>
      </c>
      <c r="B1502" s="115" t="s">
        <v>3427</v>
      </c>
      <c r="C1502" s="116" t="s">
        <v>16</v>
      </c>
      <c r="D1502" s="116">
        <v>0</v>
      </c>
      <c r="E1502" s="136" t="s">
        <v>416</v>
      </c>
      <c r="F1502" s="137" t="str">
        <f t="shared" si="78"/>
        <v/>
      </c>
      <c r="G1502" s="138" t="e">
        <f>IF(A1502&lt;&gt;"",IF(AND(#REF!="Padrão",$H$4=#REF!),BDI!$B$17,IF(AND(#REF!="Padrão",$H$4=#REF!),BDI!#REF!,IF(AND(#REF!="Diferenciado",$H$4=#REF!),BDI!$E$17,IF(AND(#REF!="Diferenciado",$H$4=#REF!),BDI!#REF!,IF(#REF!="ZERO",0))))),"")</f>
        <v>#REF!</v>
      </c>
      <c r="H1502" s="139" t="str">
        <f t="shared" si="79"/>
        <v/>
      </c>
      <c r="I1502" s="137" t="str">
        <f t="shared" si="80"/>
        <v/>
      </c>
      <c r="J1502" s="117"/>
    </row>
    <row r="1503" spans="1:10" hidden="1" x14ac:dyDescent="0.25">
      <c r="A1503" s="114" t="s">
        <v>4287</v>
      </c>
      <c r="B1503" s="115" t="s">
        <v>3428</v>
      </c>
      <c r="C1503" s="116" t="s">
        <v>16</v>
      </c>
      <c r="D1503" s="116">
        <v>0</v>
      </c>
      <c r="E1503" s="136" t="s">
        <v>416</v>
      </c>
      <c r="F1503" s="137" t="str">
        <f t="shared" si="78"/>
        <v/>
      </c>
      <c r="G1503" s="138" t="e">
        <f>IF(A1503&lt;&gt;"",IF(AND(#REF!="Padrão",$H$4=#REF!),BDI!$B$17,IF(AND(#REF!="Padrão",$H$4=#REF!),BDI!#REF!,IF(AND(#REF!="Diferenciado",$H$4=#REF!),BDI!$E$17,IF(AND(#REF!="Diferenciado",$H$4=#REF!),BDI!#REF!,IF(#REF!="ZERO",0))))),"")</f>
        <v>#REF!</v>
      </c>
      <c r="H1503" s="139" t="str">
        <f t="shared" si="79"/>
        <v/>
      </c>
      <c r="I1503" s="137" t="str">
        <f t="shared" si="80"/>
        <v/>
      </c>
      <c r="J1503" s="117"/>
    </row>
    <row r="1504" spans="1:10" hidden="1" x14ac:dyDescent="0.25">
      <c r="A1504" s="114" t="s">
        <v>4288</v>
      </c>
      <c r="B1504" s="115" t="s">
        <v>3429</v>
      </c>
      <c r="C1504" s="116" t="s">
        <v>16</v>
      </c>
      <c r="D1504" s="116">
        <v>0</v>
      </c>
      <c r="E1504" s="136" t="s">
        <v>416</v>
      </c>
      <c r="F1504" s="137" t="str">
        <f t="shared" si="78"/>
        <v/>
      </c>
      <c r="G1504" s="138" t="e">
        <f>IF(A1504&lt;&gt;"",IF(AND(#REF!="Padrão",$H$4=#REF!),BDI!$B$17,IF(AND(#REF!="Padrão",$H$4=#REF!),BDI!#REF!,IF(AND(#REF!="Diferenciado",$H$4=#REF!),BDI!$E$17,IF(AND(#REF!="Diferenciado",$H$4=#REF!),BDI!#REF!,IF(#REF!="ZERO",0))))),"")</f>
        <v>#REF!</v>
      </c>
      <c r="H1504" s="139" t="str">
        <f t="shared" si="79"/>
        <v/>
      </c>
      <c r="I1504" s="137" t="str">
        <f t="shared" si="80"/>
        <v/>
      </c>
      <c r="J1504" s="117"/>
    </row>
    <row r="1505" spans="1:10" hidden="1" x14ac:dyDescent="0.25">
      <c r="A1505" s="114" t="s">
        <v>4289</v>
      </c>
      <c r="B1505" s="115" t="s">
        <v>3430</v>
      </c>
      <c r="C1505" s="116" t="s">
        <v>16</v>
      </c>
      <c r="D1505" s="116">
        <v>0</v>
      </c>
      <c r="E1505" s="136" t="s">
        <v>416</v>
      </c>
      <c r="F1505" s="137" t="str">
        <f t="shared" si="78"/>
        <v/>
      </c>
      <c r="G1505" s="138" t="e">
        <f>IF(A1505&lt;&gt;"",IF(AND(#REF!="Padrão",$H$4=#REF!),BDI!$B$17,IF(AND(#REF!="Padrão",$H$4=#REF!),BDI!#REF!,IF(AND(#REF!="Diferenciado",$H$4=#REF!),BDI!$E$17,IF(AND(#REF!="Diferenciado",$H$4=#REF!),BDI!#REF!,IF(#REF!="ZERO",0))))),"")</f>
        <v>#REF!</v>
      </c>
      <c r="H1505" s="139" t="str">
        <f t="shared" si="79"/>
        <v/>
      </c>
      <c r="I1505" s="137" t="str">
        <f t="shared" si="80"/>
        <v/>
      </c>
      <c r="J1505" s="117"/>
    </row>
    <row r="1506" spans="1:10" hidden="1" x14ac:dyDescent="0.25">
      <c r="A1506" s="114" t="s">
        <v>4290</v>
      </c>
      <c r="B1506" s="115" t="s">
        <v>3431</v>
      </c>
      <c r="C1506" s="116" t="s">
        <v>16</v>
      </c>
      <c r="D1506" s="116">
        <v>0</v>
      </c>
      <c r="E1506" s="136" t="s">
        <v>416</v>
      </c>
      <c r="F1506" s="137" t="str">
        <f t="shared" si="78"/>
        <v/>
      </c>
      <c r="G1506" s="138" t="e">
        <f>IF(A1506&lt;&gt;"",IF(AND(#REF!="Padrão",$H$4=#REF!),BDI!$B$17,IF(AND(#REF!="Padrão",$H$4=#REF!),BDI!#REF!,IF(AND(#REF!="Diferenciado",$H$4=#REF!),BDI!$E$17,IF(AND(#REF!="Diferenciado",$H$4=#REF!),BDI!#REF!,IF(#REF!="ZERO",0))))),"")</f>
        <v>#REF!</v>
      </c>
      <c r="H1506" s="139" t="str">
        <f t="shared" si="79"/>
        <v/>
      </c>
      <c r="I1506" s="137" t="str">
        <f t="shared" si="80"/>
        <v/>
      </c>
      <c r="J1506" s="117"/>
    </row>
    <row r="1507" spans="1:10" hidden="1" x14ac:dyDescent="0.25">
      <c r="A1507" s="114" t="s">
        <v>4291</v>
      </c>
      <c r="B1507" s="115" t="s">
        <v>7742</v>
      </c>
      <c r="C1507" s="116" t="s">
        <v>69</v>
      </c>
      <c r="D1507" s="116">
        <v>0</v>
      </c>
      <c r="E1507" s="136" t="s">
        <v>416</v>
      </c>
      <c r="F1507" s="137" t="str">
        <f t="shared" si="78"/>
        <v/>
      </c>
      <c r="G1507" s="138" t="e">
        <f>IF(A1507&lt;&gt;"",IF(AND(#REF!="Padrão",$H$4=#REF!),BDI!$B$17,IF(AND(#REF!="Padrão",$H$4=#REF!),BDI!#REF!,IF(AND(#REF!="Diferenciado",$H$4=#REF!),BDI!$E$17,IF(AND(#REF!="Diferenciado",$H$4=#REF!),BDI!#REF!,IF(#REF!="ZERO",0))))),"")</f>
        <v>#REF!</v>
      </c>
      <c r="H1507" s="139" t="str">
        <f t="shared" si="79"/>
        <v/>
      </c>
      <c r="I1507" s="137" t="str">
        <f t="shared" si="80"/>
        <v/>
      </c>
      <c r="J1507" s="117"/>
    </row>
    <row r="1508" spans="1:10" hidden="1" x14ac:dyDescent="0.25">
      <c r="A1508" s="114" t="s">
        <v>4292</v>
      </c>
      <c r="B1508" s="115" t="s">
        <v>7743</v>
      </c>
      <c r="C1508" s="116" t="s">
        <v>16</v>
      </c>
      <c r="D1508" s="116">
        <v>0</v>
      </c>
      <c r="E1508" s="136" t="s">
        <v>416</v>
      </c>
      <c r="F1508" s="137" t="str">
        <f t="shared" si="78"/>
        <v/>
      </c>
      <c r="G1508" s="138" t="e">
        <f>IF(A1508&lt;&gt;"",IF(AND(#REF!="Padrão",$H$4=#REF!),BDI!$B$17,IF(AND(#REF!="Padrão",$H$4=#REF!),BDI!#REF!,IF(AND(#REF!="Diferenciado",$H$4=#REF!),BDI!$E$17,IF(AND(#REF!="Diferenciado",$H$4=#REF!),BDI!#REF!,IF(#REF!="ZERO",0))))),"")</f>
        <v>#REF!</v>
      </c>
      <c r="H1508" s="139" t="str">
        <f t="shared" si="79"/>
        <v/>
      </c>
      <c r="I1508" s="137" t="str">
        <f t="shared" si="80"/>
        <v/>
      </c>
      <c r="J1508" s="117"/>
    </row>
    <row r="1509" spans="1:10" hidden="1" x14ac:dyDescent="0.25">
      <c r="A1509" s="114" t="s">
        <v>4293</v>
      </c>
      <c r="B1509" s="115" t="s">
        <v>3432</v>
      </c>
      <c r="C1509" s="116" t="s">
        <v>16</v>
      </c>
      <c r="D1509" s="116">
        <v>0</v>
      </c>
      <c r="E1509" s="136" t="s">
        <v>416</v>
      </c>
      <c r="F1509" s="137" t="str">
        <f t="shared" si="78"/>
        <v/>
      </c>
      <c r="G1509" s="138" t="e">
        <f>IF(A1509&lt;&gt;"",IF(AND(#REF!="Padrão",$H$4=#REF!),BDI!$B$17,IF(AND(#REF!="Padrão",$H$4=#REF!),BDI!#REF!,IF(AND(#REF!="Diferenciado",$H$4=#REF!),BDI!$E$17,IF(AND(#REF!="Diferenciado",$H$4=#REF!),BDI!#REF!,IF(#REF!="ZERO",0))))),"")</f>
        <v>#REF!</v>
      </c>
      <c r="H1509" s="139" t="str">
        <f t="shared" si="79"/>
        <v/>
      </c>
      <c r="I1509" s="137" t="str">
        <f t="shared" si="80"/>
        <v/>
      </c>
      <c r="J1509" s="117"/>
    </row>
    <row r="1510" spans="1:10" hidden="1" x14ac:dyDescent="0.25">
      <c r="A1510" s="114" t="s">
        <v>4294</v>
      </c>
      <c r="B1510" s="115" t="s">
        <v>7744</v>
      </c>
      <c r="C1510" s="116" t="s">
        <v>16</v>
      </c>
      <c r="D1510" s="116">
        <v>0</v>
      </c>
      <c r="E1510" s="136" t="s">
        <v>416</v>
      </c>
      <c r="F1510" s="137" t="str">
        <f t="shared" si="78"/>
        <v/>
      </c>
      <c r="G1510" s="138" t="e">
        <f>IF(A1510&lt;&gt;"",IF(AND(#REF!="Padrão",$H$4=#REF!),BDI!$B$17,IF(AND(#REF!="Padrão",$H$4=#REF!),BDI!#REF!,IF(AND(#REF!="Diferenciado",$H$4=#REF!),BDI!$E$17,IF(AND(#REF!="Diferenciado",$H$4=#REF!),BDI!#REF!,IF(#REF!="ZERO",0))))),"")</f>
        <v>#REF!</v>
      </c>
      <c r="H1510" s="139" t="str">
        <f t="shared" si="79"/>
        <v/>
      </c>
      <c r="I1510" s="137" t="str">
        <f t="shared" si="80"/>
        <v/>
      </c>
      <c r="J1510" s="117"/>
    </row>
    <row r="1511" spans="1:10" hidden="1" x14ac:dyDescent="0.25">
      <c r="A1511" s="114" t="s">
        <v>4295</v>
      </c>
      <c r="B1511" s="115" t="s">
        <v>7745</v>
      </c>
      <c r="C1511" s="116" t="s">
        <v>16</v>
      </c>
      <c r="D1511" s="116">
        <v>0</v>
      </c>
      <c r="E1511" s="136" t="s">
        <v>416</v>
      </c>
      <c r="F1511" s="137" t="str">
        <f t="shared" si="78"/>
        <v/>
      </c>
      <c r="G1511" s="138" t="e">
        <f>IF(A1511&lt;&gt;"",IF(AND(#REF!="Padrão",$H$4=#REF!),BDI!$B$17,IF(AND(#REF!="Padrão",$H$4=#REF!),BDI!#REF!,IF(AND(#REF!="Diferenciado",$H$4=#REF!),BDI!$E$17,IF(AND(#REF!="Diferenciado",$H$4=#REF!),BDI!#REF!,IF(#REF!="ZERO",0))))),"")</f>
        <v>#REF!</v>
      </c>
      <c r="H1511" s="139" t="str">
        <f t="shared" si="79"/>
        <v/>
      </c>
      <c r="I1511" s="137" t="str">
        <f t="shared" si="80"/>
        <v/>
      </c>
      <c r="J1511" s="117"/>
    </row>
    <row r="1512" spans="1:10" hidden="1" x14ac:dyDescent="0.25">
      <c r="A1512" s="114" t="s">
        <v>4296</v>
      </c>
      <c r="B1512" s="115" t="s">
        <v>7746</v>
      </c>
      <c r="C1512" s="116" t="s">
        <v>16</v>
      </c>
      <c r="D1512" s="116">
        <v>0</v>
      </c>
      <c r="E1512" s="136" t="s">
        <v>416</v>
      </c>
      <c r="F1512" s="137" t="str">
        <f t="shared" si="78"/>
        <v/>
      </c>
      <c r="G1512" s="138" t="e">
        <f>IF(A1512&lt;&gt;"",IF(AND(#REF!="Padrão",$H$4=#REF!),BDI!$B$17,IF(AND(#REF!="Padrão",$H$4=#REF!),BDI!#REF!,IF(AND(#REF!="Diferenciado",$H$4=#REF!),BDI!$E$17,IF(AND(#REF!="Diferenciado",$H$4=#REF!),BDI!#REF!,IF(#REF!="ZERO",0))))),"")</f>
        <v>#REF!</v>
      </c>
      <c r="H1512" s="139" t="str">
        <f t="shared" si="79"/>
        <v/>
      </c>
      <c r="I1512" s="137" t="str">
        <f t="shared" si="80"/>
        <v/>
      </c>
      <c r="J1512" s="117"/>
    </row>
    <row r="1513" spans="1:10" hidden="1" x14ac:dyDescent="0.25">
      <c r="A1513" s="114" t="s">
        <v>4297</v>
      </c>
      <c r="B1513" s="115" t="s">
        <v>7747</v>
      </c>
      <c r="C1513" s="116" t="s">
        <v>69</v>
      </c>
      <c r="D1513" s="116">
        <v>0</v>
      </c>
      <c r="E1513" s="136" t="s">
        <v>416</v>
      </c>
      <c r="F1513" s="137" t="str">
        <f t="shared" si="78"/>
        <v/>
      </c>
      <c r="G1513" s="138" t="e">
        <f>IF(A1513&lt;&gt;"",IF(AND(#REF!="Padrão",$H$4=#REF!),BDI!$B$17,IF(AND(#REF!="Padrão",$H$4=#REF!),BDI!#REF!,IF(AND(#REF!="Diferenciado",$H$4=#REF!),BDI!$E$17,IF(AND(#REF!="Diferenciado",$H$4=#REF!),BDI!#REF!,IF(#REF!="ZERO",0))))),"")</f>
        <v>#REF!</v>
      </c>
      <c r="H1513" s="139" t="str">
        <f t="shared" si="79"/>
        <v/>
      </c>
      <c r="I1513" s="137" t="str">
        <f t="shared" si="80"/>
        <v/>
      </c>
      <c r="J1513" s="117"/>
    </row>
    <row r="1514" spans="1:10" hidden="1" x14ac:dyDescent="0.25">
      <c r="A1514" s="114" t="s">
        <v>4298</v>
      </c>
      <c r="B1514" s="115" t="s">
        <v>7748</v>
      </c>
      <c r="C1514" s="116" t="s">
        <v>16</v>
      </c>
      <c r="D1514" s="116">
        <v>0</v>
      </c>
      <c r="E1514" s="136" t="s">
        <v>416</v>
      </c>
      <c r="F1514" s="137" t="str">
        <f t="shared" si="78"/>
        <v/>
      </c>
      <c r="G1514" s="138" t="e">
        <f>IF(A1514&lt;&gt;"",IF(AND(#REF!="Padrão",$H$4=#REF!),BDI!$B$17,IF(AND(#REF!="Padrão",$H$4=#REF!),BDI!#REF!,IF(AND(#REF!="Diferenciado",$H$4=#REF!),BDI!$E$17,IF(AND(#REF!="Diferenciado",$H$4=#REF!),BDI!#REF!,IF(#REF!="ZERO",0))))),"")</f>
        <v>#REF!</v>
      </c>
      <c r="H1514" s="139" t="str">
        <f t="shared" si="79"/>
        <v/>
      </c>
      <c r="I1514" s="137" t="str">
        <f t="shared" si="80"/>
        <v/>
      </c>
      <c r="J1514" s="117"/>
    </row>
    <row r="1515" spans="1:10" hidden="1" x14ac:dyDescent="0.25">
      <c r="A1515" s="114" t="s">
        <v>4299</v>
      </c>
      <c r="B1515" s="115" t="s">
        <v>7749</v>
      </c>
      <c r="C1515" s="116" t="s">
        <v>16</v>
      </c>
      <c r="D1515" s="116">
        <v>0</v>
      </c>
      <c r="E1515" s="136" t="s">
        <v>416</v>
      </c>
      <c r="F1515" s="137" t="str">
        <f t="shared" si="78"/>
        <v/>
      </c>
      <c r="G1515" s="138" t="e">
        <f>IF(A1515&lt;&gt;"",IF(AND(#REF!="Padrão",$H$4=#REF!),BDI!$B$17,IF(AND(#REF!="Padrão",$H$4=#REF!),BDI!#REF!,IF(AND(#REF!="Diferenciado",$H$4=#REF!),BDI!$E$17,IF(AND(#REF!="Diferenciado",$H$4=#REF!),BDI!#REF!,IF(#REF!="ZERO",0))))),"")</f>
        <v>#REF!</v>
      </c>
      <c r="H1515" s="139" t="str">
        <f t="shared" si="79"/>
        <v/>
      </c>
      <c r="I1515" s="137" t="str">
        <f t="shared" si="80"/>
        <v/>
      </c>
      <c r="J1515" s="117"/>
    </row>
    <row r="1516" spans="1:10" hidden="1" x14ac:dyDescent="0.25">
      <c r="A1516" s="114" t="s">
        <v>4300</v>
      </c>
      <c r="B1516" s="115" t="s">
        <v>7750</v>
      </c>
      <c r="C1516" s="116" t="s">
        <v>16</v>
      </c>
      <c r="D1516" s="116">
        <v>0</v>
      </c>
      <c r="E1516" s="136" t="s">
        <v>416</v>
      </c>
      <c r="F1516" s="137" t="str">
        <f t="shared" si="78"/>
        <v/>
      </c>
      <c r="G1516" s="138" t="e">
        <f>IF(A1516&lt;&gt;"",IF(AND(#REF!="Padrão",$H$4=#REF!),BDI!$B$17,IF(AND(#REF!="Padrão",$H$4=#REF!),BDI!#REF!,IF(AND(#REF!="Diferenciado",$H$4=#REF!),BDI!$E$17,IF(AND(#REF!="Diferenciado",$H$4=#REF!),BDI!#REF!,IF(#REF!="ZERO",0))))),"")</f>
        <v>#REF!</v>
      </c>
      <c r="H1516" s="139" t="str">
        <f t="shared" si="79"/>
        <v/>
      </c>
      <c r="I1516" s="137" t="str">
        <f t="shared" si="80"/>
        <v/>
      </c>
      <c r="J1516" s="117"/>
    </row>
    <row r="1517" spans="1:10" hidden="1" x14ac:dyDescent="0.25">
      <c r="A1517" s="114" t="s">
        <v>4301</v>
      </c>
      <c r="B1517" s="115" t="s">
        <v>7751</v>
      </c>
      <c r="C1517" s="116" t="s">
        <v>69</v>
      </c>
      <c r="D1517" s="116">
        <v>0</v>
      </c>
      <c r="E1517" s="136" t="s">
        <v>416</v>
      </c>
      <c r="F1517" s="137" t="str">
        <f t="shared" ref="F1517:F1580" si="81">IF(ISNUMBER(E1517),D1517*E1517,"")</f>
        <v/>
      </c>
      <c r="G1517" s="138" t="e">
        <f>IF(A1517&lt;&gt;"",IF(AND(#REF!="Padrão",$H$4=#REF!),BDI!$B$17,IF(AND(#REF!="Padrão",$H$4=#REF!),BDI!#REF!,IF(AND(#REF!="Diferenciado",$H$4=#REF!),BDI!$E$17,IF(AND(#REF!="Diferenciado",$H$4=#REF!),BDI!#REF!,IF(#REF!="ZERO",0))))),"")</f>
        <v>#REF!</v>
      </c>
      <c r="H1517" s="139" t="str">
        <f t="shared" ref="H1517:H1580" si="82">IF(ISNUMBER(E1517),ROUND(E1517*(1+G1517),2),"")</f>
        <v/>
      </c>
      <c r="I1517" s="137" t="str">
        <f t="shared" ref="I1517:I1580" si="83">IF(ISNUMBER(E1517),ROUND(H1517*D1517,2),"")</f>
        <v/>
      </c>
      <c r="J1517" s="117"/>
    </row>
    <row r="1518" spans="1:10" hidden="1" x14ac:dyDescent="0.25">
      <c r="A1518" s="114" t="s">
        <v>4302</v>
      </c>
      <c r="B1518" s="115" t="s">
        <v>7752</v>
      </c>
      <c r="C1518" s="116" t="s">
        <v>16</v>
      </c>
      <c r="D1518" s="116">
        <v>0</v>
      </c>
      <c r="E1518" s="136" t="s">
        <v>416</v>
      </c>
      <c r="F1518" s="137" t="str">
        <f t="shared" si="81"/>
        <v/>
      </c>
      <c r="G1518" s="138" t="e">
        <f>IF(A1518&lt;&gt;"",IF(AND(#REF!="Padrão",$H$4=#REF!),BDI!$B$17,IF(AND(#REF!="Padrão",$H$4=#REF!),BDI!#REF!,IF(AND(#REF!="Diferenciado",$H$4=#REF!),BDI!$E$17,IF(AND(#REF!="Diferenciado",$H$4=#REF!),BDI!#REF!,IF(#REF!="ZERO",0))))),"")</f>
        <v>#REF!</v>
      </c>
      <c r="H1518" s="139" t="str">
        <f t="shared" si="82"/>
        <v/>
      </c>
      <c r="I1518" s="137" t="str">
        <f t="shared" si="83"/>
        <v/>
      </c>
      <c r="J1518" s="117"/>
    </row>
    <row r="1519" spans="1:10" hidden="1" x14ac:dyDescent="0.25">
      <c r="A1519" s="114" t="s">
        <v>4303</v>
      </c>
      <c r="B1519" s="115" t="s">
        <v>7753</v>
      </c>
      <c r="C1519" s="116" t="s">
        <v>16</v>
      </c>
      <c r="D1519" s="116">
        <v>0</v>
      </c>
      <c r="E1519" s="136" t="s">
        <v>416</v>
      </c>
      <c r="F1519" s="137" t="str">
        <f t="shared" si="81"/>
        <v/>
      </c>
      <c r="G1519" s="138" t="e">
        <f>IF(A1519&lt;&gt;"",IF(AND(#REF!="Padrão",$H$4=#REF!),BDI!$B$17,IF(AND(#REF!="Padrão",$H$4=#REF!),BDI!#REF!,IF(AND(#REF!="Diferenciado",$H$4=#REF!),BDI!$E$17,IF(AND(#REF!="Diferenciado",$H$4=#REF!),BDI!#REF!,IF(#REF!="ZERO",0))))),"")</f>
        <v>#REF!</v>
      </c>
      <c r="H1519" s="139" t="str">
        <f t="shared" si="82"/>
        <v/>
      </c>
      <c r="I1519" s="137" t="str">
        <f t="shared" si="83"/>
        <v/>
      </c>
      <c r="J1519" s="117"/>
    </row>
    <row r="1520" spans="1:10" hidden="1" x14ac:dyDescent="0.25">
      <c r="A1520" s="114" t="s">
        <v>4304</v>
      </c>
      <c r="B1520" s="115" t="s">
        <v>7754</v>
      </c>
      <c r="C1520" s="116" t="s">
        <v>16</v>
      </c>
      <c r="D1520" s="116">
        <v>0</v>
      </c>
      <c r="E1520" s="136" t="s">
        <v>416</v>
      </c>
      <c r="F1520" s="137" t="str">
        <f t="shared" si="81"/>
        <v/>
      </c>
      <c r="G1520" s="138" t="e">
        <f>IF(A1520&lt;&gt;"",IF(AND(#REF!="Padrão",$H$4=#REF!),BDI!$B$17,IF(AND(#REF!="Padrão",$H$4=#REF!),BDI!#REF!,IF(AND(#REF!="Diferenciado",$H$4=#REF!),BDI!$E$17,IF(AND(#REF!="Diferenciado",$H$4=#REF!),BDI!#REF!,IF(#REF!="ZERO",0))))),"")</f>
        <v>#REF!</v>
      </c>
      <c r="H1520" s="139" t="str">
        <f t="shared" si="82"/>
        <v/>
      </c>
      <c r="I1520" s="137" t="str">
        <f t="shared" si="83"/>
        <v/>
      </c>
      <c r="J1520" s="117"/>
    </row>
    <row r="1521" spans="1:10" hidden="1" x14ac:dyDescent="0.25">
      <c r="A1521" s="114" t="s">
        <v>4305</v>
      </c>
      <c r="B1521" s="115" t="s">
        <v>7755</v>
      </c>
      <c r="C1521" s="116" t="s">
        <v>16</v>
      </c>
      <c r="D1521" s="116">
        <v>0</v>
      </c>
      <c r="E1521" s="136" t="s">
        <v>416</v>
      </c>
      <c r="F1521" s="137" t="str">
        <f t="shared" si="81"/>
        <v/>
      </c>
      <c r="G1521" s="138" t="e">
        <f>IF(A1521&lt;&gt;"",IF(AND(#REF!="Padrão",$H$4=#REF!),BDI!$B$17,IF(AND(#REF!="Padrão",$H$4=#REF!),BDI!#REF!,IF(AND(#REF!="Diferenciado",$H$4=#REF!),BDI!$E$17,IF(AND(#REF!="Diferenciado",$H$4=#REF!),BDI!#REF!,IF(#REF!="ZERO",0))))),"")</f>
        <v>#REF!</v>
      </c>
      <c r="H1521" s="139" t="str">
        <f t="shared" si="82"/>
        <v/>
      </c>
      <c r="I1521" s="137" t="str">
        <f t="shared" si="83"/>
        <v/>
      </c>
      <c r="J1521" s="117"/>
    </row>
    <row r="1522" spans="1:10" hidden="1" x14ac:dyDescent="0.25">
      <c r="A1522" s="114" t="s">
        <v>4306</v>
      </c>
      <c r="B1522" s="115" t="s">
        <v>7756</v>
      </c>
      <c r="C1522" s="116" t="s">
        <v>16</v>
      </c>
      <c r="D1522" s="116">
        <v>0</v>
      </c>
      <c r="E1522" s="136" t="s">
        <v>416</v>
      </c>
      <c r="F1522" s="137" t="str">
        <f t="shared" si="81"/>
        <v/>
      </c>
      <c r="G1522" s="138" t="e">
        <f>IF(A1522&lt;&gt;"",IF(AND(#REF!="Padrão",$H$4=#REF!),BDI!$B$17,IF(AND(#REF!="Padrão",$H$4=#REF!),BDI!#REF!,IF(AND(#REF!="Diferenciado",$H$4=#REF!),BDI!$E$17,IF(AND(#REF!="Diferenciado",$H$4=#REF!),BDI!#REF!,IF(#REF!="ZERO",0))))),"")</f>
        <v>#REF!</v>
      </c>
      <c r="H1522" s="139" t="str">
        <f t="shared" si="82"/>
        <v/>
      </c>
      <c r="I1522" s="137" t="str">
        <f t="shared" si="83"/>
        <v/>
      </c>
      <c r="J1522" s="117"/>
    </row>
    <row r="1523" spans="1:10" hidden="1" x14ac:dyDescent="0.25">
      <c r="A1523" s="114" t="s">
        <v>4307</v>
      </c>
      <c r="B1523" s="115" t="s">
        <v>7757</v>
      </c>
      <c r="C1523" s="116" t="s">
        <v>16</v>
      </c>
      <c r="D1523" s="116">
        <v>0</v>
      </c>
      <c r="E1523" s="136" t="s">
        <v>416</v>
      </c>
      <c r="F1523" s="137" t="str">
        <f t="shared" si="81"/>
        <v/>
      </c>
      <c r="G1523" s="138" t="e">
        <f>IF(A1523&lt;&gt;"",IF(AND(#REF!="Padrão",$H$4=#REF!),BDI!$B$17,IF(AND(#REF!="Padrão",$H$4=#REF!),BDI!#REF!,IF(AND(#REF!="Diferenciado",$H$4=#REF!),BDI!$E$17,IF(AND(#REF!="Diferenciado",$H$4=#REF!),BDI!#REF!,IF(#REF!="ZERO",0))))),"")</f>
        <v>#REF!</v>
      </c>
      <c r="H1523" s="139" t="str">
        <f t="shared" si="82"/>
        <v/>
      </c>
      <c r="I1523" s="137" t="str">
        <f t="shared" si="83"/>
        <v/>
      </c>
      <c r="J1523" s="117"/>
    </row>
    <row r="1524" spans="1:10" hidden="1" x14ac:dyDescent="0.25">
      <c r="A1524" s="114" t="s">
        <v>4308</v>
      </c>
      <c r="B1524" s="115" t="s">
        <v>3433</v>
      </c>
      <c r="C1524" s="116" t="s">
        <v>16</v>
      </c>
      <c r="D1524" s="116">
        <v>0</v>
      </c>
      <c r="E1524" s="136" t="s">
        <v>416</v>
      </c>
      <c r="F1524" s="137" t="str">
        <f t="shared" si="81"/>
        <v/>
      </c>
      <c r="G1524" s="138" t="e">
        <f>IF(A1524&lt;&gt;"",IF(AND(#REF!="Padrão",$H$4=#REF!),BDI!$B$17,IF(AND(#REF!="Padrão",$H$4=#REF!),BDI!#REF!,IF(AND(#REF!="Diferenciado",$H$4=#REF!),BDI!$E$17,IF(AND(#REF!="Diferenciado",$H$4=#REF!),BDI!#REF!,IF(#REF!="ZERO",0))))),"")</f>
        <v>#REF!</v>
      </c>
      <c r="H1524" s="139" t="str">
        <f t="shared" si="82"/>
        <v/>
      </c>
      <c r="I1524" s="137" t="str">
        <f t="shared" si="83"/>
        <v/>
      </c>
      <c r="J1524" s="117"/>
    </row>
    <row r="1525" spans="1:10" hidden="1" x14ac:dyDescent="0.25">
      <c r="A1525" s="114" t="s">
        <v>4309</v>
      </c>
      <c r="B1525" s="115" t="s">
        <v>3434</v>
      </c>
      <c r="C1525" s="116" t="s">
        <v>16</v>
      </c>
      <c r="D1525" s="116">
        <v>0</v>
      </c>
      <c r="E1525" s="136" t="s">
        <v>416</v>
      </c>
      <c r="F1525" s="137" t="str">
        <f t="shared" si="81"/>
        <v/>
      </c>
      <c r="G1525" s="138" t="e">
        <f>IF(A1525&lt;&gt;"",IF(AND(#REF!="Padrão",$H$4=#REF!),BDI!$B$17,IF(AND(#REF!="Padrão",$H$4=#REF!),BDI!#REF!,IF(AND(#REF!="Diferenciado",$H$4=#REF!),BDI!$E$17,IF(AND(#REF!="Diferenciado",$H$4=#REF!),BDI!#REF!,IF(#REF!="ZERO",0))))),"")</f>
        <v>#REF!</v>
      </c>
      <c r="H1525" s="139" t="str">
        <f t="shared" si="82"/>
        <v/>
      </c>
      <c r="I1525" s="137" t="str">
        <f t="shared" si="83"/>
        <v/>
      </c>
      <c r="J1525" s="117"/>
    </row>
    <row r="1526" spans="1:10" hidden="1" x14ac:dyDescent="0.25">
      <c r="A1526" s="114" t="s">
        <v>4310</v>
      </c>
      <c r="B1526" s="115" t="s">
        <v>3435</v>
      </c>
      <c r="C1526" s="116" t="s">
        <v>16</v>
      </c>
      <c r="D1526" s="116">
        <v>0</v>
      </c>
      <c r="E1526" s="136" t="s">
        <v>416</v>
      </c>
      <c r="F1526" s="137" t="str">
        <f t="shared" si="81"/>
        <v/>
      </c>
      <c r="G1526" s="138" t="e">
        <f>IF(A1526&lt;&gt;"",IF(AND(#REF!="Padrão",$H$4=#REF!),BDI!$B$17,IF(AND(#REF!="Padrão",$H$4=#REF!),BDI!#REF!,IF(AND(#REF!="Diferenciado",$H$4=#REF!),BDI!$E$17,IF(AND(#REF!="Diferenciado",$H$4=#REF!),BDI!#REF!,IF(#REF!="ZERO",0))))),"")</f>
        <v>#REF!</v>
      </c>
      <c r="H1526" s="139" t="str">
        <f t="shared" si="82"/>
        <v/>
      </c>
      <c r="I1526" s="137" t="str">
        <f t="shared" si="83"/>
        <v/>
      </c>
      <c r="J1526" s="117"/>
    </row>
    <row r="1527" spans="1:10" hidden="1" x14ac:dyDescent="0.25">
      <c r="A1527" s="114" t="s">
        <v>4311</v>
      </c>
      <c r="B1527" s="115" t="s">
        <v>3436</v>
      </c>
      <c r="C1527" s="116" t="s">
        <v>16</v>
      </c>
      <c r="D1527" s="116">
        <v>0</v>
      </c>
      <c r="E1527" s="136" t="s">
        <v>416</v>
      </c>
      <c r="F1527" s="137" t="str">
        <f t="shared" si="81"/>
        <v/>
      </c>
      <c r="G1527" s="138" t="e">
        <f>IF(A1527&lt;&gt;"",IF(AND(#REF!="Padrão",$H$4=#REF!),BDI!$B$17,IF(AND(#REF!="Padrão",$H$4=#REF!),BDI!#REF!,IF(AND(#REF!="Diferenciado",$H$4=#REF!),BDI!$E$17,IF(AND(#REF!="Diferenciado",$H$4=#REF!),BDI!#REF!,IF(#REF!="ZERO",0))))),"")</f>
        <v>#REF!</v>
      </c>
      <c r="H1527" s="139" t="str">
        <f t="shared" si="82"/>
        <v/>
      </c>
      <c r="I1527" s="137" t="str">
        <f t="shared" si="83"/>
        <v/>
      </c>
      <c r="J1527" s="117"/>
    </row>
    <row r="1528" spans="1:10" hidden="1" x14ac:dyDescent="0.25">
      <c r="A1528" s="114" t="s">
        <v>4312</v>
      </c>
      <c r="B1528" s="115" t="s">
        <v>3437</v>
      </c>
      <c r="C1528" s="116" t="s">
        <v>16</v>
      </c>
      <c r="D1528" s="116">
        <v>0</v>
      </c>
      <c r="E1528" s="136" t="s">
        <v>416</v>
      </c>
      <c r="F1528" s="137" t="str">
        <f t="shared" si="81"/>
        <v/>
      </c>
      <c r="G1528" s="138" t="e">
        <f>IF(A1528&lt;&gt;"",IF(AND(#REF!="Padrão",$H$4=#REF!),BDI!$B$17,IF(AND(#REF!="Padrão",$H$4=#REF!),BDI!#REF!,IF(AND(#REF!="Diferenciado",$H$4=#REF!),BDI!$E$17,IF(AND(#REF!="Diferenciado",$H$4=#REF!),BDI!#REF!,IF(#REF!="ZERO",0))))),"")</f>
        <v>#REF!</v>
      </c>
      <c r="H1528" s="139" t="str">
        <f t="shared" si="82"/>
        <v/>
      </c>
      <c r="I1528" s="137" t="str">
        <f t="shared" si="83"/>
        <v/>
      </c>
      <c r="J1528" s="117"/>
    </row>
    <row r="1529" spans="1:10" hidden="1" x14ac:dyDescent="0.25">
      <c r="A1529" s="114" t="s">
        <v>4313</v>
      </c>
      <c r="B1529" s="115" t="s">
        <v>3438</v>
      </c>
      <c r="C1529" s="116" t="s">
        <v>16</v>
      </c>
      <c r="D1529" s="116">
        <v>0</v>
      </c>
      <c r="E1529" s="136" t="s">
        <v>416</v>
      </c>
      <c r="F1529" s="137" t="str">
        <f t="shared" si="81"/>
        <v/>
      </c>
      <c r="G1529" s="138" t="e">
        <f>IF(A1529&lt;&gt;"",IF(AND(#REF!="Padrão",$H$4=#REF!),BDI!$B$17,IF(AND(#REF!="Padrão",$H$4=#REF!),BDI!#REF!,IF(AND(#REF!="Diferenciado",$H$4=#REF!),BDI!$E$17,IF(AND(#REF!="Diferenciado",$H$4=#REF!),BDI!#REF!,IF(#REF!="ZERO",0))))),"")</f>
        <v>#REF!</v>
      </c>
      <c r="H1529" s="139" t="str">
        <f t="shared" si="82"/>
        <v/>
      </c>
      <c r="I1529" s="137" t="str">
        <f t="shared" si="83"/>
        <v/>
      </c>
      <c r="J1529" s="117"/>
    </row>
    <row r="1530" spans="1:10" hidden="1" x14ac:dyDescent="0.25">
      <c r="A1530" s="114" t="s">
        <v>4314</v>
      </c>
      <c r="B1530" s="115" t="s">
        <v>3439</v>
      </c>
      <c r="C1530" s="116" t="s">
        <v>16</v>
      </c>
      <c r="D1530" s="116">
        <v>0</v>
      </c>
      <c r="E1530" s="136" t="s">
        <v>416</v>
      </c>
      <c r="F1530" s="137" t="str">
        <f t="shared" si="81"/>
        <v/>
      </c>
      <c r="G1530" s="138" t="e">
        <f>IF(A1530&lt;&gt;"",IF(AND(#REF!="Padrão",$H$4=#REF!),BDI!$B$17,IF(AND(#REF!="Padrão",$H$4=#REF!),BDI!#REF!,IF(AND(#REF!="Diferenciado",$H$4=#REF!),BDI!$E$17,IF(AND(#REF!="Diferenciado",$H$4=#REF!),BDI!#REF!,IF(#REF!="ZERO",0))))),"")</f>
        <v>#REF!</v>
      </c>
      <c r="H1530" s="139" t="str">
        <f t="shared" si="82"/>
        <v/>
      </c>
      <c r="I1530" s="137" t="str">
        <f t="shared" si="83"/>
        <v/>
      </c>
      <c r="J1530" s="117"/>
    </row>
    <row r="1531" spans="1:10" hidden="1" x14ac:dyDescent="0.25">
      <c r="A1531" s="114" t="s">
        <v>4315</v>
      </c>
      <c r="B1531" s="115" t="s">
        <v>3440</v>
      </c>
      <c r="C1531" s="116" t="s">
        <v>16</v>
      </c>
      <c r="D1531" s="116">
        <v>0</v>
      </c>
      <c r="E1531" s="136" t="s">
        <v>416</v>
      </c>
      <c r="F1531" s="137" t="str">
        <f t="shared" si="81"/>
        <v/>
      </c>
      <c r="G1531" s="138" t="e">
        <f>IF(A1531&lt;&gt;"",IF(AND(#REF!="Padrão",$H$4=#REF!),BDI!$B$17,IF(AND(#REF!="Padrão",$H$4=#REF!),BDI!#REF!,IF(AND(#REF!="Diferenciado",$H$4=#REF!),BDI!$E$17,IF(AND(#REF!="Diferenciado",$H$4=#REF!),BDI!#REF!,IF(#REF!="ZERO",0))))),"")</f>
        <v>#REF!</v>
      </c>
      <c r="H1531" s="139" t="str">
        <f t="shared" si="82"/>
        <v/>
      </c>
      <c r="I1531" s="137" t="str">
        <f t="shared" si="83"/>
        <v/>
      </c>
      <c r="J1531" s="117"/>
    </row>
    <row r="1532" spans="1:10" hidden="1" x14ac:dyDescent="0.25">
      <c r="A1532" s="114" t="s">
        <v>4316</v>
      </c>
      <c r="B1532" s="115" t="s">
        <v>3441</v>
      </c>
      <c r="C1532" s="116" t="s">
        <v>16</v>
      </c>
      <c r="D1532" s="116">
        <v>0</v>
      </c>
      <c r="E1532" s="136" t="s">
        <v>416</v>
      </c>
      <c r="F1532" s="137" t="str">
        <f t="shared" si="81"/>
        <v/>
      </c>
      <c r="G1532" s="138" t="e">
        <f>IF(A1532&lt;&gt;"",IF(AND(#REF!="Padrão",$H$4=#REF!),BDI!$B$17,IF(AND(#REF!="Padrão",$H$4=#REF!),BDI!#REF!,IF(AND(#REF!="Diferenciado",$H$4=#REF!),BDI!$E$17,IF(AND(#REF!="Diferenciado",$H$4=#REF!),BDI!#REF!,IF(#REF!="ZERO",0))))),"")</f>
        <v>#REF!</v>
      </c>
      <c r="H1532" s="139" t="str">
        <f t="shared" si="82"/>
        <v/>
      </c>
      <c r="I1532" s="137" t="str">
        <f t="shared" si="83"/>
        <v/>
      </c>
      <c r="J1532" s="117"/>
    </row>
    <row r="1533" spans="1:10" hidden="1" x14ac:dyDescent="0.25">
      <c r="A1533" s="114" t="s">
        <v>4317</v>
      </c>
      <c r="B1533" s="115" t="s">
        <v>3442</v>
      </c>
      <c r="C1533" s="116" t="s">
        <v>16</v>
      </c>
      <c r="D1533" s="116">
        <v>0</v>
      </c>
      <c r="E1533" s="136" t="s">
        <v>416</v>
      </c>
      <c r="F1533" s="137" t="str">
        <f t="shared" si="81"/>
        <v/>
      </c>
      <c r="G1533" s="138" t="e">
        <f>IF(A1533&lt;&gt;"",IF(AND(#REF!="Padrão",$H$4=#REF!),BDI!$B$17,IF(AND(#REF!="Padrão",$H$4=#REF!),BDI!#REF!,IF(AND(#REF!="Diferenciado",$H$4=#REF!),BDI!$E$17,IF(AND(#REF!="Diferenciado",$H$4=#REF!),BDI!#REF!,IF(#REF!="ZERO",0))))),"")</f>
        <v>#REF!</v>
      </c>
      <c r="H1533" s="139" t="str">
        <f t="shared" si="82"/>
        <v/>
      </c>
      <c r="I1533" s="137" t="str">
        <f t="shared" si="83"/>
        <v/>
      </c>
      <c r="J1533" s="117"/>
    </row>
    <row r="1534" spans="1:10" hidden="1" x14ac:dyDescent="0.25">
      <c r="A1534" s="114" t="s">
        <v>4318</v>
      </c>
      <c r="B1534" s="115" t="s">
        <v>3443</v>
      </c>
      <c r="C1534" s="116" t="s">
        <v>16</v>
      </c>
      <c r="D1534" s="116">
        <v>0</v>
      </c>
      <c r="E1534" s="136" t="s">
        <v>416</v>
      </c>
      <c r="F1534" s="137" t="str">
        <f t="shared" si="81"/>
        <v/>
      </c>
      <c r="G1534" s="138" t="e">
        <f>IF(A1534&lt;&gt;"",IF(AND(#REF!="Padrão",$H$4=#REF!),BDI!$B$17,IF(AND(#REF!="Padrão",$H$4=#REF!),BDI!#REF!,IF(AND(#REF!="Diferenciado",$H$4=#REF!),BDI!$E$17,IF(AND(#REF!="Diferenciado",$H$4=#REF!),BDI!#REF!,IF(#REF!="ZERO",0))))),"")</f>
        <v>#REF!</v>
      </c>
      <c r="H1534" s="139" t="str">
        <f t="shared" si="82"/>
        <v/>
      </c>
      <c r="I1534" s="137" t="str">
        <f t="shared" si="83"/>
        <v/>
      </c>
      <c r="J1534" s="117"/>
    </row>
    <row r="1535" spans="1:10" hidden="1" x14ac:dyDescent="0.25">
      <c r="A1535" s="114" t="s">
        <v>4319</v>
      </c>
      <c r="B1535" s="115" t="s">
        <v>3444</v>
      </c>
      <c r="C1535" s="116" t="s">
        <v>16</v>
      </c>
      <c r="D1535" s="116">
        <v>0</v>
      </c>
      <c r="E1535" s="136" t="s">
        <v>416</v>
      </c>
      <c r="F1535" s="137" t="str">
        <f t="shared" si="81"/>
        <v/>
      </c>
      <c r="G1535" s="138" t="e">
        <f>IF(A1535&lt;&gt;"",IF(AND(#REF!="Padrão",$H$4=#REF!),BDI!$B$17,IF(AND(#REF!="Padrão",$H$4=#REF!),BDI!#REF!,IF(AND(#REF!="Diferenciado",$H$4=#REF!),BDI!$E$17,IF(AND(#REF!="Diferenciado",$H$4=#REF!),BDI!#REF!,IF(#REF!="ZERO",0))))),"")</f>
        <v>#REF!</v>
      </c>
      <c r="H1535" s="139" t="str">
        <f t="shared" si="82"/>
        <v/>
      </c>
      <c r="I1535" s="137" t="str">
        <f t="shared" si="83"/>
        <v/>
      </c>
      <c r="J1535" s="117"/>
    </row>
    <row r="1536" spans="1:10" hidden="1" x14ac:dyDescent="0.25">
      <c r="A1536" s="114" t="s">
        <v>4320</v>
      </c>
      <c r="B1536" s="115" t="s">
        <v>3445</v>
      </c>
      <c r="C1536" s="116" t="s">
        <v>16</v>
      </c>
      <c r="D1536" s="116">
        <v>0</v>
      </c>
      <c r="E1536" s="136" t="s">
        <v>416</v>
      </c>
      <c r="F1536" s="137" t="str">
        <f t="shared" si="81"/>
        <v/>
      </c>
      <c r="G1536" s="138" t="e">
        <f>IF(A1536&lt;&gt;"",IF(AND(#REF!="Padrão",$H$4=#REF!),BDI!$B$17,IF(AND(#REF!="Padrão",$H$4=#REF!),BDI!#REF!,IF(AND(#REF!="Diferenciado",$H$4=#REF!),BDI!$E$17,IF(AND(#REF!="Diferenciado",$H$4=#REF!),BDI!#REF!,IF(#REF!="ZERO",0))))),"")</f>
        <v>#REF!</v>
      </c>
      <c r="H1536" s="139" t="str">
        <f t="shared" si="82"/>
        <v/>
      </c>
      <c r="I1536" s="137" t="str">
        <f t="shared" si="83"/>
        <v/>
      </c>
      <c r="J1536" s="117"/>
    </row>
    <row r="1537" spans="1:10" hidden="1" x14ac:dyDescent="0.25">
      <c r="A1537" s="114" t="s">
        <v>4321</v>
      </c>
      <c r="B1537" s="115" t="s">
        <v>3446</v>
      </c>
      <c r="C1537" s="116" t="s">
        <v>16</v>
      </c>
      <c r="D1537" s="116">
        <v>0</v>
      </c>
      <c r="E1537" s="136" t="s">
        <v>416</v>
      </c>
      <c r="F1537" s="137" t="str">
        <f t="shared" si="81"/>
        <v/>
      </c>
      <c r="G1537" s="138" t="e">
        <f>IF(A1537&lt;&gt;"",IF(AND(#REF!="Padrão",$H$4=#REF!),BDI!$B$17,IF(AND(#REF!="Padrão",$H$4=#REF!),BDI!#REF!,IF(AND(#REF!="Diferenciado",$H$4=#REF!),BDI!$E$17,IF(AND(#REF!="Diferenciado",$H$4=#REF!),BDI!#REF!,IF(#REF!="ZERO",0))))),"")</f>
        <v>#REF!</v>
      </c>
      <c r="H1537" s="139" t="str">
        <f t="shared" si="82"/>
        <v/>
      </c>
      <c r="I1537" s="137" t="str">
        <f t="shared" si="83"/>
        <v/>
      </c>
      <c r="J1537" s="117"/>
    </row>
    <row r="1538" spans="1:10" hidden="1" x14ac:dyDescent="0.25">
      <c r="A1538" s="114" t="s">
        <v>4322</v>
      </c>
      <c r="B1538" s="115" t="s">
        <v>3447</v>
      </c>
      <c r="C1538" s="116" t="s">
        <v>16</v>
      </c>
      <c r="D1538" s="116">
        <v>0</v>
      </c>
      <c r="E1538" s="136" t="s">
        <v>416</v>
      </c>
      <c r="F1538" s="137" t="str">
        <f t="shared" si="81"/>
        <v/>
      </c>
      <c r="G1538" s="138" t="e">
        <f>IF(A1538&lt;&gt;"",IF(AND(#REF!="Padrão",$H$4=#REF!),BDI!$B$17,IF(AND(#REF!="Padrão",$H$4=#REF!),BDI!#REF!,IF(AND(#REF!="Diferenciado",$H$4=#REF!),BDI!$E$17,IF(AND(#REF!="Diferenciado",$H$4=#REF!),BDI!#REF!,IF(#REF!="ZERO",0))))),"")</f>
        <v>#REF!</v>
      </c>
      <c r="H1538" s="139" t="str">
        <f t="shared" si="82"/>
        <v/>
      </c>
      <c r="I1538" s="137" t="str">
        <f t="shared" si="83"/>
        <v/>
      </c>
      <c r="J1538" s="117"/>
    </row>
    <row r="1539" spans="1:10" hidden="1" x14ac:dyDescent="0.25">
      <c r="A1539" s="114" t="s">
        <v>4323</v>
      </c>
      <c r="B1539" s="115" t="s">
        <v>3448</v>
      </c>
      <c r="C1539" s="116" t="s">
        <v>16</v>
      </c>
      <c r="D1539" s="116">
        <v>0</v>
      </c>
      <c r="E1539" s="136" t="s">
        <v>416</v>
      </c>
      <c r="F1539" s="137" t="str">
        <f t="shared" si="81"/>
        <v/>
      </c>
      <c r="G1539" s="138" t="e">
        <f>IF(A1539&lt;&gt;"",IF(AND(#REF!="Padrão",$H$4=#REF!),BDI!$B$17,IF(AND(#REF!="Padrão",$H$4=#REF!),BDI!#REF!,IF(AND(#REF!="Diferenciado",$H$4=#REF!),BDI!$E$17,IF(AND(#REF!="Diferenciado",$H$4=#REF!),BDI!#REF!,IF(#REF!="ZERO",0))))),"")</f>
        <v>#REF!</v>
      </c>
      <c r="H1539" s="139" t="str">
        <f t="shared" si="82"/>
        <v/>
      </c>
      <c r="I1539" s="137" t="str">
        <f t="shared" si="83"/>
        <v/>
      </c>
      <c r="J1539" s="117"/>
    </row>
    <row r="1540" spans="1:10" hidden="1" x14ac:dyDescent="0.25">
      <c r="A1540" s="114" t="s">
        <v>4324</v>
      </c>
      <c r="B1540" s="115" t="s">
        <v>3449</v>
      </c>
      <c r="C1540" s="116" t="s">
        <v>16</v>
      </c>
      <c r="D1540" s="116">
        <v>0</v>
      </c>
      <c r="E1540" s="136" t="s">
        <v>416</v>
      </c>
      <c r="F1540" s="137" t="str">
        <f t="shared" si="81"/>
        <v/>
      </c>
      <c r="G1540" s="138" t="e">
        <f>IF(A1540&lt;&gt;"",IF(AND(#REF!="Padrão",$H$4=#REF!),BDI!$B$17,IF(AND(#REF!="Padrão",$H$4=#REF!),BDI!#REF!,IF(AND(#REF!="Diferenciado",$H$4=#REF!),BDI!$E$17,IF(AND(#REF!="Diferenciado",$H$4=#REF!),BDI!#REF!,IF(#REF!="ZERO",0))))),"")</f>
        <v>#REF!</v>
      </c>
      <c r="H1540" s="139" t="str">
        <f t="shared" si="82"/>
        <v/>
      </c>
      <c r="I1540" s="137" t="str">
        <f t="shared" si="83"/>
        <v/>
      </c>
      <c r="J1540" s="117"/>
    </row>
    <row r="1541" spans="1:10" hidden="1" x14ac:dyDescent="0.25">
      <c r="A1541" s="114" t="s">
        <v>4325</v>
      </c>
      <c r="B1541" s="115" t="s">
        <v>3450</v>
      </c>
      <c r="C1541" s="116" t="s">
        <v>16</v>
      </c>
      <c r="D1541" s="116">
        <v>0</v>
      </c>
      <c r="E1541" s="136" t="s">
        <v>416</v>
      </c>
      <c r="F1541" s="137" t="str">
        <f t="shared" si="81"/>
        <v/>
      </c>
      <c r="G1541" s="138" t="e">
        <f>IF(A1541&lt;&gt;"",IF(AND(#REF!="Padrão",$H$4=#REF!),BDI!$B$17,IF(AND(#REF!="Padrão",$H$4=#REF!),BDI!#REF!,IF(AND(#REF!="Diferenciado",$H$4=#REF!),BDI!$E$17,IF(AND(#REF!="Diferenciado",$H$4=#REF!),BDI!#REF!,IF(#REF!="ZERO",0))))),"")</f>
        <v>#REF!</v>
      </c>
      <c r="H1541" s="139" t="str">
        <f t="shared" si="82"/>
        <v/>
      </c>
      <c r="I1541" s="137" t="str">
        <f t="shared" si="83"/>
        <v/>
      </c>
      <c r="J1541" s="117"/>
    </row>
    <row r="1542" spans="1:10" hidden="1" x14ac:dyDescent="0.25">
      <c r="A1542" s="114" t="s">
        <v>4326</v>
      </c>
      <c r="B1542" s="115" t="s">
        <v>5587</v>
      </c>
      <c r="C1542" s="116" t="s">
        <v>69</v>
      </c>
      <c r="D1542" s="116">
        <v>0</v>
      </c>
      <c r="E1542" s="136" t="s">
        <v>416</v>
      </c>
      <c r="F1542" s="137" t="str">
        <f t="shared" si="81"/>
        <v/>
      </c>
      <c r="G1542" s="138" t="e">
        <f>IF(A1542&lt;&gt;"",IF(AND(#REF!="Padrão",$H$4=#REF!),BDI!$B$17,IF(AND(#REF!="Padrão",$H$4=#REF!),BDI!#REF!,IF(AND(#REF!="Diferenciado",$H$4=#REF!),BDI!$E$17,IF(AND(#REF!="Diferenciado",$H$4=#REF!),BDI!#REF!,IF(#REF!="ZERO",0))))),"")</f>
        <v>#REF!</v>
      </c>
      <c r="H1542" s="139" t="str">
        <f t="shared" si="82"/>
        <v/>
      </c>
      <c r="I1542" s="137" t="str">
        <f t="shared" si="83"/>
        <v/>
      </c>
      <c r="J1542" s="117"/>
    </row>
    <row r="1543" spans="1:10" hidden="1" x14ac:dyDescent="0.25">
      <c r="A1543" s="114" t="s">
        <v>4327</v>
      </c>
      <c r="B1543" s="115" t="s">
        <v>3451</v>
      </c>
      <c r="C1543" s="116" t="s">
        <v>16</v>
      </c>
      <c r="D1543" s="116">
        <v>0</v>
      </c>
      <c r="E1543" s="136" t="s">
        <v>416</v>
      </c>
      <c r="F1543" s="137" t="str">
        <f t="shared" si="81"/>
        <v/>
      </c>
      <c r="G1543" s="138" t="e">
        <f>IF(A1543&lt;&gt;"",IF(AND(#REF!="Padrão",$H$4=#REF!),BDI!$B$17,IF(AND(#REF!="Padrão",$H$4=#REF!),BDI!#REF!,IF(AND(#REF!="Diferenciado",$H$4=#REF!),BDI!$E$17,IF(AND(#REF!="Diferenciado",$H$4=#REF!),BDI!#REF!,IF(#REF!="ZERO",0))))),"")</f>
        <v>#REF!</v>
      </c>
      <c r="H1543" s="139" t="str">
        <f t="shared" si="82"/>
        <v/>
      </c>
      <c r="I1543" s="137" t="str">
        <f t="shared" si="83"/>
        <v/>
      </c>
      <c r="J1543" s="117"/>
    </row>
    <row r="1544" spans="1:10" hidden="1" x14ac:dyDescent="0.25">
      <c r="A1544" s="114" t="s">
        <v>4328</v>
      </c>
      <c r="B1544" s="115" t="s">
        <v>7758</v>
      </c>
      <c r="C1544" s="116" t="s">
        <v>16</v>
      </c>
      <c r="D1544" s="116">
        <v>0</v>
      </c>
      <c r="E1544" s="136" t="s">
        <v>416</v>
      </c>
      <c r="F1544" s="137" t="str">
        <f t="shared" si="81"/>
        <v/>
      </c>
      <c r="G1544" s="138" t="e">
        <f>IF(A1544&lt;&gt;"",IF(AND(#REF!="Padrão",$H$4=#REF!),BDI!$B$17,IF(AND(#REF!="Padrão",$H$4=#REF!),BDI!#REF!,IF(AND(#REF!="Diferenciado",$H$4=#REF!),BDI!$E$17,IF(AND(#REF!="Diferenciado",$H$4=#REF!),BDI!#REF!,IF(#REF!="ZERO",0))))),"")</f>
        <v>#REF!</v>
      </c>
      <c r="H1544" s="139" t="str">
        <f t="shared" si="82"/>
        <v/>
      </c>
      <c r="I1544" s="137" t="str">
        <f t="shared" si="83"/>
        <v/>
      </c>
      <c r="J1544" s="117"/>
    </row>
    <row r="1545" spans="1:10" hidden="1" x14ac:dyDescent="0.25">
      <c r="A1545" s="114" t="s">
        <v>4329</v>
      </c>
      <c r="B1545" s="115" t="s">
        <v>3452</v>
      </c>
      <c r="C1545" s="116" t="s">
        <v>16</v>
      </c>
      <c r="D1545" s="116">
        <v>0</v>
      </c>
      <c r="E1545" s="136">
        <f ca="1">OFFSET(INDEX(Composições!A:J,MATCH(Orçamentária!A1545,Composições!A:A,0),8),2,0)</f>
        <v>8.8919999999999995</v>
      </c>
      <c r="F1545" s="137">
        <f t="shared" ca="1" si="81"/>
        <v>0</v>
      </c>
      <c r="G1545" s="138" t="e">
        <f>IF(A1545&lt;&gt;"",IF(AND(#REF!="Padrão",$H$4=#REF!),BDI!$B$17,IF(AND(#REF!="Padrão",$H$4=#REF!),BDI!#REF!,IF(AND(#REF!="Diferenciado",$H$4=#REF!),BDI!$E$17,IF(AND(#REF!="Diferenciado",$H$4=#REF!),BDI!#REF!,IF(#REF!="ZERO",0))))),"")</f>
        <v>#REF!</v>
      </c>
      <c r="H1545" s="139" t="e">
        <f t="shared" ca="1" si="82"/>
        <v>#REF!</v>
      </c>
      <c r="I1545" s="137" t="e">
        <f t="shared" ca="1" si="83"/>
        <v>#REF!</v>
      </c>
      <c r="J1545" s="117"/>
    </row>
    <row r="1546" spans="1:10" hidden="1" x14ac:dyDescent="0.25">
      <c r="A1546" s="114" t="s">
        <v>4330</v>
      </c>
      <c r="B1546" s="115" t="s">
        <v>3453</v>
      </c>
      <c r="C1546" s="116" t="s">
        <v>16</v>
      </c>
      <c r="D1546" s="116">
        <v>0</v>
      </c>
      <c r="E1546" s="136">
        <f ca="1">OFFSET(INDEX(Composições!A:J,MATCH(Orçamentária!A1546,Composições!A:A,0),8),2,0)</f>
        <v>14.9435</v>
      </c>
      <c r="F1546" s="137">
        <f t="shared" ca="1" si="81"/>
        <v>0</v>
      </c>
      <c r="G1546" s="138" t="e">
        <f>IF(A1546&lt;&gt;"",IF(AND(#REF!="Padrão",$H$4=#REF!),BDI!$B$17,IF(AND(#REF!="Padrão",$H$4=#REF!),BDI!#REF!,IF(AND(#REF!="Diferenciado",$H$4=#REF!),BDI!$E$17,IF(AND(#REF!="Diferenciado",$H$4=#REF!),BDI!#REF!,IF(#REF!="ZERO",0))))),"")</f>
        <v>#REF!</v>
      </c>
      <c r="H1546" s="139" t="e">
        <f t="shared" ca="1" si="82"/>
        <v>#REF!</v>
      </c>
      <c r="I1546" s="137" t="e">
        <f t="shared" ca="1" si="83"/>
        <v>#REF!</v>
      </c>
      <c r="J1546" s="117"/>
    </row>
    <row r="1547" spans="1:10" hidden="1" x14ac:dyDescent="0.25">
      <c r="A1547" s="114" t="s">
        <v>4331</v>
      </c>
      <c r="B1547" s="115" t="s">
        <v>3454</v>
      </c>
      <c r="C1547" s="116" t="s">
        <v>16</v>
      </c>
      <c r="D1547" s="116">
        <v>0</v>
      </c>
      <c r="E1547" s="136">
        <f ca="1">OFFSET(INDEX(Composições!A:J,MATCH(Orçamentária!A1547,Composições!A:A,0),8),2,0)</f>
        <v>18.315999999999999</v>
      </c>
      <c r="F1547" s="137">
        <f t="shared" ca="1" si="81"/>
        <v>0</v>
      </c>
      <c r="G1547" s="138" t="e">
        <f>IF(A1547&lt;&gt;"",IF(AND(#REF!="Padrão",$H$4=#REF!),BDI!$B$17,IF(AND(#REF!="Padrão",$H$4=#REF!),BDI!#REF!,IF(AND(#REF!="Diferenciado",$H$4=#REF!),BDI!$E$17,IF(AND(#REF!="Diferenciado",$H$4=#REF!),BDI!#REF!,IF(#REF!="ZERO",0))))),"")</f>
        <v>#REF!</v>
      </c>
      <c r="H1547" s="139" t="e">
        <f t="shared" ca="1" si="82"/>
        <v>#REF!</v>
      </c>
      <c r="I1547" s="137" t="e">
        <f t="shared" ca="1" si="83"/>
        <v>#REF!</v>
      </c>
      <c r="J1547" s="117"/>
    </row>
    <row r="1548" spans="1:10" hidden="1" x14ac:dyDescent="0.25">
      <c r="A1548" s="114" t="s">
        <v>4332</v>
      </c>
      <c r="B1548" s="115" t="s">
        <v>3455</v>
      </c>
      <c r="C1548" s="116" t="s">
        <v>16</v>
      </c>
      <c r="D1548" s="116">
        <v>0</v>
      </c>
      <c r="E1548" s="136">
        <f ca="1">OFFSET(INDEX(Composições!A:J,MATCH(Orçamentária!A1548,Composições!A:A,0),8),2,0)</f>
        <v>24.348499999999998</v>
      </c>
      <c r="F1548" s="137">
        <f t="shared" ca="1" si="81"/>
        <v>0</v>
      </c>
      <c r="G1548" s="138" t="e">
        <f>IF(A1548&lt;&gt;"",IF(AND(#REF!="Padrão",$H$4=#REF!),BDI!$B$17,IF(AND(#REF!="Padrão",$H$4=#REF!),BDI!#REF!,IF(AND(#REF!="Diferenciado",$H$4=#REF!),BDI!$E$17,IF(AND(#REF!="Diferenciado",$H$4=#REF!),BDI!#REF!,IF(#REF!="ZERO",0))))),"")</f>
        <v>#REF!</v>
      </c>
      <c r="H1548" s="139" t="e">
        <f t="shared" ca="1" si="82"/>
        <v>#REF!</v>
      </c>
      <c r="I1548" s="137" t="e">
        <f t="shared" ca="1" si="83"/>
        <v>#REF!</v>
      </c>
      <c r="J1548" s="117"/>
    </row>
    <row r="1549" spans="1:10" hidden="1" x14ac:dyDescent="0.25">
      <c r="A1549" s="114" t="s">
        <v>4333</v>
      </c>
      <c r="B1549" s="115" t="s">
        <v>5588</v>
      </c>
      <c r="C1549" s="116" t="s">
        <v>16</v>
      </c>
      <c r="D1549" s="116">
        <v>0</v>
      </c>
      <c r="E1549" s="136">
        <f ca="1">OFFSET(INDEX(Composições!A:J,MATCH(Orçamentária!A1549,Composições!A:A,0),8),2,0)</f>
        <v>35.72</v>
      </c>
      <c r="F1549" s="137">
        <f t="shared" ca="1" si="81"/>
        <v>0</v>
      </c>
      <c r="G1549" s="138" t="e">
        <f>IF(A1549&lt;&gt;"",IF(AND(#REF!="Padrão",$H$4=#REF!),BDI!$B$17,IF(AND(#REF!="Padrão",$H$4=#REF!),BDI!#REF!,IF(AND(#REF!="Diferenciado",$H$4=#REF!),BDI!$E$17,IF(AND(#REF!="Diferenciado",$H$4=#REF!),BDI!#REF!,IF(#REF!="ZERO",0))))),"")</f>
        <v>#REF!</v>
      </c>
      <c r="H1549" s="139" t="e">
        <f t="shared" ca="1" si="82"/>
        <v>#REF!</v>
      </c>
      <c r="I1549" s="137" t="e">
        <f t="shared" ca="1" si="83"/>
        <v>#REF!</v>
      </c>
      <c r="J1549" s="117"/>
    </row>
    <row r="1550" spans="1:10" hidden="1" x14ac:dyDescent="0.25">
      <c r="A1550" s="114" t="s">
        <v>4334</v>
      </c>
      <c r="B1550" s="115" t="s">
        <v>3456</v>
      </c>
      <c r="C1550" s="116" t="s">
        <v>16</v>
      </c>
      <c r="D1550" s="116">
        <v>0</v>
      </c>
      <c r="E1550" s="136" t="s">
        <v>416</v>
      </c>
      <c r="F1550" s="137" t="str">
        <f t="shared" si="81"/>
        <v/>
      </c>
      <c r="G1550" s="138" t="e">
        <f>IF(A1550&lt;&gt;"",IF(AND(#REF!="Padrão",$H$4=#REF!),BDI!$B$17,IF(AND(#REF!="Padrão",$H$4=#REF!),BDI!#REF!,IF(AND(#REF!="Diferenciado",$H$4=#REF!),BDI!$E$17,IF(AND(#REF!="Diferenciado",$H$4=#REF!),BDI!#REF!,IF(#REF!="ZERO",0))))),"")</f>
        <v>#REF!</v>
      </c>
      <c r="H1550" s="139" t="str">
        <f t="shared" si="82"/>
        <v/>
      </c>
      <c r="I1550" s="137" t="str">
        <f t="shared" si="83"/>
        <v/>
      </c>
      <c r="J1550" s="117"/>
    </row>
    <row r="1551" spans="1:10" hidden="1" x14ac:dyDescent="0.25">
      <c r="A1551" s="114" t="s">
        <v>4335</v>
      </c>
      <c r="B1551" s="115" t="s">
        <v>3457</v>
      </c>
      <c r="C1551" s="116" t="s">
        <v>16</v>
      </c>
      <c r="D1551" s="116">
        <v>0</v>
      </c>
      <c r="E1551" s="136">
        <f ca="1">OFFSET(INDEX(Composições!A:J,MATCH(Orçamentária!A1551,Composições!A:A,0),8),2,0)</f>
        <v>99.189499999999995</v>
      </c>
      <c r="F1551" s="137">
        <f t="shared" ca="1" si="81"/>
        <v>0</v>
      </c>
      <c r="G1551" s="138" t="e">
        <f>IF(A1551&lt;&gt;"",IF(AND(#REF!="Padrão",$H$4=#REF!),BDI!$B$17,IF(AND(#REF!="Padrão",$H$4=#REF!),BDI!#REF!,IF(AND(#REF!="Diferenciado",$H$4=#REF!),BDI!$E$17,IF(AND(#REF!="Diferenciado",$H$4=#REF!),BDI!#REF!,IF(#REF!="ZERO",0))))),"")</f>
        <v>#REF!</v>
      </c>
      <c r="H1551" s="139" t="e">
        <f t="shared" ca="1" si="82"/>
        <v>#REF!</v>
      </c>
      <c r="I1551" s="137" t="e">
        <f t="shared" ca="1" si="83"/>
        <v>#REF!</v>
      </c>
      <c r="J1551" s="117"/>
    </row>
    <row r="1552" spans="1:10" hidden="1" x14ac:dyDescent="0.25">
      <c r="A1552" s="114" t="s">
        <v>4336</v>
      </c>
      <c r="B1552" s="115" t="s">
        <v>3458</v>
      </c>
      <c r="C1552" s="116" t="s">
        <v>16</v>
      </c>
      <c r="D1552" s="116">
        <v>0</v>
      </c>
      <c r="E1552" s="136">
        <f ca="1">OFFSET(INDEX(Composições!A:J,MATCH(Orçamentária!A1552,Composições!A:A,0),8),2,0)</f>
        <v>182.05799999999999</v>
      </c>
      <c r="F1552" s="137">
        <f t="shared" ca="1" si="81"/>
        <v>0</v>
      </c>
      <c r="G1552" s="138" t="e">
        <f>IF(A1552&lt;&gt;"",IF(AND(#REF!="Padrão",$H$4=#REF!),BDI!$B$17,IF(AND(#REF!="Padrão",$H$4=#REF!),BDI!#REF!,IF(AND(#REF!="Diferenciado",$H$4=#REF!),BDI!$E$17,IF(AND(#REF!="Diferenciado",$H$4=#REF!),BDI!#REF!,IF(#REF!="ZERO",0))))),"")</f>
        <v>#REF!</v>
      </c>
      <c r="H1552" s="139" t="e">
        <f t="shared" ca="1" si="82"/>
        <v>#REF!</v>
      </c>
      <c r="I1552" s="137" t="e">
        <f t="shared" ca="1" si="83"/>
        <v>#REF!</v>
      </c>
      <c r="J1552" s="117"/>
    </row>
    <row r="1553" spans="1:10" hidden="1" x14ac:dyDescent="0.25">
      <c r="A1553" s="114" t="s">
        <v>4337</v>
      </c>
      <c r="B1553" s="115" t="s">
        <v>3459</v>
      </c>
      <c r="C1553" s="116" t="s">
        <v>16</v>
      </c>
      <c r="D1553" s="116">
        <v>0</v>
      </c>
      <c r="E1553" s="136" t="s">
        <v>416</v>
      </c>
      <c r="F1553" s="137" t="str">
        <f t="shared" si="81"/>
        <v/>
      </c>
      <c r="G1553" s="138" t="e">
        <f>IF(A1553&lt;&gt;"",IF(AND(#REF!="Padrão",$H$4=#REF!),BDI!$B$17,IF(AND(#REF!="Padrão",$H$4=#REF!),BDI!#REF!,IF(AND(#REF!="Diferenciado",$H$4=#REF!),BDI!$E$17,IF(AND(#REF!="Diferenciado",$H$4=#REF!),BDI!#REF!,IF(#REF!="ZERO",0))))),"")</f>
        <v>#REF!</v>
      </c>
      <c r="H1553" s="139" t="str">
        <f t="shared" si="82"/>
        <v/>
      </c>
      <c r="I1553" s="137" t="str">
        <f t="shared" si="83"/>
        <v/>
      </c>
      <c r="J1553" s="117"/>
    </row>
    <row r="1554" spans="1:10" hidden="1" x14ac:dyDescent="0.25">
      <c r="A1554" s="114" t="s">
        <v>4338</v>
      </c>
      <c r="B1554" s="115" t="s">
        <v>3460</v>
      </c>
      <c r="C1554" s="116" t="s">
        <v>16</v>
      </c>
      <c r="D1554" s="116">
        <v>0</v>
      </c>
      <c r="E1554" s="136" t="s">
        <v>416</v>
      </c>
      <c r="F1554" s="137" t="str">
        <f t="shared" si="81"/>
        <v/>
      </c>
      <c r="G1554" s="138" t="e">
        <f>IF(A1554&lt;&gt;"",IF(AND(#REF!="Padrão",$H$4=#REF!),BDI!$B$17,IF(AND(#REF!="Padrão",$H$4=#REF!),BDI!#REF!,IF(AND(#REF!="Diferenciado",$H$4=#REF!),BDI!$E$17,IF(AND(#REF!="Diferenciado",$H$4=#REF!),BDI!#REF!,IF(#REF!="ZERO",0))))),"")</f>
        <v>#REF!</v>
      </c>
      <c r="H1554" s="139" t="str">
        <f t="shared" si="82"/>
        <v/>
      </c>
      <c r="I1554" s="137" t="str">
        <f t="shared" si="83"/>
        <v/>
      </c>
      <c r="J1554" s="117"/>
    </row>
    <row r="1555" spans="1:10" hidden="1" x14ac:dyDescent="0.25">
      <c r="A1555" s="114" t="s">
        <v>4339</v>
      </c>
      <c r="B1555" s="115" t="s">
        <v>5589</v>
      </c>
      <c r="C1555" s="116" t="s">
        <v>16</v>
      </c>
      <c r="D1555" s="116">
        <v>0</v>
      </c>
      <c r="E1555" s="136" t="s">
        <v>416</v>
      </c>
      <c r="F1555" s="137" t="str">
        <f t="shared" si="81"/>
        <v/>
      </c>
      <c r="G1555" s="138" t="e">
        <f>IF(A1555&lt;&gt;"",IF(AND(#REF!="Padrão",$H$4=#REF!),BDI!$B$17,IF(AND(#REF!="Padrão",$H$4=#REF!),BDI!#REF!,IF(AND(#REF!="Diferenciado",$H$4=#REF!),BDI!$E$17,IF(AND(#REF!="Diferenciado",$H$4=#REF!),BDI!#REF!,IF(#REF!="ZERO",0))))),"")</f>
        <v>#REF!</v>
      </c>
      <c r="H1555" s="139" t="str">
        <f t="shared" si="82"/>
        <v/>
      </c>
      <c r="I1555" s="137" t="str">
        <f t="shared" si="83"/>
        <v/>
      </c>
      <c r="J1555" s="117"/>
    </row>
    <row r="1556" spans="1:10" hidden="1" x14ac:dyDescent="0.25">
      <c r="A1556" s="114" t="s">
        <v>4340</v>
      </c>
      <c r="B1556" s="115" t="s">
        <v>5590</v>
      </c>
      <c r="C1556" s="116" t="s">
        <v>16</v>
      </c>
      <c r="D1556" s="116">
        <v>0</v>
      </c>
      <c r="E1556" s="136" t="s">
        <v>416</v>
      </c>
      <c r="F1556" s="137" t="str">
        <f t="shared" si="81"/>
        <v/>
      </c>
      <c r="G1556" s="138" t="e">
        <f>IF(A1556&lt;&gt;"",IF(AND(#REF!="Padrão",$H$4=#REF!),BDI!$B$17,IF(AND(#REF!="Padrão",$H$4=#REF!),BDI!#REF!,IF(AND(#REF!="Diferenciado",$H$4=#REF!),BDI!$E$17,IF(AND(#REF!="Diferenciado",$H$4=#REF!),BDI!#REF!,IF(#REF!="ZERO",0))))),"")</f>
        <v>#REF!</v>
      </c>
      <c r="H1556" s="139" t="str">
        <f t="shared" si="82"/>
        <v/>
      </c>
      <c r="I1556" s="137" t="str">
        <f t="shared" si="83"/>
        <v/>
      </c>
      <c r="J1556" s="117"/>
    </row>
    <row r="1557" spans="1:10" hidden="1" x14ac:dyDescent="0.25">
      <c r="A1557" s="114" t="s">
        <v>4341</v>
      </c>
      <c r="B1557" s="115" t="s">
        <v>3461</v>
      </c>
      <c r="C1557" s="116" t="s">
        <v>16</v>
      </c>
      <c r="D1557" s="116">
        <v>0</v>
      </c>
      <c r="E1557" s="136" t="s">
        <v>416</v>
      </c>
      <c r="F1557" s="137" t="str">
        <f t="shared" si="81"/>
        <v/>
      </c>
      <c r="G1557" s="138" t="e">
        <f>IF(A1557&lt;&gt;"",IF(AND(#REF!="Padrão",$H$4=#REF!),BDI!$B$17,IF(AND(#REF!="Padrão",$H$4=#REF!),BDI!#REF!,IF(AND(#REF!="Diferenciado",$H$4=#REF!),BDI!$E$17,IF(AND(#REF!="Diferenciado",$H$4=#REF!),BDI!#REF!,IF(#REF!="ZERO",0))))),"")</f>
        <v>#REF!</v>
      </c>
      <c r="H1557" s="139" t="str">
        <f t="shared" si="82"/>
        <v/>
      </c>
      <c r="I1557" s="137" t="str">
        <f t="shared" si="83"/>
        <v/>
      </c>
      <c r="J1557" s="117"/>
    </row>
    <row r="1558" spans="1:10" hidden="1" x14ac:dyDescent="0.25">
      <c r="A1558" s="114" t="s">
        <v>4342</v>
      </c>
      <c r="B1558" s="115" t="s">
        <v>3462</v>
      </c>
      <c r="C1558" s="116" t="s">
        <v>16</v>
      </c>
      <c r="D1558" s="116">
        <v>0</v>
      </c>
      <c r="E1558" s="136" t="s">
        <v>416</v>
      </c>
      <c r="F1558" s="137" t="str">
        <f t="shared" si="81"/>
        <v/>
      </c>
      <c r="G1558" s="138" t="e">
        <f>IF(A1558&lt;&gt;"",IF(AND(#REF!="Padrão",$H$4=#REF!),BDI!$B$17,IF(AND(#REF!="Padrão",$H$4=#REF!),BDI!#REF!,IF(AND(#REF!="Diferenciado",$H$4=#REF!),BDI!$E$17,IF(AND(#REF!="Diferenciado",$H$4=#REF!),BDI!#REF!,IF(#REF!="ZERO",0))))),"")</f>
        <v>#REF!</v>
      </c>
      <c r="H1558" s="139" t="str">
        <f t="shared" si="82"/>
        <v/>
      </c>
      <c r="I1558" s="137" t="str">
        <f t="shared" si="83"/>
        <v/>
      </c>
      <c r="J1558" s="117"/>
    </row>
    <row r="1559" spans="1:10" hidden="1" x14ac:dyDescent="0.25">
      <c r="A1559" s="114" t="s">
        <v>4343</v>
      </c>
      <c r="B1559" s="115" t="s">
        <v>3463</v>
      </c>
      <c r="C1559" s="116" t="s">
        <v>16</v>
      </c>
      <c r="D1559" s="116">
        <v>0</v>
      </c>
      <c r="E1559" s="136" t="s">
        <v>416</v>
      </c>
      <c r="F1559" s="137" t="str">
        <f t="shared" si="81"/>
        <v/>
      </c>
      <c r="G1559" s="138" t="e">
        <f>IF(A1559&lt;&gt;"",IF(AND(#REF!="Padrão",$H$4=#REF!),BDI!$B$17,IF(AND(#REF!="Padrão",$H$4=#REF!),BDI!#REF!,IF(AND(#REF!="Diferenciado",$H$4=#REF!),BDI!$E$17,IF(AND(#REF!="Diferenciado",$H$4=#REF!),BDI!#REF!,IF(#REF!="ZERO",0))))),"")</f>
        <v>#REF!</v>
      </c>
      <c r="H1559" s="139" t="str">
        <f t="shared" si="82"/>
        <v/>
      </c>
      <c r="I1559" s="137" t="str">
        <f t="shared" si="83"/>
        <v/>
      </c>
      <c r="J1559" s="117"/>
    </row>
    <row r="1560" spans="1:10" hidden="1" x14ac:dyDescent="0.25">
      <c r="A1560" s="114" t="s">
        <v>4344</v>
      </c>
      <c r="B1560" s="115" t="s">
        <v>3464</v>
      </c>
      <c r="C1560" s="116" t="s">
        <v>16</v>
      </c>
      <c r="D1560" s="116">
        <v>0</v>
      </c>
      <c r="E1560" s="136" t="s">
        <v>416</v>
      </c>
      <c r="F1560" s="137" t="str">
        <f t="shared" si="81"/>
        <v/>
      </c>
      <c r="G1560" s="138" t="e">
        <f>IF(A1560&lt;&gt;"",IF(AND(#REF!="Padrão",$H$4=#REF!),BDI!$B$17,IF(AND(#REF!="Padrão",$H$4=#REF!),BDI!#REF!,IF(AND(#REF!="Diferenciado",$H$4=#REF!),BDI!$E$17,IF(AND(#REF!="Diferenciado",$H$4=#REF!),BDI!#REF!,IF(#REF!="ZERO",0))))),"")</f>
        <v>#REF!</v>
      </c>
      <c r="H1560" s="139" t="str">
        <f t="shared" si="82"/>
        <v/>
      </c>
      <c r="I1560" s="137" t="str">
        <f t="shared" si="83"/>
        <v/>
      </c>
      <c r="J1560" s="117"/>
    </row>
    <row r="1561" spans="1:10" hidden="1" x14ac:dyDescent="0.25">
      <c r="A1561" s="114" t="s">
        <v>4345</v>
      </c>
      <c r="B1561" s="115" t="s">
        <v>3465</v>
      </c>
      <c r="C1561" s="116" t="s">
        <v>16</v>
      </c>
      <c r="D1561" s="116">
        <v>0</v>
      </c>
      <c r="E1561" s="136" t="s">
        <v>416</v>
      </c>
      <c r="F1561" s="137" t="str">
        <f t="shared" si="81"/>
        <v/>
      </c>
      <c r="G1561" s="138" t="e">
        <f>IF(A1561&lt;&gt;"",IF(AND(#REF!="Padrão",$H$4=#REF!),BDI!$B$17,IF(AND(#REF!="Padrão",$H$4=#REF!),BDI!#REF!,IF(AND(#REF!="Diferenciado",$H$4=#REF!),BDI!$E$17,IF(AND(#REF!="Diferenciado",$H$4=#REF!),BDI!#REF!,IF(#REF!="ZERO",0))))),"")</f>
        <v>#REF!</v>
      </c>
      <c r="H1561" s="139" t="str">
        <f t="shared" si="82"/>
        <v/>
      </c>
      <c r="I1561" s="137" t="str">
        <f t="shared" si="83"/>
        <v/>
      </c>
      <c r="J1561" s="117"/>
    </row>
    <row r="1562" spans="1:10" hidden="1" x14ac:dyDescent="0.25">
      <c r="A1562" s="114" t="s">
        <v>4346</v>
      </c>
      <c r="B1562" s="115" t="s">
        <v>3466</v>
      </c>
      <c r="C1562" s="116" t="s">
        <v>16</v>
      </c>
      <c r="D1562" s="116">
        <v>0</v>
      </c>
      <c r="E1562" s="136" t="s">
        <v>416</v>
      </c>
      <c r="F1562" s="137" t="str">
        <f t="shared" si="81"/>
        <v/>
      </c>
      <c r="G1562" s="138" t="e">
        <f>IF(A1562&lt;&gt;"",IF(AND(#REF!="Padrão",$H$4=#REF!),BDI!$B$17,IF(AND(#REF!="Padrão",$H$4=#REF!),BDI!#REF!,IF(AND(#REF!="Diferenciado",$H$4=#REF!),BDI!$E$17,IF(AND(#REF!="Diferenciado",$H$4=#REF!),BDI!#REF!,IF(#REF!="ZERO",0))))),"")</f>
        <v>#REF!</v>
      </c>
      <c r="H1562" s="139" t="str">
        <f t="shared" si="82"/>
        <v/>
      </c>
      <c r="I1562" s="137" t="str">
        <f t="shared" si="83"/>
        <v/>
      </c>
      <c r="J1562" s="117"/>
    </row>
    <row r="1563" spans="1:10" hidden="1" x14ac:dyDescent="0.25">
      <c r="A1563" s="114" t="s">
        <v>4347</v>
      </c>
      <c r="B1563" s="115" t="s">
        <v>3467</v>
      </c>
      <c r="C1563" s="116" t="s">
        <v>16</v>
      </c>
      <c r="D1563" s="116">
        <v>0</v>
      </c>
      <c r="E1563" s="136" t="s">
        <v>416</v>
      </c>
      <c r="F1563" s="137" t="str">
        <f t="shared" si="81"/>
        <v/>
      </c>
      <c r="G1563" s="138" t="e">
        <f>IF(A1563&lt;&gt;"",IF(AND(#REF!="Padrão",$H$4=#REF!),BDI!$B$17,IF(AND(#REF!="Padrão",$H$4=#REF!),BDI!#REF!,IF(AND(#REF!="Diferenciado",$H$4=#REF!),BDI!$E$17,IF(AND(#REF!="Diferenciado",$H$4=#REF!),BDI!#REF!,IF(#REF!="ZERO",0))))),"")</f>
        <v>#REF!</v>
      </c>
      <c r="H1563" s="139" t="str">
        <f t="shared" si="82"/>
        <v/>
      </c>
      <c r="I1563" s="137" t="str">
        <f t="shared" si="83"/>
        <v/>
      </c>
      <c r="J1563" s="117"/>
    </row>
    <row r="1564" spans="1:10" hidden="1" x14ac:dyDescent="0.25">
      <c r="A1564" s="114" t="s">
        <v>4348</v>
      </c>
      <c r="B1564" s="115" t="s">
        <v>3468</v>
      </c>
      <c r="C1564" s="116" t="s">
        <v>16</v>
      </c>
      <c r="D1564" s="116">
        <v>0</v>
      </c>
      <c r="E1564" s="136" t="s">
        <v>416</v>
      </c>
      <c r="F1564" s="137" t="str">
        <f t="shared" si="81"/>
        <v/>
      </c>
      <c r="G1564" s="138" t="e">
        <f>IF(A1564&lt;&gt;"",IF(AND(#REF!="Padrão",$H$4=#REF!),BDI!$B$17,IF(AND(#REF!="Padrão",$H$4=#REF!),BDI!#REF!,IF(AND(#REF!="Diferenciado",$H$4=#REF!),BDI!$E$17,IF(AND(#REF!="Diferenciado",$H$4=#REF!),BDI!#REF!,IF(#REF!="ZERO",0))))),"")</f>
        <v>#REF!</v>
      </c>
      <c r="H1564" s="139" t="str">
        <f t="shared" si="82"/>
        <v/>
      </c>
      <c r="I1564" s="137" t="str">
        <f t="shared" si="83"/>
        <v/>
      </c>
      <c r="J1564" s="117"/>
    </row>
    <row r="1565" spans="1:10" hidden="1" x14ac:dyDescent="0.25">
      <c r="A1565" s="114" t="s">
        <v>4349</v>
      </c>
      <c r="B1565" s="115" t="s">
        <v>3469</v>
      </c>
      <c r="C1565" s="116" t="s">
        <v>16</v>
      </c>
      <c r="D1565" s="116">
        <v>0</v>
      </c>
      <c r="E1565" s="136" t="s">
        <v>416</v>
      </c>
      <c r="F1565" s="137" t="str">
        <f t="shared" si="81"/>
        <v/>
      </c>
      <c r="G1565" s="138" t="e">
        <f>IF(A1565&lt;&gt;"",IF(AND(#REF!="Padrão",$H$4=#REF!),BDI!$B$17,IF(AND(#REF!="Padrão",$H$4=#REF!),BDI!#REF!,IF(AND(#REF!="Diferenciado",$H$4=#REF!),BDI!$E$17,IF(AND(#REF!="Diferenciado",$H$4=#REF!),BDI!#REF!,IF(#REF!="ZERO",0))))),"")</f>
        <v>#REF!</v>
      </c>
      <c r="H1565" s="139" t="str">
        <f t="shared" si="82"/>
        <v/>
      </c>
      <c r="I1565" s="137" t="str">
        <f t="shared" si="83"/>
        <v/>
      </c>
      <c r="J1565" s="117"/>
    </row>
    <row r="1566" spans="1:10" hidden="1" x14ac:dyDescent="0.25">
      <c r="A1566" s="114" t="s">
        <v>4350</v>
      </c>
      <c r="B1566" s="115" t="s">
        <v>3470</v>
      </c>
      <c r="C1566" s="116" t="s">
        <v>16</v>
      </c>
      <c r="D1566" s="116">
        <v>0</v>
      </c>
      <c r="E1566" s="136">
        <f ca="1">OFFSET(INDEX(Composições!A:J,MATCH(Orçamentária!A1566,Composições!A:A,0),8),2,0)</f>
        <v>4.8449999999999998</v>
      </c>
      <c r="F1566" s="137">
        <f t="shared" ca="1" si="81"/>
        <v>0</v>
      </c>
      <c r="G1566" s="138" t="e">
        <f>IF(A1566&lt;&gt;"",IF(AND(#REF!="Padrão",$H$4=#REF!),BDI!$B$17,IF(AND(#REF!="Padrão",$H$4=#REF!),BDI!#REF!,IF(AND(#REF!="Diferenciado",$H$4=#REF!),BDI!$E$17,IF(AND(#REF!="Diferenciado",$H$4=#REF!),BDI!#REF!,IF(#REF!="ZERO",0))))),"")</f>
        <v>#REF!</v>
      </c>
      <c r="H1566" s="139" t="e">
        <f t="shared" ca="1" si="82"/>
        <v>#REF!</v>
      </c>
      <c r="I1566" s="137" t="e">
        <f t="shared" ca="1" si="83"/>
        <v>#REF!</v>
      </c>
      <c r="J1566" s="117"/>
    </row>
    <row r="1567" spans="1:10" hidden="1" x14ac:dyDescent="0.25">
      <c r="A1567" s="114" t="s">
        <v>4351</v>
      </c>
      <c r="B1567" s="115" t="s">
        <v>3471</v>
      </c>
      <c r="C1567" s="116" t="s">
        <v>16</v>
      </c>
      <c r="D1567" s="116">
        <v>0</v>
      </c>
      <c r="E1567" s="136" t="s">
        <v>416</v>
      </c>
      <c r="F1567" s="137" t="str">
        <f t="shared" si="81"/>
        <v/>
      </c>
      <c r="G1567" s="138" t="e">
        <f>IF(A1567&lt;&gt;"",IF(AND(#REF!="Padrão",$H$4=#REF!),BDI!$B$17,IF(AND(#REF!="Padrão",$H$4=#REF!),BDI!#REF!,IF(AND(#REF!="Diferenciado",$H$4=#REF!),BDI!$E$17,IF(AND(#REF!="Diferenciado",$H$4=#REF!),BDI!#REF!,IF(#REF!="ZERO",0))))),"")</f>
        <v>#REF!</v>
      </c>
      <c r="H1567" s="139" t="str">
        <f t="shared" si="82"/>
        <v/>
      </c>
      <c r="I1567" s="137" t="str">
        <f t="shared" si="83"/>
        <v/>
      </c>
      <c r="J1567" s="117"/>
    </row>
    <row r="1568" spans="1:10" hidden="1" x14ac:dyDescent="0.25">
      <c r="A1568" s="114" t="s">
        <v>4352</v>
      </c>
      <c r="B1568" s="115" t="s">
        <v>3472</v>
      </c>
      <c r="C1568" s="116" t="s">
        <v>16</v>
      </c>
      <c r="D1568" s="116">
        <v>0</v>
      </c>
      <c r="E1568" s="136">
        <f ca="1">OFFSET(INDEX(Composições!A:J,MATCH(Orçamentária!A1568,Composições!A:A,0),8),2,0)</f>
        <v>2.9164999999999996</v>
      </c>
      <c r="F1568" s="137">
        <f t="shared" ca="1" si="81"/>
        <v>0</v>
      </c>
      <c r="G1568" s="138" t="e">
        <f>IF(A1568&lt;&gt;"",IF(AND(#REF!="Padrão",$H$4=#REF!),BDI!$B$17,IF(AND(#REF!="Padrão",$H$4=#REF!),BDI!#REF!,IF(AND(#REF!="Diferenciado",$H$4=#REF!),BDI!$E$17,IF(AND(#REF!="Diferenciado",$H$4=#REF!),BDI!#REF!,IF(#REF!="ZERO",0))))),"")</f>
        <v>#REF!</v>
      </c>
      <c r="H1568" s="139" t="e">
        <f t="shared" ca="1" si="82"/>
        <v>#REF!</v>
      </c>
      <c r="I1568" s="137" t="e">
        <f t="shared" ca="1" si="83"/>
        <v>#REF!</v>
      </c>
      <c r="J1568" s="117"/>
    </row>
    <row r="1569" spans="1:10" hidden="1" x14ac:dyDescent="0.25">
      <c r="A1569" s="114" t="s">
        <v>4353</v>
      </c>
      <c r="B1569" s="115" t="s">
        <v>3473</v>
      </c>
      <c r="C1569" s="116" t="s">
        <v>16</v>
      </c>
      <c r="D1569" s="116">
        <v>0</v>
      </c>
      <c r="E1569" s="136">
        <f ca="1">OFFSET(INDEX(Composições!A:J,MATCH(Orçamentária!A1569,Composições!A:A,0),8),2,0)</f>
        <v>3.2869999999999999</v>
      </c>
      <c r="F1569" s="137">
        <f t="shared" ca="1" si="81"/>
        <v>0</v>
      </c>
      <c r="G1569" s="138" t="e">
        <f>IF(A1569&lt;&gt;"",IF(AND(#REF!="Padrão",$H$4=#REF!),BDI!$B$17,IF(AND(#REF!="Padrão",$H$4=#REF!),BDI!#REF!,IF(AND(#REF!="Diferenciado",$H$4=#REF!),BDI!$E$17,IF(AND(#REF!="Diferenciado",$H$4=#REF!),BDI!#REF!,IF(#REF!="ZERO",0))))),"")</f>
        <v>#REF!</v>
      </c>
      <c r="H1569" s="139" t="e">
        <f t="shared" ca="1" si="82"/>
        <v>#REF!</v>
      </c>
      <c r="I1569" s="137" t="e">
        <f t="shared" ca="1" si="83"/>
        <v>#REF!</v>
      </c>
      <c r="J1569" s="117"/>
    </row>
    <row r="1570" spans="1:10" hidden="1" x14ac:dyDescent="0.25">
      <c r="A1570" s="114" t="s">
        <v>4354</v>
      </c>
      <c r="B1570" s="115" t="s">
        <v>3474</v>
      </c>
      <c r="C1570" s="116" t="s">
        <v>16</v>
      </c>
      <c r="D1570" s="116">
        <v>0</v>
      </c>
      <c r="E1570" s="136">
        <f ca="1">OFFSET(INDEX(Composições!A:J,MATCH(Orçamentária!A1570,Composições!A:A,0),8),2,0)</f>
        <v>5.6999999999999993</v>
      </c>
      <c r="F1570" s="137">
        <f t="shared" ca="1" si="81"/>
        <v>0</v>
      </c>
      <c r="G1570" s="138" t="e">
        <f>IF(A1570&lt;&gt;"",IF(AND(#REF!="Padrão",$H$4=#REF!),BDI!$B$17,IF(AND(#REF!="Padrão",$H$4=#REF!),BDI!#REF!,IF(AND(#REF!="Diferenciado",$H$4=#REF!),BDI!$E$17,IF(AND(#REF!="Diferenciado",$H$4=#REF!),BDI!#REF!,IF(#REF!="ZERO",0))))),"")</f>
        <v>#REF!</v>
      </c>
      <c r="H1570" s="139" t="e">
        <f t="shared" ca="1" si="82"/>
        <v>#REF!</v>
      </c>
      <c r="I1570" s="137" t="e">
        <f t="shared" ca="1" si="83"/>
        <v>#REF!</v>
      </c>
      <c r="J1570" s="117"/>
    </row>
    <row r="1571" spans="1:10" hidden="1" x14ac:dyDescent="0.25">
      <c r="A1571" s="114" t="s">
        <v>4355</v>
      </c>
      <c r="B1571" s="115" t="s">
        <v>3475</v>
      </c>
      <c r="C1571" s="116" t="s">
        <v>16</v>
      </c>
      <c r="D1571" s="116">
        <v>0</v>
      </c>
      <c r="E1571" s="136">
        <f ca="1">OFFSET(INDEX(Composições!A:J,MATCH(Orçamentária!A1571,Composições!A:A,0),8),2,0)</f>
        <v>7.1059999999999999</v>
      </c>
      <c r="F1571" s="137">
        <f t="shared" ca="1" si="81"/>
        <v>0</v>
      </c>
      <c r="G1571" s="138" t="e">
        <f>IF(A1571&lt;&gt;"",IF(AND(#REF!="Padrão",$H$4=#REF!),BDI!$B$17,IF(AND(#REF!="Padrão",$H$4=#REF!),BDI!#REF!,IF(AND(#REF!="Diferenciado",$H$4=#REF!),BDI!$E$17,IF(AND(#REF!="Diferenciado",$H$4=#REF!),BDI!#REF!,IF(#REF!="ZERO",0))))),"")</f>
        <v>#REF!</v>
      </c>
      <c r="H1571" s="139" t="e">
        <f t="shared" ca="1" si="82"/>
        <v>#REF!</v>
      </c>
      <c r="I1571" s="137" t="e">
        <f t="shared" ca="1" si="83"/>
        <v>#REF!</v>
      </c>
      <c r="J1571" s="117"/>
    </row>
    <row r="1572" spans="1:10" hidden="1" x14ac:dyDescent="0.25">
      <c r="A1572" s="114" t="s">
        <v>4356</v>
      </c>
      <c r="B1572" s="115" t="s">
        <v>3476</v>
      </c>
      <c r="C1572" s="116" t="s">
        <v>16</v>
      </c>
      <c r="D1572" s="116">
        <v>0</v>
      </c>
      <c r="E1572" s="136">
        <f ca="1">OFFSET(INDEX(Composições!A:J,MATCH(Orçamentária!A1572,Composições!A:A,0),8),2,0)</f>
        <v>8.7495000000000012</v>
      </c>
      <c r="F1572" s="137">
        <f t="shared" ca="1" si="81"/>
        <v>0</v>
      </c>
      <c r="G1572" s="138" t="e">
        <f>IF(A1572&lt;&gt;"",IF(AND(#REF!="Padrão",$H$4=#REF!),BDI!$B$17,IF(AND(#REF!="Padrão",$H$4=#REF!),BDI!#REF!,IF(AND(#REF!="Diferenciado",$H$4=#REF!),BDI!$E$17,IF(AND(#REF!="Diferenciado",$H$4=#REF!),BDI!#REF!,IF(#REF!="ZERO",0))))),"")</f>
        <v>#REF!</v>
      </c>
      <c r="H1572" s="139" t="e">
        <f t="shared" ca="1" si="82"/>
        <v>#REF!</v>
      </c>
      <c r="I1572" s="137" t="e">
        <f t="shared" ca="1" si="83"/>
        <v>#REF!</v>
      </c>
      <c r="J1572" s="117"/>
    </row>
    <row r="1573" spans="1:10" hidden="1" x14ac:dyDescent="0.25">
      <c r="A1573" s="114" t="s">
        <v>4357</v>
      </c>
      <c r="B1573" s="115" t="s">
        <v>3477</v>
      </c>
      <c r="C1573" s="116" t="s">
        <v>16</v>
      </c>
      <c r="D1573" s="116">
        <v>0</v>
      </c>
      <c r="E1573" s="136">
        <f ca="1">OFFSET(INDEX(Composições!A:J,MATCH(Orçamentária!A1573,Composições!A:A,0),8),2,0)</f>
        <v>12.311999999999999</v>
      </c>
      <c r="F1573" s="137">
        <f t="shared" ca="1" si="81"/>
        <v>0</v>
      </c>
      <c r="G1573" s="138" t="e">
        <f>IF(A1573&lt;&gt;"",IF(AND(#REF!="Padrão",$H$4=#REF!),BDI!$B$17,IF(AND(#REF!="Padrão",$H$4=#REF!),BDI!#REF!,IF(AND(#REF!="Diferenciado",$H$4=#REF!),BDI!$E$17,IF(AND(#REF!="Diferenciado",$H$4=#REF!),BDI!#REF!,IF(#REF!="ZERO",0))))),"")</f>
        <v>#REF!</v>
      </c>
      <c r="H1573" s="139" t="e">
        <f t="shared" ca="1" si="82"/>
        <v>#REF!</v>
      </c>
      <c r="I1573" s="137" t="e">
        <f t="shared" ca="1" si="83"/>
        <v>#REF!</v>
      </c>
      <c r="J1573" s="117"/>
    </row>
    <row r="1574" spans="1:10" hidden="1" x14ac:dyDescent="0.25">
      <c r="A1574" s="114" t="s">
        <v>4358</v>
      </c>
      <c r="B1574" s="115" t="s">
        <v>3478</v>
      </c>
      <c r="C1574" s="116" t="s">
        <v>16</v>
      </c>
      <c r="D1574" s="116">
        <v>0</v>
      </c>
      <c r="E1574" s="136">
        <f ca="1">OFFSET(INDEX(Composições!A:J,MATCH(Orçamentária!A1574,Composições!A:A,0),8),2,0)</f>
        <v>27.701999999999998</v>
      </c>
      <c r="F1574" s="137">
        <f t="shared" ca="1" si="81"/>
        <v>0</v>
      </c>
      <c r="G1574" s="138" t="e">
        <f>IF(A1574&lt;&gt;"",IF(AND(#REF!="Padrão",$H$4=#REF!),BDI!$B$17,IF(AND(#REF!="Padrão",$H$4=#REF!),BDI!#REF!,IF(AND(#REF!="Diferenciado",$H$4=#REF!),BDI!$E$17,IF(AND(#REF!="Diferenciado",$H$4=#REF!),BDI!#REF!,IF(#REF!="ZERO",0))))),"")</f>
        <v>#REF!</v>
      </c>
      <c r="H1574" s="139" t="e">
        <f t="shared" ca="1" si="82"/>
        <v>#REF!</v>
      </c>
      <c r="I1574" s="137" t="e">
        <f t="shared" ca="1" si="83"/>
        <v>#REF!</v>
      </c>
      <c r="J1574" s="117"/>
    </row>
    <row r="1575" spans="1:10" hidden="1" x14ac:dyDescent="0.25">
      <c r="A1575" s="114" t="s">
        <v>4359</v>
      </c>
      <c r="B1575" s="115" t="s">
        <v>3479</v>
      </c>
      <c r="C1575" s="116" t="s">
        <v>16</v>
      </c>
      <c r="D1575" s="116">
        <v>0</v>
      </c>
      <c r="E1575" s="136">
        <f ca="1">OFFSET(INDEX(Composições!A:J,MATCH(Orçamentária!A1575,Composições!A:A,0),8),2,0)</f>
        <v>30.276499999999999</v>
      </c>
      <c r="F1575" s="137">
        <f t="shared" ca="1" si="81"/>
        <v>0</v>
      </c>
      <c r="G1575" s="138" t="e">
        <f>IF(A1575&lt;&gt;"",IF(AND(#REF!="Padrão",$H$4=#REF!),BDI!$B$17,IF(AND(#REF!="Padrão",$H$4=#REF!),BDI!#REF!,IF(AND(#REF!="Diferenciado",$H$4=#REF!),BDI!$E$17,IF(AND(#REF!="Diferenciado",$H$4=#REF!),BDI!#REF!,IF(#REF!="ZERO",0))))),"")</f>
        <v>#REF!</v>
      </c>
      <c r="H1575" s="139" t="e">
        <f t="shared" ca="1" si="82"/>
        <v>#REF!</v>
      </c>
      <c r="I1575" s="137" t="e">
        <f t="shared" ca="1" si="83"/>
        <v>#REF!</v>
      </c>
      <c r="J1575" s="117"/>
    </row>
    <row r="1576" spans="1:10" hidden="1" x14ac:dyDescent="0.25">
      <c r="A1576" s="114" t="s">
        <v>4360</v>
      </c>
      <c r="B1576" s="115" t="s">
        <v>3480</v>
      </c>
      <c r="C1576" s="116" t="s">
        <v>16</v>
      </c>
      <c r="D1576" s="116">
        <v>0</v>
      </c>
      <c r="E1576" s="136">
        <f ca="1">OFFSET(INDEX(Composições!A:J,MATCH(Orçamentária!A1576,Composições!A:A,0),8),2,0)</f>
        <v>39.957000000000001</v>
      </c>
      <c r="F1576" s="137">
        <f t="shared" ca="1" si="81"/>
        <v>0</v>
      </c>
      <c r="G1576" s="138" t="e">
        <f>IF(A1576&lt;&gt;"",IF(AND(#REF!="Padrão",$H$4=#REF!),BDI!$B$17,IF(AND(#REF!="Padrão",$H$4=#REF!),BDI!#REF!,IF(AND(#REF!="Diferenciado",$H$4=#REF!),BDI!$E$17,IF(AND(#REF!="Diferenciado",$H$4=#REF!),BDI!#REF!,IF(#REF!="ZERO",0))))),"")</f>
        <v>#REF!</v>
      </c>
      <c r="H1576" s="139" t="e">
        <f t="shared" ca="1" si="82"/>
        <v>#REF!</v>
      </c>
      <c r="I1576" s="137" t="e">
        <f t="shared" ca="1" si="83"/>
        <v>#REF!</v>
      </c>
      <c r="J1576" s="117"/>
    </row>
    <row r="1577" spans="1:10" hidden="1" x14ac:dyDescent="0.25">
      <c r="A1577" s="114" t="s">
        <v>4361</v>
      </c>
      <c r="B1577" s="115" t="s">
        <v>3481</v>
      </c>
      <c r="C1577" s="116" t="s">
        <v>16</v>
      </c>
      <c r="D1577" s="116">
        <v>0</v>
      </c>
      <c r="E1577" s="136">
        <f ca="1">OFFSET(INDEX(Composições!A:J,MATCH(Orçamentária!A1577,Composições!A:A,0),8),2,0)</f>
        <v>58.14</v>
      </c>
      <c r="F1577" s="137">
        <f t="shared" ca="1" si="81"/>
        <v>0</v>
      </c>
      <c r="G1577" s="138" t="e">
        <f>IF(A1577&lt;&gt;"",IF(AND(#REF!="Padrão",$H$4=#REF!),BDI!$B$17,IF(AND(#REF!="Padrão",$H$4=#REF!),BDI!#REF!,IF(AND(#REF!="Diferenciado",$H$4=#REF!),BDI!$E$17,IF(AND(#REF!="Diferenciado",$H$4=#REF!),BDI!#REF!,IF(#REF!="ZERO",0))))),"")</f>
        <v>#REF!</v>
      </c>
      <c r="H1577" s="139" t="e">
        <f t="shared" ca="1" si="82"/>
        <v>#REF!</v>
      </c>
      <c r="I1577" s="137" t="e">
        <f t="shared" ca="1" si="83"/>
        <v>#REF!</v>
      </c>
      <c r="J1577" s="117"/>
    </row>
    <row r="1578" spans="1:10" hidden="1" x14ac:dyDescent="0.25">
      <c r="A1578" s="114" t="s">
        <v>4362</v>
      </c>
      <c r="B1578" s="115" t="s">
        <v>3482</v>
      </c>
      <c r="C1578" s="116" t="s">
        <v>16</v>
      </c>
      <c r="D1578" s="116">
        <v>0</v>
      </c>
      <c r="E1578" s="136" t="s">
        <v>416</v>
      </c>
      <c r="F1578" s="137" t="str">
        <f t="shared" si="81"/>
        <v/>
      </c>
      <c r="G1578" s="138" t="e">
        <f>IF(A1578&lt;&gt;"",IF(AND(#REF!="Padrão",$H$4=#REF!),BDI!$B$17,IF(AND(#REF!="Padrão",$H$4=#REF!),BDI!#REF!,IF(AND(#REF!="Diferenciado",$H$4=#REF!),BDI!$E$17,IF(AND(#REF!="Diferenciado",$H$4=#REF!),BDI!#REF!,IF(#REF!="ZERO",0))))),"")</f>
        <v>#REF!</v>
      </c>
      <c r="H1578" s="139" t="str">
        <f t="shared" si="82"/>
        <v/>
      </c>
      <c r="I1578" s="137" t="str">
        <f t="shared" si="83"/>
        <v/>
      </c>
      <c r="J1578" s="117"/>
    </row>
    <row r="1579" spans="1:10" hidden="1" x14ac:dyDescent="0.25">
      <c r="A1579" s="114" t="s">
        <v>4363</v>
      </c>
      <c r="B1579" s="115" t="s">
        <v>3483</v>
      </c>
      <c r="C1579" s="116" t="s">
        <v>16</v>
      </c>
      <c r="D1579" s="116">
        <v>0</v>
      </c>
      <c r="E1579" s="136" t="s">
        <v>416</v>
      </c>
      <c r="F1579" s="137" t="str">
        <f t="shared" si="81"/>
        <v/>
      </c>
      <c r="G1579" s="138" t="e">
        <f>IF(A1579&lt;&gt;"",IF(AND(#REF!="Padrão",$H$4=#REF!),BDI!$B$17,IF(AND(#REF!="Padrão",$H$4=#REF!),BDI!#REF!,IF(AND(#REF!="Diferenciado",$H$4=#REF!),BDI!$E$17,IF(AND(#REF!="Diferenciado",$H$4=#REF!),BDI!#REF!,IF(#REF!="ZERO",0))))),"")</f>
        <v>#REF!</v>
      </c>
      <c r="H1579" s="139" t="str">
        <f t="shared" si="82"/>
        <v/>
      </c>
      <c r="I1579" s="137" t="str">
        <f t="shared" si="83"/>
        <v/>
      </c>
      <c r="J1579" s="117"/>
    </row>
    <row r="1580" spans="1:10" hidden="1" x14ac:dyDescent="0.25">
      <c r="A1580" s="114" t="s">
        <v>4364</v>
      </c>
      <c r="B1580" s="115" t="s">
        <v>3484</v>
      </c>
      <c r="C1580" s="116" t="s">
        <v>16</v>
      </c>
      <c r="D1580" s="116">
        <v>0</v>
      </c>
      <c r="E1580" s="136" t="s">
        <v>416</v>
      </c>
      <c r="F1580" s="137" t="str">
        <f t="shared" si="81"/>
        <v/>
      </c>
      <c r="G1580" s="138" t="e">
        <f>IF(A1580&lt;&gt;"",IF(AND(#REF!="Padrão",$H$4=#REF!),BDI!$B$17,IF(AND(#REF!="Padrão",$H$4=#REF!),BDI!#REF!,IF(AND(#REF!="Diferenciado",$H$4=#REF!),BDI!$E$17,IF(AND(#REF!="Diferenciado",$H$4=#REF!),BDI!#REF!,IF(#REF!="ZERO",0))))),"")</f>
        <v>#REF!</v>
      </c>
      <c r="H1580" s="139" t="str">
        <f t="shared" si="82"/>
        <v/>
      </c>
      <c r="I1580" s="137" t="str">
        <f t="shared" si="83"/>
        <v/>
      </c>
      <c r="J1580" s="117"/>
    </row>
    <row r="1581" spans="1:10" hidden="1" x14ac:dyDescent="0.25">
      <c r="A1581" s="114" t="s">
        <v>4365</v>
      </c>
      <c r="B1581" s="115" t="s">
        <v>3485</v>
      </c>
      <c r="C1581" s="116" t="s">
        <v>16</v>
      </c>
      <c r="D1581" s="116">
        <v>0</v>
      </c>
      <c r="E1581" s="136" t="s">
        <v>416</v>
      </c>
      <c r="F1581" s="137" t="str">
        <f t="shared" ref="F1581:F1644" si="84">IF(ISNUMBER(E1581),D1581*E1581,"")</f>
        <v/>
      </c>
      <c r="G1581" s="138" t="e">
        <f>IF(A1581&lt;&gt;"",IF(AND(#REF!="Padrão",$H$4=#REF!),BDI!$B$17,IF(AND(#REF!="Padrão",$H$4=#REF!),BDI!#REF!,IF(AND(#REF!="Diferenciado",$H$4=#REF!),BDI!$E$17,IF(AND(#REF!="Diferenciado",$H$4=#REF!),BDI!#REF!,IF(#REF!="ZERO",0))))),"")</f>
        <v>#REF!</v>
      </c>
      <c r="H1581" s="139" t="str">
        <f t="shared" ref="H1581:H1644" si="85">IF(ISNUMBER(E1581),ROUND(E1581*(1+G1581),2),"")</f>
        <v/>
      </c>
      <c r="I1581" s="137" t="str">
        <f t="shared" ref="I1581:I1644" si="86">IF(ISNUMBER(E1581),ROUND(H1581*D1581,2),"")</f>
        <v/>
      </c>
      <c r="J1581" s="117"/>
    </row>
    <row r="1582" spans="1:10" hidden="1" x14ac:dyDescent="0.25">
      <c r="A1582" s="114" t="s">
        <v>4366</v>
      </c>
      <c r="B1582" s="115" t="s">
        <v>3486</v>
      </c>
      <c r="C1582" s="116" t="s">
        <v>16</v>
      </c>
      <c r="D1582" s="116">
        <v>0</v>
      </c>
      <c r="E1582" s="136" t="s">
        <v>416</v>
      </c>
      <c r="F1582" s="137" t="str">
        <f t="shared" si="84"/>
        <v/>
      </c>
      <c r="G1582" s="138" t="e">
        <f>IF(A1582&lt;&gt;"",IF(AND(#REF!="Padrão",$H$4=#REF!),BDI!$B$17,IF(AND(#REF!="Padrão",$H$4=#REF!),BDI!#REF!,IF(AND(#REF!="Diferenciado",$H$4=#REF!),BDI!$E$17,IF(AND(#REF!="Diferenciado",$H$4=#REF!),BDI!#REF!,IF(#REF!="ZERO",0))))),"")</f>
        <v>#REF!</v>
      </c>
      <c r="H1582" s="139" t="str">
        <f t="shared" si="85"/>
        <v/>
      </c>
      <c r="I1582" s="137" t="str">
        <f t="shared" si="86"/>
        <v/>
      </c>
      <c r="J1582" s="117"/>
    </row>
    <row r="1583" spans="1:10" hidden="1" x14ac:dyDescent="0.25">
      <c r="A1583" s="114" t="s">
        <v>4367</v>
      </c>
      <c r="B1583" s="115" t="s">
        <v>3487</v>
      </c>
      <c r="C1583" s="116" t="s">
        <v>16</v>
      </c>
      <c r="D1583" s="116">
        <v>0</v>
      </c>
      <c r="E1583" s="136" t="s">
        <v>416</v>
      </c>
      <c r="F1583" s="137" t="str">
        <f t="shared" si="84"/>
        <v/>
      </c>
      <c r="G1583" s="138" t="e">
        <f>IF(A1583&lt;&gt;"",IF(AND(#REF!="Padrão",$H$4=#REF!),BDI!$B$17,IF(AND(#REF!="Padrão",$H$4=#REF!),BDI!#REF!,IF(AND(#REF!="Diferenciado",$H$4=#REF!),BDI!$E$17,IF(AND(#REF!="Diferenciado",$H$4=#REF!),BDI!#REF!,IF(#REF!="ZERO",0))))),"")</f>
        <v>#REF!</v>
      </c>
      <c r="H1583" s="139" t="str">
        <f t="shared" si="85"/>
        <v/>
      </c>
      <c r="I1583" s="137" t="str">
        <f t="shared" si="86"/>
        <v/>
      </c>
      <c r="J1583" s="117"/>
    </row>
    <row r="1584" spans="1:10" hidden="1" x14ac:dyDescent="0.25">
      <c r="A1584" s="114" t="s">
        <v>4368</v>
      </c>
      <c r="B1584" s="115" t="s">
        <v>3488</v>
      </c>
      <c r="C1584" s="116" t="s">
        <v>16</v>
      </c>
      <c r="D1584" s="116">
        <v>0</v>
      </c>
      <c r="E1584" s="136" t="s">
        <v>416</v>
      </c>
      <c r="F1584" s="137" t="str">
        <f t="shared" si="84"/>
        <v/>
      </c>
      <c r="G1584" s="138" t="e">
        <f>IF(A1584&lt;&gt;"",IF(AND(#REF!="Padrão",$H$4=#REF!),BDI!$B$17,IF(AND(#REF!="Padrão",$H$4=#REF!),BDI!#REF!,IF(AND(#REF!="Diferenciado",$H$4=#REF!),BDI!$E$17,IF(AND(#REF!="Diferenciado",$H$4=#REF!),BDI!#REF!,IF(#REF!="ZERO",0))))),"")</f>
        <v>#REF!</v>
      </c>
      <c r="H1584" s="139" t="str">
        <f t="shared" si="85"/>
        <v/>
      </c>
      <c r="I1584" s="137" t="str">
        <f t="shared" si="86"/>
        <v/>
      </c>
      <c r="J1584" s="117"/>
    </row>
    <row r="1585" spans="1:10" hidden="1" x14ac:dyDescent="0.25">
      <c r="A1585" s="114" t="s">
        <v>4369</v>
      </c>
      <c r="B1585" s="115" t="s">
        <v>3489</v>
      </c>
      <c r="C1585" s="116" t="s">
        <v>16</v>
      </c>
      <c r="D1585" s="116">
        <v>0</v>
      </c>
      <c r="E1585" s="136" t="s">
        <v>416</v>
      </c>
      <c r="F1585" s="137" t="str">
        <f t="shared" si="84"/>
        <v/>
      </c>
      <c r="G1585" s="138" t="e">
        <f>IF(A1585&lt;&gt;"",IF(AND(#REF!="Padrão",$H$4=#REF!),BDI!$B$17,IF(AND(#REF!="Padrão",$H$4=#REF!),BDI!#REF!,IF(AND(#REF!="Diferenciado",$H$4=#REF!),BDI!$E$17,IF(AND(#REF!="Diferenciado",$H$4=#REF!),BDI!#REF!,IF(#REF!="ZERO",0))))),"")</f>
        <v>#REF!</v>
      </c>
      <c r="H1585" s="139" t="str">
        <f t="shared" si="85"/>
        <v/>
      </c>
      <c r="I1585" s="137" t="str">
        <f t="shared" si="86"/>
        <v/>
      </c>
      <c r="J1585" s="117"/>
    </row>
    <row r="1586" spans="1:10" hidden="1" x14ac:dyDescent="0.25">
      <c r="A1586" s="114" t="s">
        <v>4370</v>
      </c>
      <c r="B1586" s="115" t="s">
        <v>3490</v>
      </c>
      <c r="C1586" s="116" t="s">
        <v>16</v>
      </c>
      <c r="D1586" s="116">
        <v>0</v>
      </c>
      <c r="E1586" s="136" t="s">
        <v>416</v>
      </c>
      <c r="F1586" s="137" t="str">
        <f t="shared" si="84"/>
        <v/>
      </c>
      <c r="G1586" s="138" t="e">
        <f>IF(A1586&lt;&gt;"",IF(AND(#REF!="Padrão",$H$4=#REF!),BDI!$B$17,IF(AND(#REF!="Padrão",$H$4=#REF!),BDI!#REF!,IF(AND(#REF!="Diferenciado",$H$4=#REF!),BDI!$E$17,IF(AND(#REF!="Diferenciado",$H$4=#REF!),BDI!#REF!,IF(#REF!="ZERO",0))))),"")</f>
        <v>#REF!</v>
      </c>
      <c r="H1586" s="139" t="str">
        <f t="shared" si="85"/>
        <v/>
      </c>
      <c r="I1586" s="137" t="str">
        <f t="shared" si="86"/>
        <v/>
      </c>
      <c r="J1586" s="117"/>
    </row>
    <row r="1587" spans="1:10" hidden="1" x14ac:dyDescent="0.25">
      <c r="A1587" s="114" t="s">
        <v>4371</v>
      </c>
      <c r="B1587" s="115" t="s">
        <v>3491</v>
      </c>
      <c r="C1587" s="116" t="s">
        <v>16</v>
      </c>
      <c r="D1587" s="116">
        <v>0</v>
      </c>
      <c r="E1587" s="136" t="s">
        <v>416</v>
      </c>
      <c r="F1587" s="137" t="str">
        <f t="shared" si="84"/>
        <v/>
      </c>
      <c r="G1587" s="138" t="e">
        <f>IF(A1587&lt;&gt;"",IF(AND(#REF!="Padrão",$H$4=#REF!),BDI!$B$17,IF(AND(#REF!="Padrão",$H$4=#REF!),BDI!#REF!,IF(AND(#REF!="Diferenciado",$H$4=#REF!),BDI!$E$17,IF(AND(#REF!="Diferenciado",$H$4=#REF!),BDI!#REF!,IF(#REF!="ZERO",0))))),"")</f>
        <v>#REF!</v>
      </c>
      <c r="H1587" s="139" t="str">
        <f t="shared" si="85"/>
        <v/>
      </c>
      <c r="I1587" s="137" t="str">
        <f t="shared" si="86"/>
        <v/>
      </c>
      <c r="J1587" s="117"/>
    </row>
    <row r="1588" spans="1:10" hidden="1" x14ac:dyDescent="0.25">
      <c r="A1588" s="114" t="s">
        <v>4372</v>
      </c>
      <c r="B1588" s="115" t="s">
        <v>3492</v>
      </c>
      <c r="C1588" s="116" t="s">
        <v>69</v>
      </c>
      <c r="D1588" s="116">
        <v>0</v>
      </c>
      <c r="E1588" s="136" t="s">
        <v>416</v>
      </c>
      <c r="F1588" s="137" t="str">
        <f t="shared" si="84"/>
        <v/>
      </c>
      <c r="G1588" s="138" t="e">
        <f>IF(A1588&lt;&gt;"",IF(AND(#REF!="Padrão",$H$4=#REF!),BDI!$B$17,IF(AND(#REF!="Padrão",$H$4=#REF!),BDI!#REF!,IF(AND(#REF!="Diferenciado",$H$4=#REF!),BDI!$E$17,IF(AND(#REF!="Diferenciado",$H$4=#REF!),BDI!#REF!,IF(#REF!="ZERO",0))))),"")</f>
        <v>#REF!</v>
      </c>
      <c r="H1588" s="139" t="str">
        <f t="shared" si="85"/>
        <v/>
      </c>
      <c r="I1588" s="137" t="str">
        <f t="shared" si="86"/>
        <v/>
      </c>
      <c r="J1588" s="117"/>
    </row>
    <row r="1589" spans="1:10" hidden="1" x14ac:dyDescent="0.25">
      <c r="A1589" s="114" t="s">
        <v>4373</v>
      </c>
      <c r="B1589" s="115" t="s">
        <v>3493</v>
      </c>
      <c r="C1589" s="116" t="s">
        <v>69</v>
      </c>
      <c r="D1589" s="116">
        <v>0</v>
      </c>
      <c r="E1589" s="136" t="s">
        <v>416</v>
      </c>
      <c r="F1589" s="137" t="str">
        <f t="shared" si="84"/>
        <v/>
      </c>
      <c r="G1589" s="138" t="e">
        <f>IF(A1589&lt;&gt;"",IF(AND(#REF!="Padrão",$H$4=#REF!),BDI!$B$17,IF(AND(#REF!="Padrão",$H$4=#REF!),BDI!#REF!,IF(AND(#REF!="Diferenciado",$H$4=#REF!),BDI!$E$17,IF(AND(#REF!="Diferenciado",$H$4=#REF!),BDI!#REF!,IF(#REF!="ZERO",0))))),"")</f>
        <v>#REF!</v>
      </c>
      <c r="H1589" s="139" t="str">
        <f t="shared" si="85"/>
        <v/>
      </c>
      <c r="I1589" s="137" t="str">
        <f t="shared" si="86"/>
        <v/>
      </c>
      <c r="J1589" s="117"/>
    </row>
    <row r="1590" spans="1:10" hidden="1" x14ac:dyDescent="0.25">
      <c r="A1590" s="114" t="s">
        <v>4374</v>
      </c>
      <c r="B1590" s="115" t="s">
        <v>5591</v>
      </c>
      <c r="C1590" s="116" t="s">
        <v>69</v>
      </c>
      <c r="D1590" s="116">
        <v>0</v>
      </c>
      <c r="E1590" s="136" t="s">
        <v>416</v>
      </c>
      <c r="F1590" s="137" t="str">
        <f t="shared" si="84"/>
        <v/>
      </c>
      <c r="G1590" s="138" t="e">
        <f>IF(A1590&lt;&gt;"",IF(AND(#REF!="Padrão",$H$4=#REF!),BDI!$B$17,IF(AND(#REF!="Padrão",$H$4=#REF!),BDI!#REF!,IF(AND(#REF!="Diferenciado",$H$4=#REF!),BDI!$E$17,IF(AND(#REF!="Diferenciado",$H$4=#REF!),BDI!#REF!,IF(#REF!="ZERO",0))))),"")</f>
        <v>#REF!</v>
      </c>
      <c r="H1590" s="139" t="str">
        <f t="shared" si="85"/>
        <v/>
      </c>
      <c r="I1590" s="137" t="str">
        <f t="shared" si="86"/>
        <v/>
      </c>
      <c r="J1590" s="117"/>
    </row>
    <row r="1591" spans="1:10" hidden="1" x14ac:dyDescent="0.25">
      <c r="A1591" s="114" t="s">
        <v>4375</v>
      </c>
      <c r="B1591" s="115" t="s">
        <v>5592</v>
      </c>
      <c r="C1591" s="116" t="s">
        <v>69</v>
      </c>
      <c r="D1591" s="116">
        <v>0</v>
      </c>
      <c r="E1591" s="136" t="s">
        <v>416</v>
      </c>
      <c r="F1591" s="137" t="str">
        <f t="shared" si="84"/>
        <v/>
      </c>
      <c r="G1591" s="138" t="e">
        <f>IF(A1591&lt;&gt;"",IF(AND(#REF!="Padrão",$H$4=#REF!),BDI!$B$17,IF(AND(#REF!="Padrão",$H$4=#REF!),BDI!#REF!,IF(AND(#REF!="Diferenciado",$H$4=#REF!),BDI!$E$17,IF(AND(#REF!="Diferenciado",$H$4=#REF!),BDI!#REF!,IF(#REF!="ZERO",0))))),"")</f>
        <v>#REF!</v>
      </c>
      <c r="H1591" s="139" t="str">
        <f t="shared" si="85"/>
        <v/>
      </c>
      <c r="I1591" s="137" t="str">
        <f t="shared" si="86"/>
        <v/>
      </c>
      <c r="J1591" s="117"/>
    </row>
    <row r="1592" spans="1:10" hidden="1" x14ac:dyDescent="0.25">
      <c r="A1592" s="114" t="s">
        <v>4376</v>
      </c>
      <c r="B1592" s="115" t="s">
        <v>5593</v>
      </c>
      <c r="C1592" s="116" t="s">
        <v>69</v>
      </c>
      <c r="D1592" s="116">
        <v>0</v>
      </c>
      <c r="E1592" s="136" t="s">
        <v>416</v>
      </c>
      <c r="F1592" s="137" t="str">
        <f t="shared" si="84"/>
        <v/>
      </c>
      <c r="G1592" s="138" t="e">
        <f>IF(A1592&lt;&gt;"",IF(AND(#REF!="Padrão",$H$4=#REF!),BDI!$B$17,IF(AND(#REF!="Padrão",$H$4=#REF!),BDI!#REF!,IF(AND(#REF!="Diferenciado",$H$4=#REF!),BDI!$E$17,IF(AND(#REF!="Diferenciado",$H$4=#REF!),BDI!#REF!,IF(#REF!="ZERO",0))))),"")</f>
        <v>#REF!</v>
      </c>
      <c r="H1592" s="139" t="str">
        <f t="shared" si="85"/>
        <v/>
      </c>
      <c r="I1592" s="137" t="str">
        <f t="shared" si="86"/>
        <v/>
      </c>
      <c r="J1592" s="117"/>
    </row>
    <row r="1593" spans="1:10" hidden="1" x14ac:dyDescent="0.25">
      <c r="A1593" s="114" t="s">
        <v>4377</v>
      </c>
      <c r="B1593" s="115" t="s">
        <v>5594</v>
      </c>
      <c r="C1593" s="116" t="s">
        <v>69</v>
      </c>
      <c r="D1593" s="116">
        <v>0</v>
      </c>
      <c r="E1593" s="136" t="s">
        <v>416</v>
      </c>
      <c r="F1593" s="137" t="str">
        <f t="shared" si="84"/>
        <v/>
      </c>
      <c r="G1593" s="138" t="e">
        <f>IF(A1593&lt;&gt;"",IF(AND(#REF!="Padrão",$H$4=#REF!),BDI!$B$17,IF(AND(#REF!="Padrão",$H$4=#REF!),BDI!#REF!,IF(AND(#REF!="Diferenciado",$H$4=#REF!),BDI!$E$17,IF(AND(#REF!="Diferenciado",$H$4=#REF!),BDI!#REF!,IF(#REF!="ZERO",0))))),"")</f>
        <v>#REF!</v>
      </c>
      <c r="H1593" s="139" t="str">
        <f t="shared" si="85"/>
        <v/>
      </c>
      <c r="I1593" s="137" t="str">
        <f t="shared" si="86"/>
        <v/>
      </c>
      <c r="J1593" s="117"/>
    </row>
    <row r="1594" spans="1:10" hidden="1" x14ac:dyDescent="0.25">
      <c r="A1594" s="114" t="s">
        <v>4378</v>
      </c>
      <c r="B1594" s="115" t="s">
        <v>5595</v>
      </c>
      <c r="C1594" s="116" t="s">
        <v>69</v>
      </c>
      <c r="D1594" s="116">
        <v>0</v>
      </c>
      <c r="E1594" s="136" t="s">
        <v>416</v>
      </c>
      <c r="F1594" s="137" t="str">
        <f t="shared" si="84"/>
        <v/>
      </c>
      <c r="G1594" s="138" t="e">
        <f>IF(A1594&lt;&gt;"",IF(AND(#REF!="Padrão",$H$4=#REF!),BDI!$B$17,IF(AND(#REF!="Padrão",$H$4=#REF!),BDI!#REF!,IF(AND(#REF!="Diferenciado",$H$4=#REF!),BDI!$E$17,IF(AND(#REF!="Diferenciado",$H$4=#REF!),BDI!#REF!,IF(#REF!="ZERO",0))))),"")</f>
        <v>#REF!</v>
      </c>
      <c r="H1594" s="139" t="str">
        <f t="shared" si="85"/>
        <v/>
      </c>
      <c r="I1594" s="137" t="str">
        <f t="shared" si="86"/>
        <v/>
      </c>
      <c r="J1594" s="117"/>
    </row>
    <row r="1595" spans="1:10" hidden="1" x14ac:dyDescent="0.25">
      <c r="A1595" s="114" t="s">
        <v>4379</v>
      </c>
      <c r="B1595" s="115" t="s">
        <v>5596</v>
      </c>
      <c r="C1595" s="116" t="s">
        <v>69</v>
      </c>
      <c r="D1595" s="116">
        <v>0</v>
      </c>
      <c r="E1595" s="136" t="s">
        <v>416</v>
      </c>
      <c r="F1595" s="137" t="str">
        <f t="shared" si="84"/>
        <v/>
      </c>
      <c r="G1595" s="138" t="e">
        <f>IF(A1595&lt;&gt;"",IF(AND(#REF!="Padrão",$H$4=#REF!),BDI!$B$17,IF(AND(#REF!="Padrão",$H$4=#REF!),BDI!#REF!,IF(AND(#REF!="Diferenciado",$H$4=#REF!),BDI!$E$17,IF(AND(#REF!="Diferenciado",$H$4=#REF!),BDI!#REF!,IF(#REF!="ZERO",0))))),"")</f>
        <v>#REF!</v>
      </c>
      <c r="H1595" s="139" t="str">
        <f t="shared" si="85"/>
        <v/>
      </c>
      <c r="I1595" s="137" t="str">
        <f t="shared" si="86"/>
        <v/>
      </c>
      <c r="J1595" s="117"/>
    </row>
    <row r="1596" spans="1:10" hidden="1" x14ac:dyDescent="0.25">
      <c r="A1596" s="114" t="s">
        <v>4380</v>
      </c>
      <c r="B1596" s="115" t="s">
        <v>5597</v>
      </c>
      <c r="C1596" s="116" t="s">
        <v>69</v>
      </c>
      <c r="D1596" s="116">
        <v>0</v>
      </c>
      <c r="E1596" s="136" t="s">
        <v>416</v>
      </c>
      <c r="F1596" s="137" t="str">
        <f t="shared" si="84"/>
        <v/>
      </c>
      <c r="G1596" s="138" t="e">
        <f>IF(A1596&lt;&gt;"",IF(AND(#REF!="Padrão",$H$4=#REF!),BDI!$B$17,IF(AND(#REF!="Padrão",$H$4=#REF!),BDI!#REF!,IF(AND(#REF!="Diferenciado",$H$4=#REF!),BDI!$E$17,IF(AND(#REF!="Diferenciado",$H$4=#REF!),BDI!#REF!,IF(#REF!="ZERO",0))))),"")</f>
        <v>#REF!</v>
      </c>
      <c r="H1596" s="139" t="str">
        <f t="shared" si="85"/>
        <v/>
      </c>
      <c r="I1596" s="137" t="str">
        <f t="shared" si="86"/>
        <v/>
      </c>
      <c r="J1596" s="117"/>
    </row>
    <row r="1597" spans="1:10" hidden="1" x14ac:dyDescent="0.25">
      <c r="A1597" s="114" t="s">
        <v>4381</v>
      </c>
      <c r="B1597" s="115" t="s">
        <v>5598</v>
      </c>
      <c r="C1597" s="116" t="s">
        <v>69</v>
      </c>
      <c r="D1597" s="116">
        <v>0</v>
      </c>
      <c r="E1597" s="136" t="s">
        <v>416</v>
      </c>
      <c r="F1597" s="137" t="str">
        <f t="shared" si="84"/>
        <v/>
      </c>
      <c r="G1597" s="138" t="e">
        <f>IF(A1597&lt;&gt;"",IF(AND(#REF!="Padrão",$H$4=#REF!),BDI!$B$17,IF(AND(#REF!="Padrão",$H$4=#REF!),BDI!#REF!,IF(AND(#REF!="Diferenciado",$H$4=#REF!),BDI!$E$17,IF(AND(#REF!="Diferenciado",$H$4=#REF!),BDI!#REF!,IF(#REF!="ZERO",0))))),"")</f>
        <v>#REF!</v>
      </c>
      <c r="H1597" s="139" t="str">
        <f t="shared" si="85"/>
        <v/>
      </c>
      <c r="I1597" s="137" t="str">
        <f t="shared" si="86"/>
        <v/>
      </c>
      <c r="J1597" s="117"/>
    </row>
    <row r="1598" spans="1:10" hidden="1" x14ac:dyDescent="0.25">
      <c r="A1598" s="114" t="s">
        <v>4382</v>
      </c>
      <c r="B1598" s="115" t="s">
        <v>5599</v>
      </c>
      <c r="C1598" s="116" t="s">
        <v>69</v>
      </c>
      <c r="D1598" s="116">
        <v>0</v>
      </c>
      <c r="E1598" s="136" t="s">
        <v>416</v>
      </c>
      <c r="F1598" s="137" t="str">
        <f t="shared" si="84"/>
        <v/>
      </c>
      <c r="G1598" s="138" t="e">
        <f>IF(A1598&lt;&gt;"",IF(AND(#REF!="Padrão",$H$4=#REF!),BDI!$B$17,IF(AND(#REF!="Padrão",$H$4=#REF!),BDI!#REF!,IF(AND(#REF!="Diferenciado",$H$4=#REF!),BDI!$E$17,IF(AND(#REF!="Diferenciado",$H$4=#REF!),BDI!#REF!,IF(#REF!="ZERO",0))))),"")</f>
        <v>#REF!</v>
      </c>
      <c r="H1598" s="139" t="str">
        <f t="shared" si="85"/>
        <v/>
      </c>
      <c r="I1598" s="137" t="str">
        <f t="shared" si="86"/>
        <v/>
      </c>
      <c r="J1598" s="117"/>
    </row>
    <row r="1599" spans="1:10" hidden="1" x14ac:dyDescent="0.25">
      <c r="A1599" s="114" t="s">
        <v>4383</v>
      </c>
      <c r="B1599" s="115" t="s">
        <v>5600</v>
      </c>
      <c r="C1599" s="116" t="s">
        <v>69</v>
      </c>
      <c r="D1599" s="116">
        <v>0</v>
      </c>
      <c r="E1599" s="136" t="s">
        <v>416</v>
      </c>
      <c r="F1599" s="137" t="str">
        <f t="shared" si="84"/>
        <v/>
      </c>
      <c r="G1599" s="138" t="e">
        <f>IF(A1599&lt;&gt;"",IF(AND(#REF!="Padrão",$H$4=#REF!),BDI!$B$17,IF(AND(#REF!="Padrão",$H$4=#REF!),BDI!#REF!,IF(AND(#REF!="Diferenciado",$H$4=#REF!),BDI!$E$17,IF(AND(#REF!="Diferenciado",$H$4=#REF!),BDI!#REF!,IF(#REF!="ZERO",0))))),"")</f>
        <v>#REF!</v>
      </c>
      <c r="H1599" s="139" t="str">
        <f t="shared" si="85"/>
        <v/>
      </c>
      <c r="I1599" s="137" t="str">
        <f t="shared" si="86"/>
        <v/>
      </c>
      <c r="J1599" s="117"/>
    </row>
    <row r="1600" spans="1:10" hidden="1" x14ac:dyDescent="0.25">
      <c r="A1600" s="114" t="s">
        <v>4384</v>
      </c>
      <c r="B1600" s="115" t="s">
        <v>5601</v>
      </c>
      <c r="C1600" s="116" t="s">
        <v>69</v>
      </c>
      <c r="D1600" s="116">
        <v>0</v>
      </c>
      <c r="E1600" s="136" t="s">
        <v>416</v>
      </c>
      <c r="F1600" s="137" t="str">
        <f t="shared" si="84"/>
        <v/>
      </c>
      <c r="G1600" s="138" t="e">
        <f>IF(A1600&lt;&gt;"",IF(AND(#REF!="Padrão",$H$4=#REF!),BDI!$B$17,IF(AND(#REF!="Padrão",$H$4=#REF!),BDI!#REF!,IF(AND(#REF!="Diferenciado",$H$4=#REF!),BDI!$E$17,IF(AND(#REF!="Diferenciado",$H$4=#REF!),BDI!#REF!,IF(#REF!="ZERO",0))))),"")</f>
        <v>#REF!</v>
      </c>
      <c r="H1600" s="139" t="str">
        <f t="shared" si="85"/>
        <v/>
      </c>
      <c r="I1600" s="137" t="str">
        <f t="shared" si="86"/>
        <v/>
      </c>
      <c r="J1600" s="117"/>
    </row>
    <row r="1601" spans="1:10" hidden="1" x14ac:dyDescent="0.25">
      <c r="A1601" s="114" t="s">
        <v>4385</v>
      </c>
      <c r="B1601" s="115" t="s">
        <v>5602</v>
      </c>
      <c r="C1601" s="116" t="s">
        <v>69</v>
      </c>
      <c r="D1601" s="116">
        <v>0</v>
      </c>
      <c r="E1601" s="136" t="s">
        <v>416</v>
      </c>
      <c r="F1601" s="137" t="str">
        <f t="shared" si="84"/>
        <v/>
      </c>
      <c r="G1601" s="138" t="e">
        <f>IF(A1601&lt;&gt;"",IF(AND(#REF!="Padrão",$H$4=#REF!),BDI!$B$17,IF(AND(#REF!="Padrão",$H$4=#REF!),BDI!#REF!,IF(AND(#REF!="Diferenciado",$H$4=#REF!),BDI!$E$17,IF(AND(#REF!="Diferenciado",$H$4=#REF!),BDI!#REF!,IF(#REF!="ZERO",0))))),"")</f>
        <v>#REF!</v>
      </c>
      <c r="H1601" s="139" t="str">
        <f t="shared" si="85"/>
        <v/>
      </c>
      <c r="I1601" s="137" t="str">
        <f t="shared" si="86"/>
        <v/>
      </c>
      <c r="J1601" s="117"/>
    </row>
    <row r="1602" spans="1:10" hidden="1" x14ac:dyDescent="0.25">
      <c r="A1602" s="114" t="s">
        <v>4386</v>
      </c>
      <c r="B1602" s="115" t="s">
        <v>5603</v>
      </c>
      <c r="C1602" s="116" t="s">
        <v>69</v>
      </c>
      <c r="D1602" s="116">
        <v>0</v>
      </c>
      <c r="E1602" s="136" t="s">
        <v>416</v>
      </c>
      <c r="F1602" s="137" t="str">
        <f t="shared" si="84"/>
        <v/>
      </c>
      <c r="G1602" s="138" t="e">
        <f>IF(A1602&lt;&gt;"",IF(AND(#REF!="Padrão",$H$4=#REF!),BDI!$B$17,IF(AND(#REF!="Padrão",$H$4=#REF!),BDI!#REF!,IF(AND(#REF!="Diferenciado",$H$4=#REF!),BDI!$E$17,IF(AND(#REF!="Diferenciado",$H$4=#REF!),BDI!#REF!,IF(#REF!="ZERO",0))))),"")</f>
        <v>#REF!</v>
      </c>
      <c r="H1602" s="139" t="str">
        <f t="shared" si="85"/>
        <v/>
      </c>
      <c r="I1602" s="137" t="str">
        <f t="shared" si="86"/>
        <v/>
      </c>
      <c r="J1602" s="117"/>
    </row>
    <row r="1603" spans="1:10" hidden="1" x14ac:dyDescent="0.25">
      <c r="A1603" s="114" t="s">
        <v>4387</v>
      </c>
      <c r="B1603" s="115" t="s">
        <v>5604</v>
      </c>
      <c r="C1603" s="116" t="s">
        <v>69</v>
      </c>
      <c r="D1603" s="116">
        <v>0</v>
      </c>
      <c r="E1603" s="136" t="s">
        <v>416</v>
      </c>
      <c r="F1603" s="137" t="str">
        <f t="shared" si="84"/>
        <v/>
      </c>
      <c r="G1603" s="138" t="e">
        <f>IF(A1603&lt;&gt;"",IF(AND(#REF!="Padrão",$H$4=#REF!),BDI!$B$17,IF(AND(#REF!="Padrão",$H$4=#REF!),BDI!#REF!,IF(AND(#REF!="Diferenciado",$H$4=#REF!),BDI!$E$17,IF(AND(#REF!="Diferenciado",$H$4=#REF!),BDI!#REF!,IF(#REF!="ZERO",0))))),"")</f>
        <v>#REF!</v>
      </c>
      <c r="H1603" s="139" t="str">
        <f t="shared" si="85"/>
        <v/>
      </c>
      <c r="I1603" s="137" t="str">
        <f t="shared" si="86"/>
        <v/>
      </c>
      <c r="J1603" s="117"/>
    </row>
    <row r="1604" spans="1:10" hidden="1" x14ac:dyDescent="0.25">
      <c r="A1604" s="114" t="s">
        <v>4388</v>
      </c>
      <c r="B1604" s="115" t="s">
        <v>3505</v>
      </c>
      <c r="C1604" s="116" t="s">
        <v>69</v>
      </c>
      <c r="D1604" s="116">
        <v>0</v>
      </c>
      <c r="E1604" s="136">
        <f ca="1">OFFSET(INDEX(Composições!A:J,MATCH(Orçamentária!A1604,Composições!A:A,0),8),2,0)</f>
        <v>18.012</v>
      </c>
      <c r="F1604" s="137">
        <f t="shared" ca="1" si="84"/>
        <v>0</v>
      </c>
      <c r="G1604" s="138" t="e">
        <f>IF(A1604&lt;&gt;"",IF(AND(#REF!="Padrão",$H$4=#REF!),BDI!$B$17,IF(AND(#REF!="Padrão",$H$4=#REF!),BDI!#REF!,IF(AND(#REF!="Diferenciado",$H$4=#REF!),BDI!$E$17,IF(AND(#REF!="Diferenciado",$H$4=#REF!),BDI!#REF!,IF(#REF!="ZERO",0))))),"")</f>
        <v>#REF!</v>
      </c>
      <c r="H1604" s="139" t="e">
        <f t="shared" ca="1" si="85"/>
        <v>#REF!</v>
      </c>
      <c r="I1604" s="137" t="e">
        <f t="shared" ca="1" si="86"/>
        <v>#REF!</v>
      </c>
      <c r="J1604" s="117"/>
    </row>
    <row r="1605" spans="1:10" hidden="1" x14ac:dyDescent="0.25">
      <c r="A1605" s="114" t="s">
        <v>4389</v>
      </c>
      <c r="B1605" s="115" t="s">
        <v>3506</v>
      </c>
      <c r="C1605" s="116" t="s">
        <v>69</v>
      </c>
      <c r="D1605" s="116">
        <v>0</v>
      </c>
      <c r="E1605" s="136">
        <f ca="1">OFFSET(INDEX(Composições!A:J,MATCH(Orçamentária!A1605,Composições!A:A,0),8),2,0)</f>
        <v>25.6785</v>
      </c>
      <c r="F1605" s="137">
        <f t="shared" ca="1" si="84"/>
        <v>0</v>
      </c>
      <c r="G1605" s="138" t="e">
        <f>IF(A1605&lt;&gt;"",IF(AND(#REF!="Padrão",$H$4=#REF!),BDI!$B$17,IF(AND(#REF!="Padrão",$H$4=#REF!),BDI!#REF!,IF(AND(#REF!="Diferenciado",$H$4=#REF!),BDI!$E$17,IF(AND(#REF!="Diferenciado",$H$4=#REF!),BDI!#REF!,IF(#REF!="ZERO",0))))),"")</f>
        <v>#REF!</v>
      </c>
      <c r="H1605" s="139" t="e">
        <f t="shared" ca="1" si="85"/>
        <v>#REF!</v>
      </c>
      <c r="I1605" s="137" t="e">
        <f t="shared" ca="1" si="86"/>
        <v>#REF!</v>
      </c>
      <c r="J1605" s="117"/>
    </row>
    <row r="1606" spans="1:10" hidden="1" x14ac:dyDescent="0.25">
      <c r="A1606" s="114" t="s">
        <v>4390</v>
      </c>
      <c r="B1606" s="115" t="s">
        <v>3507</v>
      </c>
      <c r="C1606" s="116" t="s">
        <v>69</v>
      </c>
      <c r="D1606" s="116">
        <v>0</v>
      </c>
      <c r="E1606" s="136">
        <f ca="1">OFFSET(INDEX(Composições!A:J,MATCH(Orçamentária!A1606,Composições!A:A,0),8),2,0)</f>
        <v>37.809999999999995</v>
      </c>
      <c r="F1606" s="137">
        <f t="shared" ca="1" si="84"/>
        <v>0</v>
      </c>
      <c r="G1606" s="138" t="e">
        <f>IF(A1606&lt;&gt;"",IF(AND(#REF!="Padrão",$H$4=#REF!),BDI!$B$17,IF(AND(#REF!="Padrão",$H$4=#REF!),BDI!#REF!,IF(AND(#REF!="Diferenciado",$H$4=#REF!),BDI!$E$17,IF(AND(#REF!="Diferenciado",$H$4=#REF!),BDI!#REF!,IF(#REF!="ZERO",0))))),"")</f>
        <v>#REF!</v>
      </c>
      <c r="H1606" s="139" t="e">
        <f t="shared" ca="1" si="85"/>
        <v>#REF!</v>
      </c>
      <c r="I1606" s="137" t="e">
        <f t="shared" ca="1" si="86"/>
        <v>#REF!</v>
      </c>
      <c r="J1606" s="117"/>
    </row>
    <row r="1607" spans="1:10" hidden="1" x14ac:dyDescent="0.25">
      <c r="A1607" s="114" t="s">
        <v>4391</v>
      </c>
      <c r="B1607" s="115" t="s">
        <v>3508</v>
      </c>
      <c r="C1607" s="116" t="s">
        <v>69</v>
      </c>
      <c r="D1607" s="116">
        <v>0</v>
      </c>
      <c r="E1607" s="136">
        <f ca="1">OFFSET(INDEX(Composições!A:J,MATCH(Orçamentária!A1607,Composições!A:A,0),8),2,0)</f>
        <v>53.865000000000002</v>
      </c>
      <c r="F1607" s="137">
        <f t="shared" ca="1" si="84"/>
        <v>0</v>
      </c>
      <c r="G1607" s="138" t="e">
        <f>IF(A1607&lt;&gt;"",IF(AND(#REF!="Padrão",$H$4=#REF!),BDI!$B$17,IF(AND(#REF!="Padrão",$H$4=#REF!),BDI!#REF!,IF(AND(#REF!="Diferenciado",$H$4=#REF!),BDI!$E$17,IF(AND(#REF!="Diferenciado",$H$4=#REF!),BDI!#REF!,IF(#REF!="ZERO",0))))),"")</f>
        <v>#REF!</v>
      </c>
      <c r="H1607" s="139" t="e">
        <f t="shared" ca="1" si="85"/>
        <v>#REF!</v>
      </c>
      <c r="I1607" s="137" t="e">
        <f t="shared" ca="1" si="86"/>
        <v>#REF!</v>
      </c>
      <c r="J1607" s="117"/>
    </row>
    <row r="1608" spans="1:10" hidden="1" x14ac:dyDescent="0.25">
      <c r="A1608" s="114" t="s">
        <v>4392</v>
      </c>
      <c r="B1608" s="115" t="s">
        <v>3509</v>
      </c>
      <c r="C1608" s="116" t="s">
        <v>69</v>
      </c>
      <c r="D1608" s="116">
        <v>0</v>
      </c>
      <c r="E1608" s="136">
        <f ca="1">OFFSET(INDEX(Composições!A:J,MATCH(Orçamentária!A1608,Composições!A:A,0),8),2,0)</f>
        <v>71.155000000000001</v>
      </c>
      <c r="F1608" s="137">
        <f t="shared" ca="1" si="84"/>
        <v>0</v>
      </c>
      <c r="G1608" s="138" t="e">
        <f>IF(A1608&lt;&gt;"",IF(AND(#REF!="Padrão",$H$4=#REF!),BDI!$B$17,IF(AND(#REF!="Padrão",$H$4=#REF!),BDI!#REF!,IF(AND(#REF!="Diferenciado",$H$4=#REF!),BDI!$E$17,IF(AND(#REF!="Diferenciado",$H$4=#REF!),BDI!#REF!,IF(#REF!="ZERO",0))))),"")</f>
        <v>#REF!</v>
      </c>
      <c r="H1608" s="139" t="e">
        <f t="shared" ca="1" si="85"/>
        <v>#REF!</v>
      </c>
      <c r="I1608" s="137" t="e">
        <f t="shared" ca="1" si="86"/>
        <v>#REF!</v>
      </c>
      <c r="J1608" s="117"/>
    </row>
    <row r="1609" spans="1:10" hidden="1" x14ac:dyDescent="0.25">
      <c r="A1609" s="114" t="s">
        <v>4393</v>
      </c>
      <c r="B1609" s="115" t="s">
        <v>7759</v>
      </c>
      <c r="C1609" s="116" t="s">
        <v>69</v>
      </c>
      <c r="D1609" s="116">
        <v>0</v>
      </c>
      <c r="E1609" s="136" t="s">
        <v>416</v>
      </c>
      <c r="F1609" s="137" t="str">
        <f t="shared" si="84"/>
        <v/>
      </c>
      <c r="G1609" s="138" t="e">
        <f>IF(A1609&lt;&gt;"",IF(AND(#REF!="Padrão",$H$4=#REF!),BDI!$B$17,IF(AND(#REF!="Padrão",$H$4=#REF!),BDI!#REF!,IF(AND(#REF!="Diferenciado",$H$4=#REF!),BDI!$E$17,IF(AND(#REF!="Diferenciado",$H$4=#REF!),BDI!#REF!,IF(#REF!="ZERO",0))))),"")</f>
        <v>#REF!</v>
      </c>
      <c r="H1609" s="139" t="str">
        <f t="shared" si="85"/>
        <v/>
      </c>
      <c r="I1609" s="137" t="str">
        <f t="shared" si="86"/>
        <v/>
      </c>
      <c r="J1609" s="117"/>
    </row>
    <row r="1610" spans="1:10" hidden="1" x14ac:dyDescent="0.25">
      <c r="A1610" s="114" t="s">
        <v>4394</v>
      </c>
      <c r="B1610" s="115" t="s">
        <v>7760</v>
      </c>
      <c r="C1610" s="116" t="s">
        <v>69</v>
      </c>
      <c r="D1610" s="116">
        <v>0</v>
      </c>
      <c r="E1610" s="136" t="s">
        <v>416</v>
      </c>
      <c r="F1610" s="137" t="str">
        <f t="shared" si="84"/>
        <v/>
      </c>
      <c r="G1610" s="138" t="e">
        <f>IF(A1610&lt;&gt;"",IF(AND(#REF!="Padrão",$H$4=#REF!),BDI!$B$17,IF(AND(#REF!="Padrão",$H$4=#REF!),BDI!#REF!,IF(AND(#REF!="Diferenciado",$H$4=#REF!),BDI!$E$17,IF(AND(#REF!="Diferenciado",$H$4=#REF!),BDI!#REF!,IF(#REF!="ZERO",0))))),"")</f>
        <v>#REF!</v>
      </c>
      <c r="H1610" s="139" t="str">
        <f t="shared" si="85"/>
        <v/>
      </c>
      <c r="I1610" s="137" t="str">
        <f t="shared" si="86"/>
        <v/>
      </c>
      <c r="J1610" s="117"/>
    </row>
    <row r="1611" spans="1:10" hidden="1" x14ac:dyDescent="0.25">
      <c r="A1611" s="114" t="s">
        <v>4395</v>
      </c>
      <c r="B1611" s="115" t="s">
        <v>7761</v>
      </c>
      <c r="C1611" s="116" t="s">
        <v>69</v>
      </c>
      <c r="D1611" s="116">
        <v>0</v>
      </c>
      <c r="E1611" s="136" t="s">
        <v>416</v>
      </c>
      <c r="F1611" s="137" t="str">
        <f t="shared" si="84"/>
        <v/>
      </c>
      <c r="G1611" s="138" t="e">
        <f>IF(A1611&lt;&gt;"",IF(AND(#REF!="Padrão",$H$4=#REF!),BDI!$B$17,IF(AND(#REF!="Padrão",$H$4=#REF!),BDI!#REF!,IF(AND(#REF!="Diferenciado",$H$4=#REF!),BDI!$E$17,IF(AND(#REF!="Diferenciado",$H$4=#REF!),BDI!#REF!,IF(#REF!="ZERO",0))))),"")</f>
        <v>#REF!</v>
      </c>
      <c r="H1611" s="139" t="str">
        <f t="shared" si="85"/>
        <v/>
      </c>
      <c r="I1611" s="137" t="str">
        <f t="shared" si="86"/>
        <v/>
      </c>
      <c r="J1611" s="117"/>
    </row>
    <row r="1612" spans="1:10" hidden="1" x14ac:dyDescent="0.25">
      <c r="A1612" s="114" t="s">
        <v>4396</v>
      </c>
      <c r="B1612" s="115" t="s">
        <v>7762</v>
      </c>
      <c r="C1612" s="116" t="s">
        <v>69</v>
      </c>
      <c r="D1612" s="116">
        <v>0</v>
      </c>
      <c r="E1612" s="136" t="s">
        <v>416</v>
      </c>
      <c r="F1612" s="137" t="str">
        <f t="shared" si="84"/>
        <v/>
      </c>
      <c r="G1612" s="138" t="e">
        <f>IF(A1612&lt;&gt;"",IF(AND(#REF!="Padrão",$H$4=#REF!),BDI!$B$17,IF(AND(#REF!="Padrão",$H$4=#REF!),BDI!#REF!,IF(AND(#REF!="Diferenciado",$H$4=#REF!),BDI!$E$17,IF(AND(#REF!="Diferenciado",$H$4=#REF!),BDI!#REF!,IF(#REF!="ZERO",0))))),"")</f>
        <v>#REF!</v>
      </c>
      <c r="H1612" s="139" t="str">
        <f t="shared" si="85"/>
        <v/>
      </c>
      <c r="I1612" s="137" t="str">
        <f t="shared" si="86"/>
        <v/>
      </c>
      <c r="J1612" s="117"/>
    </row>
    <row r="1613" spans="1:10" hidden="1" x14ac:dyDescent="0.25">
      <c r="A1613" s="114" t="s">
        <v>4397</v>
      </c>
      <c r="B1613" s="115" t="s">
        <v>7763</v>
      </c>
      <c r="C1613" s="116" t="s">
        <v>69</v>
      </c>
      <c r="D1613" s="116">
        <v>0</v>
      </c>
      <c r="E1613" s="136" t="s">
        <v>416</v>
      </c>
      <c r="F1613" s="137" t="str">
        <f t="shared" si="84"/>
        <v/>
      </c>
      <c r="G1613" s="138" t="e">
        <f>IF(A1613&lt;&gt;"",IF(AND(#REF!="Padrão",$H$4=#REF!),BDI!$B$17,IF(AND(#REF!="Padrão",$H$4=#REF!),BDI!#REF!,IF(AND(#REF!="Diferenciado",$H$4=#REF!),BDI!$E$17,IF(AND(#REF!="Diferenciado",$H$4=#REF!),BDI!#REF!,IF(#REF!="ZERO",0))))),"")</f>
        <v>#REF!</v>
      </c>
      <c r="H1613" s="139" t="str">
        <f t="shared" si="85"/>
        <v/>
      </c>
      <c r="I1613" s="137" t="str">
        <f t="shared" si="86"/>
        <v/>
      </c>
      <c r="J1613" s="117"/>
    </row>
    <row r="1614" spans="1:10" hidden="1" x14ac:dyDescent="0.25">
      <c r="A1614" s="114" t="s">
        <v>4398</v>
      </c>
      <c r="B1614" s="115" t="s">
        <v>7764</v>
      </c>
      <c r="C1614" s="116" t="s">
        <v>69</v>
      </c>
      <c r="D1614" s="116">
        <v>0</v>
      </c>
      <c r="E1614" s="136" t="s">
        <v>416</v>
      </c>
      <c r="F1614" s="137" t="str">
        <f t="shared" si="84"/>
        <v/>
      </c>
      <c r="G1614" s="138" t="e">
        <f>IF(A1614&lt;&gt;"",IF(AND(#REF!="Padrão",$H$4=#REF!),BDI!$B$17,IF(AND(#REF!="Padrão",$H$4=#REF!),BDI!#REF!,IF(AND(#REF!="Diferenciado",$H$4=#REF!),BDI!$E$17,IF(AND(#REF!="Diferenciado",$H$4=#REF!),BDI!#REF!,IF(#REF!="ZERO",0))))),"")</f>
        <v>#REF!</v>
      </c>
      <c r="H1614" s="139" t="str">
        <f t="shared" si="85"/>
        <v/>
      </c>
      <c r="I1614" s="137" t="str">
        <f t="shared" si="86"/>
        <v/>
      </c>
      <c r="J1614" s="117"/>
    </row>
    <row r="1615" spans="1:10" hidden="1" x14ac:dyDescent="0.25">
      <c r="A1615" s="114" t="s">
        <v>4399</v>
      </c>
      <c r="B1615" s="115" t="s">
        <v>7765</v>
      </c>
      <c r="C1615" s="116" t="s">
        <v>69</v>
      </c>
      <c r="D1615" s="116">
        <v>0</v>
      </c>
      <c r="E1615" s="136" t="s">
        <v>416</v>
      </c>
      <c r="F1615" s="137" t="str">
        <f t="shared" si="84"/>
        <v/>
      </c>
      <c r="G1615" s="138" t="e">
        <f>IF(A1615&lt;&gt;"",IF(AND(#REF!="Padrão",$H$4=#REF!),BDI!$B$17,IF(AND(#REF!="Padrão",$H$4=#REF!),BDI!#REF!,IF(AND(#REF!="Diferenciado",$H$4=#REF!),BDI!$E$17,IF(AND(#REF!="Diferenciado",$H$4=#REF!),BDI!#REF!,IF(#REF!="ZERO",0))))),"")</f>
        <v>#REF!</v>
      </c>
      <c r="H1615" s="139" t="str">
        <f t="shared" si="85"/>
        <v/>
      </c>
      <c r="I1615" s="137" t="str">
        <f t="shared" si="86"/>
        <v/>
      </c>
      <c r="J1615" s="117"/>
    </row>
    <row r="1616" spans="1:10" hidden="1" x14ac:dyDescent="0.25">
      <c r="A1616" s="114" t="s">
        <v>4400</v>
      </c>
      <c r="B1616" s="115" t="s">
        <v>7766</v>
      </c>
      <c r="C1616" s="116" t="s">
        <v>69</v>
      </c>
      <c r="D1616" s="116">
        <v>0</v>
      </c>
      <c r="E1616" s="136" t="s">
        <v>416</v>
      </c>
      <c r="F1616" s="137" t="str">
        <f t="shared" si="84"/>
        <v/>
      </c>
      <c r="G1616" s="138" t="e">
        <f>IF(A1616&lt;&gt;"",IF(AND(#REF!="Padrão",$H$4=#REF!),BDI!$B$17,IF(AND(#REF!="Padrão",$H$4=#REF!),BDI!#REF!,IF(AND(#REF!="Diferenciado",$H$4=#REF!),BDI!$E$17,IF(AND(#REF!="Diferenciado",$H$4=#REF!),BDI!#REF!,IF(#REF!="ZERO",0))))),"")</f>
        <v>#REF!</v>
      </c>
      <c r="H1616" s="139" t="str">
        <f t="shared" si="85"/>
        <v/>
      </c>
      <c r="I1616" s="137" t="str">
        <f t="shared" si="86"/>
        <v/>
      </c>
      <c r="J1616" s="117"/>
    </row>
    <row r="1617" spans="1:10" hidden="1" x14ac:dyDescent="0.25">
      <c r="A1617" s="114" t="s">
        <v>4401</v>
      </c>
      <c r="B1617" s="115" t="s">
        <v>7767</v>
      </c>
      <c r="C1617" s="116" t="s">
        <v>69</v>
      </c>
      <c r="D1617" s="116">
        <v>0</v>
      </c>
      <c r="E1617" s="136" t="s">
        <v>416</v>
      </c>
      <c r="F1617" s="137" t="str">
        <f t="shared" si="84"/>
        <v/>
      </c>
      <c r="G1617" s="138" t="e">
        <f>IF(A1617&lt;&gt;"",IF(AND(#REF!="Padrão",$H$4=#REF!),BDI!$B$17,IF(AND(#REF!="Padrão",$H$4=#REF!),BDI!#REF!,IF(AND(#REF!="Diferenciado",$H$4=#REF!),BDI!$E$17,IF(AND(#REF!="Diferenciado",$H$4=#REF!),BDI!#REF!,IF(#REF!="ZERO",0))))),"")</f>
        <v>#REF!</v>
      </c>
      <c r="H1617" s="139" t="str">
        <f t="shared" si="85"/>
        <v/>
      </c>
      <c r="I1617" s="137" t="str">
        <f t="shared" si="86"/>
        <v/>
      </c>
      <c r="J1617" s="117"/>
    </row>
    <row r="1618" spans="1:10" hidden="1" x14ac:dyDescent="0.25">
      <c r="A1618" s="114" t="s">
        <v>4402</v>
      </c>
      <c r="B1618" s="115" t="s">
        <v>7768</v>
      </c>
      <c r="C1618" s="116" t="s">
        <v>69</v>
      </c>
      <c r="D1618" s="116">
        <v>0</v>
      </c>
      <c r="E1618" s="136" t="s">
        <v>416</v>
      </c>
      <c r="F1618" s="137" t="str">
        <f t="shared" si="84"/>
        <v/>
      </c>
      <c r="G1618" s="138" t="e">
        <f>IF(A1618&lt;&gt;"",IF(AND(#REF!="Padrão",$H$4=#REF!),BDI!$B$17,IF(AND(#REF!="Padrão",$H$4=#REF!),BDI!#REF!,IF(AND(#REF!="Diferenciado",$H$4=#REF!),BDI!$E$17,IF(AND(#REF!="Diferenciado",$H$4=#REF!),BDI!#REF!,IF(#REF!="ZERO",0))))),"")</f>
        <v>#REF!</v>
      </c>
      <c r="H1618" s="139" t="str">
        <f t="shared" si="85"/>
        <v/>
      </c>
      <c r="I1618" s="137" t="str">
        <f t="shared" si="86"/>
        <v/>
      </c>
      <c r="J1618" s="117"/>
    </row>
    <row r="1619" spans="1:10" hidden="1" x14ac:dyDescent="0.25">
      <c r="A1619" s="114" t="s">
        <v>4403</v>
      </c>
      <c r="B1619" s="115" t="s">
        <v>7769</v>
      </c>
      <c r="C1619" s="116" t="s">
        <v>69</v>
      </c>
      <c r="D1619" s="116">
        <v>0</v>
      </c>
      <c r="E1619" s="136" t="s">
        <v>416</v>
      </c>
      <c r="F1619" s="137" t="str">
        <f t="shared" si="84"/>
        <v/>
      </c>
      <c r="G1619" s="138" t="e">
        <f>IF(A1619&lt;&gt;"",IF(AND(#REF!="Padrão",$H$4=#REF!),BDI!$B$17,IF(AND(#REF!="Padrão",$H$4=#REF!),BDI!#REF!,IF(AND(#REF!="Diferenciado",$H$4=#REF!),BDI!$E$17,IF(AND(#REF!="Diferenciado",$H$4=#REF!),BDI!#REF!,IF(#REF!="ZERO",0))))),"")</f>
        <v>#REF!</v>
      </c>
      <c r="H1619" s="139" t="str">
        <f t="shared" si="85"/>
        <v/>
      </c>
      <c r="I1619" s="137" t="str">
        <f t="shared" si="86"/>
        <v/>
      </c>
      <c r="J1619" s="117"/>
    </row>
    <row r="1620" spans="1:10" hidden="1" x14ac:dyDescent="0.25">
      <c r="A1620" s="114" t="s">
        <v>4404</v>
      </c>
      <c r="B1620" s="115" t="s">
        <v>7770</v>
      </c>
      <c r="C1620" s="116" t="s">
        <v>69</v>
      </c>
      <c r="D1620" s="116">
        <v>0</v>
      </c>
      <c r="E1620" s="136" t="s">
        <v>416</v>
      </c>
      <c r="F1620" s="137" t="str">
        <f t="shared" si="84"/>
        <v/>
      </c>
      <c r="G1620" s="138" t="e">
        <f>IF(A1620&lt;&gt;"",IF(AND(#REF!="Padrão",$H$4=#REF!),BDI!$B$17,IF(AND(#REF!="Padrão",$H$4=#REF!),BDI!#REF!,IF(AND(#REF!="Diferenciado",$H$4=#REF!),BDI!$E$17,IF(AND(#REF!="Diferenciado",$H$4=#REF!),BDI!#REF!,IF(#REF!="ZERO",0))))),"")</f>
        <v>#REF!</v>
      </c>
      <c r="H1620" s="139" t="str">
        <f t="shared" si="85"/>
        <v/>
      </c>
      <c r="I1620" s="137" t="str">
        <f t="shared" si="86"/>
        <v/>
      </c>
      <c r="J1620" s="117"/>
    </row>
    <row r="1621" spans="1:10" hidden="1" x14ac:dyDescent="0.25">
      <c r="A1621" s="114" t="s">
        <v>4405</v>
      </c>
      <c r="B1621" s="115" t="s">
        <v>7771</v>
      </c>
      <c r="C1621" s="116" t="s">
        <v>69</v>
      </c>
      <c r="D1621" s="116">
        <v>0</v>
      </c>
      <c r="E1621" s="136" t="s">
        <v>416</v>
      </c>
      <c r="F1621" s="137" t="str">
        <f t="shared" si="84"/>
        <v/>
      </c>
      <c r="G1621" s="138" t="e">
        <f>IF(A1621&lt;&gt;"",IF(AND(#REF!="Padrão",$H$4=#REF!),BDI!$B$17,IF(AND(#REF!="Padrão",$H$4=#REF!),BDI!#REF!,IF(AND(#REF!="Diferenciado",$H$4=#REF!),BDI!$E$17,IF(AND(#REF!="Diferenciado",$H$4=#REF!),BDI!#REF!,IF(#REF!="ZERO",0))))),"")</f>
        <v>#REF!</v>
      </c>
      <c r="H1621" s="139" t="str">
        <f t="shared" si="85"/>
        <v/>
      </c>
      <c r="I1621" s="137" t="str">
        <f t="shared" si="86"/>
        <v/>
      </c>
      <c r="J1621" s="117"/>
    </row>
    <row r="1622" spans="1:10" hidden="1" x14ac:dyDescent="0.25">
      <c r="A1622" s="114" t="s">
        <v>4406</v>
      </c>
      <c r="B1622" s="115" t="s">
        <v>7772</v>
      </c>
      <c r="C1622" s="116" t="s">
        <v>69</v>
      </c>
      <c r="D1622" s="116">
        <v>0</v>
      </c>
      <c r="E1622" s="136" t="s">
        <v>416</v>
      </c>
      <c r="F1622" s="137" t="str">
        <f t="shared" si="84"/>
        <v/>
      </c>
      <c r="G1622" s="138" t="e">
        <f>IF(A1622&lt;&gt;"",IF(AND(#REF!="Padrão",$H$4=#REF!),BDI!$B$17,IF(AND(#REF!="Padrão",$H$4=#REF!),BDI!#REF!,IF(AND(#REF!="Diferenciado",$H$4=#REF!),BDI!$E$17,IF(AND(#REF!="Diferenciado",$H$4=#REF!),BDI!#REF!,IF(#REF!="ZERO",0))))),"")</f>
        <v>#REF!</v>
      </c>
      <c r="H1622" s="139" t="str">
        <f t="shared" si="85"/>
        <v/>
      </c>
      <c r="I1622" s="137" t="str">
        <f t="shared" si="86"/>
        <v/>
      </c>
      <c r="J1622" s="117"/>
    </row>
    <row r="1623" spans="1:10" hidden="1" x14ac:dyDescent="0.25">
      <c r="A1623" s="114" t="s">
        <v>4407</v>
      </c>
      <c r="B1623" s="115" t="s">
        <v>7773</v>
      </c>
      <c r="C1623" s="116" t="s">
        <v>69</v>
      </c>
      <c r="D1623" s="116">
        <v>0</v>
      </c>
      <c r="E1623" s="136" t="s">
        <v>416</v>
      </c>
      <c r="F1623" s="137" t="str">
        <f t="shared" si="84"/>
        <v/>
      </c>
      <c r="G1623" s="138" t="e">
        <f>IF(A1623&lt;&gt;"",IF(AND(#REF!="Padrão",$H$4=#REF!),BDI!$B$17,IF(AND(#REF!="Padrão",$H$4=#REF!),BDI!#REF!,IF(AND(#REF!="Diferenciado",$H$4=#REF!),BDI!$E$17,IF(AND(#REF!="Diferenciado",$H$4=#REF!),BDI!#REF!,IF(#REF!="ZERO",0))))),"")</f>
        <v>#REF!</v>
      </c>
      <c r="H1623" s="139" t="str">
        <f t="shared" si="85"/>
        <v/>
      </c>
      <c r="I1623" s="137" t="str">
        <f t="shared" si="86"/>
        <v/>
      </c>
      <c r="J1623" s="117"/>
    </row>
    <row r="1624" spans="1:10" hidden="1" x14ac:dyDescent="0.25">
      <c r="A1624" s="114" t="s">
        <v>4408</v>
      </c>
      <c r="B1624" s="115" t="s">
        <v>7774</v>
      </c>
      <c r="C1624" s="116" t="s">
        <v>69</v>
      </c>
      <c r="D1624" s="116">
        <v>0</v>
      </c>
      <c r="E1624" s="136" t="s">
        <v>416</v>
      </c>
      <c r="F1624" s="137" t="str">
        <f t="shared" si="84"/>
        <v/>
      </c>
      <c r="G1624" s="138" t="e">
        <f>IF(A1624&lt;&gt;"",IF(AND(#REF!="Padrão",$H$4=#REF!),BDI!$B$17,IF(AND(#REF!="Padrão",$H$4=#REF!),BDI!#REF!,IF(AND(#REF!="Diferenciado",$H$4=#REF!),BDI!$E$17,IF(AND(#REF!="Diferenciado",$H$4=#REF!),BDI!#REF!,IF(#REF!="ZERO",0))))),"")</f>
        <v>#REF!</v>
      </c>
      <c r="H1624" s="139" t="str">
        <f t="shared" si="85"/>
        <v/>
      </c>
      <c r="I1624" s="137" t="str">
        <f t="shared" si="86"/>
        <v/>
      </c>
      <c r="J1624" s="117"/>
    </row>
    <row r="1625" spans="1:10" hidden="1" x14ac:dyDescent="0.25">
      <c r="A1625" s="114" t="s">
        <v>4409</v>
      </c>
      <c r="B1625" s="115" t="s">
        <v>7775</v>
      </c>
      <c r="C1625" s="116" t="s">
        <v>69</v>
      </c>
      <c r="D1625" s="116">
        <v>0</v>
      </c>
      <c r="E1625" s="136" t="s">
        <v>416</v>
      </c>
      <c r="F1625" s="137" t="str">
        <f t="shared" si="84"/>
        <v/>
      </c>
      <c r="G1625" s="138" t="e">
        <f>IF(A1625&lt;&gt;"",IF(AND(#REF!="Padrão",$H$4=#REF!),BDI!$B$17,IF(AND(#REF!="Padrão",$H$4=#REF!),BDI!#REF!,IF(AND(#REF!="Diferenciado",$H$4=#REF!),BDI!$E$17,IF(AND(#REF!="Diferenciado",$H$4=#REF!),BDI!#REF!,IF(#REF!="ZERO",0))))),"")</f>
        <v>#REF!</v>
      </c>
      <c r="H1625" s="139" t="str">
        <f t="shared" si="85"/>
        <v/>
      </c>
      <c r="I1625" s="137" t="str">
        <f t="shared" si="86"/>
        <v/>
      </c>
      <c r="J1625" s="117"/>
    </row>
    <row r="1626" spans="1:10" hidden="1" x14ac:dyDescent="0.25">
      <c r="A1626" s="114" t="s">
        <v>4410</v>
      </c>
      <c r="B1626" s="115" t="s">
        <v>7776</v>
      </c>
      <c r="C1626" s="116" t="s">
        <v>69</v>
      </c>
      <c r="D1626" s="116">
        <v>0</v>
      </c>
      <c r="E1626" s="136" t="s">
        <v>416</v>
      </c>
      <c r="F1626" s="137" t="str">
        <f t="shared" si="84"/>
        <v/>
      </c>
      <c r="G1626" s="138" t="e">
        <f>IF(A1626&lt;&gt;"",IF(AND(#REF!="Padrão",$H$4=#REF!),BDI!$B$17,IF(AND(#REF!="Padrão",$H$4=#REF!),BDI!#REF!,IF(AND(#REF!="Diferenciado",$H$4=#REF!),BDI!$E$17,IF(AND(#REF!="Diferenciado",$H$4=#REF!),BDI!#REF!,IF(#REF!="ZERO",0))))),"")</f>
        <v>#REF!</v>
      </c>
      <c r="H1626" s="139" t="str">
        <f t="shared" si="85"/>
        <v/>
      </c>
      <c r="I1626" s="137" t="str">
        <f t="shared" si="86"/>
        <v/>
      </c>
      <c r="J1626" s="117"/>
    </row>
    <row r="1627" spans="1:10" hidden="1" x14ac:dyDescent="0.25">
      <c r="A1627" s="114" t="s">
        <v>4411</v>
      </c>
      <c r="B1627" s="115" t="s">
        <v>7777</v>
      </c>
      <c r="C1627" s="116" t="s">
        <v>69</v>
      </c>
      <c r="D1627" s="116">
        <v>0</v>
      </c>
      <c r="E1627" s="136" t="s">
        <v>416</v>
      </c>
      <c r="F1627" s="137" t="str">
        <f t="shared" si="84"/>
        <v/>
      </c>
      <c r="G1627" s="138" t="e">
        <f>IF(A1627&lt;&gt;"",IF(AND(#REF!="Padrão",$H$4=#REF!),BDI!$B$17,IF(AND(#REF!="Padrão",$H$4=#REF!),BDI!#REF!,IF(AND(#REF!="Diferenciado",$H$4=#REF!),BDI!$E$17,IF(AND(#REF!="Diferenciado",$H$4=#REF!),BDI!#REF!,IF(#REF!="ZERO",0))))),"")</f>
        <v>#REF!</v>
      </c>
      <c r="H1627" s="139" t="str">
        <f t="shared" si="85"/>
        <v/>
      </c>
      <c r="I1627" s="137" t="str">
        <f t="shared" si="86"/>
        <v/>
      </c>
      <c r="J1627" s="117"/>
    </row>
    <row r="1628" spans="1:10" hidden="1" x14ac:dyDescent="0.25">
      <c r="A1628" s="114" t="s">
        <v>4412</v>
      </c>
      <c r="B1628" s="115" t="s">
        <v>7778</v>
      </c>
      <c r="C1628" s="116" t="s">
        <v>69</v>
      </c>
      <c r="D1628" s="116">
        <v>0</v>
      </c>
      <c r="E1628" s="136" t="s">
        <v>416</v>
      </c>
      <c r="F1628" s="137" t="str">
        <f t="shared" si="84"/>
        <v/>
      </c>
      <c r="G1628" s="138" t="e">
        <f>IF(A1628&lt;&gt;"",IF(AND(#REF!="Padrão",$H$4=#REF!),BDI!$B$17,IF(AND(#REF!="Padrão",$H$4=#REF!),BDI!#REF!,IF(AND(#REF!="Diferenciado",$H$4=#REF!),BDI!$E$17,IF(AND(#REF!="Diferenciado",$H$4=#REF!),BDI!#REF!,IF(#REF!="ZERO",0))))),"")</f>
        <v>#REF!</v>
      </c>
      <c r="H1628" s="139" t="str">
        <f t="shared" si="85"/>
        <v/>
      </c>
      <c r="I1628" s="137" t="str">
        <f t="shared" si="86"/>
        <v/>
      </c>
      <c r="J1628" s="117"/>
    </row>
    <row r="1629" spans="1:10" hidden="1" x14ac:dyDescent="0.25">
      <c r="A1629" s="114" t="s">
        <v>4413</v>
      </c>
      <c r="B1629" s="115" t="s">
        <v>7779</v>
      </c>
      <c r="C1629" s="116" t="s">
        <v>69</v>
      </c>
      <c r="D1629" s="116">
        <v>0</v>
      </c>
      <c r="E1629" s="136" t="s">
        <v>416</v>
      </c>
      <c r="F1629" s="137" t="str">
        <f t="shared" si="84"/>
        <v/>
      </c>
      <c r="G1629" s="138" t="e">
        <f>IF(A1629&lt;&gt;"",IF(AND(#REF!="Padrão",$H$4=#REF!),BDI!$B$17,IF(AND(#REF!="Padrão",$H$4=#REF!),BDI!#REF!,IF(AND(#REF!="Diferenciado",$H$4=#REF!),BDI!$E$17,IF(AND(#REF!="Diferenciado",$H$4=#REF!),BDI!#REF!,IF(#REF!="ZERO",0))))),"")</f>
        <v>#REF!</v>
      </c>
      <c r="H1629" s="139" t="str">
        <f t="shared" si="85"/>
        <v/>
      </c>
      <c r="I1629" s="137" t="str">
        <f t="shared" si="86"/>
        <v/>
      </c>
      <c r="J1629" s="117"/>
    </row>
    <row r="1630" spans="1:10" hidden="1" x14ac:dyDescent="0.25">
      <c r="A1630" s="114" t="s">
        <v>4414</v>
      </c>
      <c r="B1630" s="115" t="s">
        <v>3511</v>
      </c>
      <c r="C1630" s="116" t="s">
        <v>16</v>
      </c>
      <c r="D1630" s="116">
        <v>0</v>
      </c>
      <c r="E1630" s="136" t="s">
        <v>416</v>
      </c>
      <c r="F1630" s="137" t="str">
        <f t="shared" si="84"/>
        <v/>
      </c>
      <c r="G1630" s="138" t="e">
        <f>IF(A1630&lt;&gt;"",IF(AND(#REF!="Padrão",$H$4=#REF!),BDI!$B$17,IF(AND(#REF!="Padrão",$H$4=#REF!),BDI!#REF!,IF(AND(#REF!="Diferenciado",$H$4=#REF!),BDI!$E$17,IF(AND(#REF!="Diferenciado",$H$4=#REF!),BDI!#REF!,IF(#REF!="ZERO",0))))),"")</f>
        <v>#REF!</v>
      </c>
      <c r="H1630" s="139" t="str">
        <f t="shared" si="85"/>
        <v/>
      </c>
      <c r="I1630" s="137" t="str">
        <f t="shared" si="86"/>
        <v/>
      </c>
      <c r="J1630" s="117"/>
    </row>
    <row r="1631" spans="1:10" hidden="1" x14ac:dyDescent="0.25">
      <c r="A1631" s="114" t="s">
        <v>4415</v>
      </c>
      <c r="B1631" s="115" t="s">
        <v>3512</v>
      </c>
      <c r="C1631" s="116" t="s">
        <v>16</v>
      </c>
      <c r="D1631" s="116">
        <v>0</v>
      </c>
      <c r="E1631" s="136" t="s">
        <v>416</v>
      </c>
      <c r="F1631" s="137" t="str">
        <f t="shared" si="84"/>
        <v/>
      </c>
      <c r="G1631" s="138" t="e">
        <f>IF(A1631&lt;&gt;"",IF(AND(#REF!="Padrão",$H$4=#REF!),BDI!$B$17,IF(AND(#REF!="Padrão",$H$4=#REF!),BDI!#REF!,IF(AND(#REF!="Diferenciado",$H$4=#REF!),BDI!$E$17,IF(AND(#REF!="Diferenciado",$H$4=#REF!),BDI!#REF!,IF(#REF!="ZERO",0))))),"")</f>
        <v>#REF!</v>
      </c>
      <c r="H1631" s="139" t="str">
        <f t="shared" si="85"/>
        <v/>
      </c>
      <c r="I1631" s="137" t="str">
        <f t="shared" si="86"/>
        <v/>
      </c>
      <c r="J1631" s="117"/>
    </row>
    <row r="1632" spans="1:10" hidden="1" x14ac:dyDescent="0.25">
      <c r="A1632" s="114" t="s">
        <v>4416</v>
      </c>
      <c r="B1632" s="115" t="s">
        <v>3513</v>
      </c>
      <c r="C1632" s="116" t="s">
        <v>16</v>
      </c>
      <c r="D1632" s="116">
        <v>0</v>
      </c>
      <c r="E1632" s="136" t="s">
        <v>416</v>
      </c>
      <c r="F1632" s="137" t="str">
        <f t="shared" si="84"/>
        <v/>
      </c>
      <c r="G1632" s="138" t="e">
        <f>IF(A1632&lt;&gt;"",IF(AND(#REF!="Padrão",$H$4=#REF!),BDI!$B$17,IF(AND(#REF!="Padrão",$H$4=#REF!),BDI!#REF!,IF(AND(#REF!="Diferenciado",$H$4=#REF!),BDI!$E$17,IF(AND(#REF!="Diferenciado",$H$4=#REF!),BDI!#REF!,IF(#REF!="ZERO",0))))),"")</f>
        <v>#REF!</v>
      </c>
      <c r="H1632" s="139" t="str">
        <f t="shared" si="85"/>
        <v/>
      </c>
      <c r="I1632" s="137" t="str">
        <f t="shared" si="86"/>
        <v/>
      </c>
      <c r="J1632" s="117"/>
    </row>
    <row r="1633" spans="1:10" hidden="1" x14ac:dyDescent="0.25">
      <c r="A1633" s="114" t="s">
        <v>4417</v>
      </c>
      <c r="B1633" s="115" t="s">
        <v>7780</v>
      </c>
      <c r="C1633" s="116" t="s">
        <v>16</v>
      </c>
      <c r="D1633" s="116">
        <v>0</v>
      </c>
      <c r="E1633" s="136" t="s">
        <v>416</v>
      </c>
      <c r="F1633" s="137" t="str">
        <f t="shared" si="84"/>
        <v/>
      </c>
      <c r="G1633" s="138" t="e">
        <f>IF(A1633&lt;&gt;"",IF(AND(#REF!="Padrão",$H$4=#REF!),BDI!$B$17,IF(AND(#REF!="Padrão",$H$4=#REF!),BDI!#REF!,IF(AND(#REF!="Diferenciado",$H$4=#REF!),BDI!$E$17,IF(AND(#REF!="Diferenciado",$H$4=#REF!),BDI!#REF!,IF(#REF!="ZERO",0))))),"")</f>
        <v>#REF!</v>
      </c>
      <c r="H1633" s="139" t="str">
        <f t="shared" si="85"/>
        <v/>
      </c>
      <c r="I1633" s="137" t="str">
        <f t="shared" si="86"/>
        <v/>
      </c>
      <c r="J1633" s="117"/>
    </row>
    <row r="1634" spans="1:10" hidden="1" x14ac:dyDescent="0.25">
      <c r="A1634" s="114" t="s">
        <v>4418</v>
      </c>
      <c r="B1634" s="115" t="s">
        <v>7781</v>
      </c>
      <c r="C1634" s="116" t="s">
        <v>16</v>
      </c>
      <c r="D1634" s="116">
        <v>0</v>
      </c>
      <c r="E1634" s="136" t="s">
        <v>416</v>
      </c>
      <c r="F1634" s="137" t="str">
        <f t="shared" si="84"/>
        <v/>
      </c>
      <c r="G1634" s="138" t="e">
        <f>IF(A1634&lt;&gt;"",IF(AND(#REF!="Padrão",$H$4=#REF!),BDI!$B$17,IF(AND(#REF!="Padrão",$H$4=#REF!),BDI!#REF!,IF(AND(#REF!="Diferenciado",$H$4=#REF!),BDI!$E$17,IF(AND(#REF!="Diferenciado",$H$4=#REF!),BDI!#REF!,IF(#REF!="ZERO",0))))),"")</f>
        <v>#REF!</v>
      </c>
      <c r="H1634" s="139" t="str">
        <f t="shared" si="85"/>
        <v/>
      </c>
      <c r="I1634" s="137" t="str">
        <f t="shared" si="86"/>
        <v/>
      </c>
      <c r="J1634" s="117"/>
    </row>
    <row r="1635" spans="1:10" hidden="1" x14ac:dyDescent="0.25">
      <c r="A1635" s="114" t="s">
        <v>4419</v>
      </c>
      <c r="B1635" s="115" t="s">
        <v>7782</v>
      </c>
      <c r="C1635" s="116" t="s">
        <v>16</v>
      </c>
      <c r="D1635" s="116">
        <v>0</v>
      </c>
      <c r="E1635" s="136" t="s">
        <v>416</v>
      </c>
      <c r="F1635" s="137" t="str">
        <f t="shared" si="84"/>
        <v/>
      </c>
      <c r="G1635" s="138" t="e">
        <f>IF(A1635&lt;&gt;"",IF(AND(#REF!="Padrão",$H$4=#REF!),BDI!$B$17,IF(AND(#REF!="Padrão",$H$4=#REF!),BDI!#REF!,IF(AND(#REF!="Diferenciado",$H$4=#REF!),BDI!$E$17,IF(AND(#REF!="Diferenciado",$H$4=#REF!),BDI!#REF!,IF(#REF!="ZERO",0))))),"")</f>
        <v>#REF!</v>
      </c>
      <c r="H1635" s="139" t="str">
        <f t="shared" si="85"/>
        <v/>
      </c>
      <c r="I1635" s="137" t="str">
        <f t="shared" si="86"/>
        <v/>
      </c>
      <c r="J1635" s="117"/>
    </row>
    <row r="1636" spans="1:10" hidden="1" x14ac:dyDescent="0.25">
      <c r="A1636" s="114" t="s">
        <v>4420</v>
      </c>
      <c r="B1636" s="115" t="s">
        <v>7783</v>
      </c>
      <c r="C1636" s="116" t="s">
        <v>16</v>
      </c>
      <c r="D1636" s="116">
        <v>0</v>
      </c>
      <c r="E1636" s="136" t="s">
        <v>416</v>
      </c>
      <c r="F1636" s="137" t="str">
        <f t="shared" si="84"/>
        <v/>
      </c>
      <c r="G1636" s="138" t="e">
        <f>IF(A1636&lt;&gt;"",IF(AND(#REF!="Padrão",$H$4=#REF!),BDI!$B$17,IF(AND(#REF!="Padrão",$H$4=#REF!),BDI!#REF!,IF(AND(#REF!="Diferenciado",$H$4=#REF!),BDI!$E$17,IF(AND(#REF!="Diferenciado",$H$4=#REF!),BDI!#REF!,IF(#REF!="ZERO",0))))),"")</f>
        <v>#REF!</v>
      </c>
      <c r="H1636" s="139" t="str">
        <f t="shared" si="85"/>
        <v/>
      </c>
      <c r="I1636" s="137" t="str">
        <f t="shared" si="86"/>
        <v/>
      </c>
      <c r="J1636" s="117"/>
    </row>
    <row r="1637" spans="1:10" hidden="1" x14ac:dyDescent="0.25">
      <c r="A1637" s="114" t="s">
        <v>4421</v>
      </c>
      <c r="B1637" s="115" t="s">
        <v>7784</v>
      </c>
      <c r="C1637" s="116" t="s">
        <v>16</v>
      </c>
      <c r="D1637" s="116">
        <v>0</v>
      </c>
      <c r="E1637" s="136" t="s">
        <v>416</v>
      </c>
      <c r="F1637" s="137" t="str">
        <f t="shared" si="84"/>
        <v/>
      </c>
      <c r="G1637" s="138" t="e">
        <f>IF(A1637&lt;&gt;"",IF(AND(#REF!="Padrão",$H$4=#REF!),BDI!$B$17,IF(AND(#REF!="Padrão",$H$4=#REF!),BDI!#REF!,IF(AND(#REF!="Diferenciado",$H$4=#REF!),BDI!$E$17,IF(AND(#REF!="Diferenciado",$H$4=#REF!),BDI!#REF!,IF(#REF!="ZERO",0))))),"")</f>
        <v>#REF!</v>
      </c>
      <c r="H1637" s="139" t="str">
        <f t="shared" si="85"/>
        <v/>
      </c>
      <c r="I1637" s="137" t="str">
        <f t="shared" si="86"/>
        <v/>
      </c>
      <c r="J1637" s="117"/>
    </row>
    <row r="1638" spans="1:10" hidden="1" x14ac:dyDescent="0.25">
      <c r="A1638" s="114" t="s">
        <v>4422</v>
      </c>
      <c r="B1638" s="115" t="s">
        <v>7785</v>
      </c>
      <c r="C1638" s="116" t="s">
        <v>16</v>
      </c>
      <c r="D1638" s="116">
        <v>0</v>
      </c>
      <c r="E1638" s="136" t="s">
        <v>416</v>
      </c>
      <c r="F1638" s="137" t="str">
        <f t="shared" si="84"/>
        <v/>
      </c>
      <c r="G1638" s="138" t="e">
        <f>IF(A1638&lt;&gt;"",IF(AND(#REF!="Padrão",$H$4=#REF!),BDI!$B$17,IF(AND(#REF!="Padrão",$H$4=#REF!),BDI!#REF!,IF(AND(#REF!="Diferenciado",$H$4=#REF!),BDI!$E$17,IF(AND(#REF!="Diferenciado",$H$4=#REF!),BDI!#REF!,IF(#REF!="ZERO",0))))),"")</f>
        <v>#REF!</v>
      </c>
      <c r="H1638" s="139" t="str">
        <f t="shared" si="85"/>
        <v/>
      </c>
      <c r="I1638" s="137" t="str">
        <f t="shared" si="86"/>
        <v/>
      </c>
      <c r="J1638" s="117"/>
    </row>
    <row r="1639" spans="1:10" hidden="1" x14ac:dyDescent="0.25">
      <c r="A1639" s="114" t="s">
        <v>4423</v>
      </c>
      <c r="B1639" s="115" t="s">
        <v>7786</v>
      </c>
      <c r="C1639" s="116" t="s">
        <v>16</v>
      </c>
      <c r="D1639" s="116">
        <v>0</v>
      </c>
      <c r="E1639" s="136" t="s">
        <v>416</v>
      </c>
      <c r="F1639" s="137" t="str">
        <f t="shared" si="84"/>
        <v/>
      </c>
      <c r="G1639" s="138" t="e">
        <f>IF(A1639&lt;&gt;"",IF(AND(#REF!="Padrão",$H$4=#REF!),BDI!$B$17,IF(AND(#REF!="Padrão",$H$4=#REF!),BDI!#REF!,IF(AND(#REF!="Diferenciado",$H$4=#REF!),BDI!$E$17,IF(AND(#REF!="Diferenciado",$H$4=#REF!),BDI!#REF!,IF(#REF!="ZERO",0))))),"")</f>
        <v>#REF!</v>
      </c>
      <c r="H1639" s="139" t="str">
        <f t="shared" si="85"/>
        <v/>
      </c>
      <c r="I1639" s="137" t="str">
        <f t="shared" si="86"/>
        <v/>
      </c>
      <c r="J1639" s="117"/>
    </row>
    <row r="1640" spans="1:10" hidden="1" x14ac:dyDescent="0.25">
      <c r="A1640" s="114" t="s">
        <v>4424</v>
      </c>
      <c r="B1640" s="115" t="s">
        <v>7787</v>
      </c>
      <c r="C1640" s="116" t="s">
        <v>16</v>
      </c>
      <c r="D1640" s="116">
        <v>0</v>
      </c>
      <c r="E1640" s="136" t="s">
        <v>416</v>
      </c>
      <c r="F1640" s="137" t="str">
        <f t="shared" si="84"/>
        <v/>
      </c>
      <c r="G1640" s="138" t="e">
        <f>IF(A1640&lt;&gt;"",IF(AND(#REF!="Padrão",$H$4=#REF!),BDI!$B$17,IF(AND(#REF!="Padrão",$H$4=#REF!),BDI!#REF!,IF(AND(#REF!="Diferenciado",$H$4=#REF!),BDI!$E$17,IF(AND(#REF!="Diferenciado",$H$4=#REF!),BDI!#REF!,IF(#REF!="ZERO",0))))),"")</f>
        <v>#REF!</v>
      </c>
      <c r="H1640" s="139" t="str">
        <f t="shared" si="85"/>
        <v/>
      </c>
      <c r="I1640" s="137" t="str">
        <f t="shared" si="86"/>
        <v/>
      </c>
      <c r="J1640" s="117"/>
    </row>
    <row r="1641" spans="1:10" hidden="1" x14ac:dyDescent="0.25">
      <c r="A1641" s="114" t="s">
        <v>4425</v>
      </c>
      <c r="B1641" s="115" t="s">
        <v>7788</v>
      </c>
      <c r="C1641" s="116" t="s">
        <v>16</v>
      </c>
      <c r="D1641" s="116">
        <v>0</v>
      </c>
      <c r="E1641" s="136" t="s">
        <v>416</v>
      </c>
      <c r="F1641" s="137" t="str">
        <f t="shared" si="84"/>
        <v/>
      </c>
      <c r="G1641" s="138" t="e">
        <f>IF(A1641&lt;&gt;"",IF(AND(#REF!="Padrão",$H$4=#REF!),BDI!$B$17,IF(AND(#REF!="Padrão",$H$4=#REF!),BDI!#REF!,IF(AND(#REF!="Diferenciado",$H$4=#REF!),BDI!$E$17,IF(AND(#REF!="Diferenciado",$H$4=#REF!),BDI!#REF!,IF(#REF!="ZERO",0))))),"")</f>
        <v>#REF!</v>
      </c>
      <c r="H1641" s="139" t="str">
        <f t="shared" si="85"/>
        <v/>
      </c>
      <c r="I1641" s="137" t="str">
        <f t="shared" si="86"/>
        <v/>
      </c>
      <c r="J1641" s="117"/>
    </row>
    <row r="1642" spans="1:10" hidden="1" x14ac:dyDescent="0.25">
      <c r="A1642" s="114" t="s">
        <v>4426</v>
      </c>
      <c r="B1642" s="115" t="s">
        <v>7789</v>
      </c>
      <c r="C1642" s="116" t="s">
        <v>16</v>
      </c>
      <c r="D1642" s="116">
        <v>0</v>
      </c>
      <c r="E1642" s="136" t="s">
        <v>416</v>
      </c>
      <c r="F1642" s="137" t="str">
        <f t="shared" si="84"/>
        <v/>
      </c>
      <c r="G1642" s="138" t="e">
        <f>IF(A1642&lt;&gt;"",IF(AND(#REF!="Padrão",$H$4=#REF!),BDI!$B$17,IF(AND(#REF!="Padrão",$H$4=#REF!),BDI!#REF!,IF(AND(#REF!="Diferenciado",$H$4=#REF!),BDI!$E$17,IF(AND(#REF!="Diferenciado",$H$4=#REF!),BDI!#REF!,IF(#REF!="ZERO",0))))),"")</f>
        <v>#REF!</v>
      </c>
      <c r="H1642" s="139" t="str">
        <f t="shared" si="85"/>
        <v/>
      </c>
      <c r="I1642" s="137" t="str">
        <f t="shared" si="86"/>
        <v/>
      </c>
      <c r="J1642" s="117"/>
    </row>
    <row r="1643" spans="1:10" hidden="1" x14ac:dyDescent="0.25">
      <c r="A1643" s="114" t="s">
        <v>4427</v>
      </c>
      <c r="B1643" s="115" t="s">
        <v>7790</v>
      </c>
      <c r="C1643" s="116" t="s">
        <v>16</v>
      </c>
      <c r="D1643" s="116">
        <v>0</v>
      </c>
      <c r="E1643" s="136" t="s">
        <v>416</v>
      </c>
      <c r="F1643" s="137" t="str">
        <f t="shared" si="84"/>
        <v/>
      </c>
      <c r="G1643" s="138" t="e">
        <f>IF(A1643&lt;&gt;"",IF(AND(#REF!="Padrão",$H$4=#REF!),BDI!$B$17,IF(AND(#REF!="Padrão",$H$4=#REF!),BDI!#REF!,IF(AND(#REF!="Diferenciado",$H$4=#REF!),BDI!$E$17,IF(AND(#REF!="Diferenciado",$H$4=#REF!),BDI!#REF!,IF(#REF!="ZERO",0))))),"")</f>
        <v>#REF!</v>
      </c>
      <c r="H1643" s="139" t="str">
        <f t="shared" si="85"/>
        <v/>
      </c>
      <c r="I1643" s="137" t="str">
        <f t="shared" si="86"/>
        <v/>
      </c>
      <c r="J1643" s="117"/>
    </row>
    <row r="1644" spans="1:10" hidden="1" x14ac:dyDescent="0.25">
      <c r="A1644" s="114" t="s">
        <v>4428</v>
      </c>
      <c r="B1644" s="115" t="s">
        <v>7791</v>
      </c>
      <c r="C1644" s="116" t="s">
        <v>16</v>
      </c>
      <c r="D1644" s="116">
        <v>0</v>
      </c>
      <c r="E1644" s="136" t="s">
        <v>416</v>
      </c>
      <c r="F1644" s="137" t="str">
        <f t="shared" si="84"/>
        <v/>
      </c>
      <c r="G1644" s="138" t="e">
        <f>IF(A1644&lt;&gt;"",IF(AND(#REF!="Padrão",$H$4=#REF!),BDI!$B$17,IF(AND(#REF!="Padrão",$H$4=#REF!),BDI!#REF!,IF(AND(#REF!="Diferenciado",$H$4=#REF!),BDI!$E$17,IF(AND(#REF!="Diferenciado",$H$4=#REF!),BDI!#REF!,IF(#REF!="ZERO",0))))),"")</f>
        <v>#REF!</v>
      </c>
      <c r="H1644" s="139" t="str">
        <f t="shared" si="85"/>
        <v/>
      </c>
      <c r="I1644" s="137" t="str">
        <f t="shared" si="86"/>
        <v/>
      </c>
      <c r="J1644" s="117"/>
    </row>
    <row r="1645" spans="1:10" hidden="1" x14ac:dyDescent="0.25">
      <c r="A1645" s="114" t="s">
        <v>4429</v>
      </c>
      <c r="B1645" s="115" t="s">
        <v>7792</v>
      </c>
      <c r="C1645" s="116" t="s">
        <v>16</v>
      </c>
      <c r="D1645" s="116">
        <v>0</v>
      </c>
      <c r="E1645" s="136" t="s">
        <v>416</v>
      </c>
      <c r="F1645" s="137" t="str">
        <f t="shared" ref="F1645:F1708" si="87">IF(ISNUMBER(E1645),D1645*E1645,"")</f>
        <v/>
      </c>
      <c r="G1645" s="138" t="e">
        <f>IF(A1645&lt;&gt;"",IF(AND(#REF!="Padrão",$H$4=#REF!),BDI!$B$17,IF(AND(#REF!="Padrão",$H$4=#REF!),BDI!#REF!,IF(AND(#REF!="Diferenciado",$H$4=#REF!),BDI!$E$17,IF(AND(#REF!="Diferenciado",$H$4=#REF!),BDI!#REF!,IF(#REF!="ZERO",0))))),"")</f>
        <v>#REF!</v>
      </c>
      <c r="H1645" s="139" t="str">
        <f t="shared" ref="H1645:H1708" si="88">IF(ISNUMBER(E1645),ROUND(E1645*(1+G1645),2),"")</f>
        <v/>
      </c>
      <c r="I1645" s="137" t="str">
        <f t="shared" ref="I1645:I1708" si="89">IF(ISNUMBER(E1645),ROUND(H1645*D1645,2),"")</f>
        <v/>
      </c>
      <c r="J1645" s="117"/>
    </row>
    <row r="1646" spans="1:10" hidden="1" x14ac:dyDescent="0.25">
      <c r="A1646" s="114" t="s">
        <v>4430</v>
      </c>
      <c r="B1646" s="115" t="s">
        <v>7793</v>
      </c>
      <c r="C1646" s="116" t="s">
        <v>16</v>
      </c>
      <c r="D1646" s="116">
        <v>0</v>
      </c>
      <c r="E1646" s="136" t="s">
        <v>416</v>
      </c>
      <c r="F1646" s="137" t="str">
        <f t="shared" si="87"/>
        <v/>
      </c>
      <c r="G1646" s="138" t="e">
        <f>IF(A1646&lt;&gt;"",IF(AND(#REF!="Padrão",$H$4=#REF!),BDI!$B$17,IF(AND(#REF!="Padrão",$H$4=#REF!),BDI!#REF!,IF(AND(#REF!="Diferenciado",$H$4=#REF!),BDI!$E$17,IF(AND(#REF!="Diferenciado",$H$4=#REF!),BDI!#REF!,IF(#REF!="ZERO",0))))),"")</f>
        <v>#REF!</v>
      </c>
      <c r="H1646" s="139" t="str">
        <f t="shared" si="88"/>
        <v/>
      </c>
      <c r="I1646" s="137" t="str">
        <f t="shared" si="89"/>
        <v/>
      </c>
      <c r="J1646" s="117"/>
    </row>
    <row r="1647" spans="1:10" hidden="1" x14ac:dyDescent="0.25">
      <c r="A1647" s="114" t="s">
        <v>4431</v>
      </c>
      <c r="B1647" s="115" t="s">
        <v>7794</v>
      </c>
      <c r="C1647" s="116" t="s">
        <v>16</v>
      </c>
      <c r="D1647" s="116">
        <v>0</v>
      </c>
      <c r="E1647" s="136" t="s">
        <v>416</v>
      </c>
      <c r="F1647" s="137" t="str">
        <f t="shared" si="87"/>
        <v/>
      </c>
      <c r="G1647" s="138" t="e">
        <f>IF(A1647&lt;&gt;"",IF(AND(#REF!="Padrão",$H$4=#REF!),BDI!$B$17,IF(AND(#REF!="Padrão",$H$4=#REF!),BDI!#REF!,IF(AND(#REF!="Diferenciado",$H$4=#REF!),BDI!$E$17,IF(AND(#REF!="Diferenciado",$H$4=#REF!),BDI!#REF!,IF(#REF!="ZERO",0))))),"")</f>
        <v>#REF!</v>
      </c>
      <c r="H1647" s="139" t="str">
        <f t="shared" si="88"/>
        <v/>
      </c>
      <c r="I1647" s="137" t="str">
        <f t="shared" si="89"/>
        <v/>
      </c>
      <c r="J1647" s="117"/>
    </row>
    <row r="1648" spans="1:10" hidden="1" x14ac:dyDescent="0.25">
      <c r="A1648" s="114" t="s">
        <v>4432</v>
      </c>
      <c r="B1648" s="115" t="s">
        <v>7795</v>
      </c>
      <c r="C1648" s="116" t="s">
        <v>16</v>
      </c>
      <c r="D1648" s="116">
        <v>0</v>
      </c>
      <c r="E1648" s="136" t="s">
        <v>416</v>
      </c>
      <c r="F1648" s="137" t="str">
        <f t="shared" si="87"/>
        <v/>
      </c>
      <c r="G1648" s="138" t="e">
        <f>IF(A1648&lt;&gt;"",IF(AND(#REF!="Padrão",$H$4=#REF!),BDI!$B$17,IF(AND(#REF!="Padrão",$H$4=#REF!),BDI!#REF!,IF(AND(#REF!="Diferenciado",$H$4=#REF!),BDI!$E$17,IF(AND(#REF!="Diferenciado",$H$4=#REF!),BDI!#REF!,IF(#REF!="ZERO",0))))),"")</f>
        <v>#REF!</v>
      </c>
      <c r="H1648" s="139" t="str">
        <f t="shared" si="88"/>
        <v/>
      </c>
      <c r="I1648" s="137" t="str">
        <f t="shared" si="89"/>
        <v/>
      </c>
      <c r="J1648" s="117"/>
    </row>
    <row r="1649" spans="1:10" hidden="1" x14ac:dyDescent="0.25">
      <c r="A1649" s="114" t="s">
        <v>4433</v>
      </c>
      <c r="B1649" s="115" t="s">
        <v>7796</v>
      </c>
      <c r="C1649" s="116" t="s">
        <v>16</v>
      </c>
      <c r="D1649" s="116">
        <v>0</v>
      </c>
      <c r="E1649" s="136" t="s">
        <v>416</v>
      </c>
      <c r="F1649" s="137" t="str">
        <f t="shared" si="87"/>
        <v/>
      </c>
      <c r="G1649" s="138" t="e">
        <f>IF(A1649&lt;&gt;"",IF(AND(#REF!="Padrão",$H$4=#REF!),BDI!$B$17,IF(AND(#REF!="Padrão",$H$4=#REF!),BDI!#REF!,IF(AND(#REF!="Diferenciado",$H$4=#REF!),BDI!$E$17,IF(AND(#REF!="Diferenciado",$H$4=#REF!),BDI!#REF!,IF(#REF!="ZERO",0))))),"")</f>
        <v>#REF!</v>
      </c>
      <c r="H1649" s="139" t="str">
        <f t="shared" si="88"/>
        <v/>
      </c>
      <c r="I1649" s="137" t="str">
        <f t="shared" si="89"/>
        <v/>
      </c>
      <c r="J1649" s="117"/>
    </row>
    <row r="1650" spans="1:10" hidden="1" x14ac:dyDescent="0.25">
      <c r="A1650" s="114" t="s">
        <v>4434</v>
      </c>
      <c r="B1650" s="115" t="s">
        <v>7797</v>
      </c>
      <c r="C1650" s="116" t="s">
        <v>16</v>
      </c>
      <c r="D1650" s="116">
        <v>0</v>
      </c>
      <c r="E1650" s="136" t="s">
        <v>416</v>
      </c>
      <c r="F1650" s="137" t="str">
        <f t="shared" si="87"/>
        <v/>
      </c>
      <c r="G1650" s="138" t="e">
        <f>IF(A1650&lt;&gt;"",IF(AND(#REF!="Padrão",$H$4=#REF!),BDI!$B$17,IF(AND(#REF!="Padrão",$H$4=#REF!),BDI!#REF!,IF(AND(#REF!="Diferenciado",$H$4=#REF!),BDI!$E$17,IF(AND(#REF!="Diferenciado",$H$4=#REF!),BDI!#REF!,IF(#REF!="ZERO",0))))),"")</f>
        <v>#REF!</v>
      </c>
      <c r="H1650" s="139" t="str">
        <f t="shared" si="88"/>
        <v/>
      </c>
      <c r="I1650" s="137" t="str">
        <f t="shared" si="89"/>
        <v/>
      </c>
      <c r="J1650" s="117"/>
    </row>
    <row r="1651" spans="1:10" hidden="1" x14ac:dyDescent="0.25">
      <c r="A1651" s="114" t="s">
        <v>4435</v>
      </c>
      <c r="B1651" s="115" t="s">
        <v>7798</v>
      </c>
      <c r="C1651" s="116" t="s">
        <v>16</v>
      </c>
      <c r="D1651" s="116">
        <v>0</v>
      </c>
      <c r="E1651" s="136" t="s">
        <v>416</v>
      </c>
      <c r="F1651" s="137" t="str">
        <f t="shared" si="87"/>
        <v/>
      </c>
      <c r="G1651" s="138" t="e">
        <f>IF(A1651&lt;&gt;"",IF(AND(#REF!="Padrão",$H$4=#REF!),BDI!$B$17,IF(AND(#REF!="Padrão",$H$4=#REF!),BDI!#REF!,IF(AND(#REF!="Diferenciado",$H$4=#REF!),BDI!$E$17,IF(AND(#REF!="Diferenciado",$H$4=#REF!),BDI!#REF!,IF(#REF!="ZERO",0))))),"")</f>
        <v>#REF!</v>
      </c>
      <c r="H1651" s="139" t="str">
        <f t="shared" si="88"/>
        <v/>
      </c>
      <c r="I1651" s="137" t="str">
        <f t="shared" si="89"/>
        <v/>
      </c>
      <c r="J1651" s="117"/>
    </row>
    <row r="1652" spans="1:10" hidden="1" x14ac:dyDescent="0.25">
      <c r="A1652" s="114" t="s">
        <v>4436</v>
      </c>
      <c r="B1652" s="115" t="s">
        <v>3514</v>
      </c>
      <c r="C1652" s="116" t="s">
        <v>16</v>
      </c>
      <c r="D1652" s="116">
        <v>0</v>
      </c>
      <c r="E1652" s="136" t="s">
        <v>416</v>
      </c>
      <c r="F1652" s="137" t="str">
        <f t="shared" si="87"/>
        <v/>
      </c>
      <c r="G1652" s="138" t="e">
        <f>IF(A1652&lt;&gt;"",IF(AND(#REF!="Padrão",$H$4=#REF!),BDI!$B$17,IF(AND(#REF!="Padrão",$H$4=#REF!),BDI!#REF!,IF(AND(#REF!="Diferenciado",$H$4=#REF!),BDI!$E$17,IF(AND(#REF!="Diferenciado",$H$4=#REF!),BDI!#REF!,IF(#REF!="ZERO",0))))),"")</f>
        <v>#REF!</v>
      </c>
      <c r="H1652" s="139" t="str">
        <f t="shared" si="88"/>
        <v/>
      </c>
      <c r="I1652" s="137" t="str">
        <f t="shared" si="89"/>
        <v/>
      </c>
      <c r="J1652" s="117"/>
    </row>
    <row r="1653" spans="1:10" hidden="1" x14ac:dyDescent="0.25">
      <c r="A1653" s="114" t="s">
        <v>4437</v>
      </c>
      <c r="B1653" s="115" t="s">
        <v>3515</v>
      </c>
      <c r="C1653" s="116" t="s">
        <v>16</v>
      </c>
      <c r="D1653" s="116">
        <v>0</v>
      </c>
      <c r="E1653" s="136" t="s">
        <v>416</v>
      </c>
      <c r="F1653" s="137" t="str">
        <f t="shared" si="87"/>
        <v/>
      </c>
      <c r="G1653" s="138" t="e">
        <f>IF(A1653&lt;&gt;"",IF(AND(#REF!="Padrão",$H$4=#REF!),BDI!$B$17,IF(AND(#REF!="Padrão",$H$4=#REF!),BDI!#REF!,IF(AND(#REF!="Diferenciado",$H$4=#REF!),BDI!$E$17,IF(AND(#REF!="Diferenciado",$H$4=#REF!),BDI!#REF!,IF(#REF!="ZERO",0))))),"")</f>
        <v>#REF!</v>
      </c>
      <c r="H1653" s="139" t="str">
        <f t="shared" si="88"/>
        <v/>
      </c>
      <c r="I1653" s="137" t="str">
        <f t="shared" si="89"/>
        <v/>
      </c>
      <c r="J1653" s="117"/>
    </row>
    <row r="1654" spans="1:10" hidden="1" x14ac:dyDescent="0.25">
      <c r="A1654" s="114" t="s">
        <v>4438</v>
      </c>
      <c r="B1654" s="115" t="s">
        <v>3516</v>
      </c>
      <c r="C1654" s="116" t="s">
        <v>16</v>
      </c>
      <c r="D1654" s="116">
        <v>0</v>
      </c>
      <c r="E1654" s="136" t="s">
        <v>416</v>
      </c>
      <c r="F1654" s="137" t="str">
        <f t="shared" si="87"/>
        <v/>
      </c>
      <c r="G1654" s="138" t="e">
        <f>IF(A1654&lt;&gt;"",IF(AND(#REF!="Padrão",$H$4=#REF!),BDI!$B$17,IF(AND(#REF!="Padrão",$H$4=#REF!),BDI!#REF!,IF(AND(#REF!="Diferenciado",$H$4=#REF!),BDI!$E$17,IF(AND(#REF!="Diferenciado",$H$4=#REF!),BDI!#REF!,IF(#REF!="ZERO",0))))),"")</f>
        <v>#REF!</v>
      </c>
      <c r="H1654" s="139" t="str">
        <f t="shared" si="88"/>
        <v/>
      </c>
      <c r="I1654" s="137" t="str">
        <f t="shared" si="89"/>
        <v/>
      </c>
      <c r="J1654" s="117"/>
    </row>
    <row r="1655" spans="1:10" hidden="1" x14ac:dyDescent="0.25">
      <c r="A1655" s="114" t="s">
        <v>4439</v>
      </c>
      <c r="B1655" s="115" t="s">
        <v>7799</v>
      </c>
      <c r="C1655" s="116" t="s">
        <v>16</v>
      </c>
      <c r="D1655" s="116">
        <v>0</v>
      </c>
      <c r="E1655" s="136" t="s">
        <v>416</v>
      </c>
      <c r="F1655" s="137" t="str">
        <f t="shared" si="87"/>
        <v/>
      </c>
      <c r="G1655" s="138" t="e">
        <f>IF(A1655&lt;&gt;"",IF(AND(#REF!="Padrão",$H$4=#REF!),BDI!$B$17,IF(AND(#REF!="Padrão",$H$4=#REF!),BDI!#REF!,IF(AND(#REF!="Diferenciado",$H$4=#REF!),BDI!$E$17,IF(AND(#REF!="Diferenciado",$H$4=#REF!),BDI!#REF!,IF(#REF!="ZERO",0))))),"")</f>
        <v>#REF!</v>
      </c>
      <c r="H1655" s="139" t="str">
        <f t="shared" si="88"/>
        <v/>
      </c>
      <c r="I1655" s="137" t="str">
        <f t="shared" si="89"/>
        <v/>
      </c>
      <c r="J1655" s="117"/>
    </row>
    <row r="1656" spans="1:10" hidden="1" x14ac:dyDescent="0.25">
      <c r="A1656" s="114" t="s">
        <v>4440</v>
      </c>
      <c r="B1656" s="115" t="s">
        <v>7800</v>
      </c>
      <c r="C1656" s="116" t="s">
        <v>16</v>
      </c>
      <c r="D1656" s="116">
        <v>0</v>
      </c>
      <c r="E1656" s="136" t="s">
        <v>416</v>
      </c>
      <c r="F1656" s="137" t="str">
        <f t="shared" si="87"/>
        <v/>
      </c>
      <c r="G1656" s="138" t="e">
        <f>IF(A1656&lt;&gt;"",IF(AND(#REF!="Padrão",$H$4=#REF!),BDI!$B$17,IF(AND(#REF!="Padrão",$H$4=#REF!),BDI!#REF!,IF(AND(#REF!="Diferenciado",$H$4=#REF!),BDI!$E$17,IF(AND(#REF!="Diferenciado",$H$4=#REF!),BDI!#REF!,IF(#REF!="ZERO",0))))),"")</f>
        <v>#REF!</v>
      </c>
      <c r="H1656" s="139" t="str">
        <f t="shared" si="88"/>
        <v/>
      </c>
      <c r="I1656" s="137" t="str">
        <f t="shared" si="89"/>
        <v/>
      </c>
      <c r="J1656" s="117"/>
    </row>
    <row r="1657" spans="1:10" hidden="1" x14ac:dyDescent="0.25">
      <c r="A1657" s="114" t="s">
        <v>4441</v>
      </c>
      <c r="B1657" s="115" t="s">
        <v>7801</v>
      </c>
      <c r="C1657" s="116" t="s">
        <v>16</v>
      </c>
      <c r="D1657" s="116">
        <v>0</v>
      </c>
      <c r="E1657" s="136" t="s">
        <v>416</v>
      </c>
      <c r="F1657" s="137" t="str">
        <f t="shared" si="87"/>
        <v/>
      </c>
      <c r="G1657" s="138" t="e">
        <f>IF(A1657&lt;&gt;"",IF(AND(#REF!="Padrão",$H$4=#REF!),BDI!$B$17,IF(AND(#REF!="Padrão",$H$4=#REF!),BDI!#REF!,IF(AND(#REF!="Diferenciado",$H$4=#REF!),BDI!$E$17,IF(AND(#REF!="Diferenciado",$H$4=#REF!),BDI!#REF!,IF(#REF!="ZERO",0))))),"")</f>
        <v>#REF!</v>
      </c>
      <c r="H1657" s="139" t="str">
        <f t="shared" si="88"/>
        <v/>
      </c>
      <c r="I1657" s="137" t="str">
        <f t="shared" si="89"/>
        <v/>
      </c>
      <c r="J1657" s="117"/>
    </row>
    <row r="1658" spans="1:10" hidden="1" x14ac:dyDescent="0.25">
      <c r="A1658" s="114" t="s">
        <v>4442</v>
      </c>
      <c r="B1658" s="115" t="s">
        <v>3517</v>
      </c>
      <c r="C1658" s="116" t="s">
        <v>16</v>
      </c>
      <c r="D1658" s="116">
        <v>0</v>
      </c>
      <c r="E1658" s="136" t="s">
        <v>416</v>
      </c>
      <c r="F1658" s="137" t="str">
        <f t="shared" si="87"/>
        <v/>
      </c>
      <c r="G1658" s="138" t="e">
        <f>IF(A1658&lt;&gt;"",IF(AND(#REF!="Padrão",$H$4=#REF!),BDI!$B$17,IF(AND(#REF!="Padrão",$H$4=#REF!),BDI!#REF!,IF(AND(#REF!="Diferenciado",$H$4=#REF!),BDI!$E$17,IF(AND(#REF!="Diferenciado",$H$4=#REF!),BDI!#REF!,IF(#REF!="ZERO",0))))),"")</f>
        <v>#REF!</v>
      </c>
      <c r="H1658" s="139" t="str">
        <f t="shared" si="88"/>
        <v/>
      </c>
      <c r="I1658" s="137" t="str">
        <f t="shared" si="89"/>
        <v/>
      </c>
      <c r="J1658" s="117"/>
    </row>
    <row r="1659" spans="1:10" hidden="1" x14ac:dyDescent="0.25">
      <c r="A1659" s="114" t="s">
        <v>4443</v>
      </c>
      <c r="B1659" s="115" t="s">
        <v>3518</v>
      </c>
      <c r="C1659" s="116" t="s">
        <v>16</v>
      </c>
      <c r="D1659" s="116">
        <v>0</v>
      </c>
      <c r="E1659" s="136" t="s">
        <v>416</v>
      </c>
      <c r="F1659" s="137" t="str">
        <f t="shared" si="87"/>
        <v/>
      </c>
      <c r="G1659" s="138" t="e">
        <f>IF(A1659&lt;&gt;"",IF(AND(#REF!="Padrão",$H$4=#REF!),BDI!$B$17,IF(AND(#REF!="Padrão",$H$4=#REF!),BDI!#REF!,IF(AND(#REF!="Diferenciado",$H$4=#REF!),BDI!$E$17,IF(AND(#REF!="Diferenciado",$H$4=#REF!),BDI!#REF!,IF(#REF!="ZERO",0))))),"")</f>
        <v>#REF!</v>
      </c>
      <c r="H1659" s="139" t="str">
        <f t="shared" si="88"/>
        <v/>
      </c>
      <c r="I1659" s="137" t="str">
        <f t="shared" si="89"/>
        <v/>
      </c>
      <c r="J1659" s="117"/>
    </row>
    <row r="1660" spans="1:10" hidden="1" x14ac:dyDescent="0.25">
      <c r="A1660" s="114" t="s">
        <v>4444</v>
      </c>
      <c r="B1660" s="115" t="s">
        <v>3519</v>
      </c>
      <c r="C1660" s="116" t="s">
        <v>16</v>
      </c>
      <c r="D1660" s="116">
        <v>0</v>
      </c>
      <c r="E1660" s="136" t="s">
        <v>416</v>
      </c>
      <c r="F1660" s="137" t="str">
        <f t="shared" si="87"/>
        <v/>
      </c>
      <c r="G1660" s="138" t="e">
        <f>IF(A1660&lt;&gt;"",IF(AND(#REF!="Padrão",$H$4=#REF!),BDI!$B$17,IF(AND(#REF!="Padrão",$H$4=#REF!),BDI!#REF!,IF(AND(#REF!="Diferenciado",$H$4=#REF!),BDI!$E$17,IF(AND(#REF!="Diferenciado",$H$4=#REF!),BDI!#REF!,IF(#REF!="ZERO",0))))),"")</f>
        <v>#REF!</v>
      </c>
      <c r="H1660" s="139" t="str">
        <f t="shared" si="88"/>
        <v/>
      </c>
      <c r="I1660" s="137" t="str">
        <f t="shared" si="89"/>
        <v/>
      </c>
      <c r="J1660" s="117"/>
    </row>
    <row r="1661" spans="1:10" hidden="1" x14ac:dyDescent="0.25">
      <c r="A1661" s="114" t="s">
        <v>4445</v>
      </c>
      <c r="B1661" s="115" t="s">
        <v>3520</v>
      </c>
      <c r="C1661" s="116" t="s">
        <v>16</v>
      </c>
      <c r="D1661" s="116">
        <v>0</v>
      </c>
      <c r="E1661" s="136" t="s">
        <v>416</v>
      </c>
      <c r="F1661" s="137" t="str">
        <f t="shared" si="87"/>
        <v/>
      </c>
      <c r="G1661" s="138" t="e">
        <f>IF(A1661&lt;&gt;"",IF(AND(#REF!="Padrão",$H$4=#REF!),BDI!$B$17,IF(AND(#REF!="Padrão",$H$4=#REF!),BDI!#REF!,IF(AND(#REF!="Diferenciado",$H$4=#REF!),BDI!$E$17,IF(AND(#REF!="Diferenciado",$H$4=#REF!),BDI!#REF!,IF(#REF!="ZERO",0))))),"")</f>
        <v>#REF!</v>
      </c>
      <c r="H1661" s="139" t="str">
        <f t="shared" si="88"/>
        <v/>
      </c>
      <c r="I1661" s="137" t="str">
        <f t="shared" si="89"/>
        <v/>
      </c>
      <c r="J1661" s="117"/>
    </row>
    <row r="1662" spans="1:10" hidden="1" x14ac:dyDescent="0.25">
      <c r="A1662" s="114" t="s">
        <v>4446</v>
      </c>
      <c r="B1662" s="115" t="s">
        <v>3521</v>
      </c>
      <c r="C1662" s="116" t="s">
        <v>16</v>
      </c>
      <c r="D1662" s="116">
        <v>0</v>
      </c>
      <c r="E1662" s="136" t="s">
        <v>416</v>
      </c>
      <c r="F1662" s="137" t="str">
        <f t="shared" si="87"/>
        <v/>
      </c>
      <c r="G1662" s="138" t="e">
        <f>IF(A1662&lt;&gt;"",IF(AND(#REF!="Padrão",$H$4=#REF!),BDI!$B$17,IF(AND(#REF!="Padrão",$H$4=#REF!),BDI!#REF!,IF(AND(#REF!="Diferenciado",$H$4=#REF!),BDI!$E$17,IF(AND(#REF!="Diferenciado",$H$4=#REF!),BDI!#REF!,IF(#REF!="ZERO",0))))),"")</f>
        <v>#REF!</v>
      </c>
      <c r="H1662" s="139" t="str">
        <f t="shared" si="88"/>
        <v/>
      </c>
      <c r="I1662" s="137" t="str">
        <f t="shared" si="89"/>
        <v/>
      </c>
      <c r="J1662" s="117"/>
    </row>
    <row r="1663" spans="1:10" hidden="1" x14ac:dyDescent="0.25">
      <c r="A1663" s="114" t="s">
        <v>4447</v>
      </c>
      <c r="B1663" s="115" t="s">
        <v>3522</v>
      </c>
      <c r="C1663" s="116" t="s">
        <v>16</v>
      </c>
      <c r="D1663" s="116">
        <v>0</v>
      </c>
      <c r="E1663" s="136" t="s">
        <v>416</v>
      </c>
      <c r="F1663" s="137" t="str">
        <f t="shared" si="87"/>
        <v/>
      </c>
      <c r="G1663" s="138" t="e">
        <f>IF(A1663&lt;&gt;"",IF(AND(#REF!="Padrão",$H$4=#REF!),BDI!$B$17,IF(AND(#REF!="Padrão",$H$4=#REF!),BDI!#REF!,IF(AND(#REF!="Diferenciado",$H$4=#REF!),BDI!$E$17,IF(AND(#REF!="Diferenciado",$H$4=#REF!),BDI!#REF!,IF(#REF!="ZERO",0))))),"")</f>
        <v>#REF!</v>
      </c>
      <c r="H1663" s="139" t="str">
        <f t="shared" si="88"/>
        <v/>
      </c>
      <c r="I1663" s="137" t="str">
        <f t="shared" si="89"/>
        <v/>
      </c>
      <c r="J1663" s="117"/>
    </row>
    <row r="1664" spans="1:10" hidden="1" x14ac:dyDescent="0.25">
      <c r="A1664" s="114" t="s">
        <v>4448</v>
      </c>
      <c r="B1664" s="115" t="s">
        <v>3523</v>
      </c>
      <c r="C1664" s="116" t="s">
        <v>16</v>
      </c>
      <c r="D1664" s="116">
        <v>0</v>
      </c>
      <c r="E1664" s="136" t="s">
        <v>416</v>
      </c>
      <c r="F1664" s="137" t="str">
        <f t="shared" si="87"/>
        <v/>
      </c>
      <c r="G1664" s="138" t="e">
        <f>IF(A1664&lt;&gt;"",IF(AND(#REF!="Padrão",$H$4=#REF!),BDI!$B$17,IF(AND(#REF!="Padrão",$H$4=#REF!),BDI!#REF!,IF(AND(#REF!="Diferenciado",$H$4=#REF!),BDI!$E$17,IF(AND(#REF!="Diferenciado",$H$4=#REF!),BDI!#REF!,IF(#REF!="ZERO",0))))),"")</f>
        <v>#REF!</v>
      </c>
      <c r="H1664" s="139" t="str">
        <f t="shared" si="88"/>
        <v/>
      </c>
      <c r="I1664" s="137" t="str">
        <f t="shared" si="89"/>
        <v/>
      </c>
      <c r="J1664" s="117"/>
    </row>
    <row r="1665" spans="1:10" hidden="1" x14ac:dyDescent="0.25">
      <c r="A1665" s="114" t="s">
        <v>4449</v>
      </c>
      <c r="B1665" s="115" t="s">
        <v>7802</v>
      </c>
      <c r="C1665" s="116" t="s">
        <v>16</v>
      </c>
      <c r="D1665" s="116">
        <v>0</v>
      </c>
      <c r="E1665" s="136" t="s">
        <v>416</v>
      </c>
      <c r="F1665" s="137" t="str">
        <f t="shared" si="87"/>
        <v/>
      </c>
      <c r="G1665" s="138" t="e">
        <f>IF(A1665&lt;&gt;"",IF(AND(#REF!="Padrão",$H$4=#REF!),BDI!$B$17,IF(AND(#REF!="Padrão",$H$4=#REF!),BDI!#REF!,IF(AND(#REF!="Diferenciado",$H$4=#REF!),BDI!$E$17,IF(AND(#REF!="Diferenciado",$H$4=#REF!),BDI!#REF!,IF(#REF!="ZERO",0))))),"")</f>
        <v>#REF!</v>
      </c>
      <c r="H1665" s="139" t="str">
        <f t="shared" si="88"/>
        <v/>
      </c>
      <c r="I1665" s="137" t="str">
        <f t="shared" si="89"/>
        <v/>
      </c>
      <c r="J1665" s="117"/>
    </row>
    <row r="1666" spans="1:10" hidden="1" x14ac:dyDescent="0.25">
      <c r="A1666" s="114" t="s">
        <v>4450</v>
      </c>
      <c r="B1666" s="115" t="s">
        <v>7803</v>
      </c>
      <c r="C1666" s="116" t="s">
        <v>16</v>
      </c>
      <c r="D1666" s="116">
        <v>0</v>
      </c>
      <c r="E1666" s="136" t="s">
        <v>416</v>
      </c>
      <c r="F1666" s="137" t="str">
        <f t="shared" si="87"/>
        <v/>
      </c>
      <c r="G1666" s="138" t="e">
        <f>IF(A1666&lt;&gt;"",IF(AND(#REF!="Padrão",$H$4=#REF!),BDI!$B$17,IF(AND(#REF!="Padrão",$H$4=#REF!),BDI!#REF!,IF(AND(#REF!="Diferenciado",$H$4=#REF!),BDI!$E$17,IF(AND(#REF!="Diferenciado",$H$4=#REF!),BDI!#REF!,IF(#REF!="ZERO",0))))),"")</f>
        <v>#REF!</v>
      </c>
      <c r="H1666" s="139" t="str">
        <f t="shared" si="88"/>
        <v/>
      </c>
      <c r="I1666" s="137" t="str">
        <f t="shared" si="89"/>
        <v/>
      </c>
      <c r="J1666" s="117"/>
    </row>
    <row r="1667" spans="1:10" hidden="1" x14ac:dyDescent="0.25">
      <c r="A1667" s="114" t="s">
        <v>4451</v>
      </c>
      <c r="B1667" s="115" t="s">
        <v>7804</v>
      </c>
      <c r="C1667" s="116" t="s">
        <v>16</v>
      </c>
      <c r="D1667" s="116">
        <v>0</v>
      </c>
      <c r="E1667" s="136" t="s">
        <v>416</v>
      </c>
      <c r="F1667" s="137" t="str">
        <f t="shared" si="87"/>
        <v/>
      </c>
      <c r="G1667" s="138" t="e">
        <f>IF(A1667&lt;&gt;"",IF(AND(#REF!="Padrão",$H$4=#REF!),BDI!$B$17,IF(AND(#REF!="Padrão",$H$4=#REF!),BDI!#REF!,IF(AND(#REF!="Diferenciado",$H$4=#REF!),BDI!$E$17,IF(AND(#REF!="Diferenciado",$H$4=#REF!),BDI!#REF!,IF(#REF!="ZERO",0))))),"")</f>
        <v>#REF!</v>
      </c>
      <c r="H1667" s="139" t="str">
        <f t="shared" si="88"/>
        <v/>
      </c>
      <c r="I1667" s="137" t="str">
        <f t="shared" si="89"/>
        <v/>
      </c>
      <c r="J1667" s="117"/>
    </row>
    <row r="1668" spans="1:10" hidden="1" x14ac:dyDescent="0.25">
      <c r="A1668" s="114" t="s">
        <v>4452</v>
      </c>
      <c r="B1668" s="115" t="s">
        <v>7805</v>
      </c>
      <c r="C1668" s="116" t="s">
        <v>16</v>
      </c>
      <c r="D1668" s="116">
        <v>0</v>
      </c>
      <c r="E1668" s="136" t="s">
        <v>416</v>
      </c>
      <c r="F1668" s="137" t="str">
        <f t="shared" si="87"/>
        <v/>
      </c>
      <c r="G1668" s="138" t="e">
        <f>IF(A1668&lt;&gt;"",IF(AND(#REF!="Padrão",$H$4=#REF!),BDI!$B$17,IF(AND(#REF!="Padrão",$H$4=#REF!),BDI!#REF!,IF(AND(#REF!="Diferenciado",$H$4=#REF!),BDI!$E$17,IF(AND(#REF!="Diferenciado",$H$4=#REF!),BDI!#REF!,IF(#REF!="ZERO",0))))),"")</f>
        <v>#REF!</v>
      </c>
      <c r="H1668" s="139" t="str">
        <f t="shared" si="88"/>
        <v/>
      </c>
      <c r="I1668" s="137" t="str">
        <f t="shared" si="89"/>
        <v/>
      </c>
      <c r="J1668" s="117"/>
    </row>
    <row r="1669" spans="1:10" hidden="1" x14ac:dyDescent="0.25">
      <c r="A1669" s="114" t="s">
        <v>4453</v>
      </c>
      <c r="B1669" s="115" t="s">
        <v>3524</v>
      </c>
      <c r="C1669" s="116" t="s">
        <v>16</v>
      </c>
      <c r="D1669" s="116">
        <v>0</v>
      </c>
      <c r="E1669" s="136" t="s">
        <v>416</v>
      </c>
      <c r="F1669" s="137" t="str">
        <f t="shared" si="87"/>
        <v/>
      </c>
      <c r="G1669" s="138" t="e">
        <f>IF(A1669&lt;&gt;"",IF(AND(#REF!="Padrão",$H$4=#REF!),BDI!$B$17,IF(AND(#REF!="Padrão",$H$4=#REF!),BDI!#REF!,IF(AND(#REF!="Diferenciado",$H$4=#REF!),BDI!$E$17,IF(AND(#REF!="Diferenciado",$H$4=#REF!),BDI!#REF!,IF(#REF!="ZERO",0))))),"")</f>
        <v>#REF!</v>
      </c>
      <c r="H1669" s="139" t="str">
        <f t="shared" si="88"/>
        <v/>
      </c>
      <c r="I1669" s="137" t="str">
        <f t="shared" si="89"/>
        <v/>
      </c>
      <c r="J1669" s="117"/>
    </row>
    <row r="1670" spans="1:10" hidden="1" x14ac:dyDescent="0.25">
      <c r="A1670" s="114" t="s">
        <v>4454</v>
      </c>
      <c r="B1670" s="115" t="s">
        <v>7806</v>
      </c>
      <c r="C1670" s="116" t="s">
        <v>16</v>
      </c>
      <c r="D1670" s="116">
        <v>0</v>
      </c>
      <c r="E1670" s="136" t="s">
        <v>416</v>
      </c>
      <c r="F1670" s="137" t="str">
        <f t="shared" si="87"/>
        <v/>
      </c>
      <c r="G1670" s="138" t="e">
        <f>IF(A1670&lt;&gt;"",IF(AND(#REF!="Padrão",$H$4=#REF!),BDI!$B$17,IF(AND(#REF!="Padrão",$H$4=#REF!),BDI!#REF!,IF(AND(#REF!="Diferenciado",$H$4=#REF!),BDI!$E$17,IF(AND(#REF!="Diferenciado",$H$4=#REF!),BDI!#REF!,IF(#REF!="ZERO",0))))),"")</f>
        <v>#REF!</v>
      </c>
      <c r="H1670" s="139" t="str">
        <f t="shared" si="88"/>
        <v/>
      </c>
      <c r="I1670" s="137" t="str">
        <f t="shared" si="89"/>
        <v/>
      </c>
      <c r="J1670" s="117"/>
    </row>
    <row r="1671" spans="1:10" hidden="1" x14ac:dyDescent="0.25">
      <c r="A1671" s="114" t="s">
        <v>4455</v>
      </c>
      <c r="B1671" s="115" t="s">
        <v>7807</v>
      </c>
      <c r="C1671" s="116" t="s">
        <v>16</v>
      </c>
      <c r="D1671" s="116">
        <v>0</v>
      </c>
      <c r="E1671" s="136" t="s">
        <v>416</v>
      </c>
      <c r="F1671" s="137" t="str">
        <f t="shared" si="87"/>
        <v/>
      </c>
      <c r="G1671" s="138" t="e">
        <f>IF(A1671&lt;&gt;"",IF(AND(#REF!="Padrão",$H$4=#REF!),BDI!$B$17,IF(AND(#REF!="Padrão",$H$4=#REF!),BDI!#REF!,IF(AND(#REF!="Diferenciado",$H$4=#REF!),BDI!$E$17,IF(AND(#REF!="Diferenciado",$H$4=#REF!),BDI!#REF!,IF(#REF!="ZERO",0))))),"")</f>
        <v>#REF!</v>
      </c>
      <c r="H1671" s="139" t="str">
        <f t="shared" si="88"/>
        <v/>
      </c>
      <c r="I1671" s="137" t="str">
        <f t="shared" si="89"/>
        <v/>
      </c>
      <c r="J1671" s="117"/>
    </row>
    <row r="1672" spans="1:10" hidden="1" x14ac:dyDescent="0.25">
      <c r="A1672" s="114" t="s">
        <v>4456</v>
      </c>
      <c r="B1672" s="115" t="s">
        <v>7808</v>
      </c>
      <c r="C1672" s="116" t="s">
        <v>16</v>
      </c>
      <c r="D1672" s="116">
        <v>0</v>
      </c>
      <c r="E1672" s="136" t="s">
        <v>416</v>
      </c>
      <c r="F1672" s="137" t="str">
        <f t="shared" si="87"/>
        <v/>
      </c>
      <c r="G1672" s="138" t="e">
        <f>IF(A1672&lt;&gt;"",IF(AND(#REF!="Padrão",$H$4=#REF!),BDI!$B$17,IF(AND(#REF!="Padrão",$H$4=#REF!),BDI!#REF!,IF(AND(#REF!="Diferenciado",$H$4=#REF!),BDI!$E$17,IF(AND(#REF!="Diferenciado",$H$4=#REF!),BDI!#REF!,IF(#REF!="ZERO",0))))),"")</f>
        <v>#REF!</v>
      </c>
      <c r="H1672" s="139" t="str">
        <f t="shared" si="88"/>
        <v/>
      </c>
      <c r="I1672" s="137" t="str">
        <f t="shared" si="89"/>
        <v/>
      </c>
      <c r="J1672" s="117"/>
    </row>
    <row r="1673" spans="1:10" hidden="1" x14ac:dyDescent="0.25">
      <c r="A1673" s="114" t="s">
        <v>4457</v>
      </c>
      <c r="B1673" s="115" t="s">
        <v>7809</v>
      </c>
      <c r="C1673" s="116" t="s">
        <v>16</v>
      </c>
      <c r="D1673" s="116">
        <v>0</v>
      </c>
      <c r="E1673" s="136" t="s">
        <v>416</v>
      </c>
      <c r="F1673" s="137" t="str">
        <f t="shared" si="87"/>
        <v/>
      </c>
      <c r="G1673" s="138" t="e">
        <f>IF(A1673&lt;&gt;"",IF(AND(#REF!="Padrão",$H$4=#REF!),BDI!$B$17,IF(AND(#REF!="Padrão",$H$4=#REF!),BDI!#REF!,IF(AND(#REF!="Diferenciado",$H$4=#REF!),BDI!$E$17,IF(AND(#REF!="Diferenciado",$H$4=#REF!),BDI!#REF!,IF(#REF!="ZERO",0))))),"")</f>
        <v>#REF!</v>
      </c>
      <c r="H1673" s="139" t="str">
        <f t="shared" si="88"/>
        <v/>
      </c>
      <c r="I1673" s="137" t="str">
        <f t="shared" si="89"/>
        <v/>
      </c>
      <c r="J1673" s="117"/>
    </row>
    <row r="1674" spans="1:10" hidden="1" x14ac:dyDescent="0.25">
      <c r="A1674" s="114" t="s">
        <v>4458</v>
      </c>
      <c r="B1674" s="115" t="s">
        <v>7810</v>
      </c>
      <c r="C1674" s="116" t="s">
        <v>16</v>
      </c>
      <c r="D1674" s="116">
        <v>0</v>
      </c>
      <c r="E1674" s="136" t="s">
        <v>416</v>
      </c>
      <c r="F1674" s="137" t="str">
        <f t="shared" si="87"/>
        <v/>
      </c>
      <c r="G1674" s="138" t="e">
        <f>IF(A1674&lt;&gt;"",IF(AND(#REF!="Padrão",$H$4=#REF!),BDI!$B$17,IF(AND(#REF!="Padrão",$H$4=#REF!),BDI!#REF!,IF(AND(#REF!="Diferenciado",$H$4=#REF!),BDI!$E$17,IF(AND(#REF!="Diferenciado",$H$4=#REF!),BDI!#REF!,IF(#REF!="ZERO",0))))),"")</f>
        <v>#REF!</v>
      </c>
      <c r="H1674" s="139" t="str">
        <f t="shared" si="88"/>
        <v/>
      </c>
      <c r="I1674" s="137" t="str">
        <f t="shared" si="89"/>
        <v/>
      </c>
      <c r="J1674" s="117"/>
    </row>
    <row r="1675" spans="1:10" hidden="1" x14ac:dyDescent="0.25">
      <c r="A1675" s="114" t="s">
        <v>4459</v>
      </c>
      <c r="B1675" s="115" t="s">
        <v>7811</v>
      </c>
      <c r="C1675" s="116" t="s">
        <v>16</v>
      </c>
      <c r="D1675" s="116">
        <v>0</v>
      </c>
      <c r="E1675" s="136" t="s">
        <v>416</v>
      </c>
      <c r="F1675" s="137" t="str">
        <f t="shared" si="87"/>
        <v/>
      </c>
      <c r="G1675" s="138" t="e">
        <f>IF(A1675&lt;&gt;"",IF(AND(#REF!="Padrão",$H$4=#REF!),BDI!$B$17,IF(AND(#REF!="Padrão",$H$4=#REF!),BDI!#REF!,IF(AND(#REF!="Diferenciado",$H$4=#REF!),BDI!$E$17,IF(AND(#REF!="Diferenciado",$H$4=#REF!),BDI!#REF!,IF(#REF!="ZERO",0))))),"")</f>
        <v>#REF!</v>
      </c>
      <c r="H1675" s="139" t="str">
        <f t="shared" si="88"/>
        <v/>
      </c>
      <c r="I1675" s="137" t="str">
        <f t="shared" si="89"/>
        <v/>
      </c>
      <c r="J1675" s="117"/>
    </row>
    <row r="1676" spans="1:10" hidden="1" x14ac:dyDescent="0.25">
      <c r="A1676" s="114" t="s">
        <v>4460</v>
      </c>
      <c r="B1676" s="115" t="s">
        <v>7812</v>
      </c>
      <c r="C1676" s="116" t="s">
        <v>16</v>
      </c>
      <c r="D1676" s="116">
        <v>0</v>
      </c>
      <c r="E1676" s="136" t="s">
        <v>416</v>
      </c>
      <c r="F1676" s="137" t="str">
        <f t="shared" si="87"/>
        <v/>
      </c>
      <c r="G1676" s="138" t="e">
        <f>IF(A1676&lt;&gt;"",IF(AND(#REF!="Padrão",$H$4=#REF!),BDI!$B$17,IF(AND(#REF!="Padrão",$H$4=#REF!),BDI!#REF!,IF(AND(#REF!="Diferenciado",$H$4=#REF!),BDI!$E$17,IF(AND(#REF!="Diferenciado",$H$4=#REF!),BDI!#REF!,IF(#REF!="ZERO",0))))),"")</f>
        <v>#REF!</v>
      </c>
      <c r="H1676" s="139" t="str">
        <f t="shared" si="88"/>
        <v/>
      </c>
      <c r="I1676" s="137" t="str">
        <f t="shared" si="89"/>
        <v/>
      </c>
      <c r="J1676" s="117"/>
    </row>
    <row r="1677" spans="1:10" hidden="1" x14ac:dyDescent="0.25">
      <c r="A1677" s="114" t="s">
        <v>4461</v>
      </c>
      <c r="B1677" s="115" t="s">
        <v>7813</v>
      </c>
      <c r="C1677" s="116" t="s">
        <v>16</v>
      </c>
      <c r="D1677" s="116">
        <v>0</v>
      </c>
      <c r="E1677" s="136" t="s">
        <v>416</v>
      </c>
      <c r="F1677" s="137" t="str">
        <f t="shared" si="87"/>
        <v/>
      </c>
      <c r="G1677" s="138" t="e">
        <f>IF(A1677&lt;&gt;"",IF(AND(#REF!="Padrão",$H$4=#REF!),BDI!$B$17,IF(AND(#REF!="Padrão",$H$4=#REF!),BDI!#REF!,IF(AND(#REF!="Diferenciado",$H$4=#REF!),BDI!$E$17,IF(AND(#REF!="Diferenciado",$H$4=#REF!),BDI!#REF!,IF(#REF!="ZERO",0))))),"")</f>
        <v>#REF!</v>
      </c>
      <c r="H1677" s="139" t="str">
        <f t="shared" si="88"/>
        <v/>
      </c>
      <c r="I1677" s="137" t="str">
        <f t="shared" si="89"/>
        <v/>
      </c>
      <c r="J1677" s="117"/>
    </row>
    <row r="1678" spans="1:10" hidden="1" x14ac:dyDescent="0.25">
      <c r="A1678" s="114" t="s">
        <v>4462</v>
      </c>
      <c r="B1678" s="115" t="s">
        <v>7814</v>
      </c>
      <c r="C1678" s="116" t="s">
        <v>16</v>
      </c>
      <c r="D1678" s="116">
        <v>0</v>
      </c>
      <c r="E1678" s="136" t="s">
        <v>416</v>
      </c>
      <c r="F1678" s="137" t="str">
        <f t="shared" si="87"/>
        <v/>
      </c>
      <c r="G1678" s="138" t="e">
        <f>IF(A1678&lt;&gt;"",IF(AND(#REF!="Padrão",$H$4=#REF!),BDI!$B$17,IF(AND(#REF!="Padrão",$H$4=#REF!),BDI!#REF!,IF(AND(#REF!="Diferenciado",$H$4=#REF!),BDI!$E$17,IF(AND(#REF!="Diferenciado",$H$4=#REF!),BDI!#REF!,IF(#REF!="ZERO",0))))),"")</f>
        <v>#REF!</v>
      </c>
      <c r="H1678" s="139" t="str">
        <f t="shared" si="88"/>
        <v/>
      </c>
      <c r="I1678" s="137" t="str">
        <f t="shared" si="89"/>
        <v/>
      </c>
      <c r="J1678" s="117"/>
    </row>
    <row r="1679" spans="1:10" hidden="1" x14ac:dyDescent="0.25">
      <c r="A1679" s="114" t="s">
        <v>4463</v>
      </c>
      <c r="B1679" s="115" t="s">
        <v>7815</v>
      </c>
      <c r="C1679" s="116" t="s">
        <v>16</v>
      </c>
      <c r="D1679" s="116">
        <v>0</v>
      </c>
      <c r="E1679" s="136" t="s">
        <v>416</v>
      </c>
      <c r="F1679" s="137" t="str">
        <f t="shared" si="87"/>
        <v/>
      </c>
      <c r="G1679" s="138" t="e">
        <f>IF(A1679&lt;&gt;"",IF(AND(#REF!="Padrão",$H$4=#REF!),BDI!$B$17,IF(AND(#REF!="Padrão",$H$4=#REF!),BDI!#REF!,IF(AND(#REF!="Diferenciado",$H$4=#REF!),BDI!$E$17,IF(AND(#REF!="Diferenciado",$H$4=#REF!),BDI!#REF!,IF(#REF!="ZERO",0))))),"")</f>
        <v>#REF!</v>
      </c>
      <c r="H1679" s="139" t="str">
        <f t="shared" si="88"/>
        <v/>
      </c>
      <c r="I1679" s="137" t="str">
        <f t="shared" si="89"/>
        <v/>
      </c>
      <c r="J1679" s="117"/>
    </row>
    <row r="1680" spans="1:10" hidden="1" x14ac:dyDescent="0.25">
      <c r="A1680" s="114" t="s">
        <v>4464</v>
      </c>
      <c r="B1680" s="115" t="s">
        <v>7816</v>
      </c>
      <c r="C1680" s="116" t="s">
        <v>16</v>
      </c>
      <c r="D1680" s="116">
        <v>0</v>
      </c>
      <c r="E1680" s="136" t="s">
        <v>416</v>
      </c>
      <c r="F1680" s="137" t="str">
        <f t="shared" si="87"/>
        <v/>
      </c>
      <c r="G1680" s="138" t="e">
        <f>IF(A1680&lt;&gt;"",IF(AND(#REF!="Padrão",$H$4=#REF!),BDI!$B$17,IF(AND(#REF!="Padrão",$H$4=#REF!),BDI!#REF!,IF(AND(#REF!="Diferenciado",$H$4=#REF!),BDI!$E$17,IF(AND(#REF!="Diferenciado",$H$4=#REF!),BDI!#REF!,IF(#REF!="ZERO",0))))),"")</f>
        <v>#REF!</v>
      </c>
      <c r="H1680" s="139" t="str">
        <f t="shared" si="88"/>
        <v/>
      </c>
      <c r="I1680" s="137" t="str">
        <f t="shared" si="89"/>
        <v/>
      </c>
      <c r="J1680" s="117"/>
    </row>
    <row r="1681" spans="1:10" hidden="1" x14ac:dyDescent="0.25">
      <c r="A1681" s="114" t="s">
        <v>4465</v>
      </c>
      <c r="B1681" s="115" t="s">
        <v>7817</v>
      </c>
      <c r="C1681" s="116" t="s">
        <v>16</v>
      </c>
      <c r="D1681" s="116">
        <v>0</v>
      </c>
      <c r="E1681" s="136" t="s">
        <v>416</v>
      </c>
      <c r="F1681" s="137" t="str">
        <f t="shared" si="87"/>
        <v/>
      </c>
      <c r="G1681" s="138" t="e">
        <f>IF(A1681&lt;&gt;"",IF(AND(#REF!="Padrão",$H$4=#REF!),BDI!$B$17,IF(AND(#REF!="Padrão",$H$4=#REF!),BDI!#REF!,IF(AND(#REF!="Diferenciado",$H$4=#REF!),BDI!$E$17,IF(AND(#REF!="Diferenciado",$H$4=#REF!),BDI!#REF!,IF(#REF!="ZERO",0))))),"")</f>
        <v>#REF!</v>
      </c>
      <c r="H1681" s="139" t="str">
        <f t="shared" si="88"/>
        <v/>
      </c>
      <c r="I1681" s="137" t="str">
        <f t="shared" si="89"/>
        <v/>
      </c>
      <c r="J1681" s="117"/>
    </row>
    <row r="1682" spans="1:10" hidden="1" x14ac:dyDescent="0.25">
      <c r="A1682" s="114" t="s">
        <v>4466</v>
      </c>
      <c r="B1682" s="115" t="s">
        <v>7818</v>
      </c>
      <c r="C1682" s="116" t="s">
        <v>16</v>
      </c>
      <c r="D1682" s="116">
        <v>0</v>
      </c>
      <c r="E1682" s="136" t="s">
        <v>416</v>
      </c>
      <c r="F1682" s="137" t="str">
        <f t="shared" si="87"/>
        <v/>
      </c>
      <c r="G1682" s="138" t="e">
        <f>IF(A1682&lt;&gt;"",IF(AND(#REF!="Padrão",$H$4=#REF!),BDI!$B$17,IF(AND(#REF!="Padrão",$H$4=#REF!),BDI!#REF!,IF(AND(#REF!="Diferenciado",$H$4=#REF!),BDI!$E$17,IF(AND(#REF!="Diferenciado",$H$4=#REF!),BDI!#REF!,IF(#REF!="ZERO",0))))),"")</f>
        <v>#REF!</v>
      </c>
      <c r="H1682" s="139" t="str">
        <f t="shared" si="88"/>
        <v/>
      </c>
      <c r="I1682" s="137" t="str">
        <f t="shared" si="89"/>
        <v/>
      </c>
      <c r="J1682" s="117"/>
    </row>
    <row r="1683" spans="1:10" hidden="1" x14ac:dyDescent="0.25">
      <c r="A1683" s="114" t="s">
        <v>4467</v>
      </c>
      <c r="B1683" s="115" t="s">
        <v>7819</v>
      </c>
      <c r="C1683" s="116" t="s">
        <v>16</v>
      </c>
      <c r="D1683" s="116">
        <v>0</v>
      </c>
      <c r="E1683" s="136" t="s">
        <v>416</v>
      </c>
      <c r="F1683" s="137" t="str">
        <f t="shared" si="87"/>
        <v/>
      </c>
      <c r="G1683" s="138" t="e">
        <f>IF(A1683&lt;&gt;"",IF(AND(#REF!="Padrão",$H$4=#REF!),BDI!$B$17,IF(AND(#REF!="Padrão",$H$4=#REF!),BDI!#REF!,IF(AND(#REF!="Diferenciado",$H$4=#REF!),BDI!$E$17,IF(AND(#REF!="Diferenciado",$H$4=#REF!),BDI!#REF!,IF(#REF!="ZERO",0))))),"")</f>
        <v>#REF!</v>
      </c>
      <c r="H1683" s="139" t="str">
        <f t="shared" si="88"/>
        <v/>
      </c>
      <c r="I1683" s="137" t="str">
        <f t="shared" si="89"/>
        <v/>
      </c>
      <c r="J1683" s="117"/>
    </row>
    <row r="1684" spans="1:10" hidden="1" x14ac:dyDescent="0.25">
      <c r="A1684" s="114" t="s">
        <v>4468</v>
      </c>
      <c r="B1684" s="115" t="s">
        <v>7820</v>
      </c>
      <c r="C1684" s="116" t="s">
        <v>16</v>
      </c>
      <c r="D1684" s="116">
        <v>0</v>
      </c>
      <c r="E1684" s="136" t="s">
        <v>416</v>
      </c>
      <c r="F1684" s="137" t="str">
        <f t="shared" si="87"/>
        <v/>
      </c>
      <c r="G1684" s="138" t="e">
        <f>IF(A1684&lt;&gt;"",IF(AND(#REF!="Padrão",$H$4=#REF!),BDI!$B$17,IF(AND(#REF!="Padrão",$H$4=#REF!),BDI!#REF!,IF(AND(#REF!="Diferenciado",$H$4=#REF!),BDI!$E$17,IF(AND(#REF!="Diferenciado",$H$4=#REF!),BDI!#REF!,IF(#REF!="ZERO",0))))),"")</f>
        <v>#REF!</v>
      </c>
      <c r="H1684" s="139" t="str">
        <f t="shared" si="88"/>
        <v/>
      </c>
      <c r="I1684" s="137" t="str">
        <f t="shared" si="89"/>
        <v/>
      </c>
      <c r="J1684" s="117"/>
    </row>
    <row r="1685" spans="1:10" hidden="1" x14ac:dyDescent="0.25">
      <c r="A1685" s="114" t="s">
        <v>4469</v>
      </c>
      <c r="B1685" s="115" t="s">
        <v>7821</v>
      </c>
      <c r="C1685" s="116" t="s">
        <v>16</v>
      </c>
      <c r="D1685" s="116">
        <v>0</v>
      </c>
      <c r="E1685" s="136" t="s">
        <v>416</v>
      </c>
      <c r="F1685" s="137" t="str">
        <f t="shared" si="87"/>
        <v/>
      </c>
      <c r="G1685" s="138" t="e">
        <f>IF(A1685&lt;&gt;"",IF(AND(#REF!="Padrão",$H$4=#REF!),BDI!$B$17,IF(AND(#REF!="Padrão",$H$4=#REF!),BDI!#REF!,IF(AND(#REF!="Diferenciado",$H$4=#REF!),BDI!$E$17,IF(AND(#REF!="Diferenciado",$H$4=#REF!),BDI!#REF!,IF(#REF!="ZERO",0))))),"")</f>
        <v>#REF!</v>
      </c>
      <c r="H1685" s="139" t="str">
        <f t="shared" si="88"/>
        <v/>
      </c>
      <c r="I1685" s="137" t="str">
        <f t="shared" si="89"/>
        <v/>
      </c>
      <c r="J1685" s="117"/>
    </row>
    <row r="1686" spans="1:10" hidden="1" x14ac:dyDescent="0.25">
      <c r="A1686" s="114" t="s">
        <v>4470</v>
      </c>
      <c r="B1686" s="115" t="s">
        <v>7822</v>
      </c>
      <c r="C1686" s="116" t="s">
        <v>16</v>
      </c>
      <c r="D1686" s="116">
        <v>0</v>
      </c>
      <c r="E1686" s="136" t="s">
        <v>416</v>
      </c>
      <c r="F1686" s="137" t="str">
        <f t="shared" si="87"/>
        <v/>
      </c>
      <c r="G1686" s="138" t="e">
        <f>IF(A1686&lt;&gt;"",IF(AND(#REF!="Padrão",$H$4=#REF!),BDI!$B$17,IF(AND(#REF!="Padrão",$H$4=#REF!),BDI!#REF!,IF(AND(#REF!="Diferenciado",$H$4=#REF!),BDI!$E$17,IF(AND(#REF!="Diferenciado",$H$4=#REF!),BDI!#REF!,IF(#REF!="ZERO",0))))),"")</f>
        <v>#REF!</v>
      </c>
      <c r="H1686" s="139" t="str">
        <f t="shared" si="88"/>
        <v/>
      </c>
      <c r="I1686" s="137" t="str">
        <f t="shared" si="89"/>
        <v/>
      </c>
      <c r="J1686" s="117"/>
    </row>
    <row r="1687" spans="1:10" hidden="1" x14ac:dyDescent="0.25">
      <c r="A1687" s="114" t="s">
        <v>4471</v>
      </c>
      <c r="B1687" s="115" t="s">
        <v>7823</v>
      </c>
      <c r="C1687" s="116" t="s">
        <v>16</v>
      </c>
      <c r="D1687" s="116">
        <v>0</v>
      </c>
      <c r="E1687" s="136" t="s">
        <v>416</v>
      </c>
      <c r="F1687" s="137" t="str">
        <f t="shared" si="87"/>
        <v/>
      </c>
      <c r="G1687" s="138" t="e">
        <f>IF(A1687&lt;&gt;"",IF(AND(#REF!="Padrão",$H$4=#REF!),BDI!$B$17,IF(AND(#REF!="Padrão",$H$4=#REF!),BDI!#REF!,IF(AND(#REF!="Diferenciado",$H$4=#REF!),BDI!$E$17,IF(AND(#REF!="Diferenciado",$H$4=#REF!),BDI!#REF!,IF(#REF!="ZERO",0))))),"")</f>
        <v>#REF!</v>
      </c>
      <c r="H1687" s="139" t="str">
        <f t="shared" si="88"/>
        <v/>
      </c>
      <c r="I1687" s="137" t="str">
        <f t="shared" si="89"/>
        <v/>
      </c>
      <c r="J1687" s="117"/>
    </row>
    <row r="1688" spans="1:10" hidden="1" x14ac:dyDescent="0.25">
      <c r="A1688" s="114" t="s">
        <v>4472</v>
      </c>
      <c r="B1688" s="115" t="s">
        <v>7824</v>
      </c>
      <c r="C1688" s="116" t="s">
        <v>16</v>
      </c>
      <c r="D1688" s="116">
        <v>0</v>
      </c>
      <c r="E1688" s="136" t="s">
        <v>416</v>
      </c>
      <c r="F1688" s="137" t="str">
        <f t="shared" si="87"/>
        <v/>
      </c>
      <c r="G1688" s="138" t="e">
        <f>IF(A1688&lt;&gt;"",IF(AND(#REF!="Padrão",$H$4=#REF!),BDI!$B$17,IF(AND(#REF!="Padrão",$H$4=#REF!),BDI!#REF!,IF(AND(#REF!="Diferenciado",$H$4=#REF!),BDI!$E$17,IF(AND(#REF!="Diferenciado",$H$4=#REF!),BDI!#REF!,IF(#REF!="ZERO",0))))),"")</f>
        <v>#REF!</v>
      </c>
      <c r="H1688" s="139" t="str">
        <f t="shared" si="88"/>
        <v/>
      </c>
      <c r="I1688" s="137" t="str">
        <f t="shared" si="89"/>
        <v/>
      </c>
      <c r="J1688" s="117"/>
    </row>
    <row r="1689" spans="1:10" hidden="1" x14ac:dyDescent="0.25">
      <c r="A1689" s="114" t="s">
        <v>4473</v>
      </c>
      <c r="B1689" s="115" t="s">
        <v>7825</v>
      </c>
      <c r="C1689" s="116" t="s">
        <v>16</v>
      </c>
      <c r="D1689" s="116">
        <v>0</v>
      </c>
      <c r="E1689" s="136" t="s">
        <v>416</v>
      </c>
      <c r="F1689" s="137" t="str">
        <f t="shared" si="87"/>
        <v/>
      </c>
      <c r="G1689" s="138" t="e">
        <f>IF(A1689&lt;&gt;"",IF(AND(#REF!="Padrão",$H$4=#REF!),BDI!$B$17,IF(AND(#REF!="Padrão",$H$4=#REF!),BDI!#REF!,IF(AND(#REF!="Diferenciado",$H$4=#REF!),BDI!$E$17,IF(AND(#REF!="Diferenciado",$H$4=#REF!),BDI!#REF!,IF(#REF!="ZERO",0))))),"")</f>
        <v>#REF!</v>
      </c>
      <c r="H1689" s="139" t="str">
        <f t="shared" si="88"/>
        <v/>
      </c>
      <c r="I1689" s="137" t="str">
        <f t="shared" si="89"/>
        <v/>
      </c>
      <c r="J1689" s="117"/>
    </row>
    <row r="1690" spans="1:10" hidden="1" x14ac:dyDescent="0.25">
      <c r="A1690" s="114" t="s">
        <v>4474</v>
      </c>
      <c r="B1690" s="115" t="s">
        <v>7826</v>
      </c>
      <c r="C1690" s="116" t="s">
        <v>16</v>
      </c>
      <c r="D1690" s="116">
        <v>0</v>
      </c>
      <c r="E1690" s="136" t="s">
        <v>416</v>
      </c>
      <c r="F1690" s="137" t="str">
        <f t="shared" si="87"/>
        <v/>
      </c>
      <c r="G1690" s="138" t="e">
        <f>IF(A1690&lt;&gt;"",IF(AND(#REF!="Padrão",$H$4=#REF!),BDI!$B$17,IF(AND(#REF!="Padrão",$H$4=#REF!),BDI!#REF!,IF(AND(#REF!="Diferenciado",$H$4=#REF!),BDI!$E$17,IF(AND(#REF!="Diferenciado",$H$4=#REF!),BDI!#REF!,IF(#REF!="ZERO",0))))),"")</f>
        <v>#REF!</v>
      </c>
      <c r="H1690" s="139" t="str">
        <f t="shared" si="88"/>
        <v/>
      </c>
      <c r="I1690" s="137" t="str">
        <f t="shared" si="89"/>
        <v/>
      </c>
      <c r="J1690" s="117"/>
    </row>
    <row r="1691" spans="1:10" hidden="1" x14ac:dyDescent="0.25">
      <c r="A1691" s="114" t="s">
        <v>4475</v>
      </c>
      <c r="B1691" s="115" t="s">
        <v>7827</v>
      </c>
      <c r="C1691" s="116" t="s">
        <v>16</v>
      </c>
      <c r="D1691" s="116">
        <v>0</v>
      </c>
      <c r="E1691" s="136" t="s">
        <v>416</v>
      </c>
      <c r="F1691" s="137" t="str">
        <f t="shared" si="87"/>
        <v/>
      </c>
      <c r="G1691" s="138" t="e">
        <f>IF(A1691&lt;&gt;"",IF(AND(#REF!="Padrão",$H$4=#REF!),BDI!$B$17,IF(AND(#REF!="Padrão",$H$4=#REF!),BDI!#REF!,IF(AND(#REF!="Diferenciado",$H$4=#REF!),BDI!$E$17,IF(AND(#REF!="Diferenciado",$H$4=#REF!),BDI!#REF!,IF(#REF!="ZERO",0))))),"")</f>
        <v>#REF!</v>
      </c>
      <c r="H1691" s="139" t="str">
        <f t="shared" si="88"/>
        <v/>
      </c>
      <c r="I1691" s="137" t="str">
        <f t="shared" si="89"/>
        <v/>
      </c>
      <c r="J1691" s="117"/>
    </row>
    <row r="1692" spans="1:10" hidden="1" x14ac:dyDescent="0.25">
      <c r="A1692" s="114" t="s">
        <v>4476</v>
      </c>
      <c r="B1692" s="115" t="s">
        <v>7828</v>
      </c>
      <c r="C1692" s="116" t="s">
        <v>16</v>
      </c>
      <c r="D1692" s="116">
        <v>0</v>
      </c>
      <c r="E1692" s="136" t="s">
        <v>416</v>
      </c>
      <c r="F1692" s="137" t="str">
        <f t="shared" si="87"/>
        <v/>
      </c>
      <c r="G1692" s="138" t="e">
        <f>IF(A1692&lt;&gt;"",IF(AND(#REF!="Padrão",$H$4=#REF!),BDI!$B$17,IF(AND(#REF!="Padrão",$H$4=#REF!),BDI!#REF!,IF(AND(#REF!="Diferenciado",$H$4=#REF!),BDI!$E$17,IF(AND(#REF!="Diferenciado",$H$4=#REF!),BDI!#REF!,IF(#REF!="ZERO",0))))),"")</f>
        <v>#REF!</v>
      </c>
      <c r="H1692" s="139" t="str">
        <f t="shared" si="88"/>
        <v/>
      </c>
      <c r="I1692" s="137" t="str">
        <f t="shared" si="89"/>
        <v/>
      </c>
      <c r="J1692" s="117"/>
    </row>
    <row r="1693" spans="1:10" hidden="1" x14ac:dyDescent="0.25">
      <c r="A1693" s="114" t="s">
        <v>4477</v>
      </c>
      <c r="B1693" s="115" t="s">
        <v>7829</v>
      </c>
      <c r="C1693" s="116" t="s">
        <v>16</v>
      </c>
      <c r="D1693" s="116">
        <v>0</v>
      </c>
      <c r="E1693" s="136" t="s">
        <v>416</v>
      </c>
      <c r="F1693" s="137" t="str">
        <f t="shared" si="87"/>
        <v/>
      </c>
      <c r="G1693" s="138" t="e">
        <f>IF(A1693&lt;&gt;"",IF(AND(#REF!="Padrão",$H$4=#REF!),BDI!$B$17,IF(AND(#REF!="Padrão",$H$4=#REF!),BDI!#REF!,IF(AND(#REF!="Diferenciado",$H$4=#REF!),BDI!$E$17,IF(AND(#REF!="Diferenciado",$H$4=#REF!),BDI!#REF!,IF(#REF!="ZERO",0))))),"")</f>
        <v>#REF!</v>
      </c>
      <c r="H1693" s="139" t="str">
        <f t="shared" si="88"/>
        <v/>
      </c>
      <c r="I1693" s="137" t="str">
        <f t="shared" si="89"/>
        <v/>
      </c>
      <c r="J1693" s="117"/>
    </row>
    <row r="1694" spans="1:10" hidden="1" x14ac:dyDescent="0.25">
      <c r="A1694" s="114" t="s">
        <v>4478</v>
      </c>
      <c r="B1694" s="115" t="s">
        <v>7830</v>
      </c>
      <c r="C1694" s="116" t="s">
        <v>16</v>
      </c>
      <c r="D1694" s="116">
        <v>0</v>
      </c>
      <c r="E1694" s="136" t="s">
        <v>416</v>
      </c>
      <c r="F1694" s="137" t="str">
        <f t="shared" si="87"/>
        <v/>
      </c>
      <c r="G1694" s="138" t="e">
        <f>IF(A1694&lt;&gt;"",IF(AND(#REF!="Padrão",$H$4=#REF!),BDI!$B$17,IF(AND(#REF!="Padrão",$H$4=#REF!),BDI!#REF!,IF(AND(#REF!="Diferenciado",$H$4=#REF!),BDI!$E$17,IF(AND(#REF!="Diferenciado",$H$4=#REF!),BDI!#REF!,IF(#REF!="ZERO",0))))),"")</f>
        <v>#REF!</v>
      </c>
      <c r="H1694" s="139" t="str">
        <f t="shared" si="88"/>
        <v/>
      </c>
      <c r="I1694" s="137" t="str">
        <f t="shared" si="89"/>
        <v/>
      </c>
      <c r="J1694" s="117"/>
    </row>
    <row r="1695" spans="1:10" hidden="1" x14ac:dyDescent="0.25">
      <c r="A1695" s="114" t="s">
        <v>4479</v>
      </c>
      <c r="B1695" s="115" t="s">
        <v>7831</v>
      </c>
      <c r="C1695" s="116" t="s">
        <v>16</v>
      </c>
      <c r="D1695" s="116">
        <v>0</v>
      </c>
      <c r="E1695" s="136" t="s">
        <v>416</v>
      </c>
      <c r="F1695" s="137" t="str">
        <f t="shared" si="87"/>
        <v/>
      </c>
      <c r="G1695" s="138" t="e">
        <f>IF(A1695&lt;&gt;"",IF(AND(#REF!="Padrão",$H$4=#REF!),BDI!$B$17,IF(AND(#REF!="Padrão",$H$4=#REF!),BDI!#REF!,IF(AND(#REF!="Diferenciado",$H$4=#REF!),BDI!$E$17,IF(AND(#REF!="Diferenciado",$H$4=#REF!),BDI!#REF!,IF(#REF!="ZERO",0))))),"")</f>
        <v>#REF!</v>
      </c>
      <c r="H1695" s="139" t="str">
        <f t="shared" si="88"/>
        <v/>
      </c>
      <c r="I1695" s="137" t="str">
        <f t="shared" si="89"/>
        <v/>
      </c>
      <c r="J1695" s="117"/>
    </row>
    <row r="1696" spans="1:10" hidden="1" x14ac:dyDescent="0.25">
      <c r="A1696" s="114" t="s">
        <v>4480</v>
      </c>
      <c r="B1696" s="115" t="s">
        <v>3525</v>
      </c>
      <c r="C1696" s="116" t="s">
        <v>16</v>
      </c>
      <c r="D1696" s="116">
        <v>0</v>
      </c>
      <c r="E1696" s="136" t="s">
        <v>416</v>
      </c>
      <c r="F1696" s="137" t="str">
        <f t="shared" si="87"/>
        <v/>
      </c>
      <c r="G1696" s="138" t="e">
        <f>IF(A1696&lt;&gt;"",IF(AND(#REF!="Padrão",$H$4=#REF!),BDI!$B$17,IF(AND(#REF!="Padrão",$H$4=#REF!),BDI!#REF!,IF(AND(#REF!="Diferenciado",$H$4=#REF!),BDI!$E$17,IF(AND(#REF!="Diferenciado",$H$4=#REF!),BDI!#REF!,IF(#REF!="ZERO",0))))),"")</f>
        <v>#REF!</v>
      </c>
      <c r="H1696" s="139" t="str">
        <f t="shared" si="88"/>
        <v/>
      </c>
      <c r="I1696" s="137" t="str">
        <f t="shared" si="89"/>
        <v/>
      </c>
      <c r="J1696" s="117"/>
    </row>
    <row r="1697" spans="1:10" hidden="1" x14ac:dyDescent="0.25">
      <c r="A1697" s="114" t="s">
        <v>4481</v>
      </c>
      <c r="B1697" s="115" t="s">
        <v>3526</v>
      </c>
      <c r="C1697" s="116" t="s">
        <v>16</v>
      </c>
      <c r="D1697" s="116">
        <v>0</v>
      </c>
      <c r="E1697" s="136" t="s">
        <v>416</v>
      </c>
      <c r="F1697" s="137" t="str">
        <f t="shared" si="87"/>
        <v/>
      </c>
      <c r="G1697" s="138" t="e">
        <f>IF(A1697&lt;&gt;"",IF(AND(#REF!="Padrão",$H$4=#REF!),BDI!$B$17,IF(AND(#REF!="Padrão",$H$4=#REF!),BDI!#REF!,IF(AND(#REF!="Diferenciado",$H$4=#REF!),BDI!$E$17,IF(AND(#REF!="Diferenciado",$H$4=#REF!),BDI!#REF!,IF(#REF!="ZERO",0))))),"")</f>
        <v>#REF!</v>
      </c>
      <c r="H1697" s="139" t="str">
        <f t="shared" si="88"/>
        <v/>
      </c>
      <c r="I1697" s="137" t="str">
        <f t="shared" si="89"/>
        <v/>
      </c>
      <c r="J1697" s="117"/>
    </row>
    <row r="1698" spans="1:10" hidden="1" x14ac:dyDescent="0.25">
      <c r="A1698" s="114" t="s">
        <v>4482</v>
      </c>
      <c r="B1698" s="115" t="s">
        <v>3527</v>
      </c>
      <c r="C1698" s="116" t="s">
        <v>16</v>
      </c>
      <c r="D1698" s="116">
        <v>0</v>
      </c>
      <c r="E1698" s="136" t="s">
        <v>416</v>
      </c>
      <c r="F1698" s="137" t="str">
        <f t="shared" si="87"/>
        <v/>
      </c>
      <c r="G1698" s="138" t="e">
        <f>IF(A1698&lt;&gt;"",IF(AND(#REF!="Padrão",$H$4=#REF!),BDI!$B$17,IF(AND(#REF!="Padrão",$H$4=#REF!),BDI!#REF!,IF(AND(#REF!="Diferenciado",$H$4=#REF!),BDI!$E$17,IF(AND(#REF!="Diferenciado",$H$4=#REF!),BDI!#REF!,IF(#REF!="ZERO",0))))),"")</f>
        <v>#REF!</v>
      </c>
      <c r="H1698" s="139" t="str">
        <f t="shared" si="88"/>
        <v/>
      </c>
      <c r="I1698" s="137" t="str">
        <f t="shared" si="89"/>
        <v/>
      </c>
      <c r="J1698" s="117"/>
    </row>
    <row r="1699" spans="1:10" hidden="1" x14ac:dyDescent="0.25">
      <c r="A1699" s="114" t="s">
        <v>4483</v>
      </c>
      <c r="B1699" s="115" t="s">
        <v>3528</v>
      </c>
      <c r="C1699" s="116" t="s">
        <v>16</v>
      </c>
      <c r="D1699" s="116">
        <v>0</v>
      </c>
      <c r="E1699" s="136" t="s">
        <v>416</v>
      </c>
      <c r="F1699" s="137" t="str">
        <f t="shared" si="87"/>
        <v/>
      </c>
      <c r="G1699" s="138" t="e">
        <f>IF(A1699&lt;&gt;"",IF(AND(#REF!="Padrão",$H$4=#REF!),BDI!$B$17,IF(AND(#REF!="Padrão",$H$4=#REF!),BDI!#REF!,IF(AND(#REF!="Diferenciado",$H$4=#REF!),BDI!$E$17,IF(AND(#REF!="Diferenciado",$H$4=#REF!),BDI!#REF!,IF(#REF!="ZERO",0))))),"")</f>
        <v>#REF!</v>
      </c>
      <c r="H1699" s="139" t="str">
        <f t="shared" si="88"/>
        <v/>
      </c>
      <c r="I1699" s="137" t="str">
        <f t="shared" si="89"/>
        <v/>
      </c>
      <c r="J1699" s="117"/>
    </row>
    <row r="1700" spans="1:10" hidden="1" x14ac:dyDescent="0.25">
      <c r="A1700" s="114" t="s">
        <v>4484</v>
      </c>
      <c r="B1700" s="115" t="s">
        <v>3529</v>
      </c>
      <c r="C1700" s="116" t="s">
        <v>16</v>
      </c>
      <c r="D1700" s="116">
        <v>0</v>
      </c>
      <c r="E1700" s="136" t="s">
        <v>416</v>
      </c>
      <c r="F1700" s="137" t="str">
        <f t="shared" si="87"/>
        <v/>
      </c>
      <c r="G1700" s="138" t="e">
        <f>IF(A1700&lt;&gt;"",IF(AND(#REF!="Padrão",$H$4=#REF!),BDI!$B$17,IF(AND(#REF!="Padrão",$H$4=#REF!),BDI!#REF!,IF(AND(#REF!="Diferenciado",$H$4=#REF!),BDI!$E$17,IF(AND(#REF!="Diferenciado",$H$4=#REF!),BDI!#REF!,IF(#REF!="ZERO",0))))),"")</f>
        <v>#REF!</v>
      </c>
      <c r="H1700" s="139" t="str">
        <f t="shared" si="88"/>
        <v/>
      </c>
      <c r="I1700" s="137" t="str">
        <f t="shared" si="89"/>
        <v/>
      </c>
      <c r="J1700" s="117"/>
    </row>
    <row r="1701" spans="1:10" hidden="1" x14ac:dyDescent="0.25">
      <c r="A1701" s="114" t="s">
        <v>4485</v>
      </c>
      <c r="B1701" s="115" t="s">
        <v>3530</v>
      </c>
      <c r="C1701" s="116" t="s">
        <v>16</v>
      </c>
      <c r="D1701" s="116">
        <v>0</v>
      </c>
      <c r="E1701" s="136" t="s">
        <v>416</v>
      </c>
      <c r="F1701" s="137" t="str">
        <f t="shared" si="87"/>
        <v/>
      </c>
      <c r="G1701" s="138" t="e">
        <f>IF(A1701&lt;&gt;"",IF(AND(#REF!="Padrão",$H$4=#REF!),BDI!$B$17,IF(AND(#REF!="Padrão",$H$4=#REF!),BDI!#REF!,IF(AND(#REF!="Diferenciado",$H$4=#REF!),BDI!$E$17,IF(AND(#REF!="Diferenciado",$H$4=#REF!),BDI!#REF!,IF(#REF!="ZERO",0))))),"")</f>
        <v>#REF!</v>
      </c>
      <c r="H1701" s="139" t="str">
        <f t="shared" si="88"/>
        <v/>
      </c>
      <c r="I1701" s="137" t="str">
        <f t="shared" si="89"/>
        <v/>
      </c>
      <c r="J1701" s="117"/>
    </row>
    <row r="1702" spans="1:10" hidden="1" x14ac:dyDescent="0.25">
      <c r="A1702" s="114" t="s">
        <v>4486</v>
      </c>
      <c r="B1702" s="115" t="s">
        <v>7832</v>
      </c>
      <c r="C1702" s="116" t="s">
        <v>16</v>
      </c>
      <c r="D1702" s="116">
        <v>0</v>
      </c>
      <c r="E1702" s="136" t="s">
        <v>416</v>
      </c>
      <c r="F1702" s="137" t="str">
        <f t="shared" si="87"/>
        <v/>
      </c>
      <c r="G1702" s="138" t="e">
        <f>IF(A1702&lt;&gt;"",IF(AND(#REF!="Padrão",$H$4=#REF!),BDI!$B$17,IF(AND(#REF!="Padrão",$H$4=#REF!),BDI!#REF!,IF(AND(#REF!="Diferenciado",$H$4=#REF!),BDI!$E$17,IF(AND(#REF!="Diferenciado",$H$4=#REF!),BDI!#REF!,IF(#REF!="ZERO",0))))),"")</f>
        <v>#REF!</v>
      </c>
      <c r="H1702" s="139" t="str">
        <f t="shared" si="88"/>
        <v/>
      </c>
      <c r="I1702" s="137" t="str">
        <f t="shared" si="89"/>
        <v/>
      </c>
      <c r="J1702" s="117"/>
    </row>
    <row r="1703" spans="1:10" hidden="1" x14ac:dyDescent="0.25">
      <c r="A1703" s="114" t="s">
        <v>4487</v>
      </c>
      <c r="B1703" s="115" t="s">
        <v>7833</v>
      </c>
      <c r="C1703" s="116" t="s">
        <v>16</v>
      </c>
      <c r="D1703" s="116">
        <v>0</v>
      </c>
      <c r="E1703" s="136" t="s">
        <v>416</v>
      </c>
      <c r="F1703" s="137" t="str">
        <f t="shared" si="87"/>
        <v/>
      </c>
      <c r="G1703" s="138" t="e">
        <f>IF(A1703&lt;&gt;"",IF(AND(#REF!="Padrão",$H$4=#REF!),BDI!$B$17,IF(AND(#REF!="Padrão",$H$4=#REF!),BDI!#REF!,IF(AND(#REF!="Diferenciado",$H$4=#REF!),BDI!$E$17,IF(AND(#REF!="Diferenciado",$H$4=#REF!),BDI!#REF!,IF(#REF!="ZERO",0))))),"")</f>
        <v>#REF!</v>
      </c>
      <c r="H1703" s="139" t="str">
        <f t="shared" si="88"/>
        <v/>
      </c>
      <c r="I1703" s="137" t="str">
        <f t="shared" si="89"/>
        <v/>
      </c>
      <c r="J1703" s="117"/>
    </row>
    <row r="1704" spans="1:10" hidden="1" x14ac:dyDescent="0.25">
      <c r="A1704" s="114" t="s">
        <v>4488</v>
      </c>
      <c r="B1704" s="115" t="s">
        <v>7834</v>
      </c>
      <c r="C1704" s="116" t="s">
        <v>16</v>
      </c>
      <c r="D1704" s="116">
        <v>0</v>
      </c>
      <c r="E1704" s="136" t="s">
        <v>416</v>
      </c>
      <c r="F1704" s="137" t="str">
        <f t="shared" si="87"/>
        <v/>
      </c>
      <c r="G1704" s="138" t="e">
        <f>IF(A1704&lt;&gt;"",IF(AND(#REF!="Padrão",$H$4=#REF!),BDI!$B$17,IF(AND(#REF!="Padrão",$H$4=#REF!),BDI!#REF!,IF(AND(#REF!="Diferenciado",$H$4=#REF!),BDI!$E$17,IF(AND(#REF!="Diferenciado",$H$4=#REF!),BDI!#REF!,IF(#REF!="ZERO",0))))),"")</f>
        <v>#REF!</v>
      </c>
      <c r="H1704" s="139" t="str">
        <f t="shared" si="88"/>
        <v/>
      </c>
      <c r="I1704" s="137" t="str">
        <f t="shared" si="89"/>
        <v/>
      </c>
      <c r="J1704" s="117"/>
    </row>
    <row r="1705" spans="1:10" hidden="1" x14ac:dyDescent="0.25">
      <c r="A1705" s="114" t="s">
        <v>4489</v>
      </c>
      <c r="B1705" s="115" t="s">
        <v>7835</v>
      </c>
      <c r="C1705" s="116" t="s">
        <v>16</v>
      </c>
      <c r="D1705" s="116">
        <v>0</v>
      </c>
      <c r="E1705" s="136" t="s">
        <v>416</v>
      </c>
      <c r="F1705" s="137" t="str">
        <f t="shared" si="87"/>
        <v/>
      </c>
      <c r="G1705" s="138" t="e">
        <f>IF(A1705&lt;&gt;"",IF(AND(#REF!="Padrão",$H$4=#REF!),BDI!$B$17,IF(AND(#REF!="Padrão",$H$4=#REF!),BDI!#REF!,IF(AND(#REF!="Diferenciado",$H$4=#REF!),BDI!$E$17,IF(AND(#REF!="Diferenciado",$H$4=#REF!),BDI!#REF!,IF(#REF!="ZERO",0))))),"")</f>
        <v>#REF!</v>
      </c>
      <c r="H1705" s="139" t="str">
        <f t="shared" si="88"/>
        <v/>
      </c>
      <c r="I1705" s="137" t="str">
        <f t="shared" si="89"/>
        <v/>
      </c>
      <c r="J1705" s="117"/>
    </row>
    <row r="1706" spans="1:10" hidden="1" x14ac:dyDescent="0.25">
      <c r="A1706" s="114" t="s">
        <v>4490</v>
      </c>
      <c r="B1706" s="115" t="s">
        <v>7836</v>
      </c>
      <c r="C1706" s="116" t="s">
        <v>16</v>
      </c>
      <c r="D1706" s="116">
        <v>0</v>
      </c>
      <c r="E1706" s="136" t="s">
        <v>416</v>
      </c>
      <c r="F1706" s="137" t="str">
        <f t="shared" si="87"/>
        <v/>
      </c>
      <c r="G1706" s="138" t="e">
        <f>IF(A1706&lt;&gt;"",IF(AND(#REF!="Padrão",$H$4=#REF!),BDI!$B$17,IF(AND(#REF!="Padrão",$H$4=#REF!),BDI!#REF!,IF(AND(#REF!="Diferenciado",$H$4=#REF!),BDI!$E$17,IF(AND(#REF!="Diferenciado",$H$4=#REF!),BDI!#REF!,IF(#REF!="ZERO",0))))),"")</f>
        <v>#REF!</v>
      </c>
      <c r="H1706" s="139" t="str">
        <f t="shared" si="88"/>
        <v/>
      </c>
      <c r="I1706" s="137" t="str">
        <f t="shared" si="89"/>
        <v/>
      </c>
      <c r="J1706" s="117"/>
    </row>
    <row r="1707" spans="1:10" hidden="1" x14ac:dyDescent="0.25">
      <c r="A1707" s="114" t="s">
        <v>4491</v>
      </c>
      <c r="B1707" s="115" t="s">
        <v>7837</v>
      </c>
      <c r="C1707" s="116" t="s">
        <v>16</v>
      </c>
      <c r="D1707" s="116">
        <v>0</v>
      </c>
      <c r="E1707" s="136" t="s">
        <v>416</v>
      </c>
      <c r="F1707" s="137" t="str">
        <f t="shared" si="87"/>
        <v/>
      </c>
      <c r="G1707" s="138" t="e">
        <f>IF(A1707&lt;&gt;"",IF(AND(#REF!="Padrão",$H$4=#REF!),BDI!$B$17,IF(AND(#REF!="Padrão",$H$4=#REF!),BDI!#REF!,IF(AND(#REF!="Diferenciado",$H$4=#REF!),BDI!$E$17,IF(AND(#REF!="Diferenciado",$H$4=#REF!),BDI!#REF!,IF(#REF!="ZERO",0))))),"")</f>
        <v>#REF!</v>
      </c>
      <c r="H1707" s="139" t="str">
        <f t="shared" si="88"/>
        <v/>
      </c>
      <c r="I1707" s="137" t="str">
        <f t="shared" si="89"/>
        <v/>
      </c>
      <c r="J1707" s="117"/>
    </row>
    <row r="1708" spans="1:10" hidden="1" x14ac:dyDescent="0.25">
      <c r="A1708" s="114" t="s">
        <v>4492</v>
      </c>
      <c r="B1708" s="115" t="s">
        <v>7838</v>
      </c>
      <c r="C1708" s="116" t="s">
        <v>16</v>
      </c>
      <c r="D1708" s="116">
        <v>0</v>
      </c>
      <c r="E1708" s="136" t="s">
        <v>416</v>
      </c>
      <c r="F1708" s="137" t="str">
        <f t="shared" si="87"/>
        <v/>
      </c>
      <c r="G1708" s="138" t="e">
        <f>IF(A1708&lt;&gt;"",IF(AND(#REF!="Padrão",$H$4=#REF!),BDI!$B$17,IF(AND(#REF!="Padrão",$H$4=#REF!),BDI!#REF!,IF(AND(#REF!="Diferenciado",$H$4=#REF!),BDI!$E$17,IF(AND(#REF!="Diferenciado",$H$4=#REF!),BDI!#REF!,IF(#REF!="ZERO",0))))),"")</f>
        <v>#REF!</v>
      </c>
      <c r="H1708" s="139" t="str">
        <f t="shared" si="88"/>
        <v/>
      </c>
      <c r="I1708" s="137" t="str">
        <f t="shared" si="89"/>
        <v/>
      </c>
      <c r="J1708" s="117"/>
    </row>
    <row r="1709" spans="1:10" hidden="1" x14ac:dyDescent="0.25">
      <c r="A1709" s="114" t="s">
        <v>4493</v>
      </c>
      <c r="B1709" s="115" t="s">
        <v>7839</v>
      </c>
      <c r="C1709" s="116" t="s">
        <v>16</v>
      </c>
      <c r="D1709" s="116">
        <v>0</v>
      </c>
      <c r="E1709" s="136" t="s">
        <v>416</v>
      </c>
      <c r="F1709" s="137" t="str">
        <f t="shared" ref="F1709:F1772" si="90">IF(ISNUMBER(E1709),D1709*E1709,"")</f>
        <v/>
      </c>
      <c r="G1709" s="138" t="e">
        <f>IF(A1709&lt;&gt;"",IF(AND(#REF!="Padrão",$H$4=#REF!),BDI!$B$17,IF(AND(#REF!="Padrão",$H$4=#REF!),BDI!#REF!,IF(AND(#REF!="Diferenciado",$H$4=#REF!),BDI!$E$17,IF(AND(#REF!="Diferenciado",$H$4=#REF!),BDI!#REF!,IF(#REF!="ZERO",0))))),"")</f>
        <v>#REF!</v>
      </c>
      <c r="H1709" s="139" t="str">
        <f t="shared" ref="H1709:H1772" si="91">IF(ISNUMBER(E1709),ROUND(E1709*(1+G1709),2),"")</f>
        <v/>
      </c>
      <c r="I1709" s="137" t="str">
        <f t="shared" ref="I1709:I1772" si="92">IF(ISNUMBER(E1709),ROUND(H1709*D1709,2),"")</f>
        <v/>
      </c>
      <c r="J1709" s="117"/>
    </row>
    <row r="1710" spans="1:10" hidden="1" x14ac:dyDescent="0.25">
      <c r="A1710" s="114" t="s">
        <v>4494</v>
      </c>
      <c r="B1710" s="115" t="s">
        <v>7840</v>
      </c>
      <c r="C1710" s="116" t="s">
        <v>16</v>
      </c>
      <c r="D1710" s="116">
        <v>0</v>
      </c>
      <c r="E1710" s="136" t="s">
        <v>416</v>
      </c>
      <c r="F1710" s="137" t="str">
        <f t="shared" si="90"/>
        <v/>
      </c>
      <c r="G1710" s="138" t="e">
        <f>IF(A1710&lt;&gt;"",IF(AND(#REF!="Padrão",$H$4=#REF!),BDI!$B$17,IF(AND(#REF!="Padrão",$H$4=#REF!),BDI!#REF!,IF(AND(#REF!="Diferenciado",$H$4=#REF!),BDI!$E$17,IF(AND(#REF!="Diferenciado",$H$4=#REF!),BDI!#REF!,IF(#REF!="ZERO",0))))),"")</f>
        <v>#REF!</v>
      </c>
      <c r="H1710" s="139" t="str">
        <f t="shared" si="91"/>
        <v/>
      </c>
      <c r="I1710" s="137" t="str">
        <f t="shared" si="92"/>
        <v/>
      </c>
      <c r="J1710" s="117"/>
    </row>
    <row r="1711" spans="1:10" hidden="1" x14ac:dyDescent="0.25">
      <c r="A1711" s="114" t="s">
        <v>4495</v>
      </c>
      <c r="B1711" s="115" t="s">
        <v>7841</v>
      </c>
      <c r="C1711" s="116" t="s">
        <v>16</v>
      </c>
      <c r="D1711" s="116">
        <v>0</v>
      </c>
      <c r="E1711" s="136" t="s">
        <v>416</v>
      </c>
      <c r="F1711" s="137" t="str">
        <f t="shared" si="90"/>
        <v/>
      </c>
      <c r="G1711" s="138" t="e">
        <f>IF(A1711&lt;&gt;"",IF(AND(#REF!="Padrão",$H$4=#REF!),BDI!$B$17,IF(AND(#REF!="Padrão",$H$4=#REF!),BDI!#REF!,IF(AND(#REF!="Diferenciado",$H$4=#REF!),BDI!$E$17,IF(AND(#REF!="Diferenciado",$H$4=#REF!),BDI!#REF!,IF(#REF!="ZERO",0))))),"")</f>
        <v>#REF!</v>
      </c>
      <c r="H1711" s="139" t="str">
        <f t="shared" si="91"/>
        <v/>
      </c>
      <c r="I1711" s="137" t="str">
        <f t="shared" si="92"/>
        <v/>
      </c>
      <c r="J1711" s="117"/>
    </row>
    <row r="1712" spans="1:10" hidden="1" x14ac:dyDescent="0.25">
      <c r="A1712" s="114" t="s">
        <v>4496</v>
      </c>
      <c r="B1712" s="115" t="s">
        <v>7842</v>
      </c>
      <c r="C1712" s="116" t="s">
        <v>16</v>
      </c>
      <c r="D1712" s="116">
        <v>0</v>
      </c>
      <c r="E1712" s="136" t="s">
        <v>416</v>
      </c>
      <c r="F1712" s="137" t="str">
        <f t="shared" si="90"/>
        <v/>
      </c>
      <c r="G1712" s="138" t="e">
        <f>IF(A1712&lt;&gt;"",IF(AND(#REF!="Padrão",$H$4=#REF!),BDI!$B$17,IF(AND(#REF!="Padrão",$H$4=#REF!),BDI!#REF!,IF(AND(#REF!="Diferenciado",$H$4=#REF!),BDI!$E$17,IF(AND(#REF!="Diferenciado",$H$4=#REF!),BDI!#REF!,IF(#REF!="ZERO",0))))),"")</f>
        <v>#REF!</v>
      </c>
      <c r="H1712" s="139" t="str">
        <f t="shared" si="91"/>
        <v/>
      </c>
      <c r="I1712" s="137" t="str">
        <f t="shared" si="92"/>
        <v/>
      </c>
      <c r="J1712" s="117"/>
    </row>
    <row r="1713" spans="1:10" hidden="1" x14ac:dyDescent="0.25">
      <c r="A1713" s="114" t="s">
        <v>4497</v>
      </c>
      <c r="B1713" s="115" t="s">
        <v>7843</v>
      </c>
      <c r="C1713" s="116" t="s">
        <v>16</v>
      </c>
      <c r="D1713" s="116">
        <v>0</v>
      </c>
      <c r="E1713" s="136" t="s">
        <v>416</v>
      </c>
      <c r="F1713" s="137" t="str">
        <f t="shared" si="90"/>
        <v/>
      </c>
      <c r="G1713" s="138" t="e">
        <f>IF(A1713&lt;&gt;"",IF(AND(#REF!="Padrão",$H$4=#REF!),BDI!$B$17,IF(AND(#REF!="Padrão",$H$4=#REF!),BDI!#REF!,IF(AND(#REF!="Diferenciado",$H$4=#REF!),BDI!$E$17,IF(AND(#REF!="Diferenciado",$H$4=#REF!),BDI!#REF!,IF(#REF!="ZERO",0))))),"")</f>
        <v>#REF!</v>
      </c>
      <c r="H1713" s="139" t="str">
        <f t="shared" si="91"/>
        <v/>
      </c>
      <c r="I1713" s="137" t="str">
        <f t="shared" si="92"/>
        <v/>
      </c>
      <c r="J1713" s="117"/>
    </row>
    <row r="1714" spans="1:10" hidden="1" x14ac:dyDescent="0.25">
      <c r="A1714" s="114" t="s">
        <v>4498</v>
      </c>
      <c r="B1714" s="115" t="s">
        <v>7844</v>
      </c>
      <c r="C1714" s="116" t="s">
        <v>16</v>
      </c>
      <c r="D1714" s="116">
        <v>0</v>
      </c>
      <c r="E1714" s="136" t="s">
        <v>416</v>
      </c>
      <c r="F1714" s="137" t="str">
        <f t="shared" si="90"/>
        <v/>
      </c>
      <c r="G1714" s="138" t="e">
        <f>IF(A1714&lt;&gt;"",IF(AND(#REF!="Padrão",$H$4=#REF!),BDI!$B$17,IF(AND(#REF!="Padrão",$H$4=#REF!),BDI!#REF!,IF(AND(#REF!="Diferenciado",$H$4=#REF!),BDI!$E$17,IF(AND(#REF!="Diferenciado",$H$4=#REF!),BDI!#REF!,IF(#REF!="ZERO",0))))),"")</f>
        <v>#REF!</v>
      </c>
      <c r="H1714" s="139" t="str">
        <f t="shared" si="91"/>
        <v/>
      </c>
      <c r="I1714" s="137" t="str">
        <f t="shared" si="92"/>
        <v/>
      </c>
      <c r="J1714" s="117"/>
    </row>
    <row r="1715" spans="1:10" hidden="1" x14ac:dyDescent="0.25">
      <c r="A1715" s="114" t="s">
        <v>4499</v>
      </c>
      <c r="B1715" s="115" t="s">
        <v>7845</v>
      </c>
      <c r="C1715" s="116" t="s">
        <v>16</v>
      </c>
      <c r="D1715" s="116">
        <v>0</v>
      </c>
      <c r="E1715" s="136" t="s">
        <v>416</v>
      </c>
      <c r="F1715" s="137" t="str">
        <f t="shared" si="90"/>
        <v/>
      </c>
      <c r="G1715" s="138" t="e">
        <f>IF(A1715&lt;&gt;"",IF(AND(#REF!="Padrão",$H$4=#REF!),BDI!$B$17,IF(AND(#REF!="Padrão",$H$4=#REF!),BDI!#REF!,IF(AND(#REF!="Diferenciado",$H$4=#REF!),BDI!$E$17,IF(AND(#REF!="Diferenciado",$H$4=#REF!),BDI!#REF!,IF(#REF!="ZERO",0))))),"")</f>
        <v>#REF!</v>
      </c>
      <c r="H1715" s="139" t="str">
        <f t="shared" si="91"/>
        <v/>
      </c>
      <c r="I1715" s="137" t="str">
        <f t="shared" si="92"/>
        <v/>
      </c>
      <c r="J1715" s="117"/>
    </row>
    <row r="1716" spans="1:10" hidden="1" x14ac:dyDescent="0.25">
      <c r="A1716" s="114" t="s">
        <v>4500</v>
      </c>
      <c r="B1716" s="115" t="s">
        <v>7846</v>
      </c>
      <c r="C1716" s="116" t="s">
        <v>16</v>
      </c>
      <c r="D1716" s="116">
        <v>0</v>
      </c>
      <c r="E1716" s="136" t="s">
        <v>416</v>
      </c>
      <c r="F1716" s="137" t="str">
        <f t="shared" si="90"/>
        <v/>
      </c>
      <c r="G1716" s="138" t="e">
        <f>IF(A1716&lt;&gt;"",IF(AND(#REF!="Padrão",$H$4=#REF!),BDI!$B$17,IF(AND(#REF!="Padrão",$H$4=#REF!),BDI!#REF!,IF(AND(#REF!="Diferenciado",$H$4=#REF!),BDI!$E$17,IF(AND(#REF!="Diferenciado",$H$4=#REF!),BDI!#REF!,IF(#REF!="ZERO",0))))),"")</f>
        <v>#REF!</v>
      </c>
      <c r="H1716" s="139" t="str">
        <f t="shared" si="91"/>
        <v/>
      </c>
      <c r="I1716" s="137" t="str">
        <f t="shared" si="92"/>
        <v/>
      </c>
      <c r="J1716" s="117"/>
    </row>
    <row r="1717" spans="1:10" hidden="1" x14ac:dyDescent="0.25">
      <c r="A1717" s="114" t="s">
        <v>4501</v>
      </c>
      <c r="B1717" s="115" t="s">
        <v>7847</v>
      </c>
      <c r="C1717" s="116" t="s">
        <v>16</v>
      </c>
      <c r="D1717" s="116">
        <v>0</v>
      </c>
      <c r="E1717" s="136" t="s">
        <v>416</v>
      </c>
      <c r="F1717" s="137" t="str">
        <f t="shared" si="90"/>
        <v/>
      </c>
      <c r="G1717" s="138" t="e">
        <f>IF(A1717&lt;&gt;"",IF(AND(#REF!="Padrão",$H$4=#REF!),BDI!$B$17,IF(AND(#REF!="Padrão",$H$4=#REF!),BDI!#REF!,IF(AND(#REF!="Diferenciado",$H$4=#REF!),BDI!$E$17,IF(AND(#REF!="Diferenciado",$H$4=#REF!),BDI!#REF!,IF(#REF!="ZERO",0))))),"")</f>
        <v>#REF!</v>
      </c>
      <c r="H1717" s="139" t="str">
        <f t="shared" si="91"/>
        <v/>
      </c>
      <c r="I1717" s="137" t="str">
        <f t="shared" si="92"/>
        <v/>
      </c>
      <c r="J1717" s="117"/>
    </row>
    <row r="1718" spans="1:10" hidden="1" x14ac:dyDescent="0.25">
      <c r="A1718" s="114" t="s">
        <v>4502</v>
      </c>
      <c r="B1718" s="115" t="s">
        <v>7848</v>
      </c>
      <c r="C1718" s="116" t="s">
        <v>16</v>
      </c>
      <c r="D1718" s="116">
        <v>0</v>
      </c>
      <c r="E1718" s="136" t="s">
        <v>416</v>
      </c>
      <c r="F1718" s="137" t="str">
        <f t="shared" si="90"/>
        <v/>
      </c>
      <c r="G1718" s="138" t="e">
        <f>IF(A1718&lt;&gt;"",IF(AND(#REF!="Padrão",$H$4=#REF!),BDI!$B$17,IF(AND(#REF!="Padrão",$H$4=#REF!),BDI!#REF!,IF(AND(#REF!="Diferenciado",$H$4=#REF!),BDI!$E$17,IF(AND(#REF!="Diferenciado",$H$4=#REF!),BDI!#REF!,IF(#REF!="ZERO",0))))),"")</f>
        <v>#REF!</v>
      </c>
      <c r="H1718" s="139" t="str">
        <f t="shared" si="91"/>
        <v/>
      </c>
      <c r="I1718" s="137" t="str">
        <f t="shared" si="92"/>
        <v/>
      </c>
      <c r="J1718" s="117"/>
    </row>
    <row r="1719" spans="1:10" hidden="1" x14ac:dyDescent="0.25">
      <c r="A1719" s="114" t="s">
        <v>4503</v>
      </c>
      <c r="B1719" s="115" t="s">
        <v>7849</v>
      </c>
      <c r="C1719" s="116" t="s">
        <v>16</v>
      </c>
      <c r="D1719" s="116">
        <v>0</v>
      </c>
      <c r="E1719" s="136" t="s">
        <v>416</v>
      </c>
      <c r="F1719" s="137" t="str">
        <f t="shared" si="90"/>
        <v/>
      </c>
      <c r="G1719" s="138" t="e">
        <f>IF(A1719&lt;&gt;"",IF(AND(#REF!="Padrão",$H$4=#REF!),BDI!$B$17,IF(AND(#REF!="Padrão",$H$4=#REF!),BDI!#REF!,IF(AND(#REF!="Diferenciado",$H$4=#REF!),BDI!$E$17,IF(AND(#REF!="Diferenciado",$H$4=#REF!),BDI!#REF!,IF(#REF!="ZERO",0))))),"")</f>
        <v>#REF!</v>
      </c>
      <c r="H1719" s="139" t="str">
        <f t="shared" si="91"/>
        <v/>
      </c>
      <c r="I1719" s="137" t="str">
        <f t="shared" si="92"/>
        <v/>
      </c>
      <c r="J1719" s="117"/>
    </row>
    <row r="1720" spans="1:10" hidden="1" x14ac:dyDescent="0.25">
      <c r="A1720" s="114" t="s">
        <v>4504</v>
      </c>
      <c r="B1720" s="115" t="s">
        <v>7850</v>
      </c>
      <c r="C1720" s="116" t="s">
        <v>16</v>
      </c>
      <c r="D1720" s="116">
        <v>0</v>
      </c>
      <c r="E1720" s="136" t="s">
        <v>416</v>
      </c>
      <c r="F1720" s="137" t="str">
        <f t="shared" si="90"/>
        <v/>
      </c>
      <c r="G1720" s="138" t="e">
        <f>IF(A1720&lt;&gt;"",IF(AND(#REF!="Padrão",$H$4=#REF!),BDI!$B$17,IF(AND(#REF!="Padrão",$H$4=#REF!),BDI!#REF!,IF(AND(#REF!="Diferenciado",$H$4=#REF!),BDI!$E$17,IF(AND(#REF!="Diferenciado",$H$4=#REF!),BDI!#REF!,IF(#REF!="ZERO",0))))),"")</f>
        <v>#REF!</v>
      </c>
      <c r="H1720" s="139" t="str">
        <f t="shared" si="91"/>
        <v/>
      </c>
      <c r="I1720" s="137" t="str">
        <f t="shared" si="92"/>
        <v/>
      </c>
      <c r="J1720" s="117"/>
    </row>
    <row r="1721" spans="1:10" hidden="1" x14ac:dyDescent="0.25">
      <c r="A1721" s="114" t="s">
        <v>4505</v>
      </c>
      <c r="B1721" s="115" t="s">
        <v>7851</v>
      </c>
      <c r="C1721" s="116" t="s">
        <v>16</v>
      </c>
      <c r="D1721" s="116">
        <v>0</v>
      </c>
      <c r="E1721" s="136" t="s">
        <v>416</v>
      </c>
      <c r="F1721" s="137" t="str">
        <f t="shared" si="90"/>
        <v/>
      </c>
      <c r="G1721" s="138" t="e">
        <f>IF(A1721&lt;&gt;"",IF(AND(#REF!="Padrão",$H$4=#REF!),BDI!$B$17,IF(AND(#REF!="Padrão",$H$4=#REF!),BDI!#REF!,IF(AND(#REF!="Diferenciado",$H$4=#REF!),BDI!$E$17,IF(AND(#REF!="Diferenciado",$H$4=#REF!),BDI!#REF!,IF(#REF!="ZERO",0))))),"")</f>
        <v>#REF!</v>
      </c>
      <c r="H1721" s="139" t="str">
        <f t="shared" si="91"/>
        <v/>
      </c>
      <c r="I1721" s="137" t="str">
        <f t="shared" si="92"/>
        <v/>
      </c>
      <c r="J1721" s="117"/>
    </row>
    <row r="1722" spans="1:10" hidden="1" x14ac:dyDescent="0.25">
      <c r="A1722" s="114" t="s">
        <v>4506</v>
      </c>
      <c r="B1722" s="115" t="s">
        <v>7852</v>
      </c>
      <c r="C1722" s="116" t="s">
        <v>16</v>
      </c>
      <c r="D1722" s="116">
        <v>0</v>
      </c>
      <c r="E1722" s="136" t="s">
        <v>416</v>
      </c>
      <c r="F1722" s="137" t="str">
        <f t="shared" si="90"/>
        <v/>
      </c>
      <c r="G1722" s="138" t="e">
        <f>IF(A1722&lt;&gt;"",IF(AND(#REF!="Padrão",$H$4=#REF!),BDI!$B$17,IF(AND(#REF!="Padrão",$H$4=#REF!),BDI!#REF!,IF(AND(#REF!="Diferenciado",$H$4=#REF!),BDI!$E$17,IF(AND(#REF!="Diferenciado",$H$4=#REF!),BDI!#REF!,IF(#REF!="ZERO",0))))),"")</f>
        <v>#REF!</v>
      </c>
      <c r="H1722" s="139" t="str">
        <f t="shared" si="91"/>
        <v/>
      </c>
      <c r="I1722" s="137" t="str">
        <f t="shared" si="92"/>
        <v/>
      </c>
      <c r="J1722" s="117"/>
    </row>
    <row r="1723" spans="1:10" hidden="1" x14ac:dyDescent="0.25">
      <c r="A1723" s="114" t="s">
        <v>4507</v>
      </c>
      <c r="B1723" s="115" t="s">
        <v>7853</v>
      </c>
      <c r="C1723" s="116" t="s">
        <v>16</v>
      </c>
      <c r="D1723" s="116">
        <v>0</v>
      </c>
      <c r="E1723" s="136" t="s">
        <v>416</v>
      </c>
      <c r="F1723" s="137" t="str">
        <f t="shared" si="90"/>
        <v/>
      </c>
      <c r="G1723" s="138" t="e">
        <f>IF(A1723&lt;&gt;"",IF(AND(#REF!="Padrão",$H$4=#REF!),BDI!$B$17,IF(AND(#REF!="Padrão",$H$4=#REF!),BDI!#REF!,IF(AND(#REF!="Diferenciado",$H$4=#REF!),BDI!$E$17,IF(AND(#REF!="Diferenciado",$H$4=#REF!),BDI!#REF!,IF(#REF!="ZERO",0))))),"")</f>
        <v>#REF!</v>
      </c>
      <c r="H1723" s="139" t="str">
        <f t="shared" si="91"/>
        <v/>
      </c>
      <c r="I1723" s="137" t="str">
        <f t="shared" si="92"/>
        <v/>
      </c>
      <c r="J1723" s="117"/>
    </row>
    <row r="1724" spans="1:10" hidden="1" x14ac:dyDescent="0.25">
      <c r="A1724" s="114" t="s">
        <v>4508</v>
      </c>
      <c r="B1724" s="115" t="s">
        <v>7854</v>
      </c>
      <c r="C1724" s="116" t="s">
        <v>16</v>
      </c>
      <c r="D1724" s="116">
        <v>0</v>
      </c>
      <c r="E1724" s="136" t="s">
        <v>416</v>
      </c>
      <c r="F1724" s="137" t="str">
        <f t="shared" si="90"/>
        <v/>
      </c>
      <c r="G1724" s="138" t="e">
        <f>IF(A1724&lt;&gt;"",IF(AND(#REF!="Padrão",$H$4=#REF!),BDI!$B$17,IF(AND(#REF!="Padrão",$H$4=#REF!),BDI!#REF!,IF(AND(#REF!="Diferenciado",$H$4=#REF!),BDI!$E$17,IF(AND(#REF!="Diferenciado",$H$4=#REF!),BDI!#REF!,IF(#REF!="ZERO",0))))),"")</f>
        <v>#REF!</v>
      </c>
      <c r="H1724" s="139" t="str">
        <f t="shared" si="91"/>
        <v/>
      </c>
      <c r="I1724" s="137" t="str">
        <f t="shared" si="92"/>
        <v/>
      </c>
      <c r="J1724" s="117"/>
    </row>
    <row r="1725" spans="1:10" hidden="1" x14ac:dyDescent="0.25">
      <c r="A1725" s="114" t="s">
        <v>4509</v>
      </c>
      <c r="B1725" s="115" t="s">
        <v>7855</v>
      </c>
      <c r="C1725" s="116" t="s">
        <v>16</v>
      </c>
      <c r="D1725" s="116">
        <v>0</v>
      </c>
      <c r="E1725" s="136" t="s">
        <v>416</v>
      </c>
      <c r="F1725" s="137" t="str">
        <f t="shared" si="90"/>
        <v/>
      </c>
      <c r="G1725" s="138" t="e">
        <f>IF(A1725&lt;&gt;"",IF(AND(#REF!="Padrão",$H$4=#REF!),BDI!$B$17,IF(AND(#REF!="Padrão",$H$4=#REF!),BDI!#REF!,IF(AND(#REF!="Diferenciado",$H$4=#REF!),BDI!$E$17,IF(AND(#REF!="Diferenciado",$H$4=#REF!),BDI!#REF!,IF(#REF!="ZERO",0))))),"")</f>
        <v>#REF!</v>
      </c>
      <c r="H1725" s="139" t="str">
        <f t="shared" si="91"/>
        <v/>
      </c>
      <c r="I1725" s="137" t="str">
        <f t="shared" si="92"/>
        <v/>
      </c>
      <c r="J1725" s="117"/>
    </row>
    <row r="1726" spans="1:10" hidden="1" x14ac:dyDescent="0.25">
      <c r="A1726" s="114" t="s">
        <v>4510</v>
      </c>
      <c r="B1726" s="115" t="s">
        <v>7856</v>
      </c>
      <c r="C1726" s="116" t="s">
        <v>16</v>
      </c>
      <c r="D1726" s="116">
        <v>0</v>
      </c>
      <c r="E1726" s="136" t="s">
        <v>416</v>
      </c>
      <c r="F1726" s="137" t="str">
        <f t="shared" si="90"/>
        <v/>
      </c>
      <c r="G1726" s="138" t="e">
        <f>IF(A1726&lt;&gt;"",IF(AND(#REF!="Padrão",$H$4=#REF!),BDI!$B$17,IF(AND(#REF!="Padrão",$H$4=#REF!),BDI!#REF!,IF(AND(#REF!="Diferenciado",$H$4=#REF!),BDI!$E$17,IF(AND(#REF!="Diferenciado",$H$4=#REF!),BDI!#REF!,IF(#REF!="ZERO",0))))),"")</f>
        <v>#REF!</v>
      </c>
      <c r="H1726" s="139" t="str">
        <f t="shared" si="91"/>
        <v/>
      </c>
      <c r="I1726" s="137" t="str">
        <f t="shared" si="92"/>
        <v/>
      </c>
      <c r="J1726" s="117"/>
    </row>
    <row r="1727" spans="1:10" hidden="1" x14ac:dyDescent="0.25">
      <c r="A1727" s="114" t="s">
        <v>4511</v>
      </c>
      <c r="B1727" s="115" t="s">
        <v>7857</v>
      </c>
      <c r="C1727" s="116" t="s">
        <v>16</v>
      </c>
      <c r="D1727" s="116">
        <v>0</v>
      </c>
      <c r="E1727" s="136" t="s">
        <v>416</v>
      </c>
      <c r="F1727" s="137" t="str">
        <f t="shared" si="90"/>
        <v/>
      </c>
      <c r="G1727" s="138" t="e">
        <f>IF(A1727&lt;&gt;"",IF(AND(#REF!="Padrão",$H$4=#REF!),BDI!$B$17,IF(AND(#REF!="Padrão",$H$4=#REF!),BDI!#REF!,IF(AND(#REF!="Diferenciado",$H$4=#REF!),BDI!$E$17,IF(AND(#REF!="Diferenciado",$H$4=#REF!),BDI!#REF!,IF(#REF!="ZERO",0))))),"")</f>
        <v>#REF!</v>
      </c>
      <c r="H1727" s="139" t="str">
        <f t="shared" si="91"/>
        <v/>
      </c>
      <c r="I1727" s="137" t="str">
        <f t="shared" si="92"/>
        <v/>
      </c>
      <c r="J1727" s="117"/>
    </row>
    <row r="1728" spans="1:10" hidden="1" x14ac:dyDescent="0.25">
      <c r="A1728" s="114" t="s">
        <v>4512</v>
      </c>
      <c r="B1728" s="115" t="s">
        <v>7858</v>
      </c>
      <c r="C1728" s="116" t="s">
        <v>16</v>
      </c>
      <c r="D1728" s="116">
        <v>0</v>
      </c>
      <c r="E1728" s="136" t="s">
        <v>416</v>
      </c>
      <c r="F1728" s="137" t="str">
        <f t="shared" si="90"/>
        <v/>
      </c>
      <c r="G1728" s="138" t="e">
        <f>IF(A1728&lt;&gt;"",IF(AND(#REF!="Padrão",$H$4=#REF!),BDI!$B$17,IF(AND(#REF!="Padrão",$H$4=#REF!),BDI!#REF!,IF(AND(#REF!="Diferenciado",$H$4=#REF!),BDI!$E$17,IF(AND(#REF!="Diferenciado",$H$4=#REF!),BDI!#REF!,IF(#REF!="ZERO",0))))),"")</f>
        <v>#REF!</v>
      </c>
      <c r="H1728" s="139" t="str">
        <f t="shared" si="91"/>
        <v/>
      </c>
      <c r="I1728" s="137" t="str">
        <f t="shared" si="92"/>
        <v/>
      </c>
      <c r="J1728" s="117"/>
    </row>
    <row r="1729" spans="1:10" hidden="1" x14ac:dyDescent="0.25">
      <c r="A1729" s="114" t="s">
        <v>4513</v>
      </c>
      <c r="B1729" s="115" t="s">
        <v>7859</v>
      </c>
      <c r="C1729" s="116" t="s">
        <v>16</v>
      </c>
      <c r="D1729" s="116">
        <v>0</v>
      </c>
      <c r="E1729" s="136" t="s">
        <v>416</v>
      </c>
      <c r="F1729" s="137" t="str">
        <f t="shared" si="90"/>
        <v/>
      </c>
      <c r="G1729" s="138" t="e">
        <f>IF(A1729&lt;&gt;"",IF(AND(#REF!="Padrão",$H$4=#REF!),BDI!$B$17,IF(AND(#REF!="Padrão",$H$4=#REF!),BDI!#REF!,IF(AND(#REF!="Diferenciado",$H$4=#REF!),BDI!$E$17,IF(AND(#REF!="Diferenciado",$H$4=#REF!),BDI!#REF!,IF(#REF!="ZERO",0))))),"")</f>
        <v>#REF!</v>
      </c>
      <c r="H1729" s="139" t="str">
        <f t="shared" si="91"/>
        <v/>
      </c>
      <c r="I1729" s="137" t="str">
        <f t="shared" si="92"/>
        <v/>
      </c>
      <c r="J1729" s="117"/>
    </row>
    <row r="1730" spans="1:10" hidden="1" x14ac:dyDescent="0.25">
      <c r="A1730" s="114" t="s">
        <v>4514</v>
      </c>
      <c r="B1730" s="115" t="s">
        <v>7860</v>
      </c>
      <c r="C1730" s="116" t="s">
        <v>16</v>
      </c>
      <c r="D1730" s="116">
        <v>0</v>
      </c>
      <c r="E1730" s="136" t="s">
        <v>416</v>
      </c>
      <c r="F1730" s="137" t="str">
        <f t="shared" si="90"/>
        <v/>
      </c>
      <c r="G1730" s="138" t="e">
        <f>IF(A1730&lt;&gt;"",IF(AND(#REF!="Padrão",$H$4=#REF!),BDI!$B$17,IF(AND(#REF!="Padrão",$H$4=#REF!),BDI!#REF!,IF(AND(#REF!="Diferenciado",$H$4=#REF!),BDI!$E$17,IF(AND(#REF!="Diferenciado",$H$4=#REF!),BDI!#REF!,IF(#REF!="ZERO",0))))),"")</f>
        <v>#REF!</v>
      </c>
      <c r="H1730" s="139" t="str">
        <f t="shared" si="91"/>
        <v/>
      </c>
      <c r="I1730" s="137" t="str">
        <f t="shared" si="92"/>
        <v/>
      </c>
      <c r="J1730" s="117"/>
    </row>
    <row r="1731" spans="1:10" hidden="1" x14ac:dyDescent="0.25">
      <c r="A1731" s="114" t="s">
        <v>4515</v>
      </c>
      <c r="B1731" s="115" t="s">
        <v>7861</v>
      </c>
      <c r="C1731" s="116" t="s">
        <v>16</v>
      </c>
      <c r="D1731" s="116">
        <v>0</v>
      </c>
      <c r="E1731" s="136" t="s">
        <v>416</v>
      </c>
      <c r="F1731" s="137" t="str">
        <f t="shared" si="90"/>
        <v/>
      </c>
      <c r="G1731" s="138" t="e">
        <f>IF(A1731&lt;&gt;"",IF(AND(#REF!="Padrão",$H$4=#REF!),BDI!$B$17,IF(AND(#REF!="Padrão",$H$4=#REF!),BDI!#REF!,IF(AND(#REF!="Diferenciado",$H$4=#REF!),BDI!$E$17,IF(AND(#REF!="Diferenciado",$H$4=#REF!),BDI!#REF!,IF(#REF!="ZERO",0))))),"")</f>
        <v>#REF!</v>
      </c>
      <c r="H1731" s="139" t="str">
        <f t="shared" si="91"/>
        <v/>
      </c>
      <c r="I1731" s="137" t="str">
        <f t="shared" si="92"/>
        <v/>
      </c>
      <c r="J1731" s="117"/>
    </row>
    <row r="1732" spans="1:10" hidden="1" x14ac:dyDescent="0.25">
      <c r="A1732" s="114" t="s">
        <v>4516</v>
      </c>
      <c r="B1732" s="115" t="s">
        <v>7862</v>
      </c>
      <c r="C1732" s="116" t="s">
        <v>16</v>
      </c>
      <c r="D1732" s="116">
        <v>0</v>
      </c>
      <c r="E1732" s="136" t="s">
        <v>416</v>
      </c>
      <c r="F1732" s="137" t="str">
        <f t="shared" si="90"/>
        <v/>
      </c>
      <c r="G1732" s="138" t="e">
        <f>IF(A1732&lt;&gt;"",IF(AND(#REF!="Padrão",$H$4=#REF!),BDI!$B$17,IF(AND(#REF!="Padrão",$H$4=#REF!),BDI!#REF!,IF(AND(#REF!="Diferenciado",$H$4=#REF!),BDI!$E$17,IF(AND(#REF!="Diferenciado",$H$4=#REF!),BDI!#REF!,IF(#REF!="ZERO",0))))),"")</f>
        <v>#REF!</v>
      </c>
      <c r="H1732" s="139" t="str">
        <f t="shared" si="91"/>
        <v/>
      </c>
      <c r="I1732" s="137" t="str">
        <f t="shared" si="92"/>
        <v/>
      </c>
      <c r="J1732" s="117"/>
    </row>
    <row r="1733" spans="1:10" hidden="1" x14ac:dyDescent="0.25">
      <c r="A1733" s="114" t="s">
        <v>4517</v>
      </c>
      <c r="B1733" s="115" t="s">
        <v>7863</v>
      </c>
      <c r="C1733" s="116" t="s">
        <v>16</v>
      </c>
      <c r="D1733" s="116">
        <v>0</v>
      </c>
      <c r="E1733" s="136" t="s">
        <v>416</v>
      </c>
      <c r="F1733" s="137" t="str">
        <f t="shared" si="90"/>
        <v/>
      </c>
      <c r="G1733" s="138" t="e">
        <f>IF(A1733&lt;&gt;"",IF(AND(#REF!="Padrão",$H$4=#REF!),BDI!$B$17,IF(AND(#REF!="Padrão",$H$4=#REF!),BDI!#REF!,IF(AND(#REF!="Diferenciado",$H$4=#REF!),BDI!$E$17,IF(AND(#REF!="Diferenciado",$H$4=#REF!),BDI!#REF!,IF(#REF!="ZERO",0))))),"")</f>
        <v>#REF!</v>
      </c>
      <c r="H1733" s="139" t="str">
        <f t="shared" si="91"/>
        <v/>
      </c>
      <c r="I1733" s="137" t="str">
        <f t="shared" si="92"/>
        <v/>
      </c>
      <c r="J1733" s="117"/>
    </row>
    <row r="1734" spans="1:10" hidden="1" x14ac:dyDescent="0.25">
      <c r="A1734" s="114" t="s">
        <v>4518</v>
      </c>
      <c r="B1734" s="115" t="s">
        <v>7864</v>
      </c>
      <c r="C1734" s="116" t="s">
        <v>16</v>
      </c>
      <c r="D1734" s="116">
        <v>0</v>
      </c>
      <c r="E1734" s="136" t="s">
        <v>416</v>
      </c>
      <c r="F1734" s="137" t="str">
        <f t="shared" si="90"/>
        <v/>
      </c>
      <c r="G1734" s="138" t="e">
        <f>IF(A1734&lt;&gt;"",IF(AND(#REF!="Padrão",$H$4=#REF!),BDI!$B$17,IF(AND(#REF!="Padrão",$H$4=#REF!),BDI!#REF!,IF(AND(#REF!="Diferenciado",$H$4=#REF!),BDI!$E$17,IF(AND(#REF!="Diferenciado",$H$4=#REF!),BDI!#REF!,IF(#REF!="ZERO",0))))),"")</f>
        <v>#REF!</v>
      </c>
      <c r="H1734" s="139" t="str">
        <f t="shared" si="91"/>
        <v/>
      </c>
      <c r="I1734" s="137" t="str">
        <f t="shared" si="92"/>
        <v/>
      </c>
      <c r="J1734" s="117"/>
    </row>
    <row r="1735" spans="1:10" hidden="1" x14ac:dyDescent="0.25">
      <c r="A1735" s="114" t="s">
        <v>4519</v>
      </c>
      <c r="B1735" s="115" t="s">
        <v>7865</v>
      </c>
      <c r="C1735" s="116" t="s">
        <v>16</v>
      </c>
      <c r="D1735" s="116">
        <v>0</v>
      </c>
      <c r="E1735" s="136" t="s">
        <v>416</v>
      </c>
      <c r="F1735" s="137" t="str">
        <f t="shared" si="90"/>
        <v/>
      </c>
      <c r="G1735" s="138" t="e">
        <f>IF(A1735&lt;&gt;"",IF(AND(#REF!="Padrão",$H$4=#REF!),BDI!$B$17,IF(AND(#REF!="Padrão",$H$4=#REF!),BDI!#REF!,IF(AND(#REF!="Diferenciado",$H$4=#REF!),BDI!$E$17,IF(AND(#REF!="Diferenciado",$H$4=#REF!),BDI!#REF!,IF(#REF!="ZERO",0))))),"")</f>
        <v>#REF!</v>
      </c>
      <c r="H1735" s="139" t="str">
        <f t="shared" si="91"/>
        <v/>
      </c>
      <c r="I1735" s="137" t="str">
        <f t="shared" si="92"/>
        <v/>
      </c>
      <c r="J1735" s="117"/>
    </row>
    <row r="1736" spans="1:10" hidden="1" x14ac:dyDescent="0.25">
      <c r="A1736" s="114" t="s">
        <v>4520</v>
      </c>
      <c r="B1736" s="115" t="s">
        <v>7866</v>
      </c>
      <c r="C1736" s="116" t="s">
        <v>16</v>
      </c>
      <c r="D1736" s="116">
        <v>0</v>
      </c>
      <c r="E1736" s="136" t="s">
        <v>416</v>
      </c>
      <c r="F1736" s="137" t="str">
        <f t="shared" si="90"/>
        <v/>
      </c>
      <c r="G1736" s="138" t="e">
        <f>IF(A1736&lt;&gt;"",IF(AND(#REF!="Padrão",$H$4=#REF!),BDI!$B$17,IF(AND(#REF!="Padrão",$H$4=#REF!),BDI!#REF!,IF(AND(#REF!="Diferenciado",$H$4=#REF!),BDI!$E$17,IF(AND(#REF!="Diferenciado",$H$4=#REF!),BDI!#REF!,IF(#REF!="ZERO",0))))),"")</f>
        <v>#REF!</v>
      </c>
      <c r="H1736" s="139" t="str">
        <f t="shared" si="91"/>
        <v/>
      </c>
      <c r="I1736" s="137" t="str">
        <f t="shared" si="92"/>
        <v/>
      </c>
      <c r="J1736" s="117"/>
    </row>
    <row r="1737" spans="1:10" hidden="1" x14ac:dyDescent="0.25">
      <c r="A1737" s="114" t="s">
        <v>4521</v>
      </c>
      <c r="B1737" s="115" t="s">
        <v>7867</v>
      </c>
      <c r="C1737" s="116" t="s">
        <v>16</v>
      </c>
      <c r="D1737" s="116">
        <v>0</v>
      </c>
      <c r="E1737" s="136" t="s">
        <v>416</v>
      </c>
      <c r="F1737" s="137" t="str">
        <f t="shared" si="90"/>
        <v/>
      </c>
      <c r="G1737" s="138" t="e">
        <f>IF(A1737&lt;&gt;"",IF(AND(#REF!="Padrão",$H$4=#REF!),BDI!$B$17,IF(AND(#REF!="Padrão",$H$4=#REF!),BDI!#REF!,IF(AND(#REF!="Diferenciado",$H$4=#REF!),BDI!$E$17,IF(AND(#REF!="Diferenciado",$H$4=#REF!),BDI!#REF!,IF(#REF!="ZERO",0))))),"")</f>
        <v>#REF!</v>
      </c>
      <c r="H1737" s="139" t="str">
        <f t="shared" si="91"/>
        <v/>
      </c>
      <c r="I1737" s="137" t="str">
        <f t="shared" si="92"/>
        <v/>
      </c>
      <c r="J1737" s="117"/>
    </row>
    <row r="1738" spans="1:10" hidden="1" x14ac:dyDescent="0.25">
      <c r="A1738" s="114" t="s">
        <v>4522</v>
      </c>
      <c r="B1738" s="115" t="s">
        <v>7868</v>
      </c>
      <c r="C1738" s="116" t="s">
        <v>69</v>
      </c>
      <c r="D1738" s="116">
        <v>0</v>
      </c>
      <c r="E1738" s="136" t="s">
        <v>416</v>
      </c>
      <c r="F1738" s="137" t="str">
        <f t="shared" si="90"/>
        <v/>
      </c>
      <c r="G1738" s="138" t="e">
        <f>IF(A1738&lt;&gt;"",IF(AND(#REF!="Padrão",$H$4=#REF!),BDI!$B$17,IF(AND(#REF!="Padrão",$H$4=#REF!),BDI!#REF!,IF(AND(#REF!="Diferenciado",$H$4=#REF!),BDI!$E$17,IF(AND(#REF!="Diferenciado",$H$4=#REF!),BDI!#REF!,IF(#REF!="ZERO",0))))),"")</f>
        <v>#REF!</v>
      </c>
      <c r="H1738" s="139" t="str">
        <f t="shared" si="91"/>
        <v/>
      </c>
      <c r="I1738" s="137" t="str">
        <f t="shared" si="92"/>
        <v/>
      </c>
      <c r="J1738" s="117"/>
    </row>
    <row r="1739" spans="1:10" hidden="1" x14ac:dyDescent="0.25">
      <c r="A1739" s="114" t="s">
        <v>4523</v>
      </c>
      <c r="B1739" s="115" t="s">
        <v>7869</v>
      </c>
      <c r="C1739" s="116" t="s">
        <v>69</v>
      </c>
      <c r="D1739" s="116">
        <v>0</v>
      </c>
      <c r="E1739" s="136" t="s">
        <v>416</v>
      </c>
      <c r="F1739" s="137" t="str">
        <f t="shared" si="90"/>
        <v/>
      </c>
      <c r="G1739" s="138" t="e">
        <f>IF(A1739&lt;&gt;"",IF(AND(#REF!="Padrão",$H$4=#REF!),BDI!$B$17,IF(AND(#REF!="Padrão",$H$4=#REF!),BDI!#REF!,IF(AND(#REF!="Diferenciado",$H$4=#REF!),BDI!$E$17,IF(AND(#REF!="Diferenciado",$H$4=#REF!),BDI!#REF!,IF(#REF!="ZERO",0))))),"")</f>
        <v>#REF!</v>
      </c>
      <c r="H1739" s="139" t="str">
        <f t="shared" si="91"/>
        <v/>
      </c>
      <c r="I1739" s="137" t="str">
        <f t="shared" si="92"/>
        <v/>
      </c>
      <c r="J1739" s="117"/>
    </row>
    <row r="1740" spans="1:10" hidden="1" x14ac:dyDescent="0.25">
      <c r="A1740" s="114" t="s">
        <v>4524</v>
      </c>
      <c r="B1740" s="115" t="s">
        <v>7870</v>
      </c>
      <c r="C1740" s="116" t="s">
        <v>69</v>
      </c>
      <c r="D1740" s="116">
        <v>0</v>
      </c>
      <c r="E1740" s="136" t="s">
        <v>416</v>
      </c>
      <c r="F1740" s="137" t="str">
        <f t="shared" si="90"/>
        <v/>
      </c>
      <c r="G1740" s="138" t="e">
        <f>IF(A1740&lt;&gt;"",IF(AND(#REF!="Padrão",$H$4=#REF!),BDI!$B$17,IF(AND(#REF!="Padrão",$H$4=#REF!),BDI!#REF!,IF(AND(#REF!="Diferenciado",$H$4=#REF!),BDI!$E$17,IF(AND(#REF!="Diferenciado",$H$4=#REF!),BDI!#REF!,IF(#REF!="ZERO",0))))),"")</f>
        <v>#REF!</v>
      </c>
      <c r="H1740" s="139" t="str">
        <f t="shared" si="91"/>
        <v/>
      </c>
      <c r="I1740" s="137" t="str">
        <f t="shared" si="92"/>
        <v/>
      </c>
      <c r="J1740" s="117"/>
    </row>
    <row r="1741" spans="1:10" hidden="1" x14ac:dyDescent="0.25">
      <c r="A1741" s="114" t="s">
        <v>4525</v>
      </c>
      <c r="B1741" s="115" t="s">
        <v>7871</v>
      </c>
      <c r="C1741" s="116" t="s">
        <v>69</v>
      </c>
      <c r="D1741" s="116">
        <v>0</v>
      </c>
      <c r="E1741" s="136" t="s">
        <v>416</v>
      </c>
      <c r="F1741" s="137" t="str">
        <f t="shared" si="90"/>
        <v/>
      </c>
      <c r="G1741" s="138" t="e">
        <f>IF(A1741&lt;&gt;"",IF(AND(#REF!="Padrão",$H$4=#REF!),BDI!$B$17,IF(AND(#REF!="Padrão",$H$4=#REF!),BDI!#REF!,IF(AND(#REF!="Diferenciado",$H$4=#REF!),BDI!$E$17,IF(AND(#REF!="Diferenciado",$H$4=#REF!),BDI!#REF!,IF(#REF!="ZERO",0))))),"")</f>
        <v>#REF!</v>
      </c>
      <c r="H1741" s="139" t="str">
        <f t="shared" si="91"/>
        <v/>
      </c>
      <c r="I1741" s="137" t="str">
        <f t="shared" si="92"/>
        <v/>
      </c>
      <c r="J1741" s="117"/>
    </row>
    <row r="1742" spans="1:10" hidden="1" x14ac:dyDescent="0.25">
      <c r="A1742" s="114" t="s">
        <v>4526</v>
      </c>
      <c r="B1742" s="115" t="s">
        <v>7872</v>
      </c>
      <c r="C1742" s="116" t="s">
        <v>69</v>
      </c>
      <c r="D1742" s="116">
        <v>0</v>
      </c>
      <c r="E1742" s="136" t="s">
        <v>416</v>
      </c>
      <c r="F1742" s="137" t="str">
        <f t="shared" si="90"/>
        <v/>
      </c>
      <c r="G1742" s="138" t="e">
        <f>IF(A1742&lt;&gt;"",IF(AND(#REF!="Padrão",$H$4=#REF!),BDI!$B$17,IF(AND(#REF!="Padrão",$H$4=#REF!),BDI!#REF!,IF(AND(#REF!="Diferenciado",$H$4=#REF!),BDI!$E$17,IF(AND(#REF!="Diferenciado",$H$4=#REF!),BDI!#REF!,IF(#REF!="ZERO",0))))),"")</f>
        <v>#REF!</v>
      </c>
      <c r="H1742" s="139" t="str">
        <f t="shared" si="91"/>
        <v/>
      </c>
      <c r="I1742" s="137" t="str">
        <f t="shared" si="92"/>
        <v/>
      </c>
      <c r="J1742" s="117"/>
    </row>
    <row r="1743" spans="1:10" hidden="1" x14ac:dyDescent="0.25">
      <c r="A1743" s="114" t="s">
        <v>4527</v>
      </c>
      <c r="B1743" s="115" t="s">
        <v>7873</v>
      </c>
      <c r="C1743" s="116" t="s">
        <v>69</v>
      </c>
      <c r="D1743" s="116">
        <v>0</v>
      </c>
      <c r="E1743" s="136" t="s">
        <v>416</v>
      </c>
      <c r="F1743" s="137" t="str">
        <f t="shared" si="90"/>
        <v/>
      </c>
      <c r="G1743" s="138" t="e">
        <f>IF(A1743&lt;&gt;"",IF(AND(#REF!="Padrão",$H$4=#REF!),BDI!$B$17,IF(AND(#REF!="Padrão",$H$4=#REF!),BDI!#REF!,IF(AND(#REF!="Diferenciado",$H$4=#REF!),BDI!$E$17,IF(AND(#REF!="Diferenciado",$H$4=#REF!),BDI!#REF!,IF(#REF!="ZERO",0))))),"")</f>
        <v>#REF!</v>
      </c>
      <c r="H1743" s="139" t="str">
        <f t="shared" si="91"/>
        <v/>
      </c>
      <c r="I1743" s="137" t="str">
        <f t="shared" si="92"/>
        <v/>
      </c>
      <c r="J1743" s="117"/>
    </row>
    <row r="1744" spans="1:10" hidden="1" x14ac:dyDescent="0.25">
      <c r="A1744" s="114" t="s">
        <v>4528</v>
      </c>
      <c r="B1744" s="115" t="s">
        <v>7874</v>
      </c>
      <c r="C1744" s="116" t="s">
        <v>69</v>
      </c>
      <c r="D1744" s="116">
        <v>0</v>
      </c>
      <c r="E1744" s="136" t="s">
        <v>416</v>
      </c>
      <c r="F1744" s="137" t="str">
        <f t="shared" si="90"/>
        <v/>
      </c>
      <c r="G1744" s="138" t="e">
        <f>IF(A1744&lt;&gt;"",IF(AND(#REF!="Padrão",$H$4=#REF!),BDI!$B$17,IF(AND(#REF!="Padrão",$H$4=#REF!),BDI!#REF!,IF(AND(#REF!="Diferenciado",$H$4=#REF!),BDI!$E$17,IF(AND(#REF!="Diferenciado",$H$4=#REF!),BDI!#REF!,IF(#REF!="ZERO",0))))),"")</f>
        <v>#REF!</v>
      </c>
      <c r="H1744" s="139" t="str">
        <f t="shared" si="91"/>
        <v/>
      </c>
      <c r="I1744" s="137" t="str">
        <f t="shared" si="92"/>
        <v/>
      </c>
      <c r="J1744" s="117"/>
    </row>
    <row r="1745" spans="1:10" hidden="1" x14ac:dyDescent="0.25">
      <c r="A1745" s="114" t="s">
        <v>4529</v>
      </c>
      <c r="B1745" s="115" t="s">
        <v>7875</v>
      </c>
      <c r="C1745" s="116" t="s">
        <v>69</v>
      </c>
      <c r="D1745" s="116">
        <v>0</v>
      </c>
      <c r="E1745" s="136" t="s">
        <v>416</v>
      </c>
      <c r="F1745" s="137" t="str">
        <f t="shared" si="90"/>
        <v/>
      </c>
      <c r="G1745" s="138" t="e">
        <f>IF(A1745&lt;&gt;"",IF(AND(#REF!="Padrão",$H$4=#REF!),BDI!$B$17,IF(AND(#REF!="Padrão",$H$4=#REF!),BDI!#REF!,IF(AND(#REF!="Diferenciado",$H$4=#REF!),BDI!$E$17,IF(AND(#REF!="Diferenciado",$H$4=#REF!),BDI!#REF!,IF(#REF!="ZERO",0))))),"")</f>
        <v>#REF!</v>
      </c>
      <c r="H1745" s="139" t="str">
        <f t="shared" si="91"/>
        <v/>
      </c>
      <c r="I1745" s="137" t="str">
        <f t="shared" si="92"/>
        <v/>
      </c>
      <c r="J1745" s="117"/>
    </row>
    <row r="1746" spans="1:10" hidden="1" x14ac:dyDescent="0.25">
      <c r="A1746" s="114" t="s">
        <v>4530</v>
      </c>
      <c r="B1746" s="115" t="s">
        <v>7876</v>
      </c>
      <c r="C1746" s="116" t="s">
        <v>69</v>
      </c>
      <c r="D1746" s="116">
        <v>0</v>
      </c>
      <c r="E1746" s="136" t="s">
        <v>416</v>
      </c>
      <c r="F1746" s="137" t="str">
        <f t="shared" si="90"/>
        <v/>
      </c>
      <c r="G1746" s="138" t="e">
        <f>IF(A1746&lt;&gt;"",IF(AND(#REF!="Padrão",$H$4=#REF!),BDI!$B$17,IF(AND(#REF!="Padrão",$H$4=#REF!),BDI!#REF!,IF(AND(#REF!="Diferenciado",$H$4=#REF!),BDI!$E$17,IF(AND(#REF!="Diferenciado",$H$4=#REF!),BDI!#REF!,IF(#REF!="ZERO",0))))),"")</f>
        <v>#REF!</v>
      </c>
      <c r="H1746" s="139" t="str">
        <f t="shared" si="91"/>
        <v/>
      </c>
      <c r="I1746" s="137" t="str">
        <f t="shared" si="92"/>
        <v/>
      </c>
      <c r="J1746" s="117"/>
    </row>
    <row r="1747" spans="1:10" hidden="1" x14ac:dyDescent="0.25">
      <c r="A1747" s="114" t="s">
        <v>4531</v>
      </c>
      <c r="B1747" s="115" t="s">
        <v>7877</v>
      </c>
      <c r="C1747" s="116" t="s">
        <v>69</v>
      </c>
      <c r="D1747" s="116">
        <v>0</v>
      </c>
      <c r="E1747" s="136" t="s">
        <v>416</v>
      </c>
      <c r="F1747" s="137" t="str">
        <f t="shared" si="90"/>
        <v/>
      </c>
      <c r="G1747" s="138" t="e">
        <f>IF(A1747&lt;&gt;"",IF(AND(#REF!="Padrão",$H$4=#REF!),BDI!$B$17,IF(AND(#REF!="Padrão",$H$4=#REF!),BDI!#REF!,IF(AND(#REF!="Diferenciado",$H$4=#REF!),BDI!$E$17,IF(AND(#REF!="Diferenciado",$H$4=#REF!),BDI!#REF!,IF(#REF!="ZERO",0))))),"")</f>
        <v>#REF!</v>
      </c>
      <c r="H1747" s="139" t="str">
        <f t="shared" si="91"/>
        <v/>
      </c>
      <c r="I1747" s="137" t="str">
        <f t="shared" si="92"/>
        <v/>
      </c>
      <c r="J1747" s="117"/>
    </row>
    <row r="1748" spans="1:10" hidden="1" x14ac:dyDescent="0.25">
      <c r="A1748" s="114" t="s">
        <v>4532</v>
      </c>
      <c r="B1748" s="115" t="s">
        <v>3531</v>
      </c>
      <c r="C1748" s="116" t="s">
        <v>69</v>
      </c>
      <c r="D1748" s="116">
        <v>0</v>
      </c>
      <c r="E1748" s="136" t="s">
        <v>416</v>
      </c>
      <c r="F1748" s="137" t="str">
        <f t="shared" si="90"/>
        <v/>
      </c>
      <c r="G1748" s="138" t="e">
        <f>IF(A1748&lt;&gt;"",IF(AND(#REF!="Padrão",$H$4=#REF!),BDI!$B$17,IF(AND(#REF!="Padrão",$H$4=#REF!),BDI!#REF!,IF(AND(#REF!="Diferenciado",$H$4=#REF!),BDI!$E$17,IF(AND(#REF!="Diferenciado",$H$4=#REF!),BDI!#REF!,IF(#REF!="ZERO",0))))),"")</f>
        <v>#REF!</v>
      </c>
      <c r="H1748" s="139" t="str">
        <f t="shared" si="91"/>
        <v/>
      </c>
      <c r="I1748" s="137" t="str">
        <f t="shared" si="92"/>
        <v/>
      </c>
      <c r="J1748" s="117"/>
    </row>
    <row r="1749" spans="1:10" hidden="1" x14ac:dyDescent="0.25">
      <c r="A1749" s="114" t="s">
        <v>4533</v>
      </c>
      <c r="B1749" s="115" t="s">
        <v>3532</v>
      </c>
      <c r="C1749" s="116" t="s">
        <v>69</v>
      </c>
      <c r="D1749" s="116">
        <v>0</v>
      </c>
      <c r="E1749" s="136" t="s">
        <v>416</v>
      </c>
      <c r="F1749" s="137" t="str">
        <f t="shared" si="90"/>
        <v/>
      </c>
      <c r="G1749" s="138" t="e">
        <f>IF(A1749&lt;&gt;"",IF(AND(#REF!="Padrão",$H$4=#REF!),BDI!$B$17,IF(AND(#REF!="Padrão",$H$4=#REF!),BDI!#REF!,IF(AND(#REF!="Diferenciado",$H$4=#REF!),BDI!$E$17,IF(AND(#REF!="Diferenciado",$H$4=#REF!),BDI!#REF!,IF(#REF!="ZERO",0))))),"")</f>
        <v>#REF!</v>
      </c>
      <c r="H1749" s="139" t="str">
        <f t="shared" si="91"/>
        <v/>
      </c>
      <c r="I1749" s="137" t="str">
        <f t="shared" si="92"/>
        <v/>
      </c>
      <c r="J1749" s="117"/>
    </row>
    <row r="1750" spans="1:10" hidden="1" x14ac:dyDescent="0.25">
      <c r="A1750" s="114" t="s">
        <v>4534</v>
      </c>
      <c r="B1750" s="115" t="s">
        <v>3533</v>
      </c>
      <c r="C1750" s="116" t="s">
        <v>69</v>
      </c>
      <c r="D1750" s="116">
        <v>0</v>
      </c>
      <c r="E1750" s="136" t="s">
        <v>416</v>
      </c>
      <c r="F1750" s="137" t="str">
        <f t="shared" si="90"/>
        <v/>
      </c>
      <c r="G1750" s="138" t="e">
        <f>IF(A1750&lt;&gt;"",IF(AND(#REF!="Padrão",$H$4=#REF!),BDI!$B$17,IF(AND(#REF!="Padrão",$H$4=#REF!),BDI!#REF!,IF(AND(#REF!="Diferenciado",$H$4=#REF!),BDI!$E$17,IF(AND(#REF!="Diferenciado",$H$4=#REF!),BDI!#REF!,IF(#REF!="ZERO",0))))),"")</f>
        <v>#REF!</v>
      </c>
      <c r="H1750" s="139" t="str">
        <f t="shared" si="91"/>
        <v/>
      </c>
      <c r="I1750" s="137" t="str">
        <f t="shared" si="92"/>
        <v/>
      </c>
      <c r="J1750" s="117"/>
    </row>
    <row r="1751" spans="1:10" hidden="1" x14ac:dyDescent="0.25">
      <c r="A1751" s="114" t="s">
        <v>4535</v>
      </c>
      <c r="B1751" s="115" t="s">
        <v>3534</v>
      </c>
      <c r="C1751" s="116" t="s">
        <v>69</v>
      </c>
      <c r="D1751" s="116">
        <v>0</v>
      </c>
      <c r="E1751" s="136" t="s">
        <v>416</v>
      </c>
      <c r="F1751" s="137" t="str">
        <f t="shared" si="90"/>
        <v/>
      </c>
      <c r="G1751" s="138" t="e">
        <f>IF(A1751&lt;&gt;"",IF(AND(#REF!="Padrão",$H$4=#REF!),BDI!$B$17,IF(AND(#REF!="Padrão",$H$4=#REF!),BDI!#REF!,IF(AND(#REF!="Diferenciado",$H$4=#REF!),BDI!$E$17,IF(AND(#REF!="Diferenciado",$H$4=#REF!),BDI!#REF!,IF(#REF!="ZERO",0))))),"")</f>
        <v>#REF!</v>
      </c>
      <c r="H1751" s="139" t="str">
        <f t="shared" si="91"/>
        <v/>
      </c>
      <c r="I1751" s="137" t="str">
        <f t="shared" si="92"/>
        <v/>
      </c>
      <c r="J1751" s="117"/>
    </row>
    <row r="1752" spans="1:10" hidden="1" x14ac:dyDescent="0.25">
      <c r="A1752" s="114" t="s">
        <v>4536</v>
      </c>
      <c r="B1752" s="115" t="s">
        <v>3535</v>
      </c>
      <c r="C1752" s="116" t="s">
        <v>69</v>
      </c>
      <c r="D1752" s="116">
        <v>0</v>
      </c>
      <c r="E1752" s="136" t="s">
        <v>416</v>
      </c>
      <c r="F1752" s="137" t="str">
        <f t="shared" si="90"/>
        <v/>
      </c>
      <c r="G1752" s="138" t="e">
        <f>IF(A1752&lt;&gt;"",IF(AND(#REF!="Padrão",$H$4=#REF!),BDI!$B$17,IF(AND(#REF!="Padrão",$H$4=#REF!),BDI!#REF!,IF(AND(#REF!="Diferenciado",$H$4=#REF!),BDI!$E$17,IF(AND(#REF!="Diferenciado",$H$4=#REF!),BDI!#REF!,IF(#REF!="ZERO",0))))),"")</f>
        <v>#REF!</v>
      </c>
      <c r="H1752" s="139" t="str">
        <f t="shared" si="91"/>
        <v/>
      </c>
      <c r="I1752" s="137" t="str">
        <f t="shared" si="92"/>
        <v/>
      </c>
      <c r="J1752" s="117"/>
    </row>
    <row r="1753" spans="1:10" hidden="1" x14ac:dyDescent="0.25">
      <c r="A1753" s="114" t="s">
        <v>4537</v>
      </c>
      <c r="B1753" s="115" t="s">
        <v>3536</v>
      </c>
      <c r="C1753" s="116" t="s">
        <v>69</v>
      </c>
      <c r="D1753" s="116">
        <v>0</v>
      </c>
      <c r="E1753" s="136" t="s">
        <v>416</v>
      </c>
      <c r="F1753" s="137" t="str">
        <f t="shared" si="90"/>
        <v/>
      </c>
      <c r="G1753" s="138" t="e">
        <f>IF(A1753&lt;&gt;"",IF(AND(#REF!="Padrão",$H$4=#REF!),BDI!$B$17,IF(AND(#REF!="Padrão",$H$4=#REF!),BDI!#REF!,IF(AND(#REF!="Diferenciado",$H$4=#REF!),BDI!$E$17,IF(AND(#REF!="Diferenciado",$H$4=#REF!),BDI!#REF!,IF(#REF!="ZERO",0))))),"")</f>
        <v>#REF!</v>
      </c>
      <c r="H1753" s="139" t="str">
        <f t="shared" si="91"/>
        <v/>
      </c>
      <c r="I1753" s="137" t="str">
        <f t="shared" si="92"/>
        <v/>
      </c>
      <c r="J1753" s="117"/>
    </row>
    <row r="1754" spans="1:10" hidden="1" x14ac:dyDescent="0.25">
      <c r="A1754" s="114" t="s">
        <v>4538</v>
      </c>
      <c r="B1754" s="115" t="s">
        <v>3537</v>
      </c>
      <c r="C1754" s="116" t="s">
        <v>69</v>
      </c>
      <c r="D1754" s="116">
        <v>0</v>
      </c>
      <c r="E1754" s="136" t="s">
        <v>416</v>
      </c>
      <c r="F1754" s="137" t="str">
        <f t="shared" si="90"/>
        <v/>
      </c>
      <c r="G1754" s="138" t="e">
        <f>IF(A1754&lt;&gt;"",IF(AND(#REF!="Padrão",$H$4=#REF!),BDI!$B$17,IF(AND(#REF!="Padrão",$H$4=#REF!),BDI!#REF!,IF(AND(#REF!="Diferenciado",$H$4=#REF!),BDI!$E$17,IF(AND(#REF!="Diferenciado",$H$4=#REF!),BDI!#REF!,IF(#REF!="ZERO",0))))),"")</f>
        <v>#REF!</v>
      </c>
      <c r="H1754" s="139" t="str">
        <f t="shared" si="91"/>
        <v/>
      </c>
      <c r="I1754" s="137" t="str">
        <f t="shared" si="92"/>
        <v/>
      </c>
      <c r="J1754" s="117"/>
    </row>
    <row r="1755" spans="1:10" hidden="1" x14ac:dyDescent="0.25">
      <c r="A1755" s="114" t="s">
        <v>4539</v>
      </c>
      <c r="B1755" s="115" t="s">
        <v>3538</v>
      </c>
      <c r="C1755" s="116" t="s">
        <v>16</v>
      </c>
      <c r="D1755" s="116">
        <v>0</v>
      </c>
      <c r="E1755" s="136" t="s">
        <v>416</v>
      </c>
      <c r="F1755" s="137" t="str">
        <f t="shared" si="90"/>
        <v/>
      </c>
      <c r="G1755" s="138" t="e">
        <f>IF(A1755&lt;&gt;"",IF(AND(#REF!="Padrão",$H$4=#REF!),BDI!$B$17,IF(AND(#REF!="Padrão",$H$4=#REF!),BDI!#REF!,IF(AND(#REF!="Diferenciado",$H$4=#REF!),BDI!$E$17,IF(AND(#REF!="Diferenciado",$H$4=#REF!),BDI!#REF!,IF(#REF!="ZERO",0))))),"")</f>
        <v>#REF!</v>
      </c>
      <c r="H1755" s="139" t="str">
        <f t="shared" si="91"/>
        <v/>
      </c>
      <c r="I1755" s="137" t="str">
        <f t="shared" si="92"/>
        <v/>
      </c>
      <c r="J1755" s="117"/>
    </row>
    <row r="1756" spans="1:10" hidden="1" x14ac:dyDescent="0.25">
      <c r="A1756" s="114" t="s">
        <v>4540</v>
      </c>
      <c r="B1756" s="115" t="s">
        <v>3539</v>
      </c>
      <c r="C1756" s="116" t="s">
        <v>16</v>
      </c>
      <c r="D1756" s="116">
        <v>0</v>
      </c>
      <c r="E1756" s="136" t="s">
        <v>416</v>
      </c>
      <c r="F1756" s="137" t="str">
        <f t="shared" si="90"/>
        <v/>
      </c>
      <c r="G1756" s="138" t="e">
        <f>IF(A1756&lt;&gt;"",IF(AND(#REF!="Padrão",$H$4=#REF!),BDI!$B$17,IF(AND(#REF!="Padrão",$H$4=#REF!),BDI!#REF!,IF(AND(#REF!="Diferenciado",$H$4=#REF!),BDI!$E$17,IF(AND(#REF!="Diferenciado",$H$4=#REF!),BDI!#REF!,IF(#REF!="ZERO",0))))),"")</f>
        <v>#REF!</v>
      </c>
      <c r="H1756" s="139" t="str">
        <f t="shared" si="91"/>
        <v/>
      </c>
      <c r="I1756" s="137" t="str">
        <f t="shared" si="92"/>
        <v/>
      </c>
      <c r="J1756" s="117"/>
    </row>
    <row r="1757" spans="1:10" hidden="1" x14ac:dyDescent="0.25">
      <c r="A1757" s="114" t="s">
        <v>4541</v>
      </c>
      <c r="B1757" s="115" t="s">
        <v>3540</v>
      </c>
      <c r="C1757" s="116" t="s">
        <v>16</v>
      </c>
      <c r="D1757" s="116">
        <v>0</v>
      </c>
      <c r="E1757" s="136" t="s">
        <v>416</v>
      </c>
      <c r="F1757" s="137" t="str">
        <f t="shared" si="90"/>
        <v/>
      </c>
      <c r="G1757" s="138" t="e">
        <f>IF(A1757&lt;&gt;"",IF(AND(#REF!="Padrão",$H$4=#REF!),BDI!$B$17,IF(AND(#REF!="Padrão",$H$4=#REF!),BDI!#REF!,IF(AND(#REF!="Diferenciado",$H$4=#REF!),BDI!$E$17,IF(AND(#REF!="Diferenciado",$H$4=#REF!),BDI!#REF!,IF(#REF!="ZERO",0))))),"")</f>
        <v>#REF!</v>
      </c>
      <c r="H1757" s="139" t="str">
        <f t="shared" si="91"/>
        <v/>
      </c>
      <c r="I1757" s="137" t="str">
        <f t="shared" si="92"/>
        <v/>
      </c>
      <c r="J1757" s="117"/>
    </row>
    <row r="1758" spans="1:10" hidden="1" x14ac:dyDescent="0.25">
      <c r="A1758" s="114" t="s">
        <v>4542</v>
      </c>
      <c r="B1758" s="115" t="s">
        <v>3541</v>
      </c>
      <c r="C1758" s="116" t="s">
        <v>16</v>
      </c>
      <c r="D1758" s="116">
        <v>0</v>
      </c>
      <c r="E1758" s="136" t="s">
        <v>416</v>
      </c>
      <c r="F1758" s="137" t="str">
        <f t="shared" si="90"/>
        <v/>
      </c>
      <c r="G1758" s="138" t="e">
        <f>IF(A1758&lt;&gt;"",IF(AND(#REF!="Padrão",$H$4=#REF!),BDI!$B$17,IF(AND(#REF!="Padrão",$H$4=#REF!),BDI!#REF!,IF(AND(#REF!="Diferenciado",$H$4=#REF!),BDI!$E$17,IF(AND(#REF!="Diferenciado",$H$4=#REF!),BDI!#REF!,IF(#REF!="ZERO",0))))),"")</f>
        <v>#REF!</v>
      </c>
      <c r="H1758" s="139" t="str">
        <f t="shared" si="91"/>
        <v/>
      </c>
      <c r="I1758" s="137" t="str">
        <f t="shared" si="92"/>
        <v/>
      </c>
      <c r="J1758" s="117"/>
    </row>
    <row r="1759" spans="1:10" hidden="1" x14ac:dyDescent="0.25">
      <c r="A1759" s="114" t="s">
        <v>4543</v>
      </c>
      <c r="B1759" s="115" t="s">
        <v>3542</v>
      </c>
      <c r="C1759" s="116" t="s">
        <v>16</v>
      </c>
      <c r="D1759" s="116">
        <v>0</v>
      </c>
      <c r="E1759" s="136" t="s">
        <v>416</v>
      </c>
      <c r="F1759" s="137" t="str">
        <f t="shared" si="90"/>
        <v/>
      </c>
      <c r="G1759" s="138" t="e">
        <f>IF(A1759&lt;&gt;"",IF(AND(#REF!="Padrão",$H$4=#REF!),BDI!$B$17,IF(AND(#REF!="Padrão",$H$4=#REF!),BDI!#REF!,IF(AND(#REF!="Diferenciado",$H$4=#REF!),BDI!$E$17,IF(AND(#REF!="Diferenciado",$H$4=#REF!),BDI!#REF!,IF(#REF!="ZERO",0))))),"")</f>
        <v>#REF!</v>
      </c>
      <c r="H1759" s="139" t="str">
        <f t="shared" si="91"/>
        <v/>
      </c>
      <c r="I1759" s="137" t="str">
        <f t="shared" si="92"/>
        <v/>
      </c>
      <c r="J1759" s="117"/>
    </row>
    <row r="1760" spans="1:10" hidden="1" x14ac:dyDescent="0.25">
      <c r="A1760" s="114" t="s">
        <v>4544</v>
      </c>
      <c r="B1760" s="115" t="s">
        <v>7878</v>
      </c>
      <c r="C1760" s="116" t="s">
        <v>16</v>
      </c>
      <c r="D1760" s="116">
        <v>0</v>
      </c>
      <c r="E1760" s="136" t="s">
        <v>416</v>
      </c>
      <c r="F1760" s="137" t="str">
        <f t="shared" si="90"/>
        <v/>
      </c>
      <c r="G1760" s="138" t="e">
        <f>IF(A1760&lt;&gt;"",IF(AND(#REF!="Padrão",$H$4=#REF!),BDI!$B$17,IF(AND(#REF!="Padrão",$H$4=#REF!),BDI!#REF!,IF(AND(#REF!="Diferenciado",$H$4=#REF!),BDI!$E$17,IF(AND(#REF!="Diferenciado",$H$4=#REF!),BDI!#REF!,IF(#REF!="ZERO",0))))),"")</f>
        <v>#REF!</v>
      </c>
      <c r="H1760" s="139" t="str">
        <f t="shared" si="91"/>
        <v/>
      </c>
      <c r="I1760" s="137" t="str">
        <f t="shared" si="92"/>
        <v/>
      </c>
      <c r="J1760" s="117"/>
    </row>
    <row r="1761" spans="1:10" hidden="1" x14ac:dyDescent="0.25">
      <c r="A1761" s="114" t="s">
        <v>4545</v>
      </c>
      <c r="B1761" s="115" t="s">
        <v>7879</v>
      </c>
      <c r="C1761" s="116" t="s">
        <v>16</v>
      </c>
      <c r="D1761" s="116">
        <v>0</v>
      </c>
      <c r="E1761" s="136" t="s">
        <v>416</v>
      </c>
      <c r="F1761" s="137" t="str">
        <f t="shared" si="90"/>
        <v/>
      </c>
      <c r="G1761" s="138" t="e">
        <f>IF(A1761&lt;&gt;"",IF(AND(#REF!="Padrão",$H$4=#REF!),BDI!$B$17,IF(AND(#REF!="Padrão",$H$4=#REF!),BDI!#REF!,IF(AND(#REF!="Diferenciado",$H$4=#REF!),BDI!$E$17,IF(AND(#REF!="Diferenciado",$H$4=#REF!),BDI!#REF!,IF(#REF!="ZERO",0))))),"")</f>
        <v>#REF!</v>
      </c>
      <c r="H1761" s="139" t="str">
        <f t="shared" si="91"/>
        <v/>
      </c>
      <c r="I1761" s="137" t="str">
        <f t="shared" si="92"/>
        <v/>
      </c>
      <c r="J1761" s="117"/>
    </row>
    <row r="1762" spans="1:10" hidden="1" x14ac:dyDescent="0.25">
      <c r="A1762" s="114" t="s">
        <v>4546</v>
      </c>
      <c r="B1762" s="115" t="s">
        <v>7880</v>
      </c>
      <c r="C1762" s="116" t="s">
        <v>16</v>
      </c>
      <c r="D1762" s="116">
        <v>0</v>
      </c>
      <c r="E1762" s="136" t="s">
        <v>416</v>
      </c>
      <c r="F1762" s="137" t="str">
        <f t="shared" si="90"/>
        <v/>
      </c>
      <c r="G1762" s="138" t="e">
        <f>IF(A1762&lt;&gt;"",IF(AND(#REF!="Padrão",$H$4=#REF!),BDI!$B$17,IF(AND(#REF!="Padrão",$H$4=#REF!),BDI!#REF!,IF(AND(#REF!="Diferenciado",$H$4=#REF!),BDI!$E$17,IF(AND(#REF!="Diferenciado",$H$4=#REF!),BDI!#REF!,IF(#REF!="ZERO",0))))),"")</f>
        <v>#REF!</v>
      </c>
      <c r="H1762" s="139" t="str">
        <f t="shared" si="91"/>
        <v/>
      </c>
      <c r="I1762" s="137" t="str">
        <f t="shared" si="92"/>
        <v/>
      </c>
      <c r="J1762" s="117"/>
    </row>
    <row r="1763" spans="1:10" hidden="1" x14ac:dyDescent="0.25">
      <c r="A1763" s="114" t="s">
        <v>4547</v>
      </c>
      <c r="B1763" s="115" t="s">
        <v>7881</v>
      </c>
      <c r="C1763" s="116" t="s">
        <v>16</v>
      </c>
      <c r="D1763" s="116">
        <v>0</v>
      </c>
      <c r="E1763" s="136" t="s">
        <v>416</v>
      </c>
      <c r="F1763" s="137" t="str">
        <f t="shared" si="90"/>
        <v/>
      </c>
      <c r="G1763" s="138" t="e">
        <f>IF(A1763&lt;&gt;"",IF(AND(#REF!="Padrão",$H$4=#REF!),BDI!$B$17,IF(AND(#REF!="Padrão",$H$4=#REF!),BDI!#REF!,IF(AND(#REF!="Diferenciado",$H$4=#REF!),BDI!$E$17,IF(AND(#REF!="Diferenciado",$H$4=#REF!),BDI!#REF!,IF(#REF!="ZERO",0))))),"")</f>
        <v>#REF!</v>
      </c>
      <c r="H1763" s="139" t="str">
        <f t="shared" si="91"/>
        <v/>
      </c>
      <c r="I1763" s="137" t="str">
        <f t="shared" si="92"/>
        <v/>
      </c>
      <c r="J1763" s="117"/>
    </row>
    <row r="1764" spans="1:10" ht="25.5" hidden="1" x14ac:dyDescent="0.25">
      <c r="A1764" s="114" t="s">
        <v>4548</v>
      </c>
      <c r="B1764" s="115" t="s">
        <v>7882</v>
      </c>
      <c r="C1764" s="116" t="s">
        <v>16</v>
      </c>
      <c r="D1764" s="116">
        <v>0</v>
      </c>
      <c r="E1764" s="136" t="s">
        <v>416</v>
      </c>
      <c r="F1764" s="137" t="str">
        <f t="shared" si="90"/>
        <v/>
      </c>
      <c r="G1764" s="138" t="e">
        <f>IF(A1764&lt;&gt;"",IF(AND(#REF!="Padrão",$H$4=#REF!),BDI!$B$17,IF(AND(#REF!="Padrão",$H$4=#REF!),BDI!#REF!,IF(AND(#REF!="Diferenciado",$H$4=#REF!),BDI!$E$17,IF(AND(#REF!="Diferenciado",$H$4=#REF!),BDI!#REF!,IF(#REF!="ZERO",0))))),"")</f>
        <v>#REF!</v>
      </c>
      <c r="H1764" s="139" t="str">
        <f t="shared" si="91"/>
        <v/>
      </c>
      <c r="I1764" s="137" t="str">
        <f t="shared" si="92"/>
        <v/>
      </c>
      <c r="J1764" s="117"/>
    </row>
    <row r="1765" spans="1:10" hidden="1" x14ac:dyDescent="0.25">
      <c r="A1765" s="114" t="s">
        <v>4549</v>
      </c>
      <c r="B1765" s="115" t="s">
        <v>7883</v>
      </c>
      <c r="C1765" s="116" t="s">
        <v>16</v>
      </c>
      <c r="D1765" s="116">
        <v>0</v>
      </c>
      <c r="E1765" s="136" t="s">
        <v>416</v>
      </c>
      <c r="F1765" s="137" t="str">
        <f t="shared" si="90"/>
        <v/>
      </c>
      <c r="G1765" s="138" t="e">
        <f>IF(A1765&lt;&gt;"",IF(AND(#REF!="Padrão",$H$4=#REF!),BDI!$B$17,IF(AND(#REF!="Padrão",$H$4=#REF!),BDI!#REF!,IF(AND(#REF!="Diferenciado",$H$4=#REF!),BDI!$E$17,IF(AND(#REF!="Diferenciado",$H$4=#REF!),BDI!#REF!,IF(#REF!="ZERO",0))))),"")</f>
        <v>#REF!</v>
      </c>
      <c r="H1765" s="139" t="str">
        <f t="shared" si="91"/>
        <v/>
      </c>
      <c r="I1765" s="137" t="str">
        <f t="shared" si="92"/>
        <v/>
      </c>
      <c r="J1765" s="117"/>
    </row>
    <row r="1766" spans="1:10" hidden="1" x14ac:dyDescent="0.25">
      <c r="A1766" s="114" t="s">
        <v>4550</v>
      </c>
      <c r="B1766" s="115" t="s">
        <v>7884</v>
      </c>
      <c r="C1766" s="116" t="s">
        <v>16</v>
      </c>
      <c r="D1766" s="116">
        <v>0</v>
      </c>
      <c r="E1766" s="136" t="s">
        <v>416</v>
      </c>
      <c r="F1766" s="137" t="str">
        <f t="shared" si="90"/>
        <v/>
      </c>
      <c r="G1766" s="138" t="e">
        <f>IF(A1766&lt;&gt;"",IF(AND(#REF!="Padrão",$H$4=#REF!),BDI!$B$17,IF(AND(#REF!="Padrão",$H$4=#REF!),BDI!#REF!,IF(AND(#REF!="Diferenciado",$H$4=#REF!),BDI!$E$17,IF(AND(#REF!="Diferenciado",$H$4=#REF!),BDI!#REF!,IF(#REF!="ZERO",0))))),"")</f>
        <v>#REF!</v>
      </c>
      <c r="H1766" s="139" t="str">
        <f t="shared" si="91"/>
        <v/>
      </c>
      <c r="I1766" s="137" t="str">
        <f t="shared" si="92"/>
        <v/>
      </c>
      <c r="J1766" s="117"/>
    </row>
    <row r="1767" spans="1:10" hidden="1" x14ac:dyDescent="0.25">
      <c r="A1767" s="114" t="s">
        <v>4551</v>
      </c>
      <c r="B1767" s="115" t="s">
        <v>7885</v>
      </c>
      <c r="C1767" s="116" t="s">
        <v>16</v>
      </c>
      <c r="D1767" s="116">
        <v>0</v>
      </c>
      <c r="E1767" s="136" t="s">
        <v>416</v>
      </c>
      <c r="F1767" s="137" t="str">
        <f t="shared" si="90"/>
        <v/>
      </c>
      <c r="G1767" s="138" t="e">
        <f>IF(A1767&lt;&gt;"",IF(AND(#REF!="Padrão",$H$4=#REF!),BDI!$B$17,IF(AND(#REF!="Padrão",$H$4=#REF!),BDI!#REF!,IF(AND(#REF!="Diferenciado",$H$4=#REF!),BDI!$E$17,IF(AND(#REF!="Diferenciado",$H$4=#REF!),BDI!#REF!,IF(#REF!="ZERO",0))))),"")</f>
        <v>#REF!</v>
      </c>
      <c r="H1767" s="139" t="str">
        <f t="shared" si="91"/>
        <v/>
      </c>
      <c r="I1767" s="137" t="str">
        <f t="shared" si="92"/>
        <v/>
      </c>
      <c r="J1767" s="117"/>
    </row>
    <row r="1768" spans="1:10" hidden="1" x14ac:dyDescent="0.25">
      <c r="A1768" s="114" t="s">
        <v>4552</v>
      </c>
      <c r="B1768" s="115" t="s">
        <v>7886</v>
      </c>
      <c r="C1768" s="116" t="s">
        <v>16</v>
      </c>
      <c r="D1768" s="116">
        <v>0</v>
      </c>
      <c r="E1768" s="136" t="s">
        <v>416</v>
      </c>
      <c r="F1768" s="137" t="str">
        <f t="shared" si="90"/>
        <v/>
      </c>
      <c r="G1768" s="138" t="e">
        <f>IF(A1768&lt;&gt;"",IF(AND(#REF!="Padrão",$H$4=#REF!),BDI!$B$17,IF(AND(#REF!="Padrão",$H$4=#REF!),BDI!#REF!,IF(AND(#REF!="Diferenciado",$H$4=#REF!),BDI!$E$17,IF(AND(#REF!="Diferenciado",$H$4=#REF!),BDI!#REF!,IF(#REF!="ZERO",0))))),"")</f>
        <v>#REF!</v>
      </c>
      <c r="H1768" s="139" t="str">
        <f t="shared" si="91"/>
        <v/>
      </c>
      <c r="I1768" s="137" t="str">
        <f t="shared" si="92"/>
        <v/>
      </c>
      <c r="J1768" s="117"/>
    </row>
    <row r="1769" spans="1:10" hidden="1" x14ac:dyDescent="0.25">
      <c r="A1769" s="114" t="s">
        <v>4553</v>
      </c>
      <c r="B1769" s="115" t="s">
        <v>7887</v>
      </c>
      <c r="C1769" s="116" t="s">
        <v>16</v>
      </c>
      <c r="D1769" s="116">
        <v>0</v>
      </c>
      <c r="E1769" s="136" t="s">
        <v>416</v>
      </c>
      <c r="F1769" s="137" t="str">
        <f t="shared" si="90"/>
        <v/>
      </c>
      <c r="G1769" s="138" t="e">
        <f>IF(A1769&lt;&gt;"",IF(AND(#REF!="Padrão",$H$4=#REF!),BDI!$B$17,IF(AND(#REF!="Padrão",$H$4=#REF!),BDI!#REF!,IF(AND(#REF!="Diferenciado",$H$4=#REF!),BDI!$E$17,IF(AND(#REF!="Diferenciado",$H$4=#REF!),BDI!#REF!,IF(#REF!="ZERO",0))))),"")</f>
        <v>#REF!</v>
      </c>
      <c r="H1769" s="139" t="str">
        <f t="shared" si="91"/>
        <v/>
      </c>
      <c r="I1769" s="137" t="str">
        <f t="shared" si="92"/>
        <v/>
      </c>
      <c r="J1769" s="117"/>
    </row>
    <row r="1770" spans="1:10" hidden="1" x14ac:dyDescent="0.25">
      <c r="A1770" s="114" t="s">
        <v>4554</v>
      </c>
      <c r="B1770" s="115" t="s">
        <v>7888</v>
      </c>
      <c r="C1770" s="116" t="s">
        <v>16</v>
      </c>
      <c r="D1770" s="116">
        <v>0</v>
      </c>
      <c r="E1770" s="136" t="s">
        <v>416</v>
      </c>
      <c r="F1770" s="137" t="str">
        <f t="shared" si="90"/>
        <v/>
      </c>
      <c r="G1770" s="138" t="e">
        <f>IF(A1770&lt;&gt;"",IF(AND(#REF!="Padrão",$H$4=#REF!),BDI!$B$17,IF(AND(#REF!="Padrão",$H$4=#REF!),BDI!#REF!,IF(AND(#REF!="Diferenciado",$H$4=#REF!),BDI!$E$17,IF(AND(#REF!="Diferenciado",$H$4=#REF!),BDI!#REF!,IF(#REF!="ZERO",0))))),"")</f>
        <v>#REF!</v>
      </c>
      <c r="H1770" s="139" t="str">
        <f t="shared" si="91"/>
        <v/>
      </c>
      <c r="I1770" s="137" t="str">
        <f t="shared" si="92"/>
        <v/>
      </c>
      <c r="J1770" s="117"/>
    </row>
    <row r="1771" spans="1:10" hidden="1" x14ac:dyDescent="0.25">
      <c r="A1771" s="114" t="s">
        <v>4555</v>
      </c>
      <c r="B1771" s="115" t="s">
        <v>7889</v>
      </c>
      <c r="C1771" s="116" t="s">
        <v>16</v>
      </c>
      <c r="D1771" s="116">
        <v>0</v>
      </c>
      <c r="E1771" s="136" t="s">
        <v>416</v>
      </c>
      <c r="F1771" s="137" t="str">
        <f t="shared" si="90"/>
        <v/>
      </c>
      <c r="G1771" s="138" t="e">
        <f>IF(A1771&lt;&gt;"",IF(AND(#REF!="Padrão",$H$4=#REF!),BDI!$B$17,IF(AND(#REF!="Padrão",$H$4=#REF!),BDI!#REF!,IF(AND(#REF!="Diferenciado",$H$4=#REF!),BDI!$E$17,IF(AND(#REF!="Diferenciado",$H$4=#REF!),BDI!#REF!,IF(#REF!="ZERO",0))))),"")</f>
        <v>#REF!</v>
      </c>
      <c r="H1771" s="139" t="str">
        <f t="shared" si="91"/>
        <v/>
      </c>
      <c r="I1771" s="137" t="str">
        <f t="shared" si="92"/>
        <v/>
      </c>
      <c r="J1771" s="117"/>
    </row>
    <row r="1772" spans="1:10" hidden="1" x14ac:dyDescent="0.25">
      <c r="A1772" s="114" t="s">
        <v>4556</v>
      </c>
      <c r="B1772" s="115" t="s">
        <v>7890</v>
      </c>
      <c r="C1772" s="116" t="s">
        <v>16</v>
      </c>
      <c r="D1772" s="116">
        <v>0</v>
      </c>
      <c r="E1772" s="136" t="s">
        <v>416</v>
      </c>
      <c r="F1772" s="137" t="str">
        <f t="shared" si="90"/>
        <v/>
      </c>
      <c r="G1772" s="138" t="e">
        <f>IF(A1772&lt;&gt;"",IF(AND(#REF!="Padrão",$H$4=#REF!),BDI!$B$17,IF(AND(#REF!="Padrão",$H$4=#REF!),BDI!#REF!,IF(AND(#REF!="Diferenciado",$H$4=#REF!),BDI!$E$17,IF(AND(#REF!="Diferenciado",$H$4=#REF!),BDI!#REF!,IF(#REF!="ZERO",0))))),"")</f>
        <v>#REF!</v>
      </c>
      <c r="H1772" s="139" t="str">
        <f t="shared" si="91"/>
        <v/>
      </c>
      <c r="I1772" s="137" t="str">
        <f t="shared" si="92"/>
        <v/>
      </c>
      <c r="J1772" s="117"/>
    </row>
    <row r="1773" spans="1:10" hidden="1" x14ac:dyDescent="0.25">
      <c r="A1773" s="114" t="s">
        <v>4557</v>
      </c>
      <c r="B1773" s="115" t="s">
        <v>7891</v>
      </c>
      <c r="C1773" s="116" t="s">
        <v>16</v>
      </c>
      <c r="D1773" s="116">
        <v>0</v>
      </c>
      <c r="E1773" s="136" t="s">
        <v>416</v>
      </c>
      <c r="F1773" s="137" t="str">
        <f t="shared" ref="F1773:F1836" si="93">IF(ISNUMBER(E1773),D1773*E1773,"")</f>
        <v/>
      </c>
      <c r="G1773" s="138" t="e">
        <f>IF(A1773&lt;&gt;"",IF(AND(#REF!="Padrão",$H$4=#REF!),BDI!$B$17,IF(AND(#REF!="Padrão",$H$4=#REF!),BDI!#REF!,IF(AND(#REF!="Diferenciado",$H$4=#REF!),BDI!$E$17,IF(AND(#REF!="Diferenciado",$H$4=#REF!),BDI!#REF!,IF(#REF!="ZERO",0))))),"")</f>
        <v>#REF!</v>
      </c>
      <c r="H1773" s="139" t="str">
        <f t="shared" ref="H1773:H1836" si="94">IF(ISNUMBER(E1773),ROUND(E1773*(1+G1773),2),"")</f>
        <v/>
      </c>
      <c r="I1773" s="137" t="str">
        <f t="shared" ref="I1773:I1836" si="95">IF(ISNUMBER(E1773),ROUND(H1773*D1773,2),"")</f>
        <v/>
      </c>
      <c r="J1773" s="117"/>
    </row>
    <row r="1774" spans="1:10" ht="25.5" hidden="1" x14ac:dyDescent="0.25">
      <c r="A1774" s="114" t="s">
        <v>4558</v>
      </c>
      <c r="B1774" s="115" t="s">
        <v>7892</v>
      </c>
      <c r="C1774" s="116" t="s">
        <v>16</v>
      </c>
      <c r="D1774" s="116">
        <v>0</v>
      </c>
      <c r="E1774" s="136" t="s">
        <v>416</v>
      </c>
      <c r="F1774" s="137" t="str">
        <f t="shared" si="93"/>
        <v/>
      </c>
      <c r="G1774" s="138" t="e">
        <f>IF(A1774&lt;&gt;"",IF(AND(#REF!="Padrão",$H$4=#REF!),BDI!$B$17,IF(AND(#REF!="Padrão",$H$4=#REF!),BDI!#REF!,IF(AND(#REF!="Diferenciado",$H$4=#REF!),BDI!$E$17,IF(AND(#REF!="Diferenciado",$H$4=#REF!),BDI!#REF!,IF(#REF!="ZERO",0))))),"")</f>
        <v>#REF!</v>
      </c>
      <c r="H1774" s="139" t="str">
        <f t="shared" si="94"/>
        <v/>
      </c>
      <c r="I1774" s="137" t="str">
        <f t="shared" si="95"/>
        <v/>
      </c>
      <c r="J1774" s="117"/>
    </row>
    <row r="1775" spans="1:10" hidden="1" x14ac:dyDescent="0.25">
      <c r="A1775" s="114" t="s">
        <v>4559</v>
      </c>
      <c r="B1775" s="115" t="s">
        <v>7893</v>
      </c>
      <c r="C1775" s="116" t="s">
        <v>16</v>
      </c>
      <c r="D1775" s="116">
        <v>0</v>
      </c>
      <c r="E1775" s="136" t="s">
        <v>416</v>
      </c>
      <c r="F1775" s="137" t="str">
        <f t="shared" si="93"/>
        <v/>
      </c>
      <c r="G1775" s="138" t="e">
        <f>IF(A1775&lt;&gt;"",IF(AND(#REF!="Padrão",$H$4=#REF!),BDI!$B$17,IF(AND(#REF!="Padrão",$H$4=#REF!),BDI!#REF!,IF(AND(#REF!="Diferenciado",$H$4=#REF!),BDI!$E$17,IF(AND(#REF!="Diferenciado",$H$4=#REF!),BDI!#REF!,IF(#REF!="ZERO",0))))),"")</f>
        <v>#REF!</v>
      </c>
      <c r="H1775" s="139" t="str">
        <f t="shared" si="94"/>
        <v/>
      </c>
      <c r="I1775" s="137" t="str">
        <f t="shared" si="95"/>
        <v/>
      </c>
      <c r="J1775" s="117"/>
    </row>
    <row r="1776" spans="1:10" hidden="1" x14ac:dyDescent="0.25">
      <c r="A1776" s="114" t="s">
        <v>4560</v>
      </c>
      <c r="B1776" s="115" t="s">
        <v>7894</v>
      </c>
      <c r="C1776" s="116" t="s">
        <v>16</v>
      </c>
      <c r="D1776" s="116">
        <v>0</v>
      </c>
      <c r="E1776" s="136" t="s">
        <v>416</v>
      </c>
      <c r="F1776" s="137" t="str">
        <f t="shared" si="93"/>
        <v/>
      </c>
      <c r="G1776" s="138" t="e">
        <f>IF(A1776&lt;&gt;"",IF(AND(#REF!="Padrão",$H$4=#REF!),BDI!$B$17,IF(AND(#REF!="Padrão",$H$4=#REF!),BDI!#REF!,IF(AND(#REF!="Diferenciado",$H$4=#REF!),BDI!$E$17,IF(AND(#REF!="Diferenciado",$H$4=#REF!),BDI!#REF!,IF(#REF!="ZERO",0))))),"")</f>
        <v>#REF!</v>
      </c>
      <c r="H1776" s="139" t="str">
        <f t="shared" si="94"/>
        <v/>
      </c>
      <c r="I1776" s="137" t="str">
        <f t="shared" si="95"/>
        <v/>
      </c>
      <c r="J1776" s="117"/>
    </row>
    <row r="1777" spans="1:10" hidden="1" x14ac:dyDescent="0.25">
      <c r="A1777" s="114" t="s">
        <v>4561</v>
      </c>
      <c r="B1777" s="115" t="s">
        <v>7895</v>
      </c>
      <c r="C1777" s="116" t="s">
        <v>16</v>
      </c>
      <c r="D1777" s="116">
        <v>0</v>
      </c>
      <c r="E1777" s="136" t="s">
        <v>416</v>
      </c>
      <c r="F1777" s="137" t="str">
        <f t="shared" si="93"/>
        <v/>
      </c>
      <c r="G1777" s="138" t="e">
        <f>IF(A1777&lt;&gt;"",IF(AND(#REF!="Padrão",$H$4=#REF!),BDI!$B$17,IF(AND(#REF!="Padrão",$H$4=#REF!),BDI!#REF!,IF(AND(#REF!="Diferenciado",$H$4=#REF!),BDI!$E$17,IF(AND(#REF!="Diferenciado",$H$4=#REF!),BDI!#REF!,IF(#REF!="ZERO",0))))),"")</f>
        <v>#REF!</v>
      </c>
      <c r="H1777" s="139" t="str">
        <f t="shared" si="94"/>
        <v/>
      </c>
      <c r="I1777" s="137" t="str">
        <f t="shared" si="95"/>
        <v/>
      </c>
      <c r="J1777" s="117"/>
    </row>
    <row r="1778" spans="1:10" hidden="1" x14ac:dyDescent="0.25">
      <c r="A1778" s="114" t="s">
        <v>4562</v>
      </c>
      <c r="B1778" s="115" t="s">
        <v>7896</v>
      </c>
      <c r="C1778" s="116" t="s">
        <v>16</v>
      </c>
      <c r="D1778" s="116">
        <v>0</v>
      </c>
      <c r="E1778" s="136" t="s">
        <v>416</v>
      </c>
      <c r="F1778" s="137" t="str">
        <f t="shared" si="93"/>
        <v/>
      </c>
      <c r="G1778" s="138" t="e">
        <f>IF(A1778&lt;&gt;"",IF(AND(#REF!="Padrão",$H$4=#REF!),BDI!$B$17,IF(AND(#REF!="Padrão",$H$4=#REF!),BDI!#REF!,IF(AND(#REF!="Diferenciado",$H$4=#REF!),BDI!$E$17,IF(AND(#REF!="Diferenciado",$H$4=#REF!),BDI!#REF!,IF(#REF!="ZERO",0))))),"")</f>
        <v>#REF!</v>
      </c>
      <c r="H1778" s="139" t="str">
        <f t="shared" si="94"/>
        <v/>
      </c>
      <c r="I1778" s="137" t="str">
        <f t="shared" si="95"/>
        <v/>
      </c>
      <c r="J1778" s="117"/>
    </row>
    <row r="1779" spans="1:10" hidden="1" x14ac:dyDescent="0.25">
      <c r="A1779" s="114" t="s">
        <v>4563</v>
      </c>
      <c r="B1779" s="115" t="s">
        <v>7897</v>
      </c>
      <c r="C1779" s="116" t="s">
        <v>16</v>
      </c>
      <c r="D1779" s="116">
        <v>0</v>
      </c>
      <c r="E1779" s="136" t="s">
        <v>416</v>
      </c>
      <c r="F1779" s="137" t="str">
        <f t="shared" si="93"/>
        <v/>
      </c>
      <c r="G1779" s="138" t="e">
        <f>IF(A1779&lt;&gt;"",IF(AND(#REF!="Padrão",$H$4=#REF!),BDI!$B$17,IF(AND(#REF!="Padrão",$H$4=#REF!),BDI!#REF!,IF(AND(#REF!="Diferenciado",$H$4=#REF!),BDI!$E$17,IF(AND(#REF!="Diferenciado",$H$4=#REF!),BDI!#REF!,IF(#REF!="ZERO",0))))),"")</f>
        <v>#REF!</v>
      </c>
      <c r="H1779" s="139" t="str">
        <f t="shared" si="94"/>
        <v/>
      </c>
      <c r="I1779" s="137" t="str">
        <f t="shared" si="95"/>
        <v/>
      </c>
      <c r="J1779" s="117"/>
    </row>
    <row r="1780" spans="1:10" hidden="1" x14ac:dyDescent="0.25">
      <c r="A1780" s="114" t="s">
        <v>4564</v>
      </c>
      <c r="B1780" s="115" t="s">
        <v>7898</v>
      </c>
      <c r="C1780" s="116" t="s">
        <v>16</v>
      </c>
      <c r="D1780" s="116">
        <v>0</v>
      </c>
      <c r="E1780" s="136" t="s">
        <v>416</v>
      </c>
      <c r="F1780" s="137" t="str">
        <f t="shared" si="93"/>
        <v/>
      </c>
      <c r="G1780" s="138" t="e">
        <f>IF(A1780&lt;&gt;"",IF(AND(#REF!="Padrão",$H$4=#REF!),BDI!$B$17,IF(AND(#REF!="Padrão",$H$4=#REF!),BDI!#REF!,IF(AND(#REF!="Diferenciado",$H$4=#REF!),BDI!$E$17,IF(AND(#REF!="Diferenciado",$H$4=#REF!),BDI!#REF!,IF(#REF!="ZERO",0))))),"")</f>
        <v>#REF!</v>
      </c>
      <c r="H1780" s="139" t="str">
        <f t="shared" si="94"/>
        <v/>
      </c>
      <c r="I1780" s="137" t="str">
        <f t="shared" si="95"/>
        <v/>
      </c>
      <c r="J1780" s="117"/>
    </row>
    <row r="1781" spans="1:10" hidden="1" x14ac:dyDescent="0.25">
      <c r="A1781" s="114" t="s">
        <v>4565</v>
      </c>
      <c r="B1781" s="115" t="s">
        <v>7899</v>
      </c>
      <c r="C1781" s="116" t="s">
        <v>16</v>
      </c>
      <c r="D1781" s="116">
        <v>0</v>
      </c>
      <c r="E1781" s="136" t="s">
        <v>416</v>
      </c>
      <c r="F1781" s="137" t="str">
        <f t="shared" si="93"/>
        <v/>
      </c>
      <c r="G1781" s="138" t="e">
        <f>IF(A1781&lt;&gt;"",IF(AND(#REF!="Padrão",$H$4=#REF!),BDI!$B$17,IF(AND(#REF!="Padrão",$H$4=#REF!),BDI!#REF!,IF(AND(#REF!="Diferenciado",$H$4=#REF!),BDI!$E$17,IF(AND(#REF!="Diferenciado",$H$4=#REF!),BDI!#REF!,IF(#REF!="ZERO",0))))),"")</f>
        <v>#REF!</v>
      </c>
      <c r="H1781" s="139" t="str">
        <f t="shared" si="94"/>
        <v/>
      </c>
      <c r="I1781" s="137" t="str">
        <f t="shared" si="95"/>
        <v/>
      </c>
      <c r="J1781" s="117"/>
    </row>
    <row r="1782" spans="1:10" hidden="1" x14ac:dyDescent="0.25">
      <c r="A1782" s="114" t="s">
        <v>4566</v>
      </c>
      <c r="B1782" s="115" t="s">
        <v>7900</v>
      </c>
      <c r="C1782" s="116" t="s">
        <v>16</v>
      </c>
      <c r="D1782" s="116">
        <v>0</v>
      </c>
      <c r="E1782" s="136" t="s">
        <v>416</v>
      </c>
      <c r="F1782" s="137" t="str">
        <f t="shared" si="93"/>
        <v/>
      </c>
      <c r="G1782" s="138" t="e">
        <f>IF(A1782&lt;&gt;"",IF(AND(#REF!="Padrão",$H$4=#REF!),BDI!$B$17,IF(AND(#REF!="Padrão",$H$4=#REF!),BDI!#REF!,IF(AND(#REF!="Diferenciado",$H$4=#REF!),BDI!$E$17,IF(AND(#REF!="Diferenciado",$H$4=#REF!),BDI!#REF!,IF(#REF!="ZERO",0))))),"")</f>
        <v>#REF!</v>
      </c>
      <c r="H1782" s="139" t="str">
        <f t="shared" si="94"/>
        <v/>
      </c>
      <c r="I1782" s="137" t="str">
        <f t="shared" si="95"/>
        <v/>
      </c>
      <c r="J1782" s="117"/>
    </row>
    <row r="1783" spans="1:10" hidden="1" x14ac:dyDescent="0.25">
      <c r="A1783" s="114" t="s">
        <v>4567</v>
      </c>
      <c r="B1783" s="115" t="s">
        <v>7901</v>
      </c>
      <c r="C1783" s="116" t="s">
        <v>16</v>
      </c>
      <c r="D1783" s="116">
        <v>0</v>
      </c>
      <c r="E1783" s="136" t="s">
        <v>416</v>
      </c>
      <c r="F1783" s="137" t="str">
        <f t="shared" si="93"/>
        <v/>
      </c>
      <c r="G1783" s="138" t="e">
        <f>IF(A1783&lt;&gt;"",IF(AND(#REF!="Padrão",$H$4=#REF!),BDI!$B$17,IF(AND(#REF!="Padrão",$H$4=#REF!),BDI!#REF!,IF(AND(#REF!="Diferenciado",$H$4=#REF!),BDI!$E$17,IF(AND(#REF!="Diferenciado",$H$4=#REF!),BDI!#REF!,IF(#REF!="ZERO",0))))),"")</f>
        <v>#REF!</v>
      </c>
      <c r="H1783" s="139" t="str">
        <f t="shared" si="94"/>
        <v/>
      </c>
      <c r="I1783" s="137" t="str">
        <f t="shared" si="95"/>
        <v/>
      </c>
      <c r="J1783" s="117"/>
    </row>
    <row r="1784" spans="1:10" hidden="1" x14ac:dyDescent="0.25">
      <c r="A1784" s="114" t="s">
        <v>4568</v>
      </c>
      <c r="B1784" s="115" t="s">
        <v>7902</v>
      </c>
      <c r="C1784" s="116" t="s">
        <v>16</v>
      </c>
      <c r="D1784" s="116">
        <v>0</v>
      </c>
      <c r="E1784" s="136" t="s">
        <v>416</v>
      </c>
      <c r="F1784" s="137" t="str">
        <f t="shared" si="93"/>
        <v/>
      </c>
      <c r="G1784" s="138" t="e">
        <f>IF(A1784&lt;&gt;"",IF(AND(#REF!="Padrão",$H$4=#REF!),BDI!$B$17,IF(AND(#REF!="Padrão",$H$4=#REF!),BDI!#REF!,IF(AND(#REF!="Diferenciado",$H$4=#REF!),BDI!$E$17,IF(AND(#REF!="Diferenciado",$H$4=#REF!),BDI!#REF!,IF(#REF!="ZERO",0))))),"")</f>
        <v>#REF!</v>
      </c>
      <c r="H1784" s="139" t="str">
        <f t="shared" si="94"/>
        <v/>
      </c>
      <c r="I1784" s="137" t="str">
        <f t="shared" si="95"/>
        <v/>
      </c>
      <c r="J1784" s="117"/>
    </row>
    <row r="1785" spans="1:10" hidden="1" x14ac:dyDescent="0.25">
      <c r="A1785" s="114" t="s">
        <v>4569</v>
      </c>
      <c r="B1785" s="115" t="s">
        <v>7903</v>
      </c>
      <c r="C1785" s="116" t="s">
        <v>16</v>
      </c>
      <c r="D1785" s="116">
        <v>0</v>
      </c>
      <c r="E1785" s="136" t="s">
        <v>416</v>
      </c>
      <c r="F1785" s="137" t="str">
        <f t="shared" si="93"/>
        <v/>
      </c>
      <c r="G1785" s="138" t="e">
        <f>IF(A1785&lt;&gt;"",IF(AND(#REF!="Padrão",$H$4=#REF!),BDI!$B$17,IF(AND(#REF!="Padrão",$H$4=#REF!),BDI!#REF!,IF(AND(#REF!="Diferenciado",$H$4=#REF!),BDI!$E$17,IF(AND(#REF!="Diferenciado",$H$4=#REF!),BDI!#REF!,IF(#REF!="ZERO",0))))),"")</f>
        <v>#REF!</v>
      </c>
      <c r="H1785" s="139" t="str">
        <f t="shared" si="94"/>
        <v/>
      </c>
      <c r="I1785" s="137" t="str">
        <f t="shared" si="95"/>
        <v/>
      </c>
      <c r="J1785" s="117"/>
    </row>
    <row r="1786" spans="1:10" hidden="1" x14ac:dyDescent="0.25">
      <c r="A1786" s="114" t="s">
        <v>4570</v>
      </c>
      <c r="B1786" s="115" t="s">
        <v>7904</v>
      </c>
      <c r="C1786" s="116" t="s">
        <v>16</v>
      </c>
      <c r="D1786" s="116">
        <v>0</v>
      </c>
      <c r="E1786" s="136" t="s">
        <v>416</v>
      </c>
      <c r="F1786" s="137" t="str">
        <f t="shared" si="93"/>
        <v/>
      </c>
      <c r="G1786" s="138" t="e">
        <f>IF(A1786&lt;&gt;"",IF(AND(#REF!="Padrão",$H$4=#REF!),BDI!$B$17,IF(AND(#REF!="Padrão",$H$4=#REF!),BDI!#REF!,IF(AND(#REF!="Diferenciado",$H$4=#REF!),BDI!$E$17,IF(AND(#REF!="Diferenciado",$H$4=#REF!),BDI!#REF!,IF(#REF!="ZERO",0))))),"")</f>
        <v>#REF!</v>
      </c>
      <c r="H1786" s="139" t="str">
        <f t="shared" si="94"/>
        <v/>
      </c>
      <c r="I1786" s="137" t="str">
        <f t="shared" si="95"/>
        <v/>
      </c>
      <c r="J1786" s="117"/>
    </row>
    <row r="1787" spans="1:10" hidden="1" x14ac:dyDescent="0.25">
      <c r="A1787" s="114" t="s">
        <v>4571</v>
      </c>
      <c r="B1787" s="115" t="s">
        <v>7905</v>
      </c>
      <c r="C1787" s="116" t="s">
        <v>16</v>
      </c>
      <c r="D1787" s="116">
        <v>0</v>
      </c>
      <c r="E1787" s="136" t="s">
        <v>416</v>
      </c>
      <c r="F1787" s="137" t="str">
        <f t="shared" si="93"/>
        <v/>
      </c>
      <c r="G1787" s="138" t="e">
        <f>IF(A1787&lt;&gt;"",IF(AND(#REF!="Padrão",$H$4=#REF!),BDI!$B$17,IF(AND(#REF!="Padrão",$H$4=#REF!),BDI!#REF!,IF(AND(#REF!="Diferenciado",$H$4=#REF!),BDI!$E$17,IF(AND(#REF!="Diferenciado",$H$4=#REF!),BDI!#REF!,IF(#REF!="ZERO",0))))),"")</f>
        <v>#REF!</v>
      </c>
      <c r="H1787" s="139" t="str">
        <f t="shared" si="94"/>
        <v/>
      </c>
      <c r="I1787" s="137" t="str">
        <f t="shared" si="95"/>
        <v/>
      </c>
      <c r="J1787" s="117"/>
    </row>
    <row r="1788" spans="1:10" hidden="1" x14ac:dyDescent="0.25">
      <c r="A1788" s="114" t="s">
        <v>4572</v>
      </c>
      <c r="B1788" s="115" t="s">
        <v>7906</v>
      </c>
      <c r="C1788" s="116" t="s">
        <v>16</v>
      </c>
      <c r="D1788" s="116">
        <v>0</v>
      </c>
      <c r="E1788" s="136" t="s">
        <v>416</v>
      </c>
      <c r="F1788" s="137" t="str">
        <f t="shared" si="93"/>
        <v/>
      </c>
      <c r="G1788" s="138" t="e">
        <f>IF(A1788&lt;&gt;"",IF(AND(#REF!="Padrão",$H$4=#REF!),BDI!$B$17,IF(AND(#REF!="Padrão",$H$4=#REF!),BDI!#REF!,IF(AND(#REF!="Diferenciado",$H$4=#REF!),BDI!$E$17,IF(AND(#REF!="Diferenciado",$H$4=#REF!),BDI!#REF!,IF(#REF!="ZERO",0))))),"")</f>
        <v>#REF!</v>
      </c>
      <c r="H1788" s="139" t="str">
        <f t="shared" si="94"/>
        <v/>
      </c>
      <c r="I1788" s="137" t="str">
        <f t="shared" si="95"/>
        <v/>
      </c>
      <c r="J1788" s="117"/>
    </row>
    <row r="1789" spans="1:10" hidden="1" x14ac:dyDescent="0.25">
      <c r="A1789" s="114" t="s">
        <v>4573</v>
      </c>
      <c r="B1789" s="115" t="s">
        <v>7907</v>
      </c>
      <c r="C1789" s="116" t="s">
        <v>16</v>
      </c>
      <c r="D1789" s="116">
        <v>0</v>
      </c>
      <c r="E1789" s="136" t="s">
        <v>416</v>
      </c>
      <c r="F1789" s="137" t="str">
        <f t="shared" si="93"/>
        <v/>
      </c>
      <c r="G1789" s="138" t="e">
        <f>IF(A1789&lt;&gt;"",IF(AND(#REF!="Padrão",$H$4=#REF!),BDI!$B$17,IF(AND(#REF!="Padrão",$H$4=#REF!),BDI!#REF!,IF(AND(#REF!="Diferenciado",$H$4=#REF!),BDI!$E$17,IF(AND(#REF!="Diferenciado",$H$4=#REF!),BDI!#REF!,IF(#REF!="ZERO",0))))),"")</f>
        <v>#REF!</v>
      </c>
      <c r="H1789" s="139" t="str">
        <f t="shared" si="94"/>
        <v/>
      </c>
      <c r="I1789" s="137" t="str">
        <f t="shared" si="95"/>
        <v/>
      </c>
      <c r="J1789" s="117"/>
    </row>
    <row r="1790" spans="1:10" hidden="1" x14ac:dyDescent="0.25">
      <c r="A1790" s="114" t="s">
        <v>4574</v>
      </c>
      <c r="B1790" s="115" t="s">
        <v>7908</v>
      </c>
      <c r="C1790" s="116" t="s">
        <v>16</v>
      </c>
      <c r="D1790" s="116">
        <v>0</v>
      </c>
      <c r="E1790" s="136" t="s">
        <v>416</v>
      </c>
      <c r="F1790" s="137" t="str">
        <f t="shared" si="93"/>
        <v/>
      </c>
      <c r="G1790" s="138" t="e">
        <f>IF(A1790&lt;&gt;"",IF(AND(#REF!="Padrão",$H$4=#REF!),BDI!$B$17,IF(AND(#REF!="Padrão",$H$4=#REF!),BDI!#REF!,IF(AND(#REF!="Diferenciado",$H$4=#REF!),BDI!$E$17,IF(AND(#REF!="Diferenciado",$H$4=#REF!),BDI!#REF!,IF(#REF!="ZERO",0))))),"")</f>
        <v>#REF!</v>
      </c>
      <c r="H1790" s="139" t="str">
        <f t="shared" si="94"/>
        <v/>
      </c>
      <c r="I1790" s="137" t="str">
        <f t="shared" si="95"/>
        <v/>
      </c>
      <c r="J1790" s="117"/>
    </row>
    <row r="1791" spans="1:10" hidden="1" x14ac:dyDescent="0.25">
      <c r="A1791" s="114" t="s">
        <v>4575</v>
      </c>
      <c r="B1791" s="115" t="s">
        <v>7909</v>
      </c>
      <c r="C1791" s="116" t="s">
        <v>16</v>
      </c>
      <c r="D1791" s="116">
        <v>0</v>
      </c>
      <c r="E1791" s="136" t="s">
        <v>416</v>
      </c>
      <c r="F1791" s="137" t="str">
        <f t="shared" si="93"/>
        <v/>
      </c>
      <c r="G1791" s="138" t="e">
        <f>IF(A1791&lt;&gt;"",IF(AND(#REF!="Padrão",$H$4=#REF!),BDI!$B$17,IF(AND(#REF!="Padrão",$H$4=#REF!),BDI!#REF!,IF(AND(#REF!="Diferenciado",$H$4=#REF!),BDI!$E$17,IF(AND(#REF!="Diferenciado",$H$4=#REF!),BDI!#REF!,IF(#REF!="ZERO",0))))),"")</f>
        <v>#REF!</v>
      </c>
      <c r="H1791" s="139" t="str">
        <f t="shared" si="94"/>
        <v/>
      </c>
      <c r="I1791" s="137" t="str">
        <f t="shared" si="95"/>
        <v/>
      </c>
      <c r="J1791" s="117"/>
    </row>
    <row r="1792" spans="1:10" hidden="1" x14ac:dyDescent="0.25">
      <c r="A1792" s="114" t="s">
        <v>4576</v>
      </c>
      <c r="B1792" s="115" t="s">
        <v>7910</v>
      </c>
      <c r="C1792" s="116" t="s">
        <v>16</v>
      </c>
      <c r="D1792" s="116">
        <v>0</v>
      </c>
      <c r="E1792" s="136" t="s">
        <v>416</v>
      </c>
      <c r="F1792" s="137" t="str">
        <f t="shared" si="93"/>
        <v/>
      </c>
      <c r="G1792" s="138" t="e">
        <f>IF(A1792&lt;&gt;"",IF(AND(#REF!="Padrão",$H$4=#REF!),BDI!$B$17,IF(AND(#REF!="Padrão",$H$4=#REF!),BDI!#REF!,IF(AND(#REF!="Diferenciado",$H$4=#REF!),BDI!$E$17,IF(AND(#REF!="Diferenciado",$H$4=#REF!),BDI!#REF!,IF(#REF!="ZERO",0))))),"")</f>
        <v>#REF!</v>
      </c>
      <c r="H1792" s="139" t="str">
        <f t="shared" si="94"/>
        <v/>
      </c>
      <c r="I1792" s="137" t="str">
        <f t="shared" si="95"/>
        <v/>
      </c>
      <c r="J1792" s="117"/>
    </row>
    <row r="1793" spans="1:10" hidden="1" x14ac:dyDescent="0.25">
      <c r="A1793" s="114" t="s">
        <v>4577</v>
      </c>
      <c r="B1793" s="115" t="s">
        <v>7911</v>
      </c>
      <c r="C1793" s="116" t="s">
        <v>16</v>
      </c>
      <c r="D1793" s="116">
        <v>0</v>
      </c>
      <c r="E1793" s="136" t="s">
        <v>416</v>
      </c>
      <c r="F1793" s="137" t="str">
        <f t="shared" si="93"/>
        <v/>
      </c>
      <c r="G1793" s="138" t="e">
        <f>IF(A1793&lt;&gt;"",IF(AND(#REF!="Padrão",$H$4=#REF!),BDI!$B$17,IF(AND(#REF!="Padrão",$H$4=#REF!),BDI!#REF!,IF(AND(#REF!="Diferenciado",$H$4=#REF!),BDI!$E$17,IF(AND(#REF!="Diferenciado",$H$4=#REF!),BDI!#REF!,IF(#REF!="ZERO",0))))),"")</f>
        <v>#REF!</v>
      </c>
      <c r="H1793" s="139" t="str">
        <f t="shared" si="94"/>
        <v/>
      </c>
      <c r="I1793" s="137" t="str">
        <f t="shared" si="95"/>
        <v/>
      </c>
      <c r="J1793" s="117"/>
    </row>
    <row r="1794" spans="1:10" hidden="1" x14ac:dyDescent="0.25">
      <c r="A1794" s="114" t="s">
        <v>4578</v>
      </c>
      <c r="B1794" s="115" t="s">
        <v>7912</v>
      </c>
      <c r="C1794" s="116" t="s">
        <v>16</v>
      </c>
      <c r="D1794" s="116">
        <v>0</v>
      </c>
      <c r="E1794" s="136" t="s">
        <v>416</v>
      </c>
      <c r="F1794" s="137" t="str">
        <f t="shared" si="93"/>
        <v/>
      </c>
      <c r="G1794" s="138" t="e">
        <f>IF(A1794&lt;&gt;"",IF(AND(#REF!="Padrão",$H$4=#REF!),BDI!$B$17,IF(AND(#REF!="Padrão",$H$4=#REF!),BDI!#REF!,IF(AND(#REF!="Diferenciado",$H$4=#REF!),BDI!$E$17,IF(AND(#REF!="Diferenciado",$H$4=#REF!),BDI!#REF!,IF(#REF!="ZERO",0))))),"")</f>
        <v>#REF!</v>
      </c>
      <c r="H1794" s="139" t="str">
        <f t="shared" si="94"/>
        <v/>
      </c>
      <c r="I1794" s="137" t="str">
        <f t="shared" si="95"/>
        <v/>
      </c>
      <c r="J1794" s="117"/>
    </row>
    <row r="1795" spans="1:10" hidden="1" x14ac:dyDescent="0.25">
      <c r="A1795" s="114" t="s">
        <v>4579</v>
      </c>
      <c r="B1795" s="115" t="s">
        <v>7913</v>
      </c>
      <c r="C1795" s="116" t="s">
        <v>16</v>
      </c>
      <c r="D1795" s="116">
        <v>0</v>
      </c>
      <c r="E1795" s="136" t="s">
        <v>416</v>
      </c>
      <c r="F1795" s="137" t="str">
        <f t="shared" si="93"/>
        <v/>
      </c>
      <c r="G1795" s="138" t="e">
        <f>IF(A1795&lt;&gt;"",IF(AND(#REF!="Padrão",$H$4=#REF!),BDI!$B$17,IF(AND(#REF!="Padrão",$H$4=#REF!),BDI!#REF!,IF(AND(#REF!="Diferenciado",$H$4=#REF!),BDI!$E$17,IF(AND(#REF!="Diferenciado",$H$4=#REF!),BDI!#REF!,IF(#REF!="ZERO",0))))),"")</f>
        <v>#REF!</v>
      </c>
      <c r="H1795" s="139" t="str">
        <f t="shared" si="94"/>
        <v/>
      </c>
      <c r="I1795" s="137" t="str">
        <f t="shared" si="95"/>
        <v/>
      </c>
      <c r="J1795" s="117"/>
    </row>
    <row r="1796" spans="1:10" hidden="1" x14ac:dyDescent="0.25">
      <c r="A1796" s="114" t="s">
        <v>4580</v>
      </c>
      <c r="B1796" s="115" t="s">
        <v>7914</v>
      </c>
      <c r="C1796" s="116" t="s">
        <v>16</v>
      </c>
      <c r="D1796" s="116">
        <v>0</v>
      </c>
      <c r="E1796" s="136" t="s">
        <v>416</v>
      </c>
      <c r="F1796" s="137" t="str">
        <f t="shared" si="93"/>
        <v/>
      </c>
      <c r="G1796" s="138" t="e">
        <f>IF(A1796&lt;&gt;"",IF(AND(#REF!="Padrão",$H$4=#REF!),BDI!$B$17,IF(AND(#REF!="Padrão",$H$4=#REF!),BDI!#REF!,IF(AND(#REF!="Diferenciado",$H$4=#REF!),BDI!$E$17,IF(AND(#REF!="Diferenciado",$H$4=#REF!),BDI!#REF!,IF(#REF!="ZERO",0))))),"")</f>
        <v>#REF!</v>
      </c>
      <c r="H1796" s="139" t="str">
        <f t="shared" si="94"/>
        <v/>
      </c>
      <c r="I1796" s="137" t="str">
        <f t="shared" si="95"/>
        <v/>
      </c>
      <c r="J1796" s="117"/>
    </row>
    <row r="1797" spans="1:10" hidden="1" x14ac:dyDescent="0.25">
      <c r="A1797" s="114" t="s">
        <v>4581</v>
      </c>
      <c r="B1797" s="115" t="s">
        <v>7915</v>
      </c>
      <c r="C1797" s="116" t="s">
        <v>16</v>
      </c>
      <c r="D1797" s="116">
        <v>0</v>
      </c>
      <c r="E1797" s="136" t="s">
        <v>416</v>
      </c>
      <c r="F1797" s="137" t="str">
        <f t="shared" si="93"/>
        <v/>
      </c>
      <c r="G1797" s="138" t="e">
        <f>IF(A1797&lt;&gt;"",IF(AND(#REF!="Padrão",$H$4=#REF!),BDI!$B$17,IF(AND(#REF!="Padrão",$H$4=#REF!),BDI!#REF!,IF(AND(#REF!="Diferenciado",$H$4=#REF!),BDI!$E$17,IF(AND(#REF!="Diferenciado",$H$4=#REF!),BDI!#REF!,IF(#REF!="ZERO",0))))),"")</f>
        <v>#REF!</v>
      </c>
      <c r="H1797" s="139" t="str">
        <f t="shared" si="94"/>
        <v/>
      </c>
      <c r="I1797" s="137" t="str">
        <f t="shared" si="95"/>
        <v/>
      </c>
      <c r="J1797" s="117"/>
    </row>
    <row r="1798" spans="1:10" hidden="1" x14ac:dyDescent="0.25">
      <c r="A1798" s="114" t="s">
        <v>4582</v>
      </c>
      <c r="B1798" s="115" t="s">
        <v>7916</v>
      </c>
      <c r="C1798" s="116" t="s">
        <v>16</v>
      </c>
      <c r="D1798" s="116">
        <v>0</v>
      </c>
      <c r="E1798" s="136" t="s">
        <v>416</v>
      </c>
      <c r="F1798" s="137" t="str">
        <f t="shared" si="93"/>
        <v/>
      </c>
      <c r="G1798" s="138" t="e">
        <f>IF(A1798&lt;&gt;"",IF(AND(#REF!="Padrão",$H$4=#REF!),BDI!$B$17,IF(AND(#REF!="Padrão",$H$4=#REF!),BDI!#REF!,IF(AND(#REF!="Diferenciado",$H$4=#REF!),BDI!$E$17,IF(AND(#REF!="Diferenciado",$H$4=#REF!),BDI!#REF!,IF(#REF!="ZERO",0))))),"")</f>
        <v>#REF!</v>
      </c>
      <c r="H1798" s="139" t="str">
        <f t="shared" si="94"/>
        <v/>
      </c>
      <c r="I1798" s="137" t="str">
        <f t="shared" si="95"/>
        <v/>
      </c>
      <c r="J1798" s="117"/>
    </row>
    <row r="1799" spans="1:10" hidden="1" x14ac:dyDescent="0.25">
      <c r="A1799" s="114" t="s">
        <v>4583</v>
      </c>
      <c r="B1799" s="115" t="s">
        <v>7917</v>
      </c>
      <c r="C1799" s="116" t="s">
        <v>16</v>
      </c>
      <c r="D1799" s="116">
        <v>0</v>
      </c>
      <c r="E1799" s="136" t="s">
        <v>416</v>
      </c>
      <c r="F1799" s="137" t="str">
        <f t="shared" si="93"/>
        <v/>
      </c>
      <c r="G1799" s="138" t="e">
        <f>IF(A1799&lt;&gt;"",IF(AND(#REF!="Padrão",$H$4=#REF!),BDI!$B$17,IF(AND(#REF!="Padrão",$H$4=#REF!),BDI!#REF!,IF(AND(#REF!="Diferenciado",$H$4=#REF!),BDI!$E$17,IF(AND(#REF!="Diferenciado",$H$4=#REF!),BDI!#REF!,IF(#REF!="ZERO",0))))),"")</f>
        <v>#REF!</v>
      </c>
      <c r="H1799" s="139" t="str">
        <f t="shared" si="94"/>
        <v/>
      </c>
      <c r="I1799" s="137" t="str">
        <f t="shared" si="95"/>
        <v/>
      </c>
      <c r="J1799" s="117"/>
    </row>
    <row r="1800" spans="1:10" hidden="1" x14ac:dyDescent="0.25">
      <c r="A1800" s="114" t="s">
        <v>4584</v>
      </c>
      <c r="B1800" s="115" t="s">
        <v>7918</v>
      </c>
      <c r="C1800" s="116" t="s">
        <v>16</v>
      </c>
      <c r="D1800" s="116">
        <v>0</v>
      </c>
      <c r="E1800" s="136" t="s">
        <v>416</v>
      </c>
      <c r="F1800" s="137" t="str">
        <f t="shared" si="93"/>
        <v/>
      </c>
      <c r="G1800" s="138" t="e">
        <f>IF(A1800&lt;&gt;"",IF(AND(#REF!="Padrão",$H$4=#REF!),BDI!$B$17,IF(AND(#REF!="Padrão",$H$4=#REF!),BDI!#REF!,IF(AND(#REF!="Diferenciado",$H$4=#REF!),BDI!$E$17,IF(AND(#REF!="Diferenciado",$H$4=#REF!),BDI!#REF!,IF(#REF!="ZERO",0))))),"")</f>
        <v>#REF!</v>
      </c>
      <c r="H1800" s="139" t="str">
        <f t="shared" si="94"/>
        <v/>
      </c>
      <c r="I1800" s="137" t="str">
        <f t="shared" si="95"/>
        <v/>
      </c>
      <c r="J1800" s="117"/>
    </row>
    <row r="1801" spans="1:10" hidden="1" x14ac:dyDescent="0.25">
      <c r="A1801" s="114" t="s">
        <v>4585</v>
      </c>
      <c r="B1801" s="115" t="s">
        <v>7919</v>
      </c>
      <c r="C1801" s="116" t="s">
        <v>16</v>
      </c>
      <c r="D1801" s="116">
        <v>0</v>
      </c>
      <c r="E1801" s="136" t="s">
        <v>416</v>
      </c>
      <c r="F1801" s="137" t="str">
        <f t="shared" si="93"/>
        <v/>
      </c>
      <c r="G1801" s="138" t="e">
        <f>IF(A1801&lt;&gt;"",IF(AND(#REF!="Padrão",$H$4=#REF!),BDI!$B$17,IF(AND(#REF!="Padrão",$H$4=#REF!),BDI!#REF!,IF(AND(#REF!="Diferenciado",$H$4=#REF!),BDI!$E$17,IF(AND(#REF!="Diferenciado",$H$4=#REF!),BDI!#REF!,IF(#REF!="ZERO",0))))),"")</f>
        <v>#REF!</v>
      </c>
      <c r="H1801" s="139" t="str">
        <f t="shared" si="94"/>
        <v/>
      </c>
      <c r="I1801" s="137" t="str">
        <f t="shared" si="95"/>
        <v/>
      </c>
      <c r="J1801" s="117"/>
    </row>
    <row r="1802" spans="1:10" hidden="1" x14ac:dyDescent="0.25">
      <c r="A1802" s="114" t="s">
        <v>4586</v>
      </c>
      <c r="B1802" s="115" t="s">
        <v>7920</v>
      </c>
      <c r="C1802" s="116" t="s">
        <v>16</v>
      </c>
      <c r="D1802" s="116">
        <v>0</v>
      </c>
      <c r="E1802" s="136" t="s">
        <v>416</v>
      </c>
      <c r="F1802" s="137" t="str">
        <f t="shared" si="93"/>
        <v/>
      </c>
      <c r="G1802" s="138" t="e">
        <f>IF(A1802&lt;&gt;"",IF(AND(#REF!="Padrão",$H$4=#REF!),BDI!$B$17,IF(AND(#REF!="Padrão",$H$4=#REF!),BDI!#REF!,IF(AND(#REF!="Diferenciado",$H$4=#REF!),BDI!$E$17,IF(AND(#REF!="Diferenciado",$H$4=#REF!),BDI!#REF!,IF(#REF!="ZERO",0))))),"")</f>
        <v>#REF!</v>
      </c>
      <c r="H1802" s="139" t="str">
        <f t="shared" si="94"/>
        <v/>
      </c>
      <c r="I1802" s="137" t="str">
        <f t="shared" si="95"/>
        <v/>
      </c>
      <c r="J1802" s="117"/>
    </row>
    <row r="1803" spans="1:10" hidden="1" x14ac:dyDescent="0.25">
      <c r="A1803" s="114" t="s">
        <v>4587</v>
      </c>
      <c r="B1803" s="115" t="s">
        <v>7921</v>
      </c>
      <c r="C1803" s="116" t="s">
        <v>16</v>
      </c>
      <c r="D1803" s="116">
        <v>0</v>
      </c>
      <c r="E1803" s="136" t="s">
        <v>416</v>
      </c>
      <c r="F1803" s="137" t="str">
        <f t="shared" si="93"/>
        <v/>
      </c>
      <c r="G1803" s="138" t="e">
        <f>IF(A1803&lt;&gt;"",IF(AND(#REF!="Padrão",$H$4=#REF!),BDI!$B$17,IF(AND(#REF!="Padrão",$H$4=#REF!),BDI!#REF!,IF(AND(#REF!="Diferenciado",$H$4=#REF!),BDI!$E$17,IF(AND(#REF!="Diferenciado",$H$4=#REF!),BDI!#REF!,IF(#REF!="ZERO",0))))),"")</f>
        <v>#REF!</v>
      </c>
      <c r="H1803" s="139" t="str">
        <f t="shared" si="94"/>
        <v/>
      </c>
      <c r="I1803" s="137" t="str">
        <f t="shared" si="95"/>
        <v/>
      </c>
      <c r="J1803" s="117"/>
    </row>
    <row r="1804" spans="1:10" hidden="1" x14ac:dyDescent="0.25">
      <c r="A1804" s="114" t="s">
        <v>4588</v>
      </c>
      <c r="B1804" s="115" t="s">
        <v>7922</v>
      </c>
      <c r="C1804" s="116" t="s">
        <v>16</v>
      </c>
      <c r="D1804" s="116">
        <v>0</v>
      </c>
      <c r="E1804" s="136" t="s">
        <v>416</v>
      </c>
      <c r="F1804" s="137" t="str">
        <f t="shared" si="93"/>
        <v/>
      </c>
      <c r="G1804" s="138" t="e">
        <f>IF(A1804&lt;&gt;"",IF(AND(#REF!="Padrão",$H$4=#REF!),BDI!$B$17,IF(AND(#REF!="Padrão",$H$4=#REF!),BDI!#REF!,IF(AND(#REF!="Diferenciado",$H$4=#REF!),BDI!$E$17,IF(AND(#REF!="Diferenciado",$H$4=#REF!),BDI!#REF!,IF(#REF!="ZERO",0))))),"")</f>
        <v>#REF!</v>
      </c>
      <c r="H1804" s="139" t="str">
        <f t="shared" si="94"/>
        <v/>
      </c>
      <c r="I1804" s="137" t="str">
        <f t="shared" si="95"/>
        <v/>
      </c>
      <c r="J1804" s="117"/>
    </row>
    <row r="1805" spans="1:10" hidden="1" x14ac:dyDescent="0.25">
      <c r="A1805" s="114" t="s">
        <v>4589</v>
      </c>
      <c r="B1805" s="115" t="s">
        <v>7923</v>
      </c>
      <c r="C1805" s="116" t="s">
        <v>16</v>
      </c>
      <c r="D1805" s="116">
        <v>0</v>
      </c>
      <c r="E1805" s="136" t="s">
        <v>416</v>
      </c>
      <c r="F1805" s="137" t="str">
        <f t="shared" si="93"/>
        <v/>
      </c>
      <c r="G1805" s="138" t="e">
        <f>IF(A1805&lt;&gt;"",IF(AND(#REF!="Padrão",$H$4=#REF!),BDI!$B$17,IF(AND(#REF!="Padrão",$H$4=#REF!),BDI!#REF!,IF(AND(#REF!="Diferenciado",$H$4=#REF!),BDI!$E$17,IF(AND(#REF!="Diferenciado",$H$4=#REF!),BDI!#REF!,IF(#REF!="ZERO",0))))),"")</f>
        <v>#REF!</v>
      </c>
      <c r="H1805" s="139" t="str">
        <f t="shared" si="94"/>
        <v/>
      </c>
      <c r="I1805" s="137" t="str">
        <f t="shared" si="95"/>
        <v/>
      </c>
      <c r="J1805" s="117"/>
    </row>
    <row r="1806" spans="1:10" hidden="1" x14ac:dyDescent="0.25">
      <c r="A1806" s="114" t="s">
        <v>4590</v>
      </c>
      <c r="B1806" s="115" t="s">
        <v>7924</v>
      </c>
      <c r="C1806" s="116" t="s">
        <v>16</v>
      </c>
      <c r="D1806" s="116">
        <v>0</v>
      </c>
      <c r="E1806" s="136" t="s">
        <v>416</v>
      </c>
      <c r="F1806" s="137" t="str">
        <f t="shared" si="93"/>
        <v/>
      </c>
      <c r="G1806" s="138" t="e">
        <f>IF(A1806&lt;&gt;"",IF(AND(#REF!="Padrão",$H$4=#REF!),BDI!$B$17,IF(AND(#REF!="Padrão",$H$4=#REF!),BDI!#REF!,IF(AND(#REF!="Diferenciado",$H$4=#REF!),BDI!$E$17,IF(AND(#REF!="Diferenciado",$H$4=#REF!),BDI!#REF!,IF(#REF!="ZERO",0))))),"")</f>
        <v>#REF!</v>
      </c>
      <c r="H1806" s="139" t="str">
        <f t="shared" si="94"/>
        <v/>
      </c>
      <c r="I1806" s="137" t="str">
        <f t="shared" si="95"/>
        <v/>
      </c>
      <c r="J1806" s="117"/>
    </row>
    <row r="1807" spans="1:10" hidden="1" x14ac:dyDescent="0.25">
      <c r="A1807" s="114" t="s">
        <v>4591</v>
      </c>
      <c r="B1807" s="115" t="s">
        <v>7925</v>
      </c>
      <c r="C1807" s="116" t="s">
        <v>16</v>
      </c>
      <c r="D1807" s="116">
        <v>0</v>
      </c>
      <c r="E1807" s="136" t="s">
        <v>416</v>
      </c>
      <c r="F1807" s="137" t="str">
        <f t="shared" si="93"/>
        <v/>
      </c>
      <c r="G1807" s="138" t="e">
        <f>IF(A1807&lt;&gt;"",IF(AND(#REF!="Padrão",$H$4=#REF!),BDI!$B$17,IF(AND(#REF!="Padrão",$H$4=#REF!),BDI!#REF!,IF(AND(#REF!="Diferenciado",$H$4=#REF!),BDI!$E$17,IF(AND(#REF!="Diferenciado",$H$4=#REF!),BDI!#REF!,IF(#REF!="ZERO",0))))),"")</f>
        <v>#REF!</v>
      </c>
      <c r="H1807" s="139" t="str">
        <f t="shared" si="94"/>
        <v/>
      </c>
      <c r="I1807" s="137" t="str">
        <f t="shared" si="95"/>
        <v/>
      </c>
      <c r="J1807" s="117"/>
    </row>
    <row r="1808" spans="1:10" hidden="1" x14ac:dyDescent="0.25">
      <c r="A1808" s="114" t="s">
        <v>4592</v>
      </c>
      <c r="B1808" s="115" t="s">
        <v>7926</v>
      </c>
      <c r="C1808" s="116" t="s">
        <v>16</v>
      </c>
      <c r="D1808" s="116">
        <v>0</v>
      </c>
      <c r="E1808" s="136" t="s">
        <v>416</v>
      </c>
      <c r="F1808" s="137" t="str">
        <f t="shared" si="93"/>
        <v/>
      </c>
      <c r="G1808" s="138" t="e">
        <f>IF(A1808&lt;&gt;"",IF(AND(#REF!="Padrão",$H$4=#REF!),BDI!$B$17,IF(AND(#REF!="Padrão",$H$4=#REF!),BDI!#REF!,IF(AND(#REF!="Diferenciado",$H$4=#REF!),BDI!$E$17,IF(AND(#REF!="Diferenciado",$H$4=#REF!),BDI!#REF!,IF(#REF!="ZERO",0))))),"")</f>
        <v>#REF!</v>
      </c>
      <c r="H1808" s="139" t="str">
        <f t="shared" si="94"/>
        <v/>
      </c>
      <c r="I1808" s="137" t="str">
        <f t="shared" si="95"/>
        <v/>
      </c>
      <c r="J1808" s="117"/>
    </row>
    <row r="1809" spans="1:10" hidden="1" x14ac:dyDescent="0.25">
      <c r="A1809" s="114" t="s">
        <v>4593</v>
      </c>
      <c r="B1809" s="115" t="s">
        <v>7927</v>
      </c>
      <c r="C1809" s="116" t="s">
        <v>16</v>
      </c>
      <c r="D1809" s="116">
        <v>0</v>
      </c>
      <c r="E1809" s="136" t="s">
        <v>416</v>
      </c>
      <c r="F1809" s="137" t="str">
        <f t="shared" si="93"/>
        <v/>
      </c>
      <c r="G1809" s="138" t="e">
        <f>IF(A1809&lt;&gt;"",IF(AND(#REF!="Padrão",$H$4=#REF!),BDI!$B$17,IF(AND(#REF!="Padrão",$H$4=#REF!),BDI!#REF!,IF(AND(#REF!="Diferenciado",$H$4=#REF!),BDI!$E$17,IF(AND(#REF!="Diferenciado",$H$4=#REF!),BDI!#REF!,IF(#REF!="ZERO",0))))),"")</f>
        <v>#REF!</v>
      </c>
      <c r="H1809" s="139" t="str">
        <f t="shared" si="94"/>
        <v/>
      </c>
      <c r="I1809" s="137" t="str">
        <f t="shared" si="95"/>
        <v/>
      </c>
      <c r="J1809" s="117"/>
    </row>
    <row r="1810" spans="1:10" hidden="1" x14ac:dyDescent="0.25">
      <c r="A1810" s="114" t="s">
        <v>4594</v>
      </c>
      <c r="B1810" s="115" t="s">
        <v>3543</v>
      </c>
      <c r="C1810" s="116" t="s">
        <v>16</v>
      </c>
      <c r="D1810" s="116">
        <v>0</v>
      </c>
      <c r="E1810" s="136" t="s">
        <v>416</v>
      </c>
      <c r="F1810" s="137" t="str">
        <f t="shared" si="93"/>
        <v/>
      </c>
      <c r="G1810" s="138" t="e">
        <f>IF(A1810&lt;&gt;"",IF(AND(#REF!="Padrão",$H$4=#REF!),BDI!$B$17,IF(AND(#REF!="Padrão",$H$4=#REF!),BDI!#REF!,IF(AND(#REF!="Diferenciado",$H$4=#REF!),BDI!$E$17,IF(AND(#REF!="Diferenciado",$H$4=#REF!),BDI!#REF!,IF(#REF!="ZERO",0))))),"")</f>
        <v>#REF!</v>
      </c>
      <c r="H1810" s="139" t="str">
        <f t="shared" si="94"/>
        <v/>
      </c>
      <c r="I1810" s="137" t="str">
        <f t="shared" si="95"/>
        <v/>
      </c>
      <c r="J1810" s="117"/>
    </row>
    <row r="1811" spans="1:10" hidden="1" x14ac:dyDescent="0.25">
      <c r="A1811" s="114" t="s">
        <v>4595</v>
      </c>
      <c r="B1811" s="115" t="s">
        <v>3544</v>
      </c>
      <c r="C1811" s="116" t="s">
        <v>69</v>
      </c>
      <c r="D1811" s="116">
        <v>0</v>
      </c>
      <c r="E1811" s="136" t="s">
        <v>416</v>
      </c>
      <c r="F1811" s="137" t="str">
        <f t="shared" si="93"/>
        <v/>
      </c>
      <c r="G1811" s="138" t="e">
        <f>IF(A1811&lt;&gt;"",IF(AND(#REF!="Padrão",$H$4=#REF!),BDI!$B$17,IF(AND(#REF!="Padrão",$H$4=#REF!),BDI!#REF!,IF(AND(#REF!="Diferenciado",$H$4=#REF!),BDI!$E$17,IF(AND(#REF!="Diferenciado",$H$4=#REF!),BDI!#REF!,IF(#REF!="ZERO",0))))),"")</f>
        <v>#REF!</v>
      </c>
      <c r="H1811" s="139" t="str">
        <f t="shared" si="94"/>
        <v/>
      </c>
      <c r="I1811" s="137" t="str">
        <f t="shared" si="95"/>
        <v/>
      </c>
      <c r="J1811" s="117"/>
    </row>
    <row r="1812" spans="1:10" hidden="1" x14ac:dyDescent="0.25">
      <c r="A1812" s="114" t="s">
        <v>4596</v>
      </c>
      <c r="B1812" s="115" t="s">
        <v>3545</v>
      </c>
      <c r="C1812" s="116" t="s">
        <v>69</v>
      </c>
      <c r="D1812" s="116">
        <v>0</v>
      </c>
      <c r="E1812" s="136">
        <f ca="1">OFFSET(INDEX(Composições!A:J,MATCH(Orçamentária!A1812,Composições!A:A,0),8),2,0)</f>
        <v>0</v>
      </c>
      <c r="F1812" s="137">
        <f t="shared" ca="1" si="93"/>
        <v>0</v>
      </c>
      <c r="G1812" s="138" t="e">
        <f>IF(A1812&lt;&gt;"",IF(AND(#REF!="Padrão",$H$4=#REF!),BDI!$B$17,IF(AND(#REF!="Padrão",$H$4=#REF!),BDI!#REF!,IF(AND(#REF!="Diferenciado",$H$4=#REF!),BDI!$E$17,IF(AND(#REF!="Diferenciado",$H$4=#REF!),BDI!#REF!,IF(#REF!="ZERO",0))))),"")</f>
        <v>#REF!</v>
      </c>
      <c r="H1812" s="139" t="e">
        <f t="shared" ca="1" si="94"/>
        <v>#REF!</v>
      </c>
      <c r="I1812" s="137" t="e">
        <f t="shared" ca="1" si="95"/>
        <v>#REF!</v>
      </c>
      <c r="J1812" s="117"/>
    </row>
    <row r="1813" spans="1:10" hidden="1" x14ac:dyDescent="0.25">
      <c r="A1813" s="114" t="s">
        <v>4597</v>
      </c>
      <c r="B1813" s="115" t="s">
        <v>3546</v>
      </c>
      <c r="C1813" s="116" t="s">
        <v>69</v>
      </c>
      <c r="D1813" s="116">
        <v>0</v>
      </c>
      <c r="E1813" s="136">
        <f ca="1">OFFSET(INDEX(Composições!A:J,MATCH(Orçamentária!A1813,Composições!A:A,0),8),2,0)</f>
        <v>0</v>
      </c>
      <c r="F1813" s="137">
        <f t="shared" ca="1" si="93"/>
        <v>0</v>
      </c>
      <c r="G1813" s="138" t="e">
        <f>IF(A1813&lt;&gt;"",IF(AND(#REF!="Padrão",$H$4=#REF!),BDI!$B$17,IF(AND(#REF!="Padrão",$H$4=#REF!),BDI!#REF!,IF(AND(#REF!="Diferenciado",$H$4=#REF!),BDI!$E$17,IF(AND(#REF!="Diferenciado",$H$4=#REF!),BDI!#REF!,IF(#REF!="ZERO",0))))),"")</f>
        <v>#REF!</v>
      </c>
      <c r="H1813" s="139" t="e">
        <f t="shared" ca="1" si="94"/>
        <v>#REF!</v>
      </c>
      <c r="I1813" s="137" t="e">
        <f t="shared" ca="1" si="95"/>
        <v>#REF!</v>
      </c>
      <c r="J1813" s="117"/>
    </row>
    <row r="1814" spans="1:10" hidden="1" x14ac:dyDescent="0.25">
      <c r="A1814" s="114" t="s">
        <v>4598</v>
      </c>
      <c r="B1814" s="115" t="s">
        <v>3547</v>
      </c>
      <c r="C1814" s="116" t="s">
        <v>69</v>
      </c>
      <c r="D1814" s="116">
        <v>0</v>
      </c>
      <c r="E1814" s="136">
        <f ca="1">OFFSET(INDEX(Composições!A:J,MATCH(Orçamentária!A1814,Composições!A:A,0),8),2,0)</f>
        <v>0</v>
      </c>
      <c r="F1814" s="137">
        <f t="shared" ca="1" si="93"/>
        <v>0</v>
      </c>
      <c r="G1814" s="138" t="e">
        <f>IF(A1814&lt;&gt;"",IF(AND(#REF!="Padrão",$H$4=#REF!),BDI!$B$17,IF(AND(#REF!="Padrão",$H$4=#REF!),BDI!#REF!,IF(AND(#REF!="Diferenciado",$H$4=#REF!),BDI!$E$17,IF(AND(#REF!="Diferenciado",$H$4=#REF!),BDI!#REF!,IF(#REF!="ZERO",0))))),"")</f>
        <v>#REF!</v>
      </c>
      <c r="H1814" s="139" t="e">
        <f t="shared" ca="1" si="94"/>
        <v>#REF!</v>
      </c>
      <c r="I1814" s="137" t="e">
        <f t="shared" ca="1" si="95"/>
        <v>#REF!</v>
      </c>
      <c r="J1814" s="117"/>
    </row>
    <row r="1815" spans="1:10" hidden="1" x14ac:dyDescent="0.25">
      <c r="A1815" s="114" t="s">
        <v>4599</v>
      </c>
      <c r="B1815" s="115" t="s">
        <v>3548</v>
      </c>
      <c r="C1815" s="116" t="s">
        <v>69</v>
      </c>
      <c r="D1815" s="116">
        <v>0</v>
      </c>
      <c r="E1815" s="136">
        <f ca="1">OFFSET(INDEX(Composições!A:J,MATCH(Orçamentária!A1815,Composições!A:A,0),8),2,0)</f>
        <v>0</v>
      </c>
      <c r="F1815" s="137">
        <f t="shared" ca="1" si="93"/>
        <v>0</v>
      </c>
      <c r="G1815" s="138" t="e">
        <f>IF(A1815&lt;&gt;"",IF(AND(#REF!="Padrão",$H$4=#REF!),BDI!$B$17,IF(AND(#REF!="Padrão",$H$4=#REF!),BDI!#REF!,IF(AND(#REF!="Diferenciado",$H$4=#REF!),BDI!$E$17,IF(AND(#REF!="Diferenciado",$H$4=#REF!),BDI!#REF!,IF(#REF!="ZERO",0))))),"")</f>
        <v>#REF!</v>
      </c>
      <c r="H1815" s="139" t="e">
        <f t="shared" ca="1" si="94"/>
        <v>#REF!</v>
      </c>
      <c r="I1815" s="137" t="e">
        <f t="shared" ca="1" si="95"/>
        <v>#REF!</v>
      </c>
      <c r="J1815" s="117"/>
    </row>
    <row r="1816" spans="1:10" hidden="1" x14ac:dyDescent="0.25">
      <c r="A1816" s="114" t="s">
        <v>4600</v>
      </c>
      <c r="B1816" s="115" t="s">
        <v>3549</v>
      </c>
      <c r="C1816" s="116" t="s">
        <v>69</v>
      </c>
      <c r="D1816" s="116">
        <v>0</v>
      </c>
      <c r="E1816" s="136">
        <f ca="1">OFFSET(INDEX(Composições!A:J,MATCH(Orçamentária!A1816,Composições!A:A,0),8),2,0)</f>
        <v>0</v>
      </c>
      <c r="F1816" s="137">
        <f t="shared" ca="1" si="93"/>
        <v>0</v>
      </c>
      <c r="G1816" s="138" t="e">
        <f>IF(A1816&lt;&gt;"",IF(AND(#REF!="Padrão",$H$4=#REF!),BDI!$B$17,IF(AND(#REF!="Padrão",$H$4=#REF!),BDI!#REF!,IF(AND(#REF!="Diferenciado",$H$4=#REF!),BDI!$E$17,IF(AND(#REF!="Diferenciado",$H$4=#REF!),BDI!#REF!,IF(#REF!="ZERO",0))))),"")</f>
        <v>#REF!</v>
      </c>
      <c r="H1816" s="139" t="e">
        <f t="shared" ca="1" si="94"/>
        <v>#REF!</v>
      </c>
      <c r="I1816" s="137" t="e">
        <f t="shared" ca="1" si="95"/>
        <v>#REF!</v>
      </c>
      <c r="J1816" s="117"/>
    </row>
    <row r="1817" spans="1:10" hidden="1" x14ac:dyDescent="0.25">
      <c r="A1817" s="114" t="s">
        <v>4601</v>
      </c>
      <c r="B1817" s="115" t="s">
        <v>3550</v>
      </c>
      <c r="C1817" s="116" t="s">
        <v>69</v>
      </c>
      <c r="D1817" s="116">
        <v>0</v>
      </c>
      <c r="E1817" s="136">
        <f ca="1">OFFSET(INDEX(Composições!A:J,MATCH(Orçamentária!A1817,Composições!A:A,0),8),2,0)</f>
        <v>0</v>
      </c>
      <c r="F1817" s="137">
        <f t="shared" ca="1" si="93"/>
        <v>0</v>
      </c>
      <c r="G1817" s="138" t="e">
        <f>IF(A1817&lt;&gt;"",IF(AND(#REF!="Padrão",$H$4=#REF!),BDI!$B$17,IF(AND(#REF!="Padrão",$H$4=#REF!),BDI!#REF!,IF(AND(#REF!="Diferenciado",$H$4=#REF!),BDI!$E$17,IF(AND(#REF!="Diferenciado",$H$4=#REF!),BDI!#REF!,IF(#REF!="ZERO",0))))),"")</f>
        <v>#REF!</v>
      </c>
      <c r="H1817" s="139" t="e">
        <f t="shared" ca="1" si="94"/>
        <v>#REF!</v>
      </c>
      <c r="I1817" s="137" t="e">
        <f t="shared" ca="1" si="95"/>
        <v>#REF!</v>
      </c>
      <c r="J1817" s="117"/>
    </row>
    <row r="1818" spans="1:10" hidden="1" x14ac:dyDescent="0.25">
      <c r="A1818" s="114" t="s">
        <v>4602</v>
      </c>
      <c r="B1818" s="115" t="s">
        <v>5605</v>
      </c>
      <c r="C1818" s="116" t="s">
        <v>69</v>
      </c>
      <c r="D1818" s="116">
        <v>0</v>
      </c>
      <c r="E1818" s="136">
        <f ca="1">OFFSET(INDEX(Composições!A:J,MATCH(Orçamentária!A1818,Composições!A:A,0),8),2,0)</f>
        <v>0</v>
      </c>
      <c r="F1818" s="137">
        <f t="shared" ca="1" si="93"/>
        <v>0</v>
      </c>
      <c r="G1818" s="138" t="e">
        <f>IF(A1818&lt;&gt;"",IF(AND(#REF!="Padrão",$H$4=#REF!),BDI!$B$17,IF(AND(#REF!="Padrão",$H$4=#REF!),BDI!#REF!,IF(AND(#REF!="Diferenciado",$H$4=#REF!),BDI!$E$17,IF(AND(#REF!="Diferenciado",$H$4=#REF!),BDI!#REF!,IF(#REF!="ZERO",0))))),"")</f>
        <v>#REF!</v>
      </c>
      <c r="H1818" s="139" t="e">
        <f t="shared" ca="1" si="94"/>
        <v>#REF!</v>
      </c>
      <c r="I1818" s="137" t="e">
        <f t="shared" ca="1" si="95"/>
        <v>#REF!</v>
      </c>
      <c r="J1818" s="117"/>
    </row>
    <row r="1819" spans="1:10" hidden="1" x14ac:dyDescent="0.25">
      <c r="A1819" s="114" t="s">
        <v>4603</v>
      </c>
      <c r="B1819" s="115" t="s">
        <v>3551</v>
      </c>
      <c r="C1819" s="116" t="s">
        <v>69</v>
      </c>
      <c r="D1819" s="116">
        <v>0</v>
      </c>
      <c r="E1819" s="136">
        <f ca="1">OFFSET(INDEX(Composições!A:J,MATCH(Orçamentária!A1819,Composições!A:A,0),8),2,0)</f>
        <v>0</v>
      </c>
      <c r="F1819" s="137">
        <f t="shared" ca="1" si="93"/>
        <v>0</v>
      </c>
      <c r="G1819" s="138" t="e">
        <f>IF(A1819&lt;&gt;"",IF(AND(#REF!="Padrão",$H$4=#REF!),BDI!$B$17,IF(AND(#REF!="Padrão",$H$4=#REF!),BDI!#REF!,IF(AND(#REF!="Diferenciado",$H$4=#REF!),BDI!$E$17,IF(AND(#REF!="Diferenciado",$H$4=#REF!),BDI!#REF!,IF(#REF!="ZERO",0))))),"")</f>
        <v>#REF!</v>
      </c>
      <c r="H1819" s="139" t="e">
        <f t="shared" ca="1" si="94"/>
        <v>#REF!</v>
      </c>
      <c r="I1819" s="137" t="e">
        <f t="shared" ca="1" si="95"/>
        <v>#REF!</v>
      </c>
      <c r="J1819" s="117"/>
    </row>
    <row r="1820" spans="1:10" hidden="1" x14ac:dyDescent="0.25">
      <c r="A1820" s="114" t="s">
        <v>4604</v>
      </c>
      <c r="B1820" s="115" t="s">
        <v>3552</v>
      </c>
      <c r="C1820" s="116" t="s">
        <v>69</v>
      </c>
      <c r="D1820" s="116">
        <v>0</v>
      </c>
      <c r="E1820" s="136" t="s">
        <v>416</v>
      </c>
      <c r="F1820" s="137" t="str">
        <f t="shared" si="93"/>
        <v/>
      </c>
      <c r="G1820" s="138" t="e">
        <f>IF(A1820&lt;&gt;"",IF(AND(#REF!="Padrão",$H$4=#REF!),BDI!$B$17,IF(AND(#REF!="Padrão",$H$4=#REF!),BDI!#REF!,IF(AND(#REF!="Diferenciado",$H$4=#REF!),BDI!$E$17,IF(AND(#REF!="Diferenciado",$H$4=#REF!),BDI!#REF!,IF(#REF!="ZERO",0))))),"")</f>
        <v>#REF!</v>
      </c>
      <c r="H1820" s="139" t="str">
        <f t="shared" si="94"/>
        <v/>
      </c>
      <c r="I1820" s="137" t="str">
        <f t="shared" si="95"/>
        <v/>
      </c>
      <c r="J1820" s="117"/>
    </row>
    <row r="1821" spans="1:10" hidden="1" x14ac:dyDescent="0.25">
      <c r="A1821" s="114" t="s">
        <v>4605</v>
      </c>
      <c r="B1821" s="115" t="s">
        <v>3553</v>
      </c>
      <c r="C1821" s="116" t="s">
        <v>69</v>
      </c>
      <c r="D1821" s="116">
        <v>0</v>
      </c>
      <c r="E1821" s="136" t="s">
        <v>416</v>
      </c>
      <c r="F1821" s="137" t="str">
        <f t="shared" si="93"/>
        <v/>
      </c>
      <c r="G1821" s="138" t="e">
        <f>IF(A1821&lt;&gt;"",IF(AND(#REF!="Padrão",$H$4=#REF!),BDI!$B$17,IF(AND(#REF!="Padrão",$H$4=#REF!),BDI!#REF!,IF(AND(#REF!="Diferenciado",$H$4=#REF!),BDI!$E$17,IF(AND(#REF!="Diferenciado",$H$4=#REF!),BDI!#REF!,IF(#REF!="ZERO",0))))),"")</f>
        <v>#REF!</v>
      </c>
      <c r="H1821" s="139" t="str">
        <f t="shared" si="94"/>
        <v/>
      </c>
      <c r="I1821" s="137" t="str">
        <f t="shared" si="95"/>
        <v/>
      </c>
      <c r="J1821" s="117"/>
    </row>
    <row r="1822" spans="1:10" hidden="1" x14ac:dyDescent="0.25">
      <c r="A1822" s="114" t="s">
        <v>4606</v>
      </c>
      <c r="B1822" s="115" t="s">
        <v>3554</v>
      </c>
      <c r="C1822" s="116" t="s">
        <v>69</v>
      </c>
      <c r="D1822" s="116">
        <v>0</v>
      </c>
      <c r="E1822" s="136" t="s">
        <v>416</v>
      </c>
      <c r="F1822" s="137" t="str">
        <f t="shared" si="93"/>
        <v/>
      </c>
      <c r="G1822" s="138" t="e">
        <f>IF(A1822&lt;&gt;"",IF(AND(#REF!="Padrão",$H$4=#REF!),BDI!$B$17,IF(AND(#REF!="Padrão",$H$4=#REF!),BDI!#REF!,IF(AND(#REF!="Diferenciado",$H$4=#REF!),BDI!$E$17,IF(AND(#REF!="Diferenciado",$H$4=#REF!),BDI!#REF!,IF(#REF!="ZERO",0))))),"")</f>
        <v>#REF!</v>
      </c>
      <c r="H1822" s="139" t="str">
        <f t="shared" si="94"/>
        <v/>
      </c>
      <c r="I1822" s="137" t="str">
        <f t="shared" si="95"/>
        <v/>
      </c>
      <c r="J1822" s="117"/>
    </row>
    <row r="1823" spans="1:10" hidden="1" x14ac:dyDescent="0.25">
      <c r="A1823" s="114" t="s">
        <v>4607</v>
      </c>
      <c r="B1823" s="115" t="s">
        <v>3555</v>
      </c>
      <c r="C1823" s="116" t="s">
        <v>69</v>
      </c>
      <c r="D1823" s="116">
        <v>0</v>
      </c>
      <c r="E1823" s="136" t="s">
        <v>416</v>
      </c>
      <c r="F1823" s="137" t="str">
        <f t="shared" si="93"/>
        <v/>
      </c>
      <c r="G1823" s="138" t="e">
        <f>IF(A1823&lt;&gt;"",IF(AND(#REF!="Padrão",$H$4=#REF!),BDI!$B$17,IF(AND(#REF!="Padrão",$H$4=#REF!),BDI!#REF!,IF(AND(#REF!="Diferenciado",$H$4=#REF!),BDI!$E$17,IF(AND(#REF!="Diferenciado",$H$4=#REF!),BDI!#REF!,IF(#REF!="ZERO",0))))),"")</f>
        <v>#REF!</v>
      </c>
      <c r="H1823" s="139" t="str">
        <f t="shared" si="94"/>
        <v/>
      </c>
      <c r="I1823" s="137" t="str">
        <f t="shared" si="95"/>
        <v/>
      </c>
      <c r="J1823" s="117"/>
    </row>
    <row r="1824" spans="1:10" hidden="1" x14ac:dyDescent="0.25">
      <c r="A1824" s="114" t="s">
        <v>4608</v>
      </c>
      <c r="B1824" s="115" t="s">
        <v>3556</v>
      </c>
      <c r="C1824" s="116" t="s">
        <v>69</v>
      </c>
      <c r="D1824" s="116">
        <v>0</v>
      </c>
      <c r="E1824" s="136" t="s">
        <v>416</v>
      </c>
      <c r="F1824" s="137" t="str">
        <f t="shared" si="93"/>
        <v/>
      </c>
      <c r="G1824" s="138" t="e">
        <f>IF(A1824&lt;&gt;"",IF(AND(#REF!="Padrão",$H$4=#REF!),BDI!$B$17,IF(AND(#REF!="Padrão",$H$4=#REF!),BDI!#REF!,IF(AND(#REF!="Diferenciado",$H$4=#REF!),BDI!$E$17,IF(AND(#REF!="Diferenciado",$H$4=#REF!),BDI!#REF!,IF(#REF!="ZERO",0))))),"")</f>
        <v>#REF!</v>
      </c>
      <c r="H1824" s="139" t="str">
        <f t="shared" si="94"/>
        <v/>
      </c>
      <c r="I1824" s="137" t="str">
        <f t="shared" si="95"/>
        <v/>
      </c>
      <c r="J1824" s="117"/>
    </row>
    <row r="1825" spans="1:10" hidden="1" x14ac:dyDescent="0.25">
      <c r="A1825" s="114" t="s">
        <v>4609</v>
      </c>
      <c r="B1825" s="115" t="s">
        <v>3557</v>
      </c>
      <c r="C1825" s="116" t="s">
        <v>69</v>
      </c>
      <c r="D1825" s="116">
        <v>0</v>
      </c>
      <c r="E1825" s="136" t="s">
        <v>416</v>
      </c>
      <c r="F1825" s="137" t="str">
        <f t="shared" si="93"/>
        <v/>
      </c>
      <c r="G1825" s="138" t="e">
        <f>IF(A1825&lt;&gt;"",IF(AND(#REF!="Padrão",$H$4=#REF!),BDI!$B$17,IF(AND(#REF!="Padrão",$H$4=#REF!),BDI!#REF!,IF(AND(#REF!="Diferenciado",$H$4=#REF!),BDI!$E$17,IF(AND(#REF!="Diferenciado",$H$4=#REF!),BDI!#REF!,IF(#REF!="ZERO",0))))),"")</f>
        <v>#REF!</v>
      </c>
      <c r="H1825" s="139" t="str">
        <f t="shared" si="94"/>
        <v/>
      </c>
      <c r="I1825" s="137" t="str">
        <f t="shared" si="95"/>
        <v/>
      </c>
      <c r="J1825" s="117"/>
    </row>
    <row r="1826" spans="1:10" hidden="1" x14ac:dyDescent="0.25">
      <c r="A1826" s="114" t="s">
        <v>4610</v>
      </c>
      <c r="B1826" s="115" t="s">
        <v>3558</v>
      </c>
      <c r="C1826" s="116" t="s">
        <v>69</v>
      </c>
      <c r="D1826" s="116">
        <v>0</v>
      </c>
      <c r="E1826" s="136" t="s">
        <v>416</v>
      </c>
      <c r="F1826" s="137" t="str">
        <f t="shared" si="93"/>
        <v/>
      </c>
      <c r="G1826" s="138" t="e">
        <f>IF(A1826&lt;&gt;"",IF(AND(#REF!="Padrão",$H$4=#REF!),BDI!$B$17,IF(AND(#REF!="Padrão",$H$4=#REF!),BDI!#REF!,IF(AND(#REF!="Diferenciado",$H$4=#REF!),BDI!$E$17,IF(AND(#REF!="Diferenciado",$H$4=#REF!),BDI!#REF!,IF(#REF!="ZERO",0))))),"")</f>
        <v>#REF!</v>
      </c>
      <c r="H1826" s="139" t="str">
        <f t="shared" si="94"/>
        <v/>
      </c>
      <c r="I1826" s="137" t="str">
        <f t="shared" si="95"/>
        <v/>
      </c>
      <c r="J1826" s="117"/>
    </row>
    <row r="1827" spans="1:10" hidden="1" x14ac:dyDescent="0.25">
      <c r="A1827" s="114" t="s">
        <v>4611</v>
      </c>
      <c r="B1827" s="115" t="s">
        <v>3559</v>
      </c>
      <c r="C1827" s="116" t="s">
        <v>69</v>
      </c>
      <c r="D1827" s="116">
        <v>0</v>
      </c>
      <c r="E1827" s="136" t="s">
        <v>416</v>
      </c>
      <c r="F1827" s="137" t="str">
        <f t="shared" si="93"/>
        <v/>
      </c>
      <c r="G1827" s="138" t="e">
        <f>IF(A1827&lt;&gt;"",IF(AND(#REF!="Padrão",$H$4=#REF!),BDI!$B$17,IF(AND(#REF!="Padrão",$H$4=#REF!),BDI!#REF!,IF(AND(#REF!="Diferenciado",$H$4=#REF!),BDI!$E$17,IF(AND(#REF!="Diferenciado",$H$4=#REF!),BDI!#REF!,IF(#REF!="ZERO",0))))),"")</f>
        <v>#REF!</v>
      </c>
      <c r="H1827" s="139" t="str">
        <f t="shared" si="94"/>
        <v/>
      </c>
      <c r="I1827" s="137" t="str">
        <f t="shared" si="95"/>
        <v/>
      </c>
      <c r="J1827" s="117"/>
    </row>
    <row r="1828" spans="1:10" hidden="1" x14ac:dyDescent="0.25">
      <c r="A1828" s="114" t="s">
        <v>4612</v>
      </c>
      <c r="B1828" s="115" t="s">
        <v>3560</v>
      </c>
      <c r="C1828" s="116" t="s">
        <v>16</v>
      </c>
      <c r="D1828" s="116">
        <v>0</v>
      </c>
      <c r="E1828" s="136" t="s">
        <v>416</v>
      </c>
      <c r="F1828" s="137" t="str">
        <f t="shared" si="93"/>
        <v/>
      </c>
      <c r="G1828" s="138" t="e">
        <f>IF(A1828&lt;&gt;"",IF(AND(#REF!="Padrão",$H$4=#REF!),BDI!$B$17,IF(AND(#REF!="Padrão",$H$4=#REF!),BDI!#REF!,IF(AND(#REF!="Diferenciado",$H$4=#REF!),BDI!$E$17,IF(AND(#REF!="Diferenciado",$H$4=#REF!),BDI!#REF!,IF(#REF!="ZERO",0))))),"")</f>
        <v>#REF!</v>
      </c>
      <c r="H1828" s="139" t="str">
        <f t="shared" si="94"/>
        <v/>
      </c>
      <c r="I1828" s="137" t="str">
        <f t="shared" si="95"/>
        <v/>
      </c>
      <c r="J1828" s="117"/>
    </row>
    <row r="1829" spans="1:10" hidden="1" x14ac:dyDescent="0.25">
      <c r="A1829" s="114" t="s">
        <v>4613</v>
      </c>
      <c r="B1829" s="115" t="s">
        <v>3561</v>
      </c>
      <c r="C1829" s="116" t="s">
        <v>16</v>
      </c>
      <c r="D1829" s="116">
        <v>0</v>
      </c>
      <c r="E1829" s="136">
        <f ca="1">OFFSET(INDEX(Composições!A:J,MATCH(Orçamentária!A1829,Composições!A:A,0),8),2,0)</f>
        <v>1.6435</v>
      </c>
      <c r="F1829" s="137">
        <f t="shared" ca="1" si="93"/>
        <v>0</v>
      </c>
      <c r="G1829" s="138" t="e">
        <f>IF(A1829&lt;&gt;"",IF(AND(#REF!="Padrão",$H$4=#REF!),BDI!$B$17,IF(AND(#REF!="Padrão",$H$4=#REF!),BDI!#REF!,IF(AND(#REF!="Diferenciado",$H$4=#REF!),BDI!$E$17,IF(AND(#REF!="Diferenciado",$H$4=#REF!),BDI!#REF!,IF(#REF!="ZERO",0))))),"")</f>
        <v>#REF!</v>
      </c>
      <c r="H1829" s="139" t="e">
        <f t="shared" ca="1" si="94"/>
        <v>#REF!</v>
      </c>
      <c r="I1829" s="137" t="e">
        <f t="shared" ca="1" si="95"/>
        <v>#REF!</v>
      </c>
      <c r="J1829" s="117"/>
    </row>
    <row r="1830" spans="1:10" hidden="1" x14ac:dyDescent="0.25">
      <c r="A1830" s="114" t="s">
        <v>4614</v>
      </c>
      <c r="B1830" s="115" t="s">
        <v>3562</v>
      </c>
      <c r="C1830" s="116" t="s">
        <v>16</v>
      </c>
      <c r="D1830" s="116">
        <v>0</v>
      </c>
      <c r="E1830" s="136" t="s">
        <v>416</v>
      </c>
      <c r="F1830" s="137" t="str">
        <f t="shared" si="93"/>
        <v/>
      </c>
      <c r="G1830" s="138" t="e">
        <f>IF(A1830&lt;&gt;"",IF(AND(#REF!="Padrão",$H$4=#REF!),BDI!$B$17,IF(AND(#REF!="Padrão",$H$4=#REF!),BDI!#REF!,IF(AND(#REF!="Diferenciado",$H$4=#REF!),BDI!$E$17,IF(AND(#REF!="Diferenciado",$H$4=#REF!),BDI!#REF!,IF(#REF!="ZERO",0))))),"")</f>
        <v>#REF!</v>
      </c>
      <c r="H1830" s="139" t="str">
        <f t="shared" si="94"/>
        <v/>
      </c>
      <c r="I1830" s="137" t="str">
        <f t="shared" si="95"/>
        <v/>
      </c>
      <c r="J1830" s="117"/>
    </row>
    <row r="1831" spans="1:10" hidden="1" x14ac:dyDescent="0.25">
      <c r="A1831" s="114" t="s">
        <v>4615</v>
      </c>
      <c r="B1831" s="115" t="s">
        <v>3563</v>
      </c>
      <c r="C1831" s="116" t="s">
        <v>16</v>
      </c>
      <c r="D1831" s="116">
        <v>0</v>
      </c>
      <c r="E1831" s="136">
        <f ca="1">OFFSET(INDEX(Composições!A:J,MATCH(Orçamentária!A1831,Composições!A:A,0),8),2,0)</f>
        <v>4.1040000000000001</v>
      </c>
      <c r="F1831" s="137">
        <f t="shared" ca="1" si="93"/>
        <v>0</v>
      </c>
      <c r="G1831" s="138" t="e">
        <f>IF(A1831&lt;&gt;"",IF(AND(#REF!="Padrão",$H$4=#REF!),BDI!$B$17,IF(AND(#REF!="Padrão",$H$4=#REF!),BDI!#REF!,IF(AND(#REF!="Diferenciado",$H$4=#REF!),BDI!$E$17,IF(AND(#REF!="Diferenciado",$H$4=#REF!),BDI!#REF!,IF(#REF!="ZERO",0))))),"")</f>
        <v>#REF!</v>
      </c>
      <c r="H1831" s="139" t="e">
        <f t="shared" ca="1" si="94"/>
        <v>#REF!</v>
      </c>
      <c r="I1831" s="137" t="e">
        <f t="shared" ca="1" si="95"/>
        <v>#REF!</v>
      </c>
      <c r="J1831" s="117"/>
    </row>
    <row r="1832" spans="1:10" hidden="1" x14ac:dyDescent="0.25">
      <c r="A1832" s="114" t="s">
        <v>4616</v>
      </c>
      <c r="B1832" s="115" t="s">
        <v>3564</v>
      </c>
      <c r="C1832" s="116" t="s">
        <v>16</v>
      </c>
      <c r="D1832" s="116">
        <v>0</v>
      </c>
      <c r="E1832" s="136">
        <f ca="1">OFFSET(INDEX(Composições!A:J,MATCH(Orçamentária!A1832,Composições!A:A,0),8),2,0)</f>
        <v>1.7859999999999998</v>
      </c>
      <c r="F1832" s="137">
        <f t="shared" ca="1" si="93"/>
        <v>0</v>
      </c>
      <c r="G1832" s="138" t="e">
        <f>IF(A1832&lt;&gt;"",IF(AND(#REF!="Padrão",$H$4=#REF!),BDI!$B$17,IF(AND(#REF!="Padrão",$H$4=#REF!),BDI!#REF!,IF(AND(#REF!="Diferenciado",$H$4=#REF!),BDI!$E$17,IF(AND(#REF!="Diferenciado",$H$4=#REF!),BDI!#REF!,IF(#REF!="ZERO",0))))),"")</f>
        <v>#REF!</v>
      </c>
      <c r="H1832" s="139" t="e">
        <f t="shared" ca="1" si="94"/>
        <v>#REF!</v>
      </c>
      <c r="I1832" s="137" t="e">
        <f t="shared" ca="1" si="95"/>
        <v>#REF!</v>
      </c>
      <c r="J1832" s="117"/>
    </row>
    <row r="1833" spans="1:10" hidden="1" x14ac:dyDescent="0.25">
      <c r="A1833" s="114" t="s">
        <v>4617</v>
      </c>
      <c r="B1833" s="115" t="s">
        <v>3565</v>
      </c>
      <c r="C1833" s="116" t="s">
        <v>16</v>
      </c>
      <c r="D1833" s="116">
        <v>0</v>
      </c>
      <c r="E1833" s="136">
        <f ca="1">OFFSET(INDEX(Composições!A:J,MATCH(Orçamentária!A1833,Composições!A:A,0),8),2,0)</f>
        <v>8.4169999999999998</v>
      </c>
      <c r="F1833" s="137">
        <f t="shared" ca="1" si="93"/>
        <v>0</v>
      </c>
      <c r="G1833" s="138" t="e">
        <f>IF(A1833&lt;&gt;"",IF(AND(#REF!="Padrão",$H$4=#REF!),BDI!$B$17,IF(AND(#REF!="Padrão",$H$4=#REF!),BDI!#REF!,IF(AND(#REF!="Diferenciado",$H$4=#REF!),BDI!$E$17,IF(AND(#REF!="Diferenciado",$H$4=#REF!),BDI!#REF!,IF(#REF!="ZERO",0))))),"")</f>
        <v>#REF!</v>
      </c>
      <c r="H1833" s="139" t="e">
        <f t="shared" ca="1" si="94"/>
        <v>#REF!</v>
      </c>
      <c r="I1833" s="137" t="e">
        <f t="shared" ca="1" si="95"/>
        <v>#REF!</v>
      </c>
      <c r="J1833" s="117"/>
    </row>
    <row r="1834" spans="1:10" hidden="1" x14ac:dyDescent="0.25">
      <c r="A1834" s="114" t="s">
        <v>4618</v>
      </c>
      <c r="B1834" s="115" t="s">
        <v>3566</v>
      </c>
      <c r="C1834" s="116" t="s">
        <v>16</v>
      </c>
      <c r="D1834" s="116">
        <v>0</v>
      </c>
      <c r="E1834" s="136">
        <f ca="1">OFFSET(INDEX(Composições!A:J,MATCH(Orçamentária!A1834,Composições!A:A,0),8),2,0)</f>
        <v>1.748</v>
      </c>
      <c r="F1834" s="137">
        <f t="shared" ca="1" si="93"/>
        <v>0</v>
      </c>
      <c r="G1834" s="138" t="e">
        <f>IF(A1834&lt;&gt;"",IF(AND(#REF!="Padrão",$H$4=#REF!),BDI!$B$17,IF(AND(#REF!="Padrão",$H$4=#REF!),BDI!#REF!,IF(AND(#REF!="Diferenciado",$H$4=#REF!),BDI!$E$17,IF(AND(#REF!="Diferenciado",$H$4=#REF!),BDI!#REF!,IF(#REF!="ZERO",0))))),"")</f>
        <v>#REF!</v>
      </c>
      <c r="H1834" s="139" t="e">
        <f t="shared" ca="1" si="94"/>
        <v>#REF!</v>
      </c>
      <c r="I1834" s="137" t="e">
        <f t="shared" ca="1" si="95"/>
        <v>#REF!</v>
      </c>
      <c r="J1834" s="117"/>
    </row>
    <row r="1835" spans="1:10" hidden="1" x14ac:dyDescent="0.25">
      <c r="A1835" s="114" t="s">
        <v>4619</v>
      </c>
      <c r="B1835" s="115" t="s">
        <v>3567</v>
      </c>
      <c r="C1835" s="116" t="s">
        <v>16</v>
      </c>
      <c r="D1835" s="116">
        <v>0</v>
      </c>
      <c r="E1835" s="136" t="s">
        <v>416</v>
      </c>
      <c r="F1835" s="137" t="str">
        <f t="shared" si="93"/>
        <v/>
      </c>
      <c r="G1835" s="138" t="e">
        <f>IF(A1835&lt;&gt;"",IF(AND(#REF!="Padrão",$H$4=#REF!),BDI!$B$17,IF(AND(#REF!="Padrão",$H$4=#REF!),BDI!#REF!,IF(AND(#REF!="Diferenciado",$H$4=#REF!),BDI!$E$17,IF(AND(#REF!="Diferenciado",$H$4=#REF!),BDI!#REF!,IF(#REF!="ZERO",0))))),"")</f>
        <v>#REF!</v>
      </c>
      <c r="H1835" s="139" t="str">
        <f t="shared" si="94"/>
        <v/>
      </c>
      <c r="I1835" s="137" t="str">
        <f t="shared" si="95"/>
        <v/>
      </c>
      <c r="J1835" s="117"/>
    </row>
    <row r="1836" spans="1:10" hidden="1" x14ac:dyDescent="0.25">
      <c r="A1836" s="114" t="s">
        <v>4620</v>
      </c>
      <c r="B1836" s="115" t="s">
        <v>3568</v>
      </c>
      <c r="C1836" s="116" t="s">
        <v>16</v>
      </c>
      <c r="D1836" s="116">
        <v>0</v>
      </c>
      <c r="E1836" s="136">
        <f ca="1">OFFSET(INDEX(Composições!A:J,MATCH(Orçamentária!A1836,Composições!A:A,0),8),2,0)</f>
        <v>4.6360000000000001</v>
      </c>
      <c r="F1836" s="137">
        <f t="shared" ca="1" si="93"/>
        <v>0</v>
      </c>
      <c r="G1836" s="138" t="e">
        <f>IF(A1836&lt;&gt;"",IF(AND(#REF!="Padrão",$H$4=#REF!),BDI!$B$17,IF(AND(#REF!="Padrão",$H$4=#REF!),BDI!#REF!,IF(AND(#REF!="Diferenciado",$H$4=#REF!),BDI!$E$17,IF(AND(#REF!="Diferenciado",$H$4=#REF!),BDI!#REF!,IF(#REF!="ZERO",0))))),"")</f>
        <v>#REF!</v>
      </c>
      <c r="H1836" s="139" t="e">
        <f t="shared" ca="1" si="94"/>
        <v>#REF!</v>
      </c>
      <c r="I1836" s="137" t="e">
        <f t="shared" ca="1" si="95"/>
        <v>#REF!</v>
      </c>
      <c r="J1836" s="117"/>
    </row>
    <row r="1837" spans="1:10" hidden="1" x14ac:dyDescent="0.25">
      <c r="A1837" s="114" t="s">
        <v>4621</v>
      </c>
      <c r="B1837" s="115" t="s">
        <v>3569</v>
      </c>
      <c r="C1837" s="116" t="s">
        <v>16</v>
      </c>
      <c r="D1837" s="116">
        <v>0</v>
      </c>
      <c r="E1837" s="136">
        <f ca="1">OFFSET(INDEX(Composições!A:J,MATCH(Orçamentária!A1837,Composições!A:A,0),8),2,0)</f>
        <v>3.1825000000000001</v>
      </c>
      <c r="F1837" s="137">
        <f t="shared" ref="F1837:F1900" ca="1" si="96">IF(ISNUMBER(E1837),D1837*E1837,"")</f>
        <v>0</v>
      </c>
      <c r="G1837" s="138" t="e">
        <f>IF(A1837&lt;&gt;"",IF(AND(#REF!="Padrão",$H$4=#REF!),BDI!$B$17,IF(AND(#REF!="Padrão",$H$4=#REF!),BDI!#REF!,IF(AND(#REF!="Diferenciado",$H$4=#REF!),BDI!$E$17,IF(AND(#REF!="Diferenciado",$H$4=#REF!),BDI!#REF!,IF(#REF!="ZERO",0))))),"")</f>
        <v>#REF!</v>
      </c>
      <c r="H1837" s="139" t="e">
        <f t="shared" ref="H1837:H1900" ca="1" si="97">IF(ISNUMBER(E1837),ROUND(E1837*(1+G1837),2),"")</f>
        <v>#REF!</v>
      </c>
      <c r="I1837" s="137" t="e">
        <f t="shared" ref="I1837:I1900" ca="1" si="98">IF(ISNUMBER(E1837),ROUND(H1837*D1837,2),"")</f>
        <v>#REF!</v>
      </c>
      <c r="J1837" s="117"/>
    </row>
    <row r="1838" spans="1:10" hidden="1" x14ac:dyDescent="0.25">
      <c r="A1838" s="114" t="s">
        <v>4622</v>
      </c>
      <c r="B1838" s="115" t="s">
        <v>3570</v>
      </c>
      <c r="C1838" s="116" t="s">
        <v>16</v>
      </c>
      <c r="D1838" s="116">
        <v>0</v>
      </c>
      <c r="E1838" s="136">
        <f ca="1">OFFSET(INDEX(Composições!A:J,MATCH(Orçamentária!A1838,Composições!A:A,0),8),2,0)</f>
        <v>10.1175</v>
      </c>
      <c r="F1838" s="137">
        <f t="shared" ca="1" si="96"/>
        <v>0</v>
      </c>
      <c r="G1838" s="138" t="e">
        <f>IF(A1838&lt;&gt;"",IF(AND(#REF!="Padrão",$H$4=#REF!),BDI!$B$17,IF(AND(#REF!="Padrão",$H$4=#REF!),BDI!#REF!,IF(AND(#REF!="Diferenciado",$H$4=#REF!),BDI!$E$17,IF(AND(#REF!="Diferenciado",$H$4=#REF!),BDI!#REF!,IF(#REF!="ZERO",0))))),"")</f>
        <v>#REF!</v>
      </c>
      <c r="H1838" s="139" t="e">
        <f t="shared" ca="1" si="97"/>
        <v>#REF!</v>
      </c>
      <c r="I1838" s="137" t="e">
        <f t="shared" ca="1" si="98"/>
        <v>#REF!</v>
      </c>
      <c r="J1838" s="117"/>
    </row>
    <row r="1839" spans="1:10" hidden="1" x14ac:dyDescent="0.25">
      <c r="A1839" s="114" t="s">
        <v>4623</v>
      </c>
      <c r="B1839" s="115" t="s">
        <v>3571</v>
      </c>
      <c r="C1839" s="116" t="s">
        <v>16</v>
      </c>
      <c r="D1839" s="116">
        <v>0</v>
      </c>
      <c r="E1839" s="136">
        <f ca="1">OFFSET(INDEX(Composições!A:J,MATCH(Orçamentária!A1839,Composições!A:A,0),8),2,0)</f>
        <v>2.0329999999999999</v>
      </c>
      <c r="F1839" s="137">
        <f t="shared" ca="1" si="96"/>
        <v>0</v>
      </c>
      <c r="G1839" s="138" t="e">
        <f>IF(A1839&lt;&gt;"",IF(AND(#REF!="Padrão",$H$4=#REF!),BDI!$B$17,IF(AND(#REF!="Padrão",$H$4=#REF!),BDI!#REF!,IF(AND(#REF!="Diferenciado",$H$4=#REF!),BDI!$E$17,IF(AND(#REF!="Diferenciado",$H$4=#REF!),BDI!#REF!,IF(#REF!="ZERO",0))))),"")</f>
        <v>#REF!</v>
      </c>
      <c r="H1839" s="139" t="e">
        <f t="shared" ca="1" si="97"/>
        <v>#REF!</v>
      </c>
      <c r="I1839" s="137" t="e">
        <f t="shared" ca="1" si="98"/>
        <v>#REF!</v>
      </c>
      <c r="J1839" s="117"/>
    </row>
    <row r="1840" spans="1:10" hidden="1" x14ac:dyDescent="0.25">
      <c r="A1840" s="114" t="s">
        <v>4624</v>
      </c>
      <c r="B1840" s="115" t="s">
        <v>3572</v>
      </c>
      <c r="C1840" s="116" t="s">
        <v>16</v>
      </c>
      <c r="D1840" s="116">
        <v>0</v>
      </c>
      <c r="E1840" s="136" t="s">
        <v>416</v>
      </c>
      <c r="F1840" s="137" t="str">
        <f t="shared" si="96"/>
        <v/>
      </c>
      <c r="G1840" s="138" t="e">
        <f>IF(A1840&lt;&gt;"",IF(AND(#REF!="Padrão",$H$4=#REF!),BDI!$B$17,IF(AND(#REF!="Padrão",$H$4=#REF!),BDI!#REF!,IF(AND(#REF!="Diferenciado",$H$4=#REF!),BDI!$E$17,IF(AND(#REF!="Diferenciado",$H$4=#REF!),BDI!#REF!,IF(#REF!="ZERO",0))))),"")</f>
        <v>#REF!</v>
      </c>
      <c r="H1840" s="139" t="str">
        <f t="shared" si="97"/>
        <v/>
      </c>
      <c r="I1840" s="137" t="str">
        <f t="shared" si="98"/>
        <v/>
      </c>
      <c r="J1840" s="117"/>
    </row>
    <row r="1841" spans="1:10" hidden="1" x14ac:dyDescent="0.25">
      <c r="A1841" s="114" t="s">
        <v>4625</v>
      </c>
      <c r="B1841" s="115" t="s">
        <v>3573</v>
      </c>
      <c r="C1841" s="116" t="s">
        <v>16</v>
      </c>
      <c r="D1841" s="116">
        <v>0</v>
      </c>
      <c r="E1841" s="136">
        <f ca="1">OFFSET(INDEX(Composições!A:J,MATCH(Orçamentária!A1841,Composições!A:A,0),8),2,0)</f>
        <v>6.3079999999999998</v>
      </c>
      <c r="F1841" s="137">
        <f t="shared" ca="1" si="96"/>
        <v>0</v>
      </c>
      <c r="G1841" s="138" t="e">
        <f>IF(A1841&lt;&gt;"",IF(AND(#REF!="Padrão",$H$4=#REF!),BDI!$B$17,IF(AND(#REF!="Padrão",$H$4=#REF!),BDI!#REF!,IF(AND(#REF!="Diferenciado",$H$4=#REF!),BDI!$E$17,IF(AND(#REF!="Diferenciado",$H$4=#REF!),BDI!#REF!,IF(#REF!="ZERO",0))))),"")</f>
        <v>#REF!</v>
      </c>
      <c r="H1841" s="139" t="e">
        <f t="shared" ca="1" si="97"/>
        <v>#REF!</v>
      </c>
      <c r="I1841" s="137" t="e">
        <f t="shared" ca="1" si="98"/>
        <v>#REF!</v>
      </c>
      <c r="J1841" s="117"/>
    </row>
    <row r="1842" spans="1:10" hidden="1" x14ac:dyDescent="0.25">
      <c r="A1842" s="114" t="s">
        <v>4626</v>
      </c>
      <c r="B1842" s="115" t="s">
        <v>3574</v>
      </c>
      <c r="C1842" s="116" t="s">
        <v>16</v>
      </c>
      <c r="D1842" s="116">
        <v>0</v>
      </c>
      <c r="E1842" s="136">
        <f ca="1">OFFSET(INDEX(Composições!A:J,MATCH(Orçamentária!A1842,Composições!A:A,0),8),2,0)</f>
        <v>4.4649999999999999</v>
      </c>
      <c r="F1842" s="137">
        <f t="shared" ca="1" si="96"/>
        <v>0</v>
      </c>
      <c r="G1842" s="138" t="e">
        <f>IF(A1842&lt;&gt;"",IF(AND(#REF!="Padrão",$H$4=#REF!),BDI!$B$17,IF(AND(#REF!="Padrão",$H$4=#REF!),BDI!#REF!,IF(AND(#REF!="Diferenciado",$H$4=#REF!),BDI!$E$17,IF(AND(#REF!="Diferenciado",$H$4=#REF!),BDI!#REF!,IF(#REF!="ZERO",0))))),"")</f>
        <v>#REF!</v>
      </c>
      <c r="H1842" s="139" t="e">
        <f t="shared" ca="1" si="97"/>
        <v>#REF!</v>
      </c>
      <c r="I1842" s="137" t="e">
        <f t="shared" ca="1" si="98"/>
        <v>#REF!</v>
      </c>
      <c r="J1842" s="117"/>
    </row>
    <row r="1843" spans="1:10" hidden="1" x14ac:dyDescent="0.25">
      <c r="A1843" s="114" t="s">
        <v>4627</v>
      </c>
      <c r="B1843" s="115" t="s">
        <v>3575</v>
      </c>
      <c r="C1843" s="116" t="s">
        <v>16</v>
      </c>
      <c r="D1843" s="116">
        <v>0</v>
      </c>
      <c r="E1843" s="136">
        <f ca="1">OFFSET(INDEX(Composições!A:J,MATCH(Orçamentária!A1843,Composições!A:A,0),8),2,0)</f>
        <v>12.597</v>
      </c>
      <c r="F1843" s="137">
        <f t="shared" ca="1" si="96"/>
        <v>0</v>
      </c>
      <c r="G1843" s="138" t="e">
        <f>IF(A1843&lt;&gt;"",IF(AND(#REF!="Padrão",$H$4=#REF!),BDI!$B$17,IF(AND(#REF!="Padrão",$H$4=#REF!),BDI!#REF!,IF(AND(#REF!="Diferenciado",$H$4=#REF!),BDI!$E$17,IF(AND(#REF!="Diferenciado",$H$4=#REF!),BDI!#REF!,IF(#REF!="ZERO",0))))),"")</f>
        <v>#REF!</v>
      </c>
      <c r="H1843" s="139" t="e">
        <f t="shared" ca="1" si="97"/>
        <v>#REF!</v>
      </c>
      <c r="I1843" s="137" t="e">
        <f t="shared" ca="1" si="98"/>
        <v>#REF!</v>
      </c>
      <c r="J1843" s="117"/>
    </row>
    <row r="1844" spans="1:10" hidden="1" x14ac:dyDescent="0.25">
      <c r="A1844" s="114" t="s">
        <v>4628</v>
      </c>
      <c r="B1844" s="115" t="s">
        <v>3576</v>
      </c>
      <c r="C1844" s="116" t="s">
        <v>16</v>
      </c>
      <c r="D1844" s="116">
        <v>0</v>
      </c>
      <c r="E1844" s="136">
        <f ca="1">OFFSET(INDEX(Composições!A:J,MATCH(Orçamentária!A1844,Composições!A:A,0),8),2,0)</f>
        <v>3.61</v>
      </c>
      <c r="F1844" s="137">
        <f t="shared" ca="1" si="96"/>
        <v>0</v>
      </c>
      <c r="G1844" s="138" t="e">
        <f>IF(A1844&lt;&gt;"",IF(AND(#REF!="Padrão",$H$4=#REF!),BDI!$B$17,IF(AND(#REF!="Padrão",$H$4=#REF!),BDI!#REF!,IF(AND(#REF!="Diferenciado",$H$4=#REF!),BDI!$E$17,IF(AND(#REF!="Diferenciado",$H$4=#REF!),BDI!#REF!,IF(#REF!="ZERO",0))))),"")</f>
        <v>#REF!</v>
      </c>
      <c r="H1844" s="139" t="e">
        <f t="shared" ca="1" si="97"/>
        <v>#REF!</v>
      </c>
      <c r="I1844" s="137" t="e">
        <f t="shared" ca="1" si="98"/>
        <v>#REF!</v>
      </c>
      <c r="J1844" s="117"/>
    </row>
    <row r="1845" spans="1:10" hidden="1" x14ac:dyDescent="0.25">
      <c r="A1845" s="114" t="s">
        <v>4629</v>
      </c>
      <c r="B1845" s="115" t="s">
        <v>3577</v>
      </c>
      <c r="C1845" s="116" t="s">
        <v>16</v>
      </c>
      <c r="D1845" s="116">
        <v>0</v>
      </c>
      <c r="E1845" s="136" t="s">
        <v>416</v>
      </c>
      <c r="F1845" s="137" t="str">
        <f t="shared" si="96"/>
        <v/>
      </c>
      <c r="G1845" s="138" t="e">
        <f>IF(A1845&lt;&gt;"",IF(AND(#REF!="Padrão",$H$4=#REF!),BDI!$B$17,IF(AND(#REF!="Padrão",$H$4=#REF!),BDI!#REF!,IF(AND(#REF!="Diferenciado",$H$4=#REF!),BDI!$E$17,IF(AND(#REF!="Diferenciado",$H$4=#REF!),BDI!#REF!,IF(#REF!="ZERO",0))))),"")</f>
        <v>#REF!</v>
      </c>
      <c r="H1845" s="139" t="str">
        <f t="shared" si="97"/>
        <v/>
      </c>
      <c r="I1845" s="137" t="str">
        <f t="shared" si="98"/>
        <v/>
      </c>
      <c r="J1845" s="117"/>
    </row>
    <row r="1846" spans="1:10" hidden="1" x14ac:dyDescent="0.25">
      <c r="A1846" s="114" t="s">
        <v>4630</v>
      </c>
      <c r="B1846" s="115" t="s">
        <v>3578</v>
      </c>
      <c r="C1846" s="116" t="s">
        <v>16</v>
      </c>
      <c r="D1846" s="116">
        <v>0</v>
      </c>
      <c r="E1846" s="136">
        <f ca="1">OFFSET(INDEX(Composições!A:J,MATCH(Orçamentária!A1846,Composições!A:A,0),8),2,0)</f>
        <v>14.363999999999999</v>
      </c>
      <c r="F1846" s="137">
        <f t="shared" ca="1" si="96"/>
        <v>0</v>
      </c>
      <c r="G1846" s="138" t="e">
        <f>IF(A1846&lt;&gt;"",IF(AND(#REF!="Padrão",$H$4=#REF!),BDI!$B$17,IF(AND(#REF!="Padrão",$H$4=#REF!),BDI!#REF!,IF(AND(#REF!="Diferenciado",$H$4=#REF!),BDI!$E$17,IF(AND(#REF!="Diferenciado",$H$4=#REF!),BDI!#REF!,IF(#REF!="ZERO",0))))),"")</f>
        <v>#REF!</v>
      </c>
      <c r="H1846" s="139" t="e">
        <f t="shared" ca="1" si="97"/>
        <v>#REF!</v>
      </c>
      <c r="I1846" s="137" t="e">
        <f t="shared" ca="1" si="98"/>
        <v>#REF!</v>
      </c>
      <c r="J1846" s="117"/>
    </row>
    <row r="1847" spans="1:10" hidden="1" x14ac:dyDescent="0.25">
      <c r="A1847" s="114" t="s">
        <v>4631</v>
      </c>
      <c r="B1847" s="115" t="s">
        <v>3579</v>
      </c>
      <c r="C1847" s="116" t="s">
        <v>16</v>
      </c>
      <c r="D1847" s="116">
        <v>0</v>
      </c>
      <c r="E1847" s="136">
        <f ca="1">OFFSET(INDEX(Composições!A:J,MATCH(Orçamentária!A1847,Composições!A:A,0),8),2,0)</f>
        <v>6.9729999999999999</v>
      </c>
      <c r="F1847" s="137">
        <f t="shared" ca="1" si="96"/>
        <v>0</v>
      </c>
      <c r="G1847" s="138" t="e">
        <f>IF(A1847&lt;&gt;"",IF(AND(#REF!="Padrão",$H$4=#REF!),BDI!$B$17,IF(AND(#REF!="Padrão",$H$4=#REF!),BDI!#REF!,IF(AND(#REF!="Diferenciado",$H$4=#REF!),BDI!$E$17,IF(AND(#REF!="Diferenciado",$H$4=#REF!),BDI!#REF!,IF(#REF!="ZERO",0))))),"")</f>
        <v>#REF!</v>
      </c>
      <c r="H1847" s="139" t="e">
        <f t="shared" ca="1" si="97"/>
        <v>#REF!</v>
      </c>
      <c r="I1847" s="137" t="e">
        <f t="shared" ca="1" si="98"/>
        <v>#REF!</v>
      </c>
      <c r="J1847" s="117"/>
    </row>
    <row r="1848" spans="1:10" hidden="1" x14ac:dyDescent="0.25">
      <c r="A1848" s="114" t="s">
        <v>4632</v>
      </c>
      <c r="B1848" s="115" t="s">
        <v>3580</v>
      </c>
      <c r="C1848" s="116" t="s">
        <v>16</v>
      </c>
      <c r="D1848" s="116">
        <v>0</v>
      </c>
      <c r="E1848" s="136">
        <f ca="1">OFFSET(INDEX(Composições!A:J,MATCH(Orçamentária!A1848,Composições!A:A,0),8),2,0)</f>
        <v>19.494</v>
      </c>
      <c r="F1848" s="137">
        <f t="shared" ca="1" si="96"/>
        <v>0</v>
      </c>
      <c r="G1848" s="138" t="e">
        <f>IF(A1848&lt;&gt;"",IF(AND(#REF!="Padrão",$H$4=#REF!),BDI!$B$17,IF(AND(#REF!="Padrão",$H$4=#REF!),BDI!#REF!,IF(AND(#REF!="Diferenciado",$H$4=#REF!),BDI!$E$17,IF(AND(#REF!="Diferenciado",$H$4=#REF!),BDI!#REF!,IF(#REF!="ZERO",0))))),"")</f>
        <v>#REF!</v>
      </c>
      <c r="H1848" s="139" t="e">
        <f t="shared" ca="1" si="97"/>
        <v>#REF!</v>
      </c>
      <c r="I1848" s="137" t="e">
        <f t="shared" ca="1" si="98"/>
        <v>#REF!</v>
      </c>
      <c r="J1848" s="117"/>
    </row>
    <row r="1849" spans="1:10" hidden="1" x14ac:dyDescent="0.25">
      <c r="A1849" s="114" t="s">
        <v>4633</v>
      </c>
      <c r="B1849" s="115" t="s">
        <v>3581</v>
      </c>
      <c r="C1849" s="116" t="s">
        <v>16</v>
      </c>
      <c r="D1849" s="116">
        <v>0</v>
      </c>
      <c r="E1849" s="136">
        <f ca="1">OFFSET(INDEX(Composições!A:J,MATCH(Orçamentária!A1849,Composições!A:A,0),8),2,0)</f>
        <v>5.2249999999999996</v>
      </c>
      <c r="F1849" s="137">
        <f t="shared" ca="1" si="96"/>
        <v>0</v>
      </c>
      <c r="G1849" s="138" t="e">
        <f>IF(A1849&lt;&gt;"",IF(AND(#REF!="Padrão",$H$4=#REF!),BDI!$B$17,IF(AND(#REF!="Padrão",$H$4=#REF!),BDI!#REF!,IF(AND(#REF!="Diferenciado",$H$4=#REF!),BDI!$E$17,IF(AND(#REF!="Diferenciado",$H$4=#REF!),BDI!#REF!,IF(#REF!="ZERO",0))))),"")</f>
        <v>#REF!</v>
      </c>
      <c r="H1849" s="139" t="e">
        <f t="shared" ca="1" si="97"/>
        <v>#REF!</v>
      </c>
      <c r="I1849" s="137" t="e">
        <f t="shared" ca="1" si="98"/>
        <v>#REF!</v>
      </c>
      <c r="J1849" s="117"/>
    </row>
    <row r="1850" spans="1:10" hidden="1" x14ac:dyDescent="0.25">
      <c r="A1850" s="114" t="s">
        <v>4634</v>
      </c>
      <c r="B1850" s="115" t="s">
        <v>3582</v>
      </c>
      <c r="C1850" s="116" t="s">
        <v>16</v>
      </c>
      <c r="D1850" s="116">
        <v>0</v>
      </c>
      <c r="E1850" s="136" t="s">
        <v>416</v>
      </c>
      <c r="F1850" s="137" t="str">
        <f t="shared" si="96"/>
        <v/>
      </c>
      <c r="G1850" s="138" t="e">
        <f>IF(A1850&lt;&gt;"",IF(AND(#REF!="Padrão",$H$4=#REF!),BDI!$B$17,IF(AND(#REF!="Padrão",$H$4=#REF!),BDI!#REF!,IF(AND(#REF!="Diferenciado",$H$4=#REF!),BDI!$E$17,IF(AND(#REF!="Diferenciado",$H$4=#REF!),BDI!#REF!,IF(#REF!="ZERO",0))))),"")</f>
        <v>#REF!</v>
      </c>
      <c r="H1850" s="139" t="str">
        <f t="shared" si="97"/>
        <v/>
      </c>
      <c r="I1850" s="137" t="str">
        <f t="shared" si="98"/>
        <v/>
      </c>
      <c r="J1850" s="117"/>
    </row>
    <row r="1851" spans="1:10" hidden="1" x14ac:dyDescent="0.25">
      <c r="A1851" s="114" t="s">
        <v>4635</v>
      </c>
      <c r="B1851" s="115" t="s">
        <v>3583</v>
      </c>
      <c r="C1851" s="116" t="s">
        <v>16</v>
      </c>
      <c r="D1851" s="116">
        <v>0</v>
      </c>
      <c r="E1851" s="136">
        <f ca="1">OFFSET(INDEX(Composições!A:J,MATCH(Orçamentária!A1851,Composições!A:A,0),8),2,0)</f>
        <v>17.518000000000001</v>
      </c>
      <c r="F1851" s="137">
        <f t="shared" ca="1" si="96"/>
        <v>0</v>
      </c>
      <c r="G1851" s="138" t="e">
        <f>IF(A1851&lt;&gt;"",IF(AND(#REF!="Padrão",$H$4=#REF!),BDI!$B$17,IF(AND(#REF!="Padrão",$H$4=#REF!),BDI!#REF!,IF(AND(#REF!="Diferenciado",$H$4=#REF!),BDI!$E$17,IF(AND(#REF!="Diferenciado",$H$4=#REF!),BDI!#REF!,IF(#REF!="ZERO",0))))),"")</f>
        <v>#REF!</v>
      </c>
      <c r="H1851" s="139" t="e">
        <f t="shared" ca="1" si="97"/>
        <v>#REF!</v>
      </c>
      <c r="I1851" s="137" t="e">
        <f t="shared" ca="1" si="98"/>
        <v>#REF!</v>
      </c>
      <c r="J1851" s="117"/>
    </row>
    <row r="1852" spans="1:10" hidden="1" x14ac:dyDescent="0.25">
      <c r="A1852" s="114" t="s">
        <v>4636</v>
      </c>
      <c r="B1852" s="115" t="s">
        <v>3584</v>
      </c>
      <c r="C1852" s="116" t="s">
        <v>16</v>
      </c>
      <c r="D1852" s="116">
        <v>0</v>
      </c>
      <c r="E1852" s="136">
        <f ca="1">OFFSET(INDEX(Composições!A:J,MATCH(Orçamentária!A1852,Composições!A:A,0),8),2,0)</f>
        <v>7.7330000000000005</v>
      </c>
      <c r="F1852" s="137">
        <f t="shared" ca="1" si="96"/>
        <v>0</v>
      </c>
      <c r="G1852" s="138" t="e">
        <f>IF(A1852&lt;&gt;"",IF(AND(#REF!="Padrão",$H$4=#REF!),BDI!$B$17,IF(AND(#REF!="Padrão",$H$4=#REF!),BDI!#REF!,IF(AND(#REF!="Diferenciado",$H$4=#REF!),BDI!$E$17,IF(AND(#REF!="Diferenciado",$H$4=#REF!),BDI!#REF!,IF(#REF!="ZERO",0))))),"")</f>
        <v>#REF!</v>
      </c>
      <c r="H1852" s="139" t="e">
        <f t="shared" ca="1" si="97"/>
        <v>#REF!</v>
      </c>
      <c r="I1852" s="137" t="e">
        <f t="shared" ca="1" si="98"/>
        <v>#REF!</v>
      </c>
      <c r="J1852" s="117"/>
    </row>
    <row r="1853" spans="1:10" hidden="1" x14ac:dyDescent="0.25">
      <c r="A1853" s="114" t="s">
        <v>4637</v>
      </c>
      <c r="B1853" s="115" t="s">
        <v>3585</v>
      </c>
      <c r="C1853" s="116" t="s">
        <v>16</v>
      </c>
      <c r="D1853" s="116">
        <v>0</v>
      </c>
      <c r="E1853" s="136">
        <f ca="1">OFFSET(INDEX(Composições!A:J,MATCH(Orçamentária!A1853,Composições!A:A,0),8),2,0)</f>
        <v>39.500999999999998</v>
      </c>
      <c r="F1853" s="137">
        <f t="shared" ca="1" si="96"/>
        <v>0</v>
      </c>
      <c r="G1853" s="138" t="e">
        <f>IF(A1853&lt;&gt;"",IF(AND(#REF!="Padrão",$H$4=#REF!),BDI!$B$17,IF(AND(#REF!="Padrão",$H$4=#REF!),BDI!#REF!,IF(AND(#REF!="Diferenciado",$H$4=#REF!),BDI!$E$17,IF(AND(#REF!="Diferenciado",$H$4=#REF!),BDI!#REF!,IF(#REF!="ZERO",0))))),"")</f>
        <v>#REF!</v>
      </c>
      <c r="H1853" s="139" t="e">
        <f t="shared" ca="1" si="97"/>
        <v>#REF!</v>
      </c>
      <c r="I1853" s="137" t="e">
        <f t="shared" ca="1" si="98"/>
        <v>#REF!</v>
      </c>
      <c r="J1853" s="117"/>
    </row>
    <row r="1854" spans="1:10" hidden="1" x14ac:dyDescent="0.25">
      <c r="A1854" s="114" t="s">
        <v>4638</v>
      </c>
      <c r="B1854" s="115" t="s">
        <v>3586</v>
      </c>
      <c r="C1854" s="116" t="s">
        <v>16</v>
      </c>
      <c r="D1854" s="116">
        <v>0</v>
      </c>
      <c r="E1854" s="136">
        <f ca="1">OFFSET(INDEX(Composições!A:J,MATCH(Orçamentária!A1854,Composições!A:A,0),8),2,0)</f>
        <v>7.2770000000000001</v>
      </c>
      <c r="F1854" s="137">
        <f t="shared" ca="1" si="96"/>
        <v>0</v>
      </c>
      <c r="G1854" s="138" t="e">
        <f>IF(A1854&lt;&gt;"",IF(AND(#REF!="Padrão",$H$4=#REF!),BDI!$B$17,IF(AND(#REF!="Padrão",$H$4=#REF!),BDI!#REF!,IF(AND(#REF!="Diferenciado",$H$4=#REF!),BDI!$E$17,IF(AND(#REF!="Diferenciado",$H$4=#REF!),BDI!#REF!,IF(#REF!="ZERO",0))))),"")</f>
        <v>#REF!</v>
      </c>
      <c r="H1854" s="139" t="e">
        <f t="shared" ca="1" si="97"/>
        <v>#REF!</v>
      </c>
      <c r="I1854" s="137" t="e">
        <f t="shared" ca="1" si="98"/>
        <v>#REF!</v>
      </c>
      <c r="J1854" s="117"/>
    </row>
    <row r="1855" spans="1:10" hidden="1" x14ac:dyDescent="0.25">
      <c r="A1855" s="114" t="s">
        <v>4639</v>
      </c>
      <c r="B1855" s="115" t="s">
        <v>3587</v>
      </c>
      <c r="C1855" s="116" t="s">
        <v>16</v>
      </c>
      <c r="D1855" s="116">
        <v>0</v>
      </c>
      <c r="E1855" s="136" t="s">
        <v>416</v>
      </c>
      <c r="F1855" s="137" t="str">
        <f t="shared" si="96"/>
        <v/>
      </c>
      <c r="G1855" s="138" t="e">
        <f>IF(A1855&lt;&gt;"",IF(AND(#REF!="Padrão",$H$4=#REF!),BDI!$B$17,IF(AND(#REF!="Padrão",$H$4=#REF!),BDI!#REF!,IF(AND(#REF!="Diferenciado",$H$4=#REF!),BDI!$E$17,IF(AND(#REF!="Diferenciado",$H$4=#REF!),BDI!#REF!,IF(#REF!="ZERO",0))))),"")</f>
        <v>#REF!</v>
      </c>
      <c r="H1855" s="139" t="str">
        <f t="shared" si="97"/>
        <v/>
      </c>
      <c r="I1855" s="137" t="str">
        <f t="shared" si="98"/>
        <v/>
      </c>
      <c r="J1855" s="117"/>
    </row>
    <row r="1856" spans="1:10" hidden="1" x14ac:dyDescent="0.25">
      <c r="A1856" s="114" t="s">
        <v>4640</v>
      </c>
      <c r="B1856" s="115" t="s">
        <v>3588</v>
      </c>
      <c r="C1856" s="116" t="s">
        <v>16</v>
      </c>
      <c r="D1856" s="116">
        <v>0</v>
      </c>
      <c r="E1856" s="136">
        <f ca="1">OFFSET(INDEX(Composições!A:J,MATCH(Orçamentária!A1856,Composições!A:A,0),8),2,0)</f>
        <v>25.7165</v>
      </c>
      <c r="F1856" s="137">
        <f t="shared" ca="1" si="96"/>
        <v>0</v>
      </c>
      <c r="G1856" s="138" t="e">
        <f>IF(A1856&lt;&gt;"",IF(AND(#REF!="Padrão",$H$4=#REF!),BDI!$B$17,IF(AND(#REF!="Padrão",$H$4=#REF!),BDI!#REF!,IF(AND(#REF!="Diferenciado",$H$4=#REF!),BDI!$E$17,IF(AND(#REF!="Diferenciado",$H$4=#REF!),BDI!#REF!,IF(#REF!="ZERO",0))))),"")</f>
        <v>#REF!</v>
      </c>
      <c r="H1856" s="139" t="e">
        <f t="shared" ca="1" si="97"/>
        <v>#REF!</v>
      </c>
      <c r="I1856" s="137" t="e">
        <f t="shared" ca="1" si="98"/>
        <v>#REF!</v>
      </c>
      <c r="J1856" s="117"/>
    </row>
    <row r="1857" spans="1:10" hidden="1" x14ac:dyDescent="0.25">
      <c r="A1857" s="114" t="s">
        <v>4641</v>
      </c>
      <c r="B1857" s="115" t="s">
        <v>3589</v>
      </c>
      <c r="C1857" s="116" t="s">
        <v>16</v>
      </c>
      <c r="D1857" s="116">
        <v>0</v>
      </c>
      <c r="E1857" s="136" t="s">
        <v>416</v>
      </c>
      <c r="F1857" s="137" t="str">
        <f t="shared" si="96"/>
        <v/>
      </c>
      <c r="G1857" s="138" t="e">
        <f>IF(A1857&lt;&gt;"",IF(AND(#REF!="Padrão",$H$4=#REF!),BDI!$B$17,IF(AND(#REF!="Padrão",$H$4=#REF!),BDI!#REF!,IF(AND(#REF!="Diferenciado",$H$4=#REF!),BDI!$E$17,IF(AND(#REF!="Diferenciado",$H$4=#REF!),BDI!#REF!,IF(#REF!="ZERO",0))))),"")</f>
        <v>#REF!</v>
      </c>
      <c r="H1857" s="139" t="str">
        <f t="shared" si="97"/>
        <v/>
      </c>
      <c r="I1857" s="137" t="str">
        <f t="shared" si="98"/>
        <v/>
      </c>
      <c r="J1857" s="117"/>
    </row>
    <row r="1858" spans="1:10" hidden="1" x14ac:dyDescent="0.25">
      <c r="A1858" s="114" t="s">
        <v>4642</v>
      </c>
      <c r="B1858" s="115" t="s">
        <v>3590</v>
      </c>
      <c r="C1858" s="116" t="s">
        <v>16</v>
      </c>
      <c r="D1858" s="116">
        <v>0</v>
      </c>
      <c r="E1858" s="136">
        <f ca="1">OFFSET(INDEX(Composições!A:J,MATCH(Orçamentária!A1858,Composições!A:A,0),8),2,0)</f>
        <v>92.786500000000004</v>
      </c>
      <c r="F1858" s="137">
        <f t="shared" ca="1" si="96"/>
        <v>0</v>
      </c>
      <c r="G1858" s="138" t="e">
        <f>IF(A1858&lt;&gt;"",IF(AND(#REF!="Padrão",$H$4=#REF!),BDI!$B$17,IF(AND(#REF!="Padrão",$H$4=#REF!),BDI!#REF!,IF(AND(#REF!="Diferenciado",$H$4=#REF!),BDI!$E$17,IF(AND(#REF!="Diferenciado",$H$4=#REF!),BDI!#REF!,IF(#REF!="ZERO",0))))),"")</f>
        <v>#REF!</v>
      </c>
      <c r="H1858" s="139" t="e">
        <f t="shared" ca="1" si="97"/>
        <v>#REF!</v>
      </c>
      <c r="I1858" s="137" t="e">
        <f t="shared" ca="1" si="98"/>
        <v>#REF!</v>
      </c>
      <c r="J1858" s="117"/>
    </row>
    <row r="1859" spans="1:10" hidden="1" x14ac:dyDescent="0.25">
      <c r="A1859" s="114" t="s">
        <v>4643</v>
      </c>
      <c r="B1859" s="115" t="s">
        <v>3591</v>
      </c>
      <c r="C1859" s="116" t="s">
        <v>16</v>
      </c>
      <c r="D1859" s="116">
        <v>0</v>
      </c>
      <c r="E1859" s="136">
        <f ca="1">OFFSET(INDEX(Composições!A:J,MATCH(Orçamentária!A1859,Composições!A:A,0),8),2,0)</f>
        <v>10.620999999999999</v>
      </c>
      <c r="F1859" s="137">
        <f t="shared" ca="1" si="96"/>
        <v>0</v>
      </c>
      <c r="G1859" s="138" t="e">
        <f>IF(A1859&lt;&gt;"",IF(AND(#REF!="Padrão",$H$4=#REF!),BDI!$B$17,IF(AND(#REF!="Padrão",$H$4=#REF!),BDI!#REF!,IF(AND(#REF!="Diferenciado",$H$4=#REF!),BDI!$E$17,IF(AND(#REF!="Diferenciado",$H$4=#REF!),BDI!#REF!,IF(#REF!="ZERO",0))))),"")</f>
        <v>#REF!</v>
      </c>
      <c r="H1859" s="139" t="e">
        <f t="shared" ca="1" si="97"/>
        <v>#REF!</v>
      </c>
      <c r="I1859" s="137" t="e">
        <f t="shared" ca="1" si="98"/>
        <v>#REF!</v>
      </c>
      <c r="J1859" s="117"/>
    </row>
    <row r="1860" spans="1:10" hidden="1" x14ac:dyDescent="0.25">
      <c r="A1860" s="114" t="s">
        <v>4644</v>
      </c>
      <c r="B1860" s="115" t="s">
        <v>3592</v>
      </c>
      <c r="C1860" s="116" t="s">
        <v>16</v>
      </c>
      <c r="D1860" s="116">
        <v>0</v>
      </c>
      <c r="E1860" s="136" t="s">
        <v>416</v>
      </c>
      <c r="F1860" s="137" t="str">
        <f t="shared" si="96"/>
        <v/>
      </c>
      <c r="G1860" s="138" t="e">
        <f>IF(A1860&lt;&gt;"",IF(AND(#REF!="Padrão",$H$4=#REF!),BDI!$B$17,IF(AND(#REF!="Padrão",$H$4=#REF!),BDI!#REF!,IF(AND(#REF!="Diferenciado",$H$4=#REF!),BDI!$E$17,IF(AND(#REF!="Diferenciado",$H$4=#REF!),BDI!#REF!,IF(#REF!="ZERO",0))))),"")</f>
        <v>#REF!</v>
      </c>
      <c r="H1860" s="139" t="str">
        <f t="shared" si="97"/>
        <v/>
      </c>
      <c r="I1860" s="137" t="str">
        <f t="shared" si="98"/>
        <v/>
      </c>
      <c r="J1860" s="117"/>
    </row>
    <row r="1861" spans="1:10" hidden="1" x14ac:dyDescent="0.25">
      <c r="A1861" s="114" t="s">
        <v>4645</v>
      </c>
      <c r="B1861" s="115" t="s">
        <v>3593</v>
      </c>
      <c r="C1861" s="116" t="s">
        <v>16</v>
      </c>
      <c r="D1861" s="116">
        <v>0</v>
      </c>
      <c r="E1861" s="136">
        <f ca="1">OFFSET(INDEX(Composições!A:J,MATCH(Orçamentária!A1861,Composições!A:A,0),8),2,0)</f>
        <v>65.122499999999988</v>
      </c>
      <c r="F1861" s="137">
        <f t="shared" ca="1" si="96"/>
        <v>0</v>
      </c>
      <c r="G1861" s="138" t="e">
        <f>IF(A1861&lt;&gt;"",IF(AND(#REF!="Padrão",$H$4=#REF!),BDI!$B$17,IF(AND(#REF!="Padrão",$H$4=#REF!),BDI!#REF!,IF(AND(#REF!="Diferenciado",$H$4=#REF!),BDI!$E$17,IF(AND(#REF!="Diferenciado",$H$4=#REF!),BDI!#REF!,IF(#REF!="ZERO",0))))),"")</f>
        <v>#REF!</v>
      </c>
      <c r="H1861" s="139" t="e">
        <f t="shared" ca="1" si="97"/>
        <v>#REF!</v>
      </c>
      <c r="I1861" s="137" t="e">
        <f t="shared" ca="1" si="98"/>
        <v>#REF!</v>
      </c>
      <c r="J1861" s="117"/>
    </row>
    <row r="1862" spans="1:10" hidden="1" x14ac:dyDescent="0.25">
      <c r="A1862" s="114" t="s">
        <v>4646</v>
      </c>
      <c r="B1862" s="115" t="s">
        <v>3594</v>
      </c>
      <c r="C1862" s="116" t="s">
        <v>16</v>
      </c>
      <c r="D1862" s="116">
        <v>0</v>
      </c>
      <c r="E1862" s="136">
        <f ca="1">OFFSET(INDEX(Composições!A:J,MATCH(Orçamentária!A1862,Composições!A:A,0),8),2,0)</f>
        <v>25.497999999999998</v>
      </c>
      <c r="F1862" s="137">
        <f t="shared" ca="1" si="96"/>
        <v>0</v>
      </c>
      <c r="G1862" s="138" t="e">
        <f>IF(A1862&lt;&gt;"",IF(AND(#REF!="Padrão",$H$4=#REF!),BDI!$B$17,IF(AND(#REF!="Padrão",$H$4=#REF!),BDI!#REF!,IF(AND(#REF!="Diferenciado",$H$4=#REF!),BDI!$E$17,IF(AND(#REF!="Diferenciado",$H$4=#REF!),BDI!#REF!,IF(#REF!="ZERO",0))))),"")</f>
        <v>#REF!</v>
      </c>
      <c r="H1862" s="139" t="e">
        <f t="shared" ca="1" si="97"/>
        <v>#REF!</v>
      </c>
      <c r="I1862" s="137" t="e">
        <f t="shared" ca="1" si="98"/>
        <v>#REF!</v>
      </c>
      <c r="J1862" s="117"/>
    </row>
    <row r="1863" spans="1:10" hidden="1" x14ac:dyDescent="0.25">
      <c r="A1863" s="114" t="s">
        <v>4647</v>
      </c>
      <c r="B1863" s="115" t="s">
        <v>3595</v>
      </c>
      <c r="C1863" s="116" t="s">
        <v>16</v>
      </c>
      <c r="D1863" s="116">
        <v>0</v>
      </c>
      <c r="E1863" s="136">
        <f ca="1">OFFSET(INDEX(Composições!A:J,MATCH(Orçamentária!A1863,Composições!A:A,0),8),2,0)</f>
        <v>111.88149999999999</v>
      </c>
      <c r="F1863" s="137">
        <f t="shared" ca="1" si="96"/>
        <v>0</v>
      </c>
      <c r="G1863" s="138" t="e">
        <f>IF(A1863&lt;&gt;"",IF(AND(#REF!="Padrão",$H$4=#REF!),BDI!$B$17,IF(AND(#REF!="Padrão",$H$4=#REF!),BDI!#REF!,IF(AND(#REF!="Diferenciado",$H$4=#REF!),BDI!$E$17,IF(AND(#REF!="Diferenciado",$H$4=#REF!),BDI!#REF!,IF(#REF!="ZERO",0))))),"")</f>
        <v>#REF!</v>
      </c>
      <c r="H1863" s="139" t="e">
        <f t="shared" ca="1" si="97"/>
        <v>#REF!</v>
      </c>
      <c r="I1863" s="137" t="e">
        <f t="shared" ca="1" si="98"/>
        <v>#REF!</v>
      </c>
      <c r="J1863" s="117"/>
    </row>
    <row r="1864" spans="1:10" hidden="1" x14ac:dyDescent="0.25">
      <c r="A1864" s="114" t="s">
        <v>4648</v>
      </c>
      <c r="B1864" s="115" t="s">
        <v>3596</v>
      </c>
      <c r="C1864" s="116" t="s">
        <v>16</v>
      </c>
      <c r="D1864" s="116">
        <v>0</v>
      </c>
      <c r="E1864" s="136">
        <f ca="1">OFFSET(INDEX(Composições!A:J,MATCH(Orçamentária!A1864,Composições!A:A,0),8),2,0)</f>
        <v>16.1785</v>
      </c>
      <c r="F1864" s="137">
        <f t="shared" ca="1" si="96"/>
        <v>0</v>
      </c>
      <c r="G1864" s="138" t="e">
        <f>IF(A1864&lt;&gt;"",IF(AND(#REF!="Padrão",$H$4=#REF!),BDI!$B$17,IF(AND(#REF!="Padrão",$H$4=#REF!),BDI!#REF!,IF(AND(#REF!="Diferenciado",$H$4=#REF!),BDI!$E$17,IF(AND(#REF!="Diferenciado",$H$4=#REF!),BDI!#REF!,IF(#REF!="ZERO",0))))),"")</f>
        <v>#REF!</v>
      </c>
      <c r="H1864" s="139" t="e">
        <f t="shared" ca="1" si="97"/>
        <v>#REF!</v>
      </c>
      <c r="I1864" s="137" t="e">
        <f t="shared" ca="1" si="98"/>
        <v>#REF!</v>
      </c>
      <c r="J1864" s="117"/>
    </row>
    <row r="1865" spans="1:10" hidden="1" x14ac:dyDescent="0.25">
      <c r="A1865" s="114" t="s">
        <v>4649</v>
      </c>
      <c r="B1865" s="115" t="s">
        <v>3597</v>
      </c>
      <c r="C1865" s="116" t="s">
        <v>16</v>
      </c>
      <c r="D1865" s="116">
        <v>0</v>
      </c>
      <c r="E1865" s="136" t="s">
        <v>416</v>
      </c>
      <c r="F1865" s="137" t="str">
        <f t="shared" si="96"/>
        <v/>
      </c>
      <c r="G1865" s="138" t="e">
        <f>IF(A1865&lt;&gt;"",IF(AND(#REF!="Padrão",$H$4=#REF!),BDI!$B$17,IF(AND(#REF!="Padrão",$H$4=#REF!),BDI!#REF!,IF(AND(#REF!="Diferenciado",$H$4=#REF!),BDI!$E$17,IF(AND(#REF!="Diferenciado",$H$4=#REF!),BDI!#REF!,IF(#REF!="ZERO",0))))),"")</f>
        <v>#REF!</v>
      </c>
      <c r="H1865" s="139" t="str">
        <f t="shared" si="97"/>
        <v/>
      </c>
      <c r="I1865" s="137" t="str">
        <f t="shared" si="98"/>
        <v/>
      </c>
      <c r="J1865" s="117"/>
    </row>
    <row r="1866" spans="1:10" hidden="1" x14ac:dyDescent="0.25">
      <c r="A1866" s="114" t="s">
        <v>4650</v>
      </c>
      <c r="B1866" s="115" t="s">
        <v>3598</v>
      </c>
      <c r="C1866" s="116" t="s">
        <v>16</v>
      </c>
      <c r="D1866" s="116">
        <v>0</v>
      </c>
      <c r="E1866" s="136">
        <f ca="1">OFFSET(INDEX(Composições!A:J,MATCH(Orçamentária!A1866,Composições!A:A,0),8),2,0)</f>
        <v>85.5</v>
      </c>
      <c r="F1866" s="137">
        <f t="shared" ca="1" si="96"/>
        <v>0</v>
      </c>
      <c r="G1866" s="138" t="e">
        <f>IF(A1866&lt;&gt;"",IF(AND(#REF!="Padrão",$H$4=#REF!),BDI!$B$17,IF(AND(#REF!="Padrão",$H$4=#REF!),BDI!#REF!,IF(AND(#REF!="Diferenciado",$H$4=#REF!),BDI!$E$17,IF(AND(#REF!="Diferenciado",$H$4=#REF!),BDI!#REF!,IF(#REF!="ZERO",0))))),"")</f>
        <v>#REF!</v>
      </c>
      <c r="H1866" s="139" t="e">
        <f t="shared" ca="1" si="97"/>
        <v>#REF!</v>
      </c>
      <c r="I1866" s="137" t="e">
        <f t="shared" ca="1" si="98"/>
        <v>#REF!</v>
      </c>
      <c r="J1866" s="117"/>
    </row>
    <row r="1867" spans="1:10" hidden="1" x14ac:dyDescent="0.25">
      <c r="A1867" s="114" t="s">
        <v>4651</v>
      </c>
      <c r="B1867" s="115" t="s">
        <v>3599</v>
      </c>
      <c r="C1867" s="116" t="s">
        <v>16</v>
      </c>
      <c r="D1867" s="116">
        <v>0</v>
      </c>
      <c r="E1867" s="136">
        <f ca="1">OFFSET(INDEX(Composições!A:J,MATCH(Orçamentária!A1867,Composições!A:A,0),8),2,0)</f>
        <v>39.966499999999996</v>
      </c>
      <c r="F1867" s="137">
        <f t="shared" ca="1" si="96"/>
        <v>0</v>
      </c>
      <c r="G1867" s="138" t="e">
        <f>IF(A1867&lt;&gt;"",IF(AND(#REF!="Padrão",$H$4=#REF!),BDI!$B$17,IF(AND(#REF!="Padrão",$H$4=#REF!),BDI!#REF!,IF(AND(#REF!="Diferenciado",$H$4=#REF!),BDI!$E$17,IF(AND(#REF!="Diferenciado",$H$4=#REF!),BDI!#REF!,IF(#REF!="ZERO",0))))),"")</f>
        <v>#REF!</v>
      </c>
      <c r="H1867" s="139" t="e">
        <f t="shared" ca="1" si="97"/>
        <v>#REF!</v>
      </c>
      <c r="I1867" s="137" t="e">
        <f t="shared" ca="1" si="98"/>
        <v>#REF!</v>
      </c>
      <c r="J1867" s="117"/>
    </row>
    <row r="1868" spans="1:10" hidden="1" x14ac:dyDescent="0.25">
      <c r="A1868" s="114" t="s">
        <v>4652</v>
      </c>
      <c r="B1868" s="115" t="s">
        <v>3600</v>
      </c>
      <c r="C1868" s="116" t="s">
        <v>16</v>
      </c>
      <c r="D1868" s="116">
        <v>0</v>
      </c>
      <c r="E1868" s="136">
        <f ca="1">OFFSET(INDEX(Composições!A:J,MATCH(Orçamentária!A1868,Composições!A:A,0),8),2,0)</f>
        <v>205.92199999999997</v>
      </c>
      <c r="F1868" s="137">
        <f t="shared" ca="1" si="96"/>
        <v>0</v>
      </c>
      <c r="G1868" s="138" t="e">
        <f>IF(A1868&lt;&gt;"",IF(AND(#REF!="Padrão",$H$4=#REF!),BDI!$B$17,IF(AND(#REF!="Padrão",$H$4=#REF!),BDI!#REF!,IF(AND(#REF!="Diferenciado",$H$4=#REF!),BDI!$E$17,IF(AND(#REF!="Diferenciado",$H$4=#REF!),BDI!#REF!,IF(#REF!="ZERO",0))))),"")</f>
        <v>#REF!</v>
      </c>
      <c r="H1868" s="139" t="e">
        <f t="shared" ca="1" si="97"/>
        <v>#REF!</v>
      </c>
      <c r="I1868" s="137" t="e">
        <f t="shared" ca="1" si="98"/>
        <v>#REF!</v>
      </c>
      <c r="J1868" s="117"/>
    </row>
    <row r="1869" spans="1:10" hidden="1" x14ac:dyDescent="0.25">
      <c r="A1869" s="114" t="s">
        <v>4653</v>
      </c>
      <c r="B1869" s="115" t="s">
        <v>3601</v>
      </c>
      <c r="C1869" s="116" t="s">
        <v>16</v>
      </c>
      <c r="D1869" s="116">
        <v>0</v>
      </c>
      <c r="E1869" s="136">
        <f ca="1">OFFSET(INDEX(Composições!A:J,MATCH(Orçamentária!A1869,Composições!A:A,0),8),2,0)</f>
        <v>25.526499999999999</v>
      </c>
      <c r="F1869" s="137">
        <f t="shared" ca="1" si="96"/>
        <v>0</v>
      </c>
      <c r="G1869" s="138" t="e">
        <f>IF(A1869&lt;&gt;"",IF(AND(#REF!="Padrão",$H$4=#REF!),BDI!$B$17,IF(AND(#REF!="Padrão",$H$4=#REF!),BDI!#REF!,IF(AND(#REF!="Diferenciado",$H$4=#REF!),BDI!$E$17,IF(AND(#REF!="Diferenciado",$H$4=#REF!),BDI!#REF!,IF(#REF!="ZERO",0))))),"")</f>
        <v>#REF!</v>
      </c>
      <c r="H1869" s="139" t="e">
        <f t="shared" ca="1" si="97"/>
        <v>#REF!</v>
      </c>
      <c r="I1869" s="137" t="e">
        <f t="shared" ca="1" si="98"/>
        <v>#REF!</v>
      </c>
      <c r="J1869" s="117"/>
    </row>
    <row r="1870" spans="1:10" hidden="1" x14ac:dyDescent="0.25">
      <c r="A1870" s="114" t="s">
        <v>4654</v>
      </c>
      <c r="B1870" s="115" t="s">
        <v>3602</v>
      </c>
      <c r="C1870" s="116" t="s">
        <v>16</v>
      </c>
      <c r="D1870" s="116">
        <v>0</v>
      </c>
      <c r="E1870" s="136" t="s">
        <v>416</v>
      </c>
      <c r="F1870" s="137" t="str">
        <f t="shared" si="96"/>
        <v/>
      </c>
      <c r="G1870" s="138" t="e">
        <f>IF(A1870&lt;&gt;"",IF(AND(#REF!="Padrão",$H$4=#REF!),BDI!$B$17,IF(AND(#REF!="Padrão",$H$4=#REF!),BDI!#REF!,IF(AND(#REF!="Diferenciado",$H$4=#REF!),BDI!$E$17,IF(AND(#REF!="Diferenciado",$H$4=#REF!),BDI!#REF!,IF(#REF!="ZERO",0))))),"")</f>
        <v>#REF!</v>
      </c>
      <c r="H1870" s="139" t="str">
        <f t="shared" si="97"/>
        <v/>
      </c>
      <c r="I1870" s="137" t="str">
        <f t="shared" si="98"/>
        <v/>
      </c>
      <c r="J1870" s="117"/>
    </row>
    <row r="1871" spans="1:10" hidden="1" x14ac:dyDescent="0.25">
      <c r="A1871" s="114" t="s">
        <v>4655</v>
      </c>
      <c r="B1871" s="115" t="s">
        <v>3603</v>
      </c>
      <c r="C1871" s="116" t="s">
        <v>16</v>
      </c>
      <c r="D1871" s="116">
        <v>0</v>
      </c>
      <c r="E1871" s="136">
        <f ca="1">OFFSET(INDEX(Composições!A:J,MATCH(Orçamentária!A1871,Composições!A:A,0),8),2,0)</f>
        <v>145.00799999999998</v>
      </c>
      <c r="F1871" s="137">
        <f t="shared" ca="1" si="96"/>
        <v>0</v>
      </c>
      <c r="G1871" s="138" t="e">
        <f>IF(A1871&lt;&gt;"",IF(AND(#REF!="Padrão",$H$4=#REF!),BDI!$B$17,IF(AND(#REF!="Padrão",$H$4=#REF!),BDI!#REF!,IF(AND(#REF!="Diferenciado",$H$4=#REF!),BDI!$E$17,IF(AND(#REF!="Diferenciado",$H$4=#REF!),BDI!#REF!,IF(#REF!="ZERO",0))))),"")</f>
        <v>#REF!</v>
      </c>
      <c r="H1871" s="139" t="e">
        <f t="shared" ca="1" si="97"/>
        <v>#REF!</v>
      </c>
      <c r="I1871" s="137" t="e">
        <f t="shared" ca="1" si="98"/>
        <v>#REF!</v>
      </c>
      <c r="J1871" s="117"/>
    </row>
    <row r="1872" spans="1:10" hidden="1" x14ac:dyDescent="0.25">
      <c r="A1872" s="114" t="s">
        <v>4656</v>
      </c>
      <c r="B1872" s="115" t="s">
        <v>3604</v>
      </c>
      <c r="C1872" s="116" t="s">
        <v>69</v>
      </c>
      <c r="D1872" s="116">
        <v>0</v>
      </c>
      <c r="E1872" s="136">
        <f ca="1">OFFSET(INDEX(Composições!A:J,MATCH(Orçamentária!A1872,Composições!A:A,0),8),2,0)</f>
        <v>4.4935</v>
      </c>
      <c r="F1872" s="137">
        <f t="shared" ca="1" si="96"/>
        <v>0</v>
      </c>
      <c r="G1872" s="138" t="e">
        <f>IF(A1872&lt;&gt;"",IF(AND(#REF!="Padrão",$H$4=#REF!),BDI!$B$17,IF(AND(#REF!="Padrão",$H$4=#REF!),BDI!#REF!,IF(AND(#REF!="Diferenciado",$H$4=#REF!),BDI!$E$17,IF(AND(#REF!="Diferenciado",$H$4=#REF!),BDI!#REF!,IF(#REF!="ZERO",0))))),"")</f>
        <v>#REF!</v>
      </c>
      <c r="H1872" s="139" t="e">
        <f t="shared" ca="1" si="97"/>
        <v>#REF!</v>
      </c>
      <c r="I1872" s="137" t="e">
        <f t="shared" ca="1" si="98"/>
        <v>#REF!</v>
      </c>
      <c r="J1872" s="117"/>
    </row>
    <row r="1873" spans="1:10" hidden="1" x14ac:dyDescent="0.25">
      <c r="A1873" s="114" t="s">
        <v>4657</v>
      </c>
      <c r="B1873" s="115" t="s">
        <v>3605</v>
      </c>
      <c r="C1873" s="116" t="s">
        <v>69</v>
      </c>
      <c r="D1873" s="116">
        <v>0</v>
      </c>
      <c r="E1873" s="136">
        <f ca="1">OFFSET(INDEX(Composições!A:J,MATCH(Orçamentária!A1873,Composições!A:A,0),8),2,0)</f>
        <v>8.6449999999999996</v>
      </c>
      <c r="F1873" s="137">
        <f t="shared" ca="1" si="96"/>
        <v>0</v>
      </c>
      <c r="G1873" s="138" t="e">
        <f>IF(A1873&lt;&gt;"",IF(AND(#REF!="Padrão",$H$4=#REF!),BDI!$B$17,IF(AND(#REF!="Padrão",$H$4=#REF!),BDI!#REF!,IF(AND(#REF!="Diferenciado",$H$4=#REF!),BDI!$E$17,IF(AND(#REF!="Diferenciado",$H$4=#REF!),BDI!#REF!,IF(#REF!="ZERO",0))))),"")</f>
        <v>#REF!</v>
      </c>
      <c r="H1873" s="139" t="e">
        <f t="shared" ca="1" si="97"/>
        <v>#REF!</v>
      </c>
      <c r="I1873" s="137" t="e">
        <f t="shared" ca="1" si="98"/>
        <v>#REF!</v>
      </c>
      <c r="J1873" s="117"/>
    </row>
    <row r="1874" spans="1:10" hidden="1" x14ac:dyDescent="0.25">
      <c r="A1874" s="114" t="s">
        <v>4658</v>
      </c>
      <c r="B1874" s="115" t="s">
        <v>3606</v>
      </c>
      <c r="C1874" s="116" t="s">
        <v>69</v>
      </c>
      <c r="D1874" s="116">
        <v>0</v>
      </c>
      <c r="E1874" s="136">
        <f ca="1">OFFSET(INDEX(Composições!A:J,MATCH(Orçamentária!A1874,Composições!A:A,0),8),2,0)</f>
        <v>10.535499999999999</v>
      </c>
      <c r="F1874" s="137">
        <f t="shared" ca="1" si="96"/>
        <v>0</v>
      </c>
      <c r="G1874" s="138" t="e">
        <f>IF(A1874&lt;&gt;"",IF(AND(#REF!="Padrão",$H$4=#REF!),BDI!$B$17,IF(AND(#REF!="Padrão",$H$4=#REF!),BDI!#REF!,IF(AND(#REF!="Diferenciado",$H$4=#REF!),BDI!$E$17,IF(AND(#REF!="Diferenciado",$H$4=#REF!),BDI!#REF!,IF(#REF!="ZERO",0))))),"")</f>
        <v>#REF!</v>
      </c>
      <c r="H1874" s="139" t="e">
        <f t="shared" ca="1" si="97"/>
        <v>#REF!</v>
      </c>
      <c r="I1874" s="137" t="e">
        <f t="shared" ca="1" si="98"/>
        <v>#REF!</v>
      </c>
      <c r="J1874" s="117"/>
    </row>
    <row r="1875" spans="1:10" hidden="1" x14ac:dyDescent="0.25">
      <c r="A1875" s="114" t="s">
        <v>4659</v>
      </c>
      <c r="B1875" s="115" t="s">
        <v>3607</v>
      </c>
      <c r="C1875" s="116" t="s">
        <v>16</v>
      </c>
      <c r="D1875" s="116">
        <v>0</v>
      </c>
      <c r="E1875" s="136" t="s">
        <v>416</v>
      </c>
      <c r="F1875" s="137" t="str">
        <f t="shared" si="96"/>
        <v/>
      </c>
      <c r="G1875" s="138" t="e">
        <f>IF(A1875&lt;&gt;"",IF(AND(#REF!="Padrão",$H$4=#REF!),BDI!$B$17,IF(AND(#REF!="Padrão",$H$4=#REF!),BDI!#REF!,IF(AND(#REF!="Diferenciado",$H$4=#REF!),BDI!$E$17,IF(AND(#REF!="Diferenciado",$H$4=#REF!),BDI!#REF!,IF(#REF!="ZERO",0))))),"")</f>
        <v>#REF!</v>
      </c>
      <c r="H1875" s="139" t="str">
        <f t="shared" si="97"/>
        <v/>
      </c>
      <c r="I1875" s="137" t="str">
        <f t="shared" si="98"/>
        <v/>
      </c>
      <c r="J1875" s="117"/>
    </row>
    <row r="1876" spans="1:10" hidden="1" x14ac:dyDescent="0.25">
      <c r="A1876" s="114" t="s">
        <v>4660</v>
      </c>
      <c r="B1876" s="115" t="s">
        <v>3608</v>
      </c>
      <c r="C1876" s="116" t="s">
        <v>69</v>
      </c>
      <c r="D1876" s="116">
        <v>0</v>
      </c>
      <c r="E1876" s="136">
        <f ca="1">OFFSET(INDEX(Composições!A:J,MATCH(Orçamentária!A1876,Composições!A:A,0),8),2,0)</f>
        <v>13.8225</v>
      </c>
      <c r="F1876" s="137">
        <f t="shared" ca="1" si="96"/>
        <v>0</v>
      </c>
      <c r="G1876" s="138" t="e">
        <f>IF(A1876&lt;&gt;"",IF(AND(#REF!="Padrão",$H$4=#REF!),BDI!$B$17,IF(AND(#REF!="Padrão",$H$4=#REF!),BDI!#REF!,IF(AND(#REF!="Diferenciado",$H$4=#REF!),BDI!$E$17,IF(AND(#REF!="Diferenciado",$H$4=#REF!),BDI!#REF!,IF(#REF!="ZERO",0))))),"")</f>
        <v>#REF!</v>
      </c>
      <c r="H1876" s="139" t="e">
        <f t="shared" ca="1" si="97"/>
        <v>#REF!</v>
      </c>
      <c r="I1876" s="137" t="e">
        <f t="shared" ca="1" si="98"/>
        <v>#REF!</v>
      </c>
      <c r="J1876" s="117"/>
    </row>
    <row r="1877" spans="1:10" hidden="1" x14ac:dyDescent="0.25">
      <c r="A1877" s="114" t="s">
        <v>4661</v>
      </c>
      <c r="B1877" s="115" t="s">
        <v>3609</v>
      </c>
      <c r="C1877" s="116" t="s">
        <v>16</v>
      </c>
      <c r="D1877" s="116">
        <v>0</v>
      </c>
      <c r="E1877" s="136" t="s">
        <v>416</v>
      </c>
      <c r="F1877" s="137" t="str">
        <f t="shared" si="96"/>
        <v/>
      </c>
      <c r="G1877" s="138" t="e">
        <f>IF(A1877&lt;&gt;"",IF(AND(#REF!="Padrão",$H$4=#REF!),BDI!$B$17,IF(AND(#REF!="Padrão",$H$4=#REF!),BDI!#REF!,IF(AND(#REF!="Diferenciado",$H$4=#REF!),BDI!$E$17,IF(AND(#REF!="Diferenciado",$H$4=#REF!),BDI!#REF!,IF(#REF!="ZERO",0))))),"")</f>
        <v>#REF!</v>
      </c>
      <c r="H1877" s="139" t="str">
        <f t="shared" si="97"/>
        <v/>
      </c>
      <c r="I1877" s="137" t="str">
        <f t="shared" si="98"/>
        <v/>
      </c>
      <c r="J1877" s="117"/>
    </row>
    <row r="1878" spans="1:10" hidden="1" x14ac:dyDescent="0.25">
      <c r="A1878" s="114" t="s">
        <v>4662</v>
      </c>
      <c r="B1878" s="115" t="s">
        <v>3610</v>
      </c>
      <c r="C1878" s="116" t="s">
        <v>69</v>
      </c>
      <c r="D1878" s="116">
        <v>0</v>
      </c>
      <c r="E1878" s="136">
        <f ca="1">OFFSET(INDEX(Composições!A:J,MATCH(Orçamentária!A1878,Composições!A:A,0),8),2,0)</f>
        <v>20.852499999999999</v>
      </c>
      <c r="F1878" s="137">
        <f t="shared" ca="1" si="96"/>
        <v>0</v>
      </c>
      <c r="G1878" s="138" t="e">
        <f>IF(A1878&lt;&gt;"",IF(AND(#REF!="Padrão",$H$4=#REF!),BDI!$B$17,IF(AND(#REF!="Padrão",$H$4=#REF!),BDI!#REF!,IF(AND(#REF!="Diferenciado",$H$4=#REF!),BDI!$E$17,IF(AND(#REF!="Diferenciado",$H$4=#REF!),BDI!#REF!,IF(#REF!="ZERO",0))))),"")</f>
        <v>#REF!</v>
      </c>
      <c r="H1878" s="139" t="e">
        <f t="shared" ca="1" si="97"/>
        <v>#REF!</v>
      </c>
      <c r="I1878" s="137" t="e">
        <f t="shared" ca="1" si="98"/>
        <v>#REF!</v>
      </c>
      <c r="J1878" s="117"/>
    </row>
    <row r="1879" spans="1:10" hidden="1" x14ac:dyDescent="0.25">
      <c r="A1879" s="114" t="s">
        <v>4663</v>
      </c>
      <c r="B1879" s="115" t="s">
        <v>3611</v>
      </c>
      <c r="C1879" s="116" t="s">
        <v>16</v>
      </c>
      <c r="D1879" s="116">
        <v>0</v>
      </c>
      <c r="E1879" s="136" t="s">
        <v>416</v>
      </c>
      <c r="F1879" s="137" t="str">
        <f t="shared" si="96"/>
        <v/>
      </c>
      <c r="G1879" s="138" t="e">
        <f>IF(A1879&lt;&gt;"",IF(AND(#REF!="Padrão",$H$4=#REF!),BDI!$B$17,IF(AND(#REF!="Padrão",$H$4=#REF!),BDI!#REF!,IF(AND(#REF!="Diferenciado",$H$4=#REF!),BDI!$E$17,IF(AND(#REF!="Diferenciado",$H$4=#REF!),BDI!#REF!,IF(#REF!="ZERO",0))))),"")</f>
        <v>#REF!</v>
      </c>
      <c r="H1879" s="139" t="str">
        <f t="shared" si="97"/>
        <v/>
      </c>
      <c r="I1879" s="137" t="str">
        <f t="shared" si="98"/>
        <v/>
      </c>
      <c r="J1879" s="117"/>
    </row>
    <row r="1880" spans="1:10" hidden="1" x14ac:dyDescent="0.25">
      <c r="A1880" s="114" t="s">
        <v>4664</v>
      </c>
      <c r="B1880" s="115" t="s">
        <v>3612</v>
      </c>
      <c r="C1880" s="116" t="s">
        <v>69</v>
      </c>
      <c r="D1880" s="116">
        <v>0</v>
      </c>
      <c r="E1880" s="136">
        <f ca="1">OFFSET(INDEX(Composições!A:J,MATCH(Orçamentária!A1880,Composições!A:A,0),8),2,0)</f>
        <v>26.847000000000001</v>
      </c>
      <c r="F1880" s="137">
        <f t="shared" ca="1" si="96"/>
        <v>0</v>
      </c>
      <c r="G1880" s="138" t="e">
        <f>IF(A1880&lt;&gt;"",IF(AND(#REF!="Padrão",$H$4=#REF!),BDI!$B$17,IF(AND(#REF!="Padrão",$H$4=#REF!),BDI!#REF!,IF(AND(#REF!="Diferenciado",$H$4=#REF!),BDI!$E$17,IF(AND(#REF!="Diferenciado",$H$4=#REF!),BDI!#REF!,IF(#REF!="ZERO",0))))),"")</f>
        <v>#REF!</v>
      </c>
      <c r="H1880" s="139" t="e">
        <f t="shared" ca="1" si="97"/>
        <v>#REF!</v>
      </c>
      <c r="I1880" s="137" t="e">
        <f t="shared" ca="1" si="98"/>
        <v>#REF!</v>
      </c>
      <c r="J1880" s="117"/>
    </row>
    <row r="1881" spans="1:10" hidden="1" x14ac:dyDescent="0.25">
      <c r="A1881" s="114" t="s">
        <v>4665</v>
      </c>
      <c r="B1881" s="115" t="s">
        <v>3613</v>
      </c>
      <c r="C1881" s="116" t="s">
        <v>16</v>
      </c>
      <c r="D1881" s="116">
        <v>0</v>
      </c>
      <c r="E1881" s="136" t="s">
        <v>416</v>
      </c>
      <c r="F1881" s="137" t="str">
        <f t="shared" si="96"/>
        <v/>
      </c>
      <c r="G1881" s="138" t="e">
        <f>IF(A1881&lt;&gt;"",IF(AND(#REF!="Padrão",$H$4=#REF!),BDI!$B$17,IF(AND(#REF!="Padrão",$H$4=#REF!),BDI!#REF!,IF(AND(#REF!="Diferenciado",$H$4=#REF!),BDI!$E$17,IF(AND(#REF!="Diferenciado",$H$4=#REF!),BDI!#REF!,IF(#REF!="ZERO",0))))),"")</f>
        <v>#REF!</v>
      </c>
      <c r="H1881" s="139" t="str">
        <f t="shared" si="97"/>
        <v/>
      </c>
      <c r="I1881" s="137" t="str">
        <f t="shared" si="98"/>
        <v/>
      </c>
      <c r="J1881" s="117"/>
    </row>
    <row r="1882" spans="1:10" hidden="1" x14ac:dyDescent="0.25">
      <c r="A1882" s="114" t="s">
        <v>4666</v>
      </c>
      <c r="B1882" s="115" t="s">
        <v>3614</v>
      </c>
      <c r="C1882" s="116" t="s">
        <v>69</v>
      </c>
      <c r="D1882" s="116">
        <v>0</v>
      </c>
      <c r="E1882" s="136">
        <f ca="1">OFFSET(INDEX(Composições!A:J,MATCH(Orçamentária!A1882,Composições!A:A,0),8),2,0)</f>
        <v>35.757999999999996</v>
      </c>
      <c r="F1882" s="137">
        <f t="shared" ca="1" si="96"/>
        <v>0</v>
      </c>
      <c r="G1882" s="138" t="e">
        <f>IF(A1882&lt;&gt;"",IF(AND(#REF!="Padrão",$H$4=#REF!),BDI!$B$17,IF(AND(#REF!="Padrão",$H$4=#REF!),BDI!#REF!,IF(AND(#REF!="Diferenciado",$H$4=#REF!),BDI!$E$17,IF(AND(#REF!="Diferenciado",$H$4=#REF!),BDI!#REF!,IF(#REF!="ZERO",0))))),"")</f>
        <v>#REF!</v>
      </c>
      <c r="H1882" s="139" t="e">
        <f t="shared" ca="1" si="97"/>
        <v>#REF!</v>
      </c>
      <c r="I1882" s="137" t="e">
        <f t="shared" ca="1" si="98"/>
        <v>#REF!</v>
      </c>
      <c r="J1882" s="117"/>
    </row>
    <row r="1883" spans="1:10" hidden="1" x14ac:dyDescent="0.25">
      <c r="A1883" s="114" t="s">
        <v>4667</v>
      </c>
      <c r="B1883" s="115" t="s">
        <v>3615</v>
      </c>
      <c r="C1883" s="116" t="s">
        <v>16</v>
      </c>
      <c r="D1883" s="116">
        <v>0</v>
      </c>
      <c r="E1883" s="136" t="s">
        <v>416</v>
      </c>
      <c r="F1883" s="137" t="str">
        <f t="shared" si="96"/>
        <v/>
      </c>
      <c r="G1883" s="138" t="e">
        <f>IF(A1883&lt;&gt;"",IF(AND(#REF!="Padrão",$H$4=#REF!),BDI!$B$17,IF(AND(#REF!="Padrão",$H$4=#REF!),BDI!#REF!,IF(AND(#REF!="Diferenciado",$H$4=#REF!),BDI!$E$17,IF(AND(#REF!="Diferenciado",$H$4=#REF!),BDI!#REF!,IF(#REF!="ZERO",0))))),"")</f>
        <v>#REF!</v>
      </c>
      <c r="H1883" s="139" t="str">
        <f t="shared" si="97"/>
        <v/>
      </c>
      <c r="I1883" s="137" t="str">
        <f t="shared" si="98"/>
        <v/>
      </c>
      <c r="J1883" s="117"/>
    </row>
    <row r="1884" spans="1:10" hidden="1" x14ac:dyDescent="0.25">
      <c r="A1884" s="114" t="s">
        <v>4668</v>
      </c>
      <c r="B1884" s="115" t="s">
        <v>3616</v>
      </c>
      <c r="C1884" s="116" t="s">
        <v>69</v>
      </c>
      <c r="D1884" s="116">
        <v>0</v>
      </c>
      <c r="E1884" s="136">
        <f ca="1">OFFSET(INDEX(Composições!A:J,MATCH(Orçamentária!A1884,Composições!A:A,0),8),2,0)</f>
        <v>3.3344999999999998</v>
      </c>
      <c r="F1884" s="137">
        <f t="shared" ca="1" si="96"/>
        <v>0</v>
      </c>
      <c r="G1884" s="138" t="e">
        <f>IF(A1884&lt;&gt;"",IF(AND(#REF!="Padrão",$H$4=#REF!),BDI!$B$17,IF(AND(#REF!="Padrão",$H$4=#REF!),BDI!#REF!,IF(AND(#REF!="Diferenciado",$H$4=#REF!),BDI!$E$17,IF(AND(#REF!="Diferenciado",$H$4=#REF!),BDI!#REF!,IF(#REF!="ZERO",0))))),"")</f>
        <v>#REF!</v>
      </c>
      <c r="H1884" s="139" t="e">
        <f t="shared" ca="1" si="97"/>
        <v>#REF!</v>
      </c>
      <c r="I1884" s="137" t="e">
        <f t="shared" ca="1" si="98"/>
        <v>#REF!</v>
      </c>
      <c r="J1884" s="117"/>
    </row>
    <row r="1885" spans="1:10" hidden="1" x14ac:dyDescent="0.25">
      <c r="A1885" s="114" t="s">
        <v>4669</v>
      </c>
      <c r="B1885" s="115" t="s">
        <v>3617</v>
      </c>
      <c r="C1885" s="116" t="s">
        <v>16</v>
      </c>
      <c r="D1885" s="116">
        <v>0</v>
      </c>
      <c r="E1885" s="136">
        <f ca="1">OFFSET(INDEX(Composições!A:J,MATCH(Orçamentária!A1885,Composições!A:A,0),8),2,0)</f>
        <v>5.5385</v>
      </c>
      <c r="F1885" s="137">
        <f t="shared" ca="1" si="96"/>
        <v>0</v>
      </c>
      <c r="G1885" s="138" t="e">
        <f>IF(A1885&lt;&gt;"",IF(AND(#REF!="Padrão",$H$4=#REF!),BDI!$B$17,IF(AND(#REF!="Padrão",$H$4=#REF!),BDI!#REF!,IF(AND(#REF!="Diferenciado",$H$4=#REF!),BDI!$E$17,IF(AND(#REF!="Diferenciado",$H$4=#REF!),BDI!#REF!,IF(#REF!="ZERO",0))))),"")</f>
        <v>#REF!</v>
      </c>
      <c r="H1885" s="139" t="e">
        <f t="shared" ca="1" si="97"/>
        <v>#REF!</v>
      </c>
      <c r="I1885" s="137" t="e">
        <f t="shared" ca="1" si="98"/>
        <v>#REF!</v>
      </c>
      <c r="J1885" s="117"/>
    </row>
    <row r="1886" spans="1:10" hidden="1" x14ac:dyDescent="0.25">
      <c r="A1886" s="114" t="s">
        <v>4670</v>
      </c>
      <c r="B1886" s="115" t="s">
        <v>3618</v>
      </c>
      <c r="C1886" s="116" t="s">
        <v>69</v>
      </c>
      <c r="D1886" s="116">
        <v>0</v>
      </c>
      <c r="E1886" s="136">
        <f ca="1">OFFSET(INDEX(Composições!A:J,MATCH(Orçamentária!A1886,Composições!A:A,0),8),2,0)</f>
        <v>5.4909999999999997</v>
      </c>
      <c r="F1886" s="137">
        <f t="shared" ca="1" si="96"/>
        <v>0</v>
      </c>
      <c r="G1886" s="138" t="e">
        <f>IF(A1886&lt;&gt;"",IF(AND(#REF!="Padrão",$H$4=#REF!),BDI!$B$17,IF(AND(#REF!="Padrão",$H$4=#REF!),BDI!#REF!,IF(AND(#REF!="Diferenciado",$H$4=#REF!),BDI!$E$17,IF(AND(#REF!="Diferenciado",$H$4=#REF!),BDI!#REF!,IF(#REF!="ZERO",0))))),"")</f>
        <v>#REF!</v>
      </c>
      <c r="H1886" s="139" t="e">
        <f t="shared" ca="1" si="97"/>
        <v>#REF!</v>
      </c>
      <c r="I1886" s="137" t="e">
        <f t="shared" ca="1" si="98"/>
        <v>#REF!</v>
      </c>
      <c r="J1886" s="117"/>
    </row>
    <row r="1887" spans="1:10" hidden="1" x14ac:dyDescent="0.25">
      <c r="A1887" s="114" t="s">
        <v>4671</v>
      </c>
      <c r="B1887" s="115" t="s">
        <v>3619</v>
      </c>
      <c r="C1887" s="116" t="s">
        <v>16</v>
      </c>
      <c r="D1887" s="116">
        <v>0</v>
      </c>
      <c r="E1887" s="136">
        <f ca="1">OFFSET(INDEX(Composições!A:J,MATCH(Orçamentária!A1887,Composições!A:A,0),8),2,0)</f>
        <v>6.327</v>
      </c>
      <c r="F1887" s="137">
        <f t="shared" ca="1" si="96"/>
        <v>0</v>
      </c>
      <c r="G1887" s="138" t="e">
        <f>IF(A1887&lt;&gt;"",IF(AND(#REF!="Padrão",$H$4=#REF!),BDI!$B$17,IF(AND(#REF!="Padrão",$H$4=#REF!),BDI!#REF!,IF(AND(#REF!="Diferenciado",$H$4=#REF!),BDI!$E$17,IF(AND(#REF!="Diferenciado",$H$4=#REF!),BDI!#REF!,IF(#REF!="ZERO",0))))),"")</f>
        <v>#REF!</v>
      </c>
      <c r="H1887" s="139" t="e">
        <f t="shared" ca="1" si="97"/>
        <v>#REF!</v>
      </c>
      <c r="I1887" s="137" t="e">
        <f t="shared" ca="1" si="98"/>
        <v>#REF!</v>
      </c>
      <c r="J1887" s="117"/>
    </row>
    <row r="1888" spans="1:10" hidden="1" x14ac:dyDescent="0.25">
      <c r="A1888" s="114" t="s">
        <v>4672</v>
      </c>
      <c r="B1888" s="115" t="s">
        <v>3620</v>
      </c>
      <c r="C1888" s="116" t="s">
        <v>69</v>
      </c>
      <c r="D1888" s="116">
        <v>0</v>
      </c>
      <c r="E1888" s="136">
        <f ca="1">OFFSET(INDEX(Composições!A:J,MATCH(Orçamentária!A1888,Composições!A:A,0),8),2,0)</f>
        <v>7.6949999999999994</v>
      </c>
      <c r="F1888" s="137">
        <f t="shared" ca="1" si="96"/>
        <v>0</v>
      </c>
      <c r="G1888" s="138" t="e">
        <f>IF(A1888&lt;&gt;"",IF(AND(#REF!="Padrão",$H$4=#REF!),BDI!$B$17,IF(AND(#REF!="Padrão",$H$4=#REF!),BDI!#REF!,IF(AND(#REF!="Diferenciado",$H$4=#REF!),BDI!$E$17,IF(AND(#REF!="Diferenciado",$H$4=#REF!),BDI!#REF!,IF(#REF!="ZERO",0))))),"")</f>
        <v>#REF!</v>
      </c>
      <c r="H1888" s="139" t="e">
        <f t="shared" ca="1" si="97"/>
        <v>#REF!</v>
      </c>
      <c r="I1888" s="137" t="e">
        <f t="shared" ca="1" si="98"/>
        <v>#REF!</v>
      </c>
      <c r="J1888" s="117"/>
    </row>
    <row r="1889" spans="1:10" hidden="1" x14ac:dyDescent="0.25">
      <c r="A1889" s="114" t="s">
        <v>4673</v>
      </c>
      <c r="B1889" s="115" t="s">
        <v>3621</v>
      </c>
      <c r="C1889" s="116" t="s">
        <v>16</v>
      </c>
      <c r="D1889" s="116">
        <v>0</v>
      </c>
      <c r="E1889" s="136">
        <f ca="1">OFFSET(INDEX(Composições!A:J,MATCH(Orçamentária!A1889,Composições!A:A,0),8),2,0)</f>
        <v>9.3290000000000006</v>
      </c>
      <c r="F1889" s="137">
        <f t="shared" ca="1" si="96"/>
        <v>0</v>
      </c>
      <c r="G1889" s="138" t="e">
        <f>IF(A1889&lt;&gt;"",IF(AND(#REF!="Padrão",$H$4=#REF!),BDI!$B$17,IF(AND(#REF!="Padrão",$H$4=#REF!),BDI!#REF!,IF(AND(#REF!="Diferenciado",$H$4=#REF!),BDI!$E$17,IF(AND(#REF!="Diferenciado",$H$4=#REF!),BDI!#REF!,IF(#REF!="ZERO",0))))),"")</f>
        <v>#REF!</v>
      </c>
      <c r="H1889" s="139" t="e">
        <f t="shared" ca="1" si="97"/>
        <v>#REF!</v>
      </c>
      <c r="I1889" s="137" t="e">
        <f t="shared" ca="1" si="98"/>
        <v>#REF!</v>
      </c>
      <c r="J1889" s="117"/>
    </row>
    <row r="1890" spans="1:10" hidden="1" x14ac:dyDescent="0.25">
      <c r="A1890" s="114" t="s">
        <v>4674</v>
      </c>
      <c r="B1890" s="115" t="s">
        <v>3622</v>
      </c>
      <c r="C1890" s="116" t="s">
        <v>69</v>
      </c>
      <c r="D1890" s="116">
        <v>0</v>
      </c>
      <c r="E1890" s="136">
        <f ca="1">OFFSET(INDEX(Composições!A:J,MATCH(Orçamentária!A1890,Composições!A:A,0),8),2,0)</f>
        <v>5.6050000000000004</v>
      </c>
      <c r="F1890" s="137">
        <f t="shared" ca="1" si="96"/>
        <v>0</v>
      </c>
      <c r="G1890" s="138" t="e">
        <f>IF(A1890&lt;&gt;"",IF(AND(#REF!="Padrão",$H$4=#REF!),BDI!$B$17,IF(AND(#REF!="Padrão",$H$4=#REF!),BDI!#REF!,IF(AND(#REF!="Diferenciado",$H$4=#REF!),BDI!$E$17,IF(AND(#REF!="Diferenciado",$H$4=#REF!),BDI!#REF!,IF(#REF!="ZERO",0))))),"")</f>
        <v>#REF!</v>
      </c>
      <c r="H1890" s="139" t="e">
        <f t="shared" ca="1" si="97"/>
        <v>#REF!</v>
      </c>
      <c r="I1890" s="137" t="e">
        <f t="shared" ca="1" si="98"/>
        <v>#REF!</v>
      </c>
      <c r="J1890" s="117"/>
    </row>
    <row r="1891" spans="1:10" hidden="1" x14ac:dyDescent="0.25">
      <c r="A1891" s="114" t="s">
        <v>4675</v>
      </c>
      <c r="B1891" s="115" t="s">
        <v>3623</v>
      </c>
      <c r="C1891" s="116" t="s">
        <v>16</v>
      </c>
      <c r="D1891" s="116">
        <v>0</v>
      </c>
      <c r="E1891" s="136">
        <f ca="1">OFFSET(INDEX(Composições!A:J,MATCH(Orçamentária!A1891,Composições!A:A,0),8),2,0)</f>
        <v>1.6244999999999998</v>
      </c>
      <c r="F1891" s="137">
        <f t="shared" ca="1" si="96"/>
        <v>0</v>
      </c>
      <c r="G1891" s="138" t="e">
        <f>IF(A1891&lt;&gt;"",IF(AND(#REF!="Padrão",$H$4=#REF!),BDI!$B$17,IF(AND(#REF!="Padrão",$H$4=#REF!),BDI!#REF!,IF(AND(#REF!="Diferenciado",$H$4=#REF!),BDI!$E$17,IF(AND(#REF!="Diferenciado",$H$4=#REF!),BDI!#REF!,IF(#REF!="ZERO",0))))),"")</f>
        <v>#REF!</v>
      </c>
      <c r="H1891" s="139" t="e">
        <f t="shared" ca="1" si="97"/>
        <v>#REF!</v>
      </c>
      <c r="I1891" s="137" t="e">
        <f t="shared" ca="1" si="98"/>
        <v>#REF!</v>
      </c>
      <c r="J1891" s="117"/>
    </row>
    <row r="1892" spans="1:10" hidden="1" x14ac:dyDescent="0.25">
      <c r="A1892" s="114" t="s">
        <v>4676</v>
      </c>
      <c r="B1892" s="115" t="s">
        <v>3624</v>
      </c>
      <c r="C1892" s="116" t="s">
        <v>16</v>
      </c>
      <c r="D1892" s="116">
        <v>0</v>
      </c>
      <c r="E1892" s="136">
        <f ca="1">OFFSET(INDEX(Composições!A:J,MATCH(Orçamentária!A1892,Composições!A:A,0),8),2,0)</f>
        <v>3.5150000000000001</v>
      </c>
      <c r="F1892" s="137">
        <f t="shared" ca="1" si="96"/>
        <v>0</v>
      </c>
      <c r="G1892" s="138" t="e">
        <f>IF(A1892&lt;&gt;"",IF(AND(#REF!="Padrão",$H$4=#REF!),BDI!$B$17,IF(AND(#REF!="Padrão",$H$4=#REF!),BDI!#REF!,IF(AND(#REF!="Diferenciado",$H$4=#REF!),BDI!$E$17,IF(AND(#REF!="Diferenciado",$H$4=#REF!),BDI!#REF!,IF(#REF!="ZERO",0))))),"")</f>
        <v>#REF!</v>
      </c>
      <c r="H1892" s="139" t="e">
        <f t="shared" ca="1" si="97"/>
        <v>#REF!</v>
      </c>
      <c r="I1892" s="137" t="e">
        <f t="shared" ca="1" si="98"/>
        <v>#REF!</v>
      </c>
      <c r="J1892" s="117"/>
    </row>
    <row r="1893" spans="1:10" hidden="1" x14ac:dyDescent="0.25">
      <c r="A1893" s="114" t="s">
        <v>4677</v>
      </c>
      <c r="B1893" s="115" t="s">
        <v>3625</v>
      </c>
      <c r="C1893" s="116" t="s">
        <v>69</v>
      </c>
      <c r="D1893" s="116">
        <v>0</v>
      </c>
      <c r="E1893" s="136">
        <f ca="1">OFFSET(INDEX(Composições!A:J,MATCH(Orçamentária!A1893,Composições!A:A,0),8),2,0)</f>
        <v>8.7590000000000003</v>
      </c>
      <c r="F1893" s="137">
        <f t="shared" ca="1" si="96"/>
        <v>0</v>
      </c>
      <c r="G1893" s="138" t="e">
        <f>IF(A1893&lt;&gt;"",IF(AND(#REF!="Padrão",$H$4=#REF!),BDI!$B$17,IF(AND(#REF!="Padrão",$H$4=#REF!),BDI!#REF!,IF(AND(#REF!="Diferenciado",$H$4=#REF!),BDI!$E$17,IF(AND(#REF!="Diferenciado",$H$4=#REF!),BDI!#REF!,IF(#REF!="ZERO",0))))),"")</f>
        <v>#REF!</v>
      </c>
      <c r="H1893" s="139" t="e">
        <f t="shared" ca="1" si="97"/>
        <v>#REF!</v>
      </c>
      <c r="I1893" s="137" t="e">
        <f t="shared" ca="1" si="98"/>
        <v>#REF!</v>
      </c>
      <c r="J1893" s="117"/>
    </row>
    <row r="1894" spans="1:10" hidden="1" x14ac:dyDescent="0.25">
      <c r="A1894" s="114" t="s">
        <v>4678</v>
      </c>
      <c r="B1894" s="115" t="s">
        <v>3626</v>
      </c>
      <c r="C1894" s="116" t="s">
        <v>16</v>
      </c>
      <c r="D1894" s="116">
        <v>0</v>
      </c>
      <c r="E1894" s="136">
        <f ca="1">OFFSET(INDEX(Composições!A:J,MATCH(Orçamentária!A1894,Composições!A:A,0),8),2,0)</f>
        <v>2.2705000000000002</v>
      </c>
      <c r="F1894" s="137">
        <f t="shared" ca="1" si="96"/>
        <v>0</v>
      </c>
      <c r="G1894" s="138" t="e">
        <f>IF(A1894&lt;&gt;"",IF(AND(#REF!="Padrão",$H$4=#REF!),BDI!$B$17,IF(AND(#REF!="Padrão",$H$4=#REF!),BDI!#REF!,IF(AND(#REF!="Diferenciado",$H$4=#REF!),BDI!$E$17,IF(AND(#REF!="Diferenciado",$H$4=#REF!),BDI!#REF!,IF(#REF!="ZERO",0))))),"")</f>
        <v>#REF!</v>
      </c>
      <c r="H1894" s="139" t="e">
        <f t="shared" ca="1" si="97"/>
        <v>#REF!</v>
      </c>
      <c r="I1894" s="137" t="e">
        <f t="shared" ca="1" si="98"/>
        <v>#REF!</v>
      </c>
      <c r="J1894" s="117"/>
    </row>
    <row r="1895" spans="1:10" hidden="1" x14ac:dyDescent="0.25">
      <c r="A1895" s="114" t="s">
        <v>4679</v>
      </c>
      <c r="B1895" s="115" t="s">
        <v>3627</v>
      </c>
      <c r="C1895" s="116" t="s">
        <v>16</v>
      </c>
      <c r="D1895" s="116">
        <v>0</v>
      </c>
      <c r="E1895" s="136">
        <f ca="1">OFFSET(INDEX(Composições!A:J,MATCH(Orçamentária!A1895,Composições!A:A,0),8),2,0)</f>
        <v>4.8639999999999999</v>
      </c>
      <c r="F1895" s="137">
        <f t="shared" ca="1" si="96"/>
        <v>0</v>
      </c>
      <c r="G1895" s="138" t="e">
        <f>IF(A1895&lt;&gt;"",IF(AND(#REF!="Padrão",$H$4=#REF!),BDI!$B$17,IF(AND(#REF!="Padrão",$H$4=#REF!),BDI!#REF!,IF(AND(#REF!="Diferenciado",$H$4=#REF!),BDI!$E$17,IF(AND(#REF!="Diferenciado",$H$4=#REF!),BDI!#REF!,IF(#REF!="ZERO",0))))),"")</f>
        <v>#REF!</v>
      </c>
      <c r="H1895" s="139" t="e">
        <f t="shared" ca="1" si="97"/>
        <v>#REF!</v>
      </c>
      <c r="I1895" s="137" t="e">
        <f t="shared" ca="1" si="98"/>
        <v>#REF!</v>
      </c>
      <c r="J1895" s="117"/>
    </row>
    <row r="1896" spans="1:10" hidden="1" x14ac:dyDescent="0.25">
      <c r="A1896" s="114" t="s">
        <v>4680</v>
      </c>
      <c r="B1896" s="115" t="s">
        <v>3628</v>
      </c>
      <c r="C1896" s="116" t="s">
        <v>69</v>
      </c>
      <c r="D1896" s="116">
        <v>0</v>
      </c>
      <c r="E1896" s="136">
        <f ca="1">OFFSET(INDEX(Composições!A:J,MATCH(Orçamentária!A1896,Composições!A:A,0),8),2,0)</f>
        <v>11.665999999999999</v>
      </c>
      <c r="F1896" s="137">
        <f t="shared" ca="1" si="96"/>
        <v>0</v>
      </c>
      <c r="G1896" s="138" t="e">
        <f>IF(A1896&lt;&gt;"",IF(AND(#REF!="Padrão",$H$4=#REF!),BDI!$B$17,IF(AND(#REF!="Padrão",$H$4=#REF!),BDI!#REF!,IF(AND(#REF!="Diferenciado",$H$4=#REF!),BDI!$E$17,IF(AND(#REF!="Diferenciado",$H$4=#REF!),BDI!#REF!,IF(#REF!="ZERO",0))))),"")</f>
        <v>#REF!</v>
      </c>
      <c r="H1896" s="139" t="e">
        <f t="shared" ca="1" si="97"/>
        <v>#REF!</v>
      </c>
      <c r="I1896" s="137" t="e">
        <f t="shared" ca="1" si="98"/>
        <v>#REF!</v>
      </c>
      <c r="J1896" s="117"/>
    </row>
    <row r="1897" spans="1:10" hidden="1" x14ac:dyDescent="0.25">
      <c r="A1897" s="114" t="s">
        <v>4681</v>
      </c>
      <c r="B1897" s="115" t="s">
        <v>3629</v>
      </c>
      <c r="C1897" s="116" t="s">
        <v>16</v>
      </c>
      <c r="D1897" s="116">
        <v>0</v>
      </c>
      <c r="E1897" s="136">
        <f ca="1">OFFSET(INDEX(Composições!A:J,MATCH(Orçamentária!A1897,Composições!A:A,0),8),2,0)</f>
        <v>3.5244999999999997</v>
      </c>
      <c r="F1897" s="137">
        <f t="shared" ca="1" si="96"/>
        <v>0</v>
      </c>
      <c r="G1897" s="138" t="e">
        <f>IF(A1897&lt;&gt;"",IF(AND(#REF!="Padrão",$H$4=#REF!),BDI!$B$17,IF(AND(#REF!="Padrão",$H$4=#REF!),BDI!#REF!,IF(AND(#REF!="Diferenciado",$H$4=#REF!),BDI!$E$17,IF(AND(#REF!="Diferenciado",$H$4=#REF!),BDI!#REF!,IF(#REF!="ZERO",0))))),"")</f>
        <v>#REF!</v>
      </c>
      <c r="H1897" s="139" t="e">
        <f t="shared" ca="1" si="97"/>
        <v>#REF!</v>
      </c>
      <c r="I1897" s="137" t="e">
        <f t="shared" ca="1" si="98"/>
        <v>#REF!</v>
      </c>
      <c r="J1897" s="117"/>
    </row>
    <row r="1898" spans="1:10" hidden="1" x14ac:dyDescent="0.25">
      <c r="A1898" s="114" t="s">
        <v>4682</v>
      </c>
      <c r="B1898" s="115" t="s">
        <v>3630</v>
      </c>
      <c r="C1898" s="116" t="s">
        <v>16</v>
      </c>
      <c r="D1898" s="116">
        <v>0</v>
      </c>
      <c r="E1898" s="136">
        <f ca="1">OFFSET(INDEX(Composições!A:J,MATCH(Orçamentária!A1898,Composições!A:A,0),8),2,0)</f>
        <v>6.4124999999999996</v>
      </c>
      <c r="F1898" s="137">
        <f t="shared" ca="1" si="96"/>
        <v>0</v>
      </c>
      <c r="G1898" s="138" t="e">
        <f>IF(A1898&lt;&gt;"",IF(AND(#REF!="Padrão",$H$4=#REF!),BDI!$B$17,IF(AND(#REF!="Padrão",$H$4=#REF!),BDI!#REF!,IF(AND(#REF!="Diferenciado",$H$4=#REF!),BDI!$E$17,IF(AND(#REF!="Diferenciado",$H$4=#REF!),BDI!#REF!,IF(#REF!="ZERO",0))))),"")</f>
        <v>#REF!</v>
      </c>
      <c r="H1898" s="139" t="e">
        <f t="shared" ca="1" si="97"/>
        <v>#REF!</v>
      </c>
      <c r="I1898" s="137" t="e">
        <f t="shared" ca="1" si="98"/>
        <v>#REF!</v>
      </c>
      <c r="J1898" s="117"/>
    </row>
    <row r="1899" spans="1:10" hidden="1" x14ac:dyDescent="0.25">
      <c r="A1899" s="114" t="s">
        <v>4683</v>
      </c>
      <c r="B1899" s="115" t="s">
        <v>3631</v>
      </c>
      <c r="C1899" s="116" t="s">
        <v>69</v>
      </c>
      <c r="D1899" s="116">
        <v>0</v>
      </c>
      <c r="E1899" s="136">
        <f ca="1">OFFSET(INDEX(Composições!A:J,MATCH(Orçamentária!A1899,Composições!A:A,0),8),2,0)</f>
        <v>12.824999999999999</v>
      </c>
      <c r="F1899" s="137">
        <f t="shared" ca="1" si="96"/>
        <v>0</v>
      </c>
      <c r="G1899" s="138" t="e">
        <f>IF(A1899&lt;&gt;"",IF(AND(#REF!="Padrão",$H$4=#REF!),BDI!$B$17,IF(AND(#REF!="Padrão",$H$4=#REF!),BDI!#REF!,IF(AND(#REF!="Diferenciado",$H$4=#REF!),BDI!$E$17,IF(AND(#REF!="Diferenciado",$H$4=#REF!),BDI!#REF!,IF(#REF!="ZERO",0))))),"")</f>
        <v>#REF!</v>
      </c>
      <c r="H1899" s="139" t="e">
        <f t="shared" ca="1" si="97"/>
        <v>#REF!</v>
      </c>
      <c r="I1899" s="137" t="e">
        <f t="shared" ca="1" si="98"/>
        <v>#REF!</v>
      </c>
      <c r="J1899" s="117"/>
    </row>
    <row r="1900" spans="1:10" hidden="1" x14ac:dyDescent="0.25">
      <c r="A1900" s="114" t="s">
        <v>4684</v>
      </c>
      <c r="B1900" s="115" t="s">
        <v>3632</v>
      </c>
      <c r="C1900" s="116" t="s">
        <v>16</v>
      </c>
      <c r="D1900" s="116">
        <v>0</v>
      </c>
      <c r="E1900" s="136">
        <f ca="1">OFFSET(INDEX(Composições!A:J,MATCH(Orçamentária!A1900,Composições!A:A,0),8),2,0)</f>
        <v>4.8449999999999998</v>
      </c>
      <c r="F1900" s="137">
        <f t="shared" ca="1" si="96"/>
        <v>0</v>
      </c>
      <c r="G1900" s="138" t="e">
        <f>IF(A1900&lt;&gt;"",IF(AND(#REF!="Padrão",$H$4=#REF!),BDI!$B$17,IF(AND(#REF!="Padrão",$H$4=#REF!),BDI!#REF!,IF(AND(#REF!="Diferenciado",$H$4=#REF!),BDI!$E$17,IF(AND(#REF!="Diferenciado",$H$4=#REF!),BDI!#REF!,IF(#REF!="ZERO",0))))),"")</f>
        <v>#REF!</v>
      </c>
      <c r="H1900" s="139" t="e">
        <f t="shared" ca="1" si="97"/>
        <v>#REF!</v>
      </c>
      <c r="I1900" s="137" t="e">
        <f t="shared" ca="1" si="98"/>
        <v>#REF!</v>
      </c>
      <c r="J1900" s="117"/>
    </row>
    <row r="1901" spans="1:10" hidden="1" x14ac:dyDescent="0.25">
      <c r="A1901" s="114" t="s">
        <v>4685</v>
      </c>
      <c r="B1901" s="115" t="s">
        <v>3633</v>
      </c>
      <c r="C1901" s="116" t="s">
        <v>16</v>
      </c>
      <c r="D1901" s="116">
        <v>0</v>
      </c>
      <c r="E1901" s="136">
        <f ca="1">OFFSET(INDEX(Composições!A:J,MATCH(Orçamentária!A1901,Composições!A:A,0),8),2,0)</f>
        <v>7.770999999999999</v>
      </c>
      <c r="F1901" s="137">
        <f t="shared" ref="F1901:F1964" ca="1" si="99">IF(ISNUMBER(E1901),D1901*E1901,"")</f>
        <v>0</v>
      </c>
      <c r="G1901" s="138" t="e">
        <f>IF(A1901&lt;&gt;"",IF(AND(#REF!="Padrão",$H$4=#REF!),BDI!$B$17,IF(AND(#REF!="Padrão",$H$4=#REF!),BDI!#REF!,IF(AND(#REF!="Diferenciado",$H$4=#REF!),BDI!$E$17,IF(AND(#REF!="Diferenciado",$H$4=#REF!),BDI!#REF!,IF(#REF!="ZERO",0))))),"")</f>
        <v>#REF!</v>
      </c>
      <c r="H1901" s="139" t="e">
        <f t="shared" ref="H1901:H1964" ca="1" si="100">IF(ISNUMBER(E1901),ROUND(E1901*(1+G1901),2),"")</f>
        <v>#REF!</v>
      </c>
      <c r="I1901" s="137" t="e">
        <f t="shared" ref="I1901:I1964" ca="1" si="101">IF(ISNUMBER(E1901),ROUND(H1901*D1901,2),"")</f>
        <v>#REF!</v>
      </c>
      <c r="J1901" s="117"/>
    </row>
    <row r="1902" spans="1:10" hidden="1" x14ac:dyDescent="0.25">
      <c r="A1902" s="114" t="s">
        <v>4686</v>
      </c>
      <c r="B1902" s="115" t="s">
        <v>3634</v>
      </c>
      <c r="C1902" s="116" t="s">
        <v>69</v>
      </c>
      <c r="D1902" s="116">
        <v>0</v>
      </c>
      <c r="E1902" s="136">
        <f ca="1">OFFSET(INDEX(Composições!A:J,MATCH(Orçamentária!A1902,Composições!A:A,0),8),2,0)</f>
        <v>20.956999999999997</v>
      </c>
      <c r="F1902" s="137">
        <f t="shared" ca="1" si="99"/>
        <v>0</v>
      </c>
      <c r="G1902" s="138" t="e">
        <f>IF(A1902&lt;&gt;"",IF(AND(#REF!="Padrão",$H$4=#REF!),BDI!$B$17,IF(AND(#REF!="Padrão",$H$4=#REF!),BDI!#REF!,IF(AND(#REF!="Diferenciado",$H$4=#REF!),BDI!$E$17,IF(AND(#REF!="Diferenciado",$H$4=#REF!),BDI!#REF!,IF(#REF!="ZERO",0))))),"")</f>
        <v>#REF!</v>
      </c>
      <c r="H1902" s="139" t="e">
        <f t="shared" ca="1" si="100"/>
        <v>#REF!</v>
      </c>
      <c r="I1902" s="137" t="e">
        <f t="shared" ca="1" si="101"/>
        <v>#REF!</v>
      </c>
      <c r="J1902" s="117"/>
    </row>
    <row r="1903" spans="1:10" hidden="1" x14ac:dyDescent="0.25">
      <c r="A1903" s="114" t="s">
        <v>4687</v>
      </c>
      <c r="B1903" s="115" t="s">
        <v>3635</v>
      </c>
      <c r="C1903" s="116" t="s">
        <v>16</v>
      </c>
      <c r="D1903" s="116">
        <v>0</v>
      </c>
      <c r="E1903" s="136">
        <f ca="1">OFFSET(INDEX(Composições!A:J,MATCH(Orçamentária!A1903,Composições!A:A,0),8),2,0)</f>
        <v>7.0204999999999993</v>
      </c>
      <c r="F1903" s="137">
        <f t="shared" ca="1" si="99"/>
        <v>0</v>
      </c>
      <c r="G1903" s="138" t="e">
        <f>IF(A1903&lt;&gt;"",IF(AND(#REF!="Padrão",$H$4=#REF!),BDI!$B$17,IF(AND(#REF!="Padrão",$H$4=#REF!),BDI!#REF!,IF(AND(#REF!="Diferenciado",$H$4=#REF!),BDI!$E$17,IF(AND(#REF!="Diferenciado",$H$4=#REF!),BDI!#REF!,IF(#REF!="ZERO",0))))),"")</f>
        <v>#REF!</v>
      </c>
      <c r="H1903" s="139" t="e">
        <f t="shared" ca="1" si="100"/>
        <v>#REF!</v>
      </c>
      <c r="I1903" s="137" t="e">
        <f t="shared" ca="1" si="101"/>
        <v>#REF!</v>
      </c>
      <c r="J1903" s="117"/>
    </row>
    <row r="1904" spans="1:10" hidden="1" x14ac:dyDescent="0.25">
      <c r="A1904" s="114" t="s">
        <v>4688</v>
      </c>
      <c r="B1904" s="115" t="s">
        <v>3636</v>
      </c>
      <c r="C1904" s="116" t="s">
        <v>16</v>
      </c>
      <c r="D1904" s="116">
        <v>0</v>
      </c>
      <c r="E1904" s="136">
        <f ca="1">OFFSET(INDEX(Composições!A:J,MATCH(Orçamentária!A1904,Composições!A:A,0),8),2,0)</f>
        <v>12.625499999999999</v>
      </c>
      <c r="F1904" s="137">
        <f t="shared" ca="1" si="99"/>
        <v>0</v>
      </c>
      <c r="G1904" s="138" t="e">
        <f>IF(A1904&lt;&gt;"",IF(AND(#REF!="Padrão",$H$4=#REF!),BDI!$B$17,IF(AND(#REF!="Padrão",$H$4=#REF!),BDI!#REF!,IF(AND(#REF!="Diferenciado",$H$4=#REF!),BDI!$E$17,IF(AND(#REF!="Diferenciado",$H$4=#REF!),BDI!#REF!,IF(#REF!="ZERO",0))))),"")</f>
        <v>#REF!</v>
      </c>
      <c r="H1904" s="139" t="e">
        <f t="shared" ca="1" si="100"/>
        <v>#REF!</v>
      </c>
      <c r="I1904" s="137" t="e">
        <f t="shared" ca="1" si="101"/>
        <v>#REF!</v>
      </c>
      <c r="J1904" s="117"/>
    </row>
    <row r="1905" spans="1:10" hidden="1" x14ac:dyDescent="0.25">
      <c r="A1905" s="114" t="s">
        <v>4689</v>
      </c>
      <c r="B1905" s="115" t="s">
        <v>3637</v>
      </c>
      <c r="C1905" s="116" t="s">
        <v>69</v>
      </c>
      <c r="D1905" s="116">
        <v>0</v>
      </c>
      <c r="E1905" s="136">
        <f ca="1">OFFSET(INDEX(Composições!A:J,MATCH(Orçamentária!A1905,Composições!A:A,0),8),2,0)</f>
        <v>38.332499999999996</v>
      </c>
      <c r="F1905" s="137">
        <f t="shared" ca="1" si="99"/>
        <v>0</v>
      </c>
      <c r="G1905" s="138" t="e">
        <f>IF(A1905&lt;&gt;"",IF(AND(#REF!="Padrão",$H$4=#REF!),BDI!$B$17,IF(AND(#REF!="Padrão",$H$4=#REF!),BDI!#REF!,IF(AND(#REF!="Diferenciado",$H$4=#REF!),BDI!$E$17,IF(AND(#REF!="Diferenciado",$H$4=#REF!),BDI!#REF!,IF(#REF!="ZERO",0))))),"")</f>
        <v>#REF!</v>
      </c>
      <c r="H1905" s="139" t="e">
        <f t="shared" ca="1" si="100"/>
        <v>#REF!</v>
      </c>
      <c r="I1905" s="137" t="e">
        <f t="shared" ca="1" si="101"/>
        <v>#REF!</v>
      </c>
      <c r="J1905" s="117"/>
    </row>
    <row r="1906" spans="1:10" hidden="1" x14ac:dyDescent="0.25">
      <c r="A1906" s="114" t="s">
        <v>4690</v>
      </c>
      <c r="B1906" s="115" t="s">
        <v>3638</v>
      </c>
      <c r="C1906" s="116" t="s">
        <v>16</v>
      </c>
      <c r="D1906" s="116">
        <v>0</v>
      </c>
      <c r="E1906" s="136">
        <f ca="1">OFFSET(INDEX(Composições!A:J,MATCH(Orçamentária!A1906,Composições!A:A,0),8),2,0)</f>
        <v>20.956999999999997</v>
      </c>
      <c r="F1906" s="137">
        <f t="shared" ca="1" si="99"/>
        <v>0</v>
      </c>
      <c r="G1906" s="138" t="e">
        <f>IF(A1906&lt;&gt;"",IF(AND(#REF!="Padrão",$H$4=#REF!),BDI!$B$17,IF(AND(#REF!="Padrão",$H$4=#REF!),BDI!#REF!,IF(AND(#REF!="Diferenciado",$H$4=#REF!),BDI!$E$17,IF(AND(#REF!="Diferenciado",$H$4=#REF!),BDI!#REF!,IF(#REF!="ZERO",0))))),"")</f>
        <v>#REF!</v>
      </c>
      <c r="H1906" s="139" t="e">
        <f t="shared" ca="1" si="100"/>
        <v>#REF!</v>
      </c>
      <c r="I1906" s="137" t="e">
        <f t="shared" ca="1" si="101"/>
        <v>#REF!</v>
      </c>
      <c r="J1906" s="117"/>
    </row>
    <row r="1907" spans="1:10" hidden="1" x14ac:dyDescent="0.25">
      <c r="A1907" s="114" t="s">
        <v>4691</v>
      </c>
      <c r="B1907" s="115" t="s">
        <v>3639</v>
      </c>
      <c r="C1907" s="116" t="s">
        <v>16</v>
      </c>
      <c r="D1907" s="116">
        <v>0</v>
      </c>
      <c r="E1907" s="136">
        <f ca="1">OFFSET(INDEX(Composições!A:J,MATCH(Orçamentária!A1907,Composições!A:A,0),8),2,0)</f>
        <v>32.252499999999998</v>
      </c>
      <c r="F1907" s="137">
        <f t="shared" ca="1" si="99"/>
        <v>0</v>
      </c>
      <c r="G1907" s="138" t="e">
        <f>IF(A1907&lt;&gt;"",IF(AND(#REF!="Padrão",$H$4=#REF!),BDI!$B$17,IF(AND(#REF!="Padrão",$H$4=#REF!),BDI!#REF!,IF(AND(#REF!="Diferenciado",$H$4=#REF!),BDI!$E$17,IF(AND(#REF!="Diferenciado",$H$4=#REF!),BDI!#REF!,IF(#REF!="ZERO",0))))),"")</f>
        <v>#REF!</v>
      </c>
      <c r="H1907" s="139" t="e">
        <f t="shared" ca="1" si="100"/>
        <v>#REF!</v>
      </c>
      <c r="I1907" s="137" t="e">
        <f t="shared" ca="1" si="101"/>
        <v>#REF!</v>
      </c>
      <c r="J1907" s="117"/>
    </row>
    <row r="1908" spans="1:10" hidden="1" x14ac:dyDescent="0.25">
      <c r="A1908" s="114" t="s">
        <v>4692</v>
      </c>
      <c r="B1908" s="115" t="s">
        <v>7928</v>
      </c>
      <c r="C1908" s="116" t="s">
        <v>16</v>
      </c>
      <c r="D1908" s="116">
        <v>0</v>
      </c>
      <c r="E1908" s="136" t="s">
        <v>416</v>
      </c>
      <c r="F1908" s="137" t="str">
        <f t="shared" si="99"/>
        <v/>
      </c>
      <c r="G1908" s="138" t="e">
        <f>IF(A1908&lt;&gt;"",IF(AND(#REF!="Padrão",$H$4=#REF!),BDI!$B$17,IF(AND(#REF!="Padrão",$H$4=#REF!),BDI!#REF!,IF(AND(#REF!="Diferenciado",$H$4=#REF!),BDI!$E$17,IF(AND(#REF!="Diferenciado",$H$4=#REF!),BDI!#REF!,IF(#REF!="ZERO",0))))),"")</f>
        <v>#REF!</v>
      </c>
      <c r="H1908" s="139" t="str">
        <f t="shared" si="100"/>
        <v/>
      </c>
      <c r="I1908" s="137" t="str">
        <f t="shared" si="101"/>
        <v/>
      </c>
      <c r="J1908" s="117"/>
    </row>
    <row r="1909" spans="1:10" hidden="1" x14ac:dyDescent="0.25">
      <c r="A1909" s="114" t="s">
        <v>4693</v>
      </c>
      <c r="B1909" s="115" t="s">
        <v>7929</v>
      </c>
      <c r="C1909" s="116" t="s">
        <v>16</v>
      </c>
      <c r="D1909" s="116">
        <v>0</v>
      </c>
      <c r="E1909" s="136" t="s">
        <v>416</v>
      </c>
      <c r="F1909" s="137" t="str">
        <f t="shared" si="99"/>
        <v/>
      </c>
      <c r="G1909" s="138" t="e">
        <f>IF(A1909&lt;&gt;"",IF(AND(#REF!="Padrão",$H$4=#REF!),BDI!$B$17,IF(AND(#REF!="Padrão",$H$4=#REF!),BDI!#REF!,IF(AND(#REF!="Diferenciado",$H$4=#REF!),BDI!$E$17,IF(AND(#REF!="Diferenciado",$H$4=#REF!),BDI!#REF!,IF(#REF!="ZERO",0))))),"")</f>
        <v>#REF!</v>
      </c>
      <c r="H1909" s="139" t="str">
        <f t="shared" si="100"/>
        <v/>
      </c>
      <c r="I1909" s="137" t="str">
        <f t="shared" si="101"/>
        <v/>
      </c>
      <c r="J1909" s="117"/>
    </row>
    <row r="1910" spans="1:10" hidden="1" x14ac:dyDescent="0.25">
      <c r="A1910" s="114" t="s">
        <v>4694</v>
      </c>
      <c r="B1910" s="115" t="s">
        <v>7930</v>
      </c>
      <c r="C1910" s="116" t="s">
        <v>16</v>
      </c>
      <c r="D1910" s="116">
        <v>0</v>
      </c>
      <c r="E1910" s="136" t="s">
        <v>416</v>
      </c>
      <c r="F1910" s="137" t="str">
        <f t="shared" si="99"/>
        <v/>
      </c>
      <c r="G1910" s="138" t="e">
        <f>IF(A1910&lt;&gt;"",IF(AND(#REF!="Padrão",$H$4=#REF!),BDI!$B$17,IF(AND(#REF!="Padrão",$H$4=#REF!),BDI!#REF!,IF(AND(#REF!="Diferenciado",$H$4=#REF!),BDI!$E$17,IF(AND(#REF!="Diferenciado",$H$4=#REF!),BDI!#REF!,IF(#REF!="ZERO",0))))),"")</f>
        <v>#REF!</v>
      </c>
      <c r="H1910" s="139" t="str">
        <f t="shared" si="100"/>
        <v/>
      </c>
      <c r="I1910" s="137" t="str">
        <f t="shared" si="101"/>
        <v/>
      </c>
      <c r="J1910" s="117"/>
    </row>
    <row r="1911" spans="1:10" hidden="1" x14ac:dyDescent="0.25">
      <c r="A1911" s="114" t="s">
        <v>4695</v>
      </c>
      <c r="B1911" s="115" t="s">
        <v>7931</v>
      </c>
      <c r="C1911" s="116" t="s">
        <v>16</v>
      </c>
      <c r="D1911" s="116">
        <v>0</v>
      </c>
      <c r="E1911" s="136" t="s">
        <v>416</v>
      </c>
      <c r="F1911" s="137" t="str">
        <f t="shared" si="99"/>
        <v/>
      </c>
      <c r="G1911" s="138" t="e">
        <f>IF(A1911&lt;&gt;"",IF(AND(#REF!="Padrão",$H$4=#REF!),BDI!$B$17,IF(AND(#REF!="Padrão",$H$4=#REF!),BDI!#REF!,IF(AND(#REF!="Diferenciado",$H$4=#REF!),BDI!$E$17,IF(AND(#REF!="Diferenciado",$H$4=#REF!),BDI!#REF!,IF(#REF!="ZERO",0))))),"")</f>
        <v>#REF!</v>
      </c>
      <c r="H1911" s="139" t="str">
        <f t="shared" si="100"/>
        <v/>
      </c>
      <c r="I1911" s="137" t="str">
        <f t="shared" si="101"/>
        <v/>
      </c>
      <c r="J1911" s="117"/>
    </row>
    <row r="1912" spans="1:10" hidden="1" x14ac:dyDescent="0.25">
      <c r="A1912" s="114" t="s">
        <v>4696</v>
      </c>
      <c r="B1912" s="115" t="s">
        <v>7932</v>
      </c>
      <c r="C1912" s="116" t="s">
        <v>16</v>
      </c>
      <c r="D1912" s="116">
        <v>0</v>
      </c>
      <c r="E1912" s="136" t="s">
        <v>416</v>
      </c>
      <c r="F1912" s="137" t="str">
        <f t="shared" si="99"/>
        <v/>
      </c>
      <c r="G1912" s="138" t="e">
        <f>IF(A1912&lt;&gt;"",IF(AND(#REF!="Padrão",$H$4=#REF!),BDI!$B$17,IF(AND(#REF!="Padrão",$H$4=#REF!),BDI!#REF!,IF(AND(#REF!="Diferenciado",$H$4=#REF!),BDI!$E$17,IF(AND(#REF!="Diferenciado",$H$4=#REF!),BDI!#REF!,IF(#REF!="ZERO",0))))),"")</f>
        <v>#REF!</v>
      </c>
      <c r="H1912" s="139" t="str">
        <f t="shared" si="100"/>
        <v/>
      </c>
      <c r="I1912" s="137" t="str">
        <f t="shared" si="101"/>
        <v/>
      </c>
      <c r="J1912" s="117"/>
    </row>
    <row r="1913" spans="1:10" hidden="1" x14ac:dyDescent="0.25">
      <c r="A1913" s="114" t="s">
        <v>4697</v>
      </c>
      <c r="B1913" s="115" t="s">
        <v>7933</v>
      </c>
      <c r="C1913" s="116" t="s">
        <v>16</v>
      </c>
      <c r="D1913" s="116">
        <v>0</v>
      </c>
      <c r="E1913" s="136" t="s">
        <v>416</v>
      </c>
      <c r="F1913" s="137" t="str">
        <f t="shared" si="99"/>
        <v/>
      </c>
      <c r="G1913" s="138" t="e">
        <f>IF(A1913&lt;&gt;"",IF(AND(#REF!="Padrão",$H$4=#REF!),BDI!$B$17,IF(AND(#REF!="Padrão",$H$4=#REF!),BDI!#REF!,IF(AND(#REF!="Diferenciado",$H$4=#REF!),BDI!$E$17,IF(AND(#REF!="Diferenciado",$H$4=#REF!),BDI!#REF!,IF(#REF!="ZERO",0))))),"")</f>
        <v>#REF!</v>
      </c>
      <c r="H1913" s="139" t="str">
        <f t="shared" si="100"/>
        <v/>
      </c>
      <c r="I1913" s="137" t="str">
        <f t="shared" si="101"/>
        <v/>
      </c>
      <c r="J1913" s="117"/>
    </row>
    <row r="1914" spans="1:10" hidden="1" x14ac:dyDescent="0.25">
      <c r="A1914" s="114" t="s">
        <v>4698</v>
      </c>
      <c r="B1914" s="115" t="s">
        <v>3640</v>
      </c>
      <c r="C1914" s="116" t="s">
        <v>16</v>
      </c>
      <c r="D1914" s="116">
        <v>0</v>
      </c>
      <c r="E1914" s="136" t="s">
        <v>416</v>
      </c>
      <c r="F1914" s="137" t="str">
        <f t="shared" si="99"/>
        <v/>
      </c>
      <c r="G1914" s="138" t="e">
        <f>IF(A1914&lt;&gt;"",IF(AND(#REF!="Padrão",$H$4=#REF!),BDI!$B$17,IF(AND(#REF!="Padrão",$H$4=#REF!),BDI!#REF!,IF(AND(#REF!="Diferenciado",$H$4=#REF!),BDI!$E$17,IF(AND(#REF!="Diferenciado",$H$4=#REF!),BDI!#REF!,IF(#REF!="ZERO",0))))),"")</f>
        <v>#REF!</v>
      </c>
      <c r="H1914" s="139" t="str">
        <f t="shared" si="100"/>
        <v/>
      </c>
      <c r="I1914" s="137" t="str">
        <f t="shared" si="101"/>
        <v/>
      </c>
      <c r="J1914" s="117"/>
    </row>
    <row r="1915" spans="1:10" hidden="1" x14ac:dyDescent="0.25">
      <c r="A1915" s="114" t="s">
        <v>4699</v>
      </c>
      <c r="B1915" s="115" t="s">
        <v>3641</v>
      </c>
      <c r="C1915" s="116" t="s">
        <v>16</v>
      </c>
      <c r="D1915" s="116">
        <v>0</v>
      </c>
      <c r="E1915" s="136" t="s">
        <v>416</v>
      </c>
      <c r="F1915" s="137" t="str">
        <f t="shared" si="99"/>
        <v/>
      </c>
      <c r="G1915" s="138" t="e">
        <f>IF(A1915&lt;&gt;"",IF(AND(#REF!="Padrão",$H$4=#REF!),BDI!$B$17,IF(AND(#REF!="Padrão",$H$4=#REF!),BDI!#REF!,IF(AND(#REF!="Diferenciado",$H$4=#REF!),BDI!$E$17,IF(AND(#REF!="Diferenciado",$H$4=#REF!),BDI!#REF!,IF(#REF!="ZERO",0))))),"")</f>
        <v>#REF!</v>
      </c>
      <c r="H1915" s="139" t="str">
        <f t="shared" si="100"/>
        <v/>
      </c>
      <c r="I1915" s="137" t="str">
        <f t="shared" si="101"/>
        <v/>
      </c>
      <c r="J1915" s="117"/>
    </row>
    <row r="1916" spans="1:10" hidden="1" x14ac:dyDescent="0.25">
      <c r="A1916" s="114" t="s">
        <v>4700</v>
      </c>
      <c r="B1916" s="115" t="s">
        <v>3642</v>
      </c>
      <c r="C1916" s="116" t="s">
        <v>16</v>
      </c>
      <c r="D1916" s="116">
        <v>0</v>
      </c>
      <c r="E1916" s="136" t="s">
        <v>416</v>
      </c>
      <c r="F1916" s="137" t="str">
        <f t="shared" si="99"/>
        <v/>
      </c>
      <c r="G1916" s="138" t="e">
        <f>IF(A1916&lt;&gt;"",IF(AND(#REF!="Padrão",$H$4=#REF!),BDI!$B$17,IF(AND(#REF!="Padrão",$H$4=#REF!),BDI!#REF!,IF(AND(#REF!="Diferenciado",$H$4=#REF!),BDI!$E$17,IF(AND(#REF!="Diferenciado",$H$4=#REF!),BDI!#REF!,IF(#REF!="ZERO",0))))),"")</f>
        <v>#REF!</v>
      </c>
      <c r="H1916" s="139" t="str">
        <f t="shared" si="100"/>
        <v/>
      </c>
      <c r="I1916" s="137" t="str">
        <f t="shared" si="101"/>
        <v/>
      </c>
      <c r="J1916" s="117"/>
    </row>
    <row r="1917" spans="1:10" hidden="1" x14ac:dyDescent="0.25">
      <c r="A1917" s="114" t="s">
        <v>4701</v>
      </c>
      <c r="B1917" s="115" t="s">
        <v>3643</v>
      </c>
      <c r="C1917" s="116" t="s">
        <v>16</v>
      </c>
      <c r="D1917" s="116">
        <v>0</v>
      </c>
      <c r="E1917" s="136" t="s">
        <v>416</v>
      </c>
      <c r="F1917" s="137" t="str">
        <f t="shared" si="99"/>
        <v/>
      </c>
      <c r="G1917" s="138" t="e">
        <f>IF(A1917&lt;&gt;"",IF(AND(#REF!="Padrão",$H$4=#REF!),BDI!$B$17,IF(AND(#REF!="Padrão",$H$4=#REF!),BDI!#REF!,IF(AND(#REF!="Diferenciado",$H$4=#REF!),BDI!$E$17,IF(AND(#REF!="Diferenciado",$H$4=#REF!),BDI!#REF!,IF(#REF!="ZERO",0))))),"")</f>
        <v>#REF!</v>
      </c>
      <c r="H1917" s="139" t="str">
        <f t="shared" si="100"/>
        <v/>
      </c>
      <c r="I1917" s="137" t="str">
        <f t="shared" si="101"/>
        <v/>
      </c>
      <c r="J1917" s="117"/>
    </row>
    <row r="1918" spans="1:10" hidden="1" x14ac:dyDescent="0.25">
      <c r="A1918" s="114" t="s">
        <v>4702</v>
      </c>
      <c r="B1918" s="115" t="s">
        <v>3644</v>
      </c>
      <c r="C1918" s="116" t="s">
        <v>16</v>
      </c>
      <c r="D1918" s="116">
        <v>0</v>
      </c>
      <c r="E1918" s="136" t="s">
        <v>416</v>
      </c>
      <c r="F1918" s="137" t="str">
        <f t="shared" si="99"/>
        <v/>
      </c>
      <c r="G1918" s="138" t="e">
        <f>IF(A1918&lt;&gt;"",IF(AND(#REF!="Padrão",$H$4=#REF!),BDI!$B$17,IF(AND(#REF!="Padrão",$H$4=#REF!),BDI!#REF!,IF(AND(#REF!="Diferenciado",$H$4=#REF!),BDI!$E$17,IF(AND(#REF!="Diferenciado",$H$4=#REF!),BDI!#REF!,IF(#REF!="ZERO",0))))),"")</f>
        <v>#REF!</v>
      </c>
      <c r="H1918" s="139" t="str">
        <f t="shared" si="100"/>
        <v/>
      </c>
      <c r="I1918" s="137" t="str">
        <f t="shared" si="101"/>
        <v/>
      </c>
      <c r="J1918" s="117"/>
    </row>
    <row r="1919" spans="1:10" hidden="1" x14ac:dyDescent="0.25">
      <c r="A1919" s="114" t="s">
        <v>4703</v>
      </c>
      <c r="B1919" s="115" t="s">
        <v>3645</v>
      </c>
      <c r="C1919" s="116" t="s">
        <v>16</v>
      </c>
      <c r="D1919" s="116">
        <v>0</v>
      </c>
      <c r="E1919" s="136" t="s">
        <v>416</v>
      </c>
      <c r="F1919" s="137" t="str">
        <f t="shared" si="99"/>
        <v/>
      </c>
      <c r="G1919" s="138" t="e">
        <f>IF(A1919&lt;&gt;"",IF(AND(#REF!="Padrão",$H$4=#REF!),BDI!$B$17,IF(AND(#REF!="Padrão",$H$4=#REF!),BDI!#REF!,IF(AND(#REF!="Diferenciado",$H$4=#REF!),BDI!$E$17,IF(AND(#REF!="Diferenciado",$H$4=#REF!),BDI!#REF!,IF(#REF!="ZERO",0))))),"")</f>
        <v>#REF!</v>
      </c>
      <c r="H1919" s="139" t="str">
        <f t="shared" si="100"/>
        <v/>
      </c>
      <c r="I1919" s="137" t="str">
        <f t="shared" si="101"/>
        <v/>
      </c>
      <c r="J1919" s="117"/>
    </row>
    <row r="1920" spans="1:10" hidden="1" x14ac:dyDescent="0.25">
      <c r="A1920" s="114" t="s">
        <v>4704</v>
      </c>
      <c r="B1920" s="115" t="s">
        <v>3646</v>
      </c>
      <c r="C1920" s="116" t="s">
        <v>16</v>
      </c>
      <c r="D1920" s="116">
        <v>0</v>
      </c>
      <c r="E1920" s="136">
        <f ca="1">OFFSET(INDEX(Composições!A:J,MATCH(Orçamentária!A1920,Composições!A:A,0),8),2,0)</f>
        <v>0</v>
      </c>
      <c r="F1920" s="137">
        <f t="shared" ca="1" si="99"/>
        <v>0</v>
      </c>
      <c r="G1920" s="138" t="e">
        <f>IF(A1920&lt;&gt;"",IF(AND(#REF!="Padrão",$H$4=#REF!),BDI!$B$17,IF(AND(#REF!="Padrão",$H$4=#REF!),BDI!#REF!,IF(AND(#REF!="Diferenciado",$H$4=#REF!),BDI!$E$17,IF(AND(#REF!="Diferenciado",$H$4=#REF!),BDI!#REF!,IF(#REF!="ZERO",0))))),"")</f>
        <v>#REF!</v>
      </c>
      <c r="H1920" s="139" t="e">
        <f t="shared" ca="1" si="100"/>
        <v>#REF!</v>
      </c>
      <c r="I1920" s="137" t="e">
        <f t="shared" ca="1" si="101"/>
        <v>#REF!</v>
      </c>
      <c r="J1920" s="117"/>
    </row>
    <row r="1921" spans="1:10" hidden="1" x14ac:dyDescent="0.25">
      <c r="A1921" s="114" t="s">
        <v>4705</v>
      </c>
      <c r="B1921" s="115" t="s">
        <v>3647</v>
      </c>
      <c r="C1921" s="116" t="s">
        <v>16</v>
      </c>
      <c r="D1921" s="116">
        <v>0</v>
      </c>
      <c r="E1921" s="136">
        <f ca="1">OFFSET(INDEX(Composições!A:J,MATCH(Orçamentária!A1921,Composições!A:A,0),8),2,0)</f>
        <v>0</v>
      </c>
      <c r="F1921" s="137">
        <f t="shared" ca="1" si="99"/>
        <v>0</v>
      </c>
      <c r="G1921" s="138" t="e">
        <f>IF(A1921&lt;&gt;"",IF(AND(#REF!="Padrão",$H$4=#REF!),BDI!$B$17,IF(AND(#REF!="Padrão",$H$4=#REF!),BDI!#REF!,IF(AND(#REF!="Diferenciado",$H$4=#REF!),BDI!$E$17,IF(AND(#REF!="Diferenciado",$H$4=#REF!),BDI!#REF!,IF(#REF!="ZERO",0))))),"")</f>
        <v>#REF!</v>
      </c>
      <c r="H1921" s="139" t="e">
        <f t="shared" ca="1" si="100"/>
        <v>#REF!</v>
      </c>
      <c r="I1921" s="137" t="e">
        <f t="shared" ca="1" si="101"/>
        <v>#REF!</v>
      </c>
      <c r="J1921" s="117"/>
    </row>
    <row r="1922" spans="1:10" hidden="1" x14ac:dyDescent="0.25">
      <c r="A1922" s="114" t="s">
        <v>4706</v>
      </c>
      <c r="B1922" s="115" t="s">
        <v>3648</v>
      </c>
      <c r="C1922" s="116" t="s">
        <v>16</v>
      </c>
      <c r="D1922" s="116">
        <v>0</v>
      </c>
      <c r="E1922" s="136">
        <f ca="1">OFFSET(INDEX(Composições!A:J,MATCH(Orçamentária!A1922,Composições!A:A,0),8),2,0)</f>
        <v>0</v>
      </c>
      <c r="F1922" s="137">
        <f t="shared" ca="1" si="99"/>
        <v>0</v>
      </c>
      <c r="G1922" s="138" t="e">
        <f>IF(A1922&lt;&gt;"",IF(AND(#REF!="Padrão",$H$4=#REF!),BDI!$B$17,IF(AND(#REF!="Padrão",$H$4=#REF!),BDI!#REF!,IF(AND(#REF!="Diferenciado",$H$4=#REF!),BDI!$E$17,IF(AND(#REF!="Diferenciado",$H$4=#REF!),BDI!#REF!,IF(#REF!="ZERO",0))))),"")</f>
        <v>#REF!</v>
      </c>
      <c r="H1922" s="139" t="e">
        <f t="shared" ca="1" si="100"/>
        <v>#REF!</v>
      </c>
      <c r="I1922" s="137" t="e">
        <f t="shared" ca="1" si="101"/>
        <v>#REF!</v>
      </c>
      <c r="J1922" s="117"/>
    </row>
    <row r="1923" spans="1:10" hidden="1" x14ac:dyDescent="0.25">
      <c r="A1923" s="114" t="s">
        <v>4707</v>
      </c>
      <c r="B1923" s="115" t="s">
        <v>3649</v>
      </c>
      <c r="C1923" s="116" t="s">
        <v>16</v>
      </c>
      <c r="D1923" s="116">
        <v>0</v>
      </c>
      <c r="E1923" s="136">
        <f ca="1">OFFSET(INDEX(Composições!A:J,MATCH(Orçamentária!A1923,Composições!A:A,0),8),2,0)</f>
        <v>0</v>
      </c>
      <c r="F1923" s="137">
        <f t="shared" ca="1" si="99"/>
        <v>0</v>
      </c>
      <c r="G1923" s="138" t="e">
        <f>IF(A1923&lt;&gt;"",IF(AND(#REF!="Padrão",$H$4=#REF!),BDI!$B$17,IF(AND(#REF!="Padrão",$H$4=#REF!),BDI!#REF!,IF(AND(#REF!="Diferenciado",$H$4=#REF!),BDI!$E$17,IF(AND(#REF!="Diferenciado",$H$4=#REF!),BDI!#REF!,IF(#REF!="ZERO",0))))),"")</f>
        <v>#REF!</v>
      </c>
      <c r="H1923" s="139" t="e">
        <f t="shared" ca="1" si="100"/>
        <v>#REF!</v>
      </c>
      <c r="I1923" s="137" t="e">
        <f t="shared" ca="1" si="101"/>
        <v>#REF!</v>
      </c>
      <c r="J1923" s="117"/>
    </row>
    <row r="1924" spans="1:10" hidden="1" x14ac:dyDescent="0.25">
      <c r="A1924" s="114" t="s">
        <v>4708</v>
      </c>
      <c r="B1924" s="115" t="s">
        <v>3650</v>
      </c>
      <c r="C1924" s="116" t="s">
        <v>16</v>
      </c>
      <c r="D1924" s="116">
        <v>0</v>
      </c>
      <c r="E1924" s="136">
        <f ca="1">OFFSET(INDEX(Composições!A:J,MATCH(Orçamentária!A1924,Composições!A:A,0),8),2,0)</f>
        <v>0</v>
      </c>
      <c r="F1924" s="137">
        <f t="shared" ca="1" si="99"/>
        <v>0</v>
      </c>
      <c r="G1924" s="138" t="e">
        <f>IF(A1924&lt;&gt;"",IF(AND(#REF!="Padrão",$H$4=#REF!),BDI!$B$17,IF(AND(#REF!="Padrão",$H$4=#REF!),BDI!#REF!,IF(AND(#REF!="Diferenciado",$H$4=#REF!),BDI!$E$17,IF(AND(#REF!="Diferenciado",$H$4=#REF!),BDI!#REF!,IF(#REF!="ZERO",0))))),"")</f>
        <v>#REF!</v>
      </c>
      <c r="H1924" s="139" t="e">
        <f t="shared" ca="1" si="100"/>
        <v>#REF!</v>
      </c>
      <c r="I1924" s="137" t="e">
        <f t="shared" ca="1" si="101"/>
        <v>#REF!</v>
      </c>
      <c r="J1924" s="117"/>
    </row>
    <row r="1925" spans="1:10" hidden="1" x14ac:dyDescent="0.25">
      <c r="A1925" s="114" t="s">
        <v>4709</v>
      </c>
      <c r="B1925" s="115" t="s">
        <v>3651</v>
      </c>
      <c r="C1925" s="116" t="s">
        <v>16</v>
      </c>
      <c r="D1925" s="116">
        <v>0</v>
      </c>
      <c r="E1925" s="136" t="s">
        <v>416</v>
      </c>
      <c r="F1925" s="137" t="str">
        <f t="shared" si="99"/>
        <v/>
      </c>
      <c r="G1925" s="138" t="e">
        <f>IF(A1925&lt;&gt;"",IF(AND(#REF!="Padrão",$H$4=#REF!),BDI!$B$17,IF(AND(#REF!="Padrão",$H$4=#REF!),BDI!#REF!,IF(AND(#REF!="Diferenciado",$H$4=#REF!),BDI!$E$17,IF(AND(#REF!="Diferenciado",$H$4=#REF!),BDI!#REF!,IF(#REF!="ZERO",0))))),"")</f>
        <v>#REF!</v>
      </c>
      <c r="H1925" s="139" t="str">
        <f t="shared" si="100"/>
        <v/>
      </c>
      <c r="I1925" s="137" t="str">
        <f t="shared" si="101"/>
        <v/>
      </c>
      <c r="J1925" s="117"/>
    </row>
    <row r="1926" spans="1:10" hidden="1" x14ac:dyDescent="0.25">
      <c r="A1926" s="114" t="s">
        <v>4710</v>
      </c>
      <c r="B1926" s="115" t="s">
        <v>3652</v>
      </c>
      <c r="C1926" s="116" t="s">
        <v>16</v>
      </c>
      <c r="D1926" s="116">
        <v>0</v>
      </c>
      <c r="E1926" s="136">
        <f ca="1">OFFSET(INDEX(Composições!A:J,MATCH(Orçamentária!A1926,Composições!A:A,0),8),2,0)</f>
        <v>0</v>
      </c>
      <c r="F1926" s="137">
        <f t="shared" ca="1" si="99"/>
        <v>0</v>
      </c>
      <c r="G1926" s="138" t="e">
        <f>IF(A1926&lt;&gt;"",IF(AND(#REF!="Padrão",$H$4=#REF!),BDI!$B$17,IF(AND(#REF!="Padrão",$H$4=#REF!),BDI!#REF!,IF(AND(#REF!="Diferenciado",$H$4=#REF!),BDI!$E$17,IF(AND(#REF!="Diferenciado",$H$4=#REF!),BDI!#REF!,IF(#REF!="ZERO",0))))),"")</f>
        <v>#REF!</v>
      </c>
      <c r="H1926" s="139" t="e">
        <f t="shared" ca="1" si="100"/>
        <v>#REF!</v>
      </c>
      <c r="I1926" s="137" t="e">
        <f t="shared" ca="1" si="101"/>
        <v>#REF!</v>
      </c>
      <c r="J1926" s="117"/>
    </row>
    <row r="1927" spans="1:10" hidden="1" x14ac:dyDescent="0.25">
      <c r="A1927" s="114" t="s">
        <v>4711</v>
      </c>
      <c r="B1927" s="115" t="s">
        <v>3653</v>
      </c>
      <c r="C1927" s="116" t="s">
        <v>16</v>
      </c>
      <c r="D1927" s="116">
        <v>0</v>
      </c>
      <c r="E1927" s="136" t="s">
        <v>416</v>
      </c>
      <c r="F1927" s="137" t="str">
        <f t="shared" si="99"/>
        <v/>
      </c>
      <c r="G1927" s="138" t="e">
        <f>IF(A1927&lt;&gt;"",IF(AND(#REF!="Padrão",$H$4=#REF!),BDI!$B$17,IF(AND(#REF!="Padrão",$H$4=#REF!),BDI!#REF!,IF(AND(#REF!="Diferenciado",$H$4=#REF!),BDI!$E$17,IF(AND(#REF!="Diferenciado",$H$4=#REF!),BDI!#REF!,IF(#REF!="ZERO",0))))),"")</f>
        <v>#REF!</v>
      </c>
      <c r="H1927" s="139" t="str">
        <f t="shared" si="100"/>
        <v/>
      </c>
      <c r="I1927" s="137" t="str">
        <f t="shared" si="101"/>
        <v/>
      </c>
      <c r="J1927" s="117"/>
    </row>
    <row r="1928" spans="1:10" hidden="1" x14ac:dyDescent="0.25">
      <c r="A1928" s="114" t="s">
        <v>4712</v>
      </c>
      <c r="B1928" s="115" t="s">
        <v>3654</v>
      </c>
      <c r="C1928" s="116" t="s">
        <v>16</v>
      </c>
      <c r="D1928" s="116">
        <v>0</v>
      </c>
      <c r="E1928" s="136">
        <f ca="1">OFFSET(INDEX(Composições!A:J,MATCH(Orçamentária!A1928,Composições!A:A,0),8),2,0)</f>
        <v>0</v>
      </c>
      <c r="F1928" s="137">
        <f t="shared" ca="1" si="99"/>
        <v>0</v>
      </c>
      <c r="G1928" s="138" t="e">
        <f>IF(A1928&lt;&gt;"",IF(AND(#REF!="Padrão",$H$4=#REF!),BDI!$B$17,IF(AND(#REF!="Padrão",$H$4=#REF!),BDI!#REF!,IF(AND(#REF!="Diferenciado",$H$4=#REF!),BDI!$E$17,IF(AND(#REF!="Diferenciado",$H$4=#REF!),BDI!#REF!,IF(#REF!="ZERO",0))))),"")</f>
        <v>#REF!</v>
      </c>
      <c r="H1928" s="139" t="e">
        <f t="shared" ca="1" si="100"/>
        <v>#REF!</v>
      </c>
      <c r="I1928" s="137" t="e">
        <f t="shared" ca="1" si="101"/>
        <v>#REF!</v>
      </c>
      <c r="J1928" s="117"/>
    </row>
    <row r="1929" spans="1:10" hidden="1" x14ac:dyDescent="0.25">
      <c r="A1929" s="114" t="s">
        <v>4713</v>
      </c>
      <c r="B1929" s="115" t="s">
        <v>3655</v>
      </c>
      <c r="C1929" s="116" t="s">
        <v>16</v>
      </c>
      <c r="D1929" s="116">
        <v>0</v>
      </c>
      <c r="E1929" s="136" t="s">
        <v>416</v>
      </c>
      <c r="F1929" s="137" t="str">
        <f t="shared" si="99"/>
        <v/>
      </c>
      <c r="G1929" s="138" t="e">
        <f>IF(A1929&lt;&gt;"",IF(AND(#REF!="Padrão",$H$4=#REF!),BDI!$B$17,IF(AND(#REF!="Padrão",$H$4=#REF!),BDI!#REF!,IF(AND(#REF!="Diferenciado",$H$4=#REF!),BDI!$E$17,IF(AND(#REF!="Diferenciado",$H$4=#REF!),BDI!#REF!,IF(#REF!="ZERO",0))))),"")</f>
        <v>#REF!</v>
      </c>
      <c r="H1929" s="139" t="str">
        <f t="shared" si="100"/>
        <v/>
      </c>
      <c r="I1929" s="137" t="str">
        <f t="shared" si="101"/>
        <v/>
      </c>
      <c r="J1929" s="117"/>
    </row>
    <row r="1930" spans="1:10" hidden="1" x14ac:dyDescent="0.25">
      <c r="A1930" s="114" t="s">
        <v>4714</v>
      </c>
      <c r="B1930" s="115" t="s">
        <v>3656</v>
      </c>
      <c r="C1930" s="116" t="s">
        <v>16</v>
      </c>
      <c r="D1930" s="116">
        <v>0</v>
      </c>
      <c r="E1930" s="136">
        <f ca="1">OFFSET(INDEX(Composições!A:J,MATCH(Orçamentária!A1930,Composições!A:A,0),8),2,0)</f>
        <v>0</v>
      </c>
      <c r="F1930" s="137">
        <f t="shared" ca="1" si="99"/>
        <v>0</v>
      </c>
      <c r="G1930" s="138" t="e">
        <f>IF(A1930&lt;&gt;"",IF(AND(#REF!="Padrão",$H$4=#REF!),BDI!$B$17,IF(AND(#REF!="Padrão",$H$4=#REF!),BDI!#REF!,IF(AND(#REF!="Diferenciado",$H$4=#REF!),BDI!$E$17,IF(AND(#REF!="Diferenciado",$H$4=#REF!),BDI!#REF!,IF(#REF!="ZERO",0))))),"")</f>
        <v>#REF!</v>
      </c>
      <c r="H1930" s="139" t="e">
        <f t="shared" ca="1" si="100"/>
        <v>#REF!</v>
      </c>
      <c r="I1930" s="137" t="e">
        <f t="shared" ca="1" si="101"/>
        <v>#REF!</v>
      </c>
      <c r="J1930" s="117"/>
    </row>
    <row r="1931" spans="1:10" hidden="1" x14ac:dyDescent="0.25">
      <c r="A1931" s="114" t="s">
        <v>4715</v>
      </c>
      <c r="B1931" s="115" t="s">
        <v>3657</v>
      </c>
      <c r="C1931" s="116" t="s">
        <v>16</v>
      </c>
      <c r="D1931" s="116">
        <v>0</v>
      </c>
      <c r="E1931" s="136" t="s">
        <v>416</v>
      </c>
      <c r="F1931" s="137" t="str">
        <f t="shared" si="99"/>
        <v/>
      </c>
      <c r="G1931" s="138" t="e">
        <f>IF(A1931&lt;&gt;"",IF(AND(#REF!="Padrão",$H$4=#REF!),BDI!$B$17,IF(AND(#REF!="Padrão",$H$4=#REF!),BDI!#REF!,IF(AND(#REF!="Diferenciado",$H$4=#REF!),BDI!$E$17,IF(AND(#REF!="Diferenciado",$H$4=#REF!),BDI!#REF!,IF(#REF!="ZERO",0))))),"")</f>
        <v>#REF!</v>
      </c>
      <c r="H1931" s="139" t="str">
        <f t="shared" si="100"/>
        <v/>
      </c>
      <c r="I1931" s="137" t="str">
        <f t="shared" si="101"/>
        <v/>
      </c>
      <c r="J1931" s="117"/>
    </row>
    <row r="1932" spans="1:10" hidden="1" x14ac:dyDescent="0.25">
      <c r="A1932" s="114" t="s">
        <v>4716</v>
      </c>
      <c r="B1932" s="115" t="s">
        <v>3658</v>
      </c>
      <c r="C1932" s="116" t="s">
        <v>16</v>
      </c>
      <c r="D1932" s="116">
        <v>0</v>
      </c>
      <c r="E1932" s="136" t="s">
        <v>416</v>
      </c>
      <c r="F1932" s="137" t="str">
        <f t="shared" si="99"/>
        <v/>
      </c>
      <c r="G1932" s="138" t="e">
        <f>IF(A1932&lt;&gt;"",IF(AND(#REF!="Padrão",$H$4=#REF!),BDI!$B$17,IF(AND(#REF!="Padrão",$H$4=#REF!),BDI!#REF!,IF(AND(#REF!="Diferenciado",$H$4=#REF!),BDI!$E$17,IF(AND(#REF!="Diferenciado",$H$4=#REF!),BDI!#REF!,IF(#REF!="ZERO",0))))),"")</f>
        <v>#REF!</v>
      </c>
      <c r="H1932" s="139" t="str">
        <f t="shared" si="100"/>
        <v/>
      </c>
      <c r="I1932" s="137" t="str">
        <f t="shared" si="101"/>
        <v/>
      </c>
      <c r="J1932" s="117"/>
    </row>
    <row r="1933" spans="1:10" hidden="1" x14ac:dyDescent="0.25">
      <c r="A1933" s="114" t="s">
        <v>4717</v>
      </c>
      <c r="B1933" s="115" t="s">
        <v>3659</v>
      </c>
      <c r="C1933" s="116" t="s">
        <v>16</v>
      </c>
      <c r="D1933" s="116">
        <v>0</v>
      </c>
      <c r="E1933" s="136">
        <f ca="1">OFFSET(INDEX(Composições!A:J,MATCH(Orçamentária!A1933,Composições!A:A,0),8),2,0)</f>
        <v>6.4694999999999991</v>
      </c>
      <c r="F1933" s="137">
        <f t="shared" ca="1" si="99"/>
        <v>0</v>
      </c>
      <c r="G1933" s="138" t="e">
        <f>IF(A1933&lt;&gt;"",IF(AND(#REF!="Padrão",$H$4=#REF!),BDI!$B$17,IF(AND(#REF!="Padrão",$H$4=#REF!),BDI!#REF!,IF(AND(#REF!="Diferenciado",$H$4=#REF!),BDI!$E$17,IF(AND(#REF!="Diferenciado",$H$4=#REF!),BDI!#REF!,IF(#REF!="ZERO",0))))),"")</f>
        <v>#REF!</v>
      </c>
      <c r="H1933" s="139" t="e">
        <f t="shared" ca="1" si="100"/>
        <v>#REF!</v>
      </c>
      <c r="I1933" s="137" t="e">
        <f t="shared" ca="1" si="101"/>
        <v>#REF!</v>
      </c>
      <c r="J1933" s="117"/>
    </row>
    <row r="1934" spans="1:10" hidden="1" x14ac:dyDescent="0.25">
      <c r="A1934" s="114" t="s">
        <v>4718</v>
      </c>
      <c r="B1934" s="115" t="s">
        <v>3660</v>
      </c>
      <c r="C1934" s="116" t="s">
        <v>16</v>
      </c>
      <c r="D1934" s="116">
        <v>0</v>
      </c>
      <c r="E1934" s="136" t="s">
        <v>416</v>
      </c>
      <c r="F1934" s="137" t="str">
        <f t="shared" si="99"/>
        <v/>
      </c>
      <c r="G1934" s="138" t="e">
        <f>IF(A1934&lt;&gt;"",IF(AND(#REF!="Padrão",$H$4=#REF!),BDI!$B$17,IF(AND(#REF!="Padrão",$H$4=#REF!),BDI!#REF!,IF(AND(#REF!="Diferenciado",$H$4=#REF!),BDI!$E$17,IF(AND(#REF!="Diferenciado",$H$4=#REF!),BDI!#REF!,IF(#REF!="ZERO",0))))),"")</f>
        <v>#REF!</v>
      </c>
      <c r="H1934" s="139" t="str">
        <f t="shared" si="100"/>
        <v/>
      </c>
      <c r="I1934" s="137" t="str">
        <f t="shared" si="101"/>
        <v/>
      </c>
      <c r="J1934" s="117"/>
    </row>
    <row r="1935" spans="1:10" hidden="1" x14ac:dyDescent="0.25">
      <c r="A1935" s="114" t="s">
        <v>4719</v>
      </c>
      <c r="B1935" s="115" t="s">
        <v>3661</v>
      </c>
      <c r="C1935" s="116" t="s">
        <v>16</v>
      </c>
      <c r="D1935" s="116">
        <v>0</v>
      </c>
      <c r="E1935" s="136" t="s">
        <v>416</v>
      </c>
      <c r="F1935" s="137" t="str">
        <f t="shared" si="99"/>
        <v/>
      </c>
      <c r="G1935" s="138" t="e">
        <f>IF(A1935&lt;&gt;"",IF(AND(#REF!="Padrão",$H$4=#REF!),BDI!$B$17,IF(AND(#REF!="Padrão",$H$4=#REF!),BDI!#REF!,IF(AND(#REF!="Diferenciado",$H$4=#REF!),BDI!$E$17,IF(AND(#REF!="Diferenciado",$H$4=#REF!),BDI!#REF!,IF(#REF!="ZERO",0))))),"")</f>
        <v>#REF!</v>
      </c>
      <c r="H1935" s="139" t="str">
        <f t="shared" si="100"/>
        <v/>
      </c>
      <c r="I1935" s="137" t="str">
        <f t="shared" si="101"/>
        <v/>
      </c>
      <c r="J1935" s="117"/>
    </row>
    <row r="1936" spans="1:10" hidden="1" x14ac:dyDescent="0.25">
      <c r="A1936" s="114" t="s">
        <v>4720</v>
      </c>
      <c r="B1936" s="115" t="s">
        <v>7540</v>
      </c>
      <c r="C1936" s="116" t="s">
        <v>16</v>
      </c>
      <c r="D1936" s="116">
        <v>0</v>
      </c>
      <c r="E1936" s="136" t="s">
        <v>416</v>
      </c>
      <c r="F1936" s="137" t="str">
        <f t="shared" si="99"/>
        <v/>
      </c>
      <c r="G1936" s="138" t="e">
        <f>IF(A1936&lt;&gt;"",IF(AND(#REF!="Padrão",$H$4=#REF!),BDI!$B$17,IF(AND(#REF!="Padrão",$H$4=#REF!),BDI!#REF!,IF(AND(#REF!="Diferenciado",$H$4=#REF!),BDI!$E$17,IF(AND(#REF!="Diferenciado",$H$4=#REF!),BDI!#REF!,IF(#REF!="ZERO",0))))),"")</f>
        <v>#REF!</v>
      </c>
      <c r="H1936" s="139" t="str">
        <f t="shared" si="100"/>
        <v/>
      </c>
      <c r="I1936" s="137" t="str">
        <f t="shared" si="101"/>
        <v/>
      </c>
      <c r="J1936" s="117"/>
    </row>
    <row r="1937" spans="1:10" hidden="1" x14ac:dyDescent="0.25">
      <c r="A1937" s="114" t="s">
        <v>4721</v>
      </c>
      <c r="B1937" s="115" t="s">
        <v>7541</v>
      </c>
      <c r="C1937" s="116" t="s">
        <v>16</v>
      </c>
      <c r="D1937" s="116">
        <v>0</v>
      </c>
      <c r="E1937" s="136" t="s">
        <v>416</v>
      </c>
      <c r="F1937" s="137" t="str">
        <f t="shared" si="99"/>
        <v/>
      </c>
      <c r="G1937" s="138" t="e">
        <f>IF(A1937&lt;&gt;"",IF(AND(#REF!="Padrão",$H$4=#REF!),BDI!$B$17,IF(AND(#REF!="Padrão",$H$4=#REF!),BDI!#REF!,IF(AND(#REF!="Diferenciado",$H$4=#REF!),BDI!$E$17,IF(AND(#REF!="Diferenciado",$H$4=#REF!),BDI!#REF!,IF(#REF!="ZERO",0))))),"")</f>
        <v>#REF!</v>
      </c>
      <c r="H1937" s="139" t="str">
        <f t="shared" si="100"/>
        <v/>
      </c>
      <c r="I1937" s="137" t="str">
        <f t="shared" si="101"/>
        <v/>
      </c>
      <c r="J1937" s="117"/>
    </row>
    <row r="1938" spans="1:10" hidden="1" x14ac:dyDescent="0.25">
      <c r="A1938" s="114" t="s">
        <v>4722</v>
      </c>
      <c r="B1938" s="115" t="s">
        <v>3308</v>
      </c>
      <c r="C1938" s="116" t="s">
        <v>16</v>
      </c>
      <c r="D1938" s="116">
        <v>0</v>
      </c>
      <c r="E1938" s="136" t="s">
        <v>416</v>
      </c>
      <c r="F1938" s="137" t="str">
        <f t="shared" si="99"/>
        <v/>
      </c>
      <c r="G1938" s="138" t="e">
        <f>IF(A1938&lt;&gt;"",IF(AND(#REF!="Padrão",$H$4=#REF!),BDI!$B$17,IF(AND(#REF!="Padrão",$H$4=#REF!),BDI!#REF!,IF(AND(#REF!="Diferenciado",$H$4=#REF!),BDI!$E$17,IF(AND(#REF!="Diferenciado",$H$4=#REF!),BDI!#REF!,IF(#REF!="ZERO",0))))),"")</f>
        <v>#REF!</v>
      </c>
      <c r="H1938" s="139" t="str">
        <f t="shared" si="100"/>
        <v/>
      </c>
      <c r="I1938" s="137" t="str">
        <f t="shared" si="101"/>
        <v/>
      </c>
      <c r="J1938" s="117"/>
    </row>
    <row r="1939" spans="1:10" hidden="1" x14ac:dyDescent="0.25">
      <c r="A1939" s="114" t="s">
        <v>4723</v>
      </c>
      <c r="B1939" s="115" t="s">
        <v>7542</v>
      </c>
      <c r="C1939" s="116" t="s">
        <v>16</v>
      </c>
      <c r="D1939" s="116">
        <v>0</v>
      </c>
      <c r="E1939" s="136" t="s">
        <v>416</v>
      </c>
      <c r="F1939" s="137" t="str">
        <f t="shared" si="99"/>
        <v/>
      </c>
      <c r="G1939" s="138" t="e">
        <f>IF(A1939&lt;&gt;"",IF(AND(#REF!="Padrão",$H$4=#REF!),BDI!$B$17,IF(AND(#REF!="Padrão",$H$4=#REF!),BDI!#REF!,IF(AND(#REF!="Diferenciado",$H$4=#REF!),BDI!$E$17,IF(AND(#REF!="Diferenciado",$H$4=#REF!),BDI!#REF!,IF(#REF!="ZERO",0))))),"")</f>
        <v>#REF!</v>
      </c>
      <c r="H1939" s="139" t="str">
        <f t="shared" si="100"/>
        <v/>
      </c>
      <c r="I1939" s="137" t="str">
        <f t="shared" si="101"/>
        <v/>
      </c>
      <c r="J1939" s="117"/>
    </row>
    <row r="1940" spans="1:10" hidden="1" x14ac:dyDescent="0.25">
      <c r="A1940" s="114" t="s">
        <v>4724</v>
      </c>
      <c r="B1940" s="115" t="s">
        <v>3309</v>
      </c>
      <c r="C1940" s="116" t="s">
        <v>16</v>
      </c>
      <c r="D1940" s="116">
        <v>0</v>
      </c>
      <c r="E1940" s="136" t="s">
        <v>416</v>
      </c>
      <c r="F1940" s="137" t="str">
        <f t="shared" si="99"/>
        <v/>
      </c>
      <c r="G1940" s="138" t="e">
        <f>IF(A1940&lt;&gt;"",IF(AND(#REF!="Padrão",$H$4=#REF!),BDI!$B$17,IF(AND(#REF!="Padrão",$H$4=#REF!),BDI!#REF!,IF(AND(#REF!="Diferenciado",$H$4=#REF!),BDI!$E$17,IF(AND(#REF!="Diferenciado",$H$4=#REF!),BDI!#REF!,IF(#REF!="ZERO",0))))),"")</f>
        <v>#REF!</v>
      </c>
      <c r="H1940" s="139" t="str">
        <f t="shared" si="100"/>
        <v/>
      </c>
      <c r="I1940" s="137" t="str">
        <f t="shared" si="101"/>
        <v/>
      </c>
      <c r="J1940" s="117"/>
    </row>
    <row r="1941" spans="1:10" hidden="1" x14ac:dyDescent="0.25">
      <c r="A1941" s="114" t="s">
        <v>4725</v>
      </c>
      <c r="B1941" s="115" t="s">
        <v>7269</v>
      </c>
      <c r="C1941" s="116" t="s">
        <v>16</v>
      </c>
      <c r="D1941" s="116">
        <v>0</v>
      </c>
      <c r="E1941" s="136" t="s">
        <v>416</v>
      </c>
      <c r="F1941" s="137" t="str">
        <f t="shared" si="99"/>
        <v/>
      </c>
      <c r="G1941" s="138" t="e">
        <f>IF(A1941&lt;&gt;"",IF(AND(#REF!="Padrão",$H$4=#REF!),BDI!$B$17,IF(AND(#REF!="Padrão",$H$4=#REF!),BDI!#REF!,IF(AND(#REF!="Diferenciado",$H$4=#REF!),BDI!$E$17,IF(AND(#REF!="Diferenciado",$H$4=#REF!),BDI!#REF!,IF(#REF!="ZERO",0))))),"")</f>
        <v>#REF!</v>
      </c>
      <c r="H1941" s="139" t="str">
        <f t="shared" si="100"/>
        <v/>
      </c>
      <c r="I1941" s="137" t="str">
        <f t="shared" si="101"/>
        <v/>
      </c>
      <c r="J1941" s="117"/>
    </row>
    <row r="1942" spans="1:10" hidden="1" x14ac:dyDescent="0.25">
      <c r="A1942" s="114" t="s">
        <v>4726</v>
      </c>
      <c r="B1942" s="115" t="s">
        <v>7543</v>
      </c>
      <c r="C1942" s="116" t="s">
        <v>16</v>
      </c>
      <c r="D1942" s="116">
        <v>0</v>
      </c>
      <c r="E1942" s="136" t="s">
        <v>416</v>
      </c>
      <c r="F1942" s="137" t="str">
        <f t="shared" si="99"/>
        <v/>
      </c>
      <c r="G1942" s="138" t="e">
        <f>IF(A1942&lt;&gt;"",IF(AND(#REF!="Padrão",$H$4=#REF!),BDI!$B$17,IF(AND(#REF!="Padrão",$H$4=#REF!),BDI!#REF!,IF(AND(#REF!="Diferenciado",$H$4=#REF!),BDI!$E$17,IF(AND(#REF!="Diferenciado",$H$4=#REF!),BDI!#REF!,IF(#REF!="ZERO",0))))),"")</f>
        <v>#REF!</v>
      </c>
      <c r="H1942" s="139" t="str">
        <f t="shared" si="100"/>
        <v/>
      </c>
      <c r="I1942" s="137" t="str">
        <f t="shared" si="101"/>
        <v/>
      </c>
      <c r="J1942" s="117"/>
    </row>
    <row r="1943" spans="1:10" hidden="1" x14ac:dyDescent="0.25">
      <c r="A1943" s="114" t="s">
        <v>4727</v>
      </c>
      <c r="B1943" s="115" t="s">
        <v>7544</v>
      </c>
      <c r="C1943" s="116" t="s">
        <v>16</v>
      </c>
      <c r="D1943" s="116">
        <v>0</v>
      </c>
      <c r="E1943" s="136" t="s">
        <v>416</v>
      </c>
      <c r="F1943" s="137" t="str">
        <f t="shared" si="99"/>
        <v/>
      </c>
      <c r="G1943" s="138" t="e">
        <f>IF(A1943&lt;&gt;"",IF(AND(#REF!="Padrão",$H$4=#REF!),BDI!$B$17,IF(AND(#REF!="Padrão",$H$4=#REF!),BDI!#REF!,IF(AND(#REF!="Diferenciado",$H$4=#REF!),BDI!$E$17,IF(AND(#REF!="Diferenciado",$H$4=#REF!),BDI!#REF!,IF(#REF!="ZERO",0))))),"")</f>
        <v>#REF!</v>
      </c>
      <c r="H1943" s="139" t="str">
        <f t="shared" si="100"/>
        <v/>
      </c>
      <c r="I1943" s="137" t="str">
        <f t="shared" si="101"/>
        <v/>
      </c>
      <c r="J1943" s="117"/>
    </row>
    <row r="1944" spans="1:10" hidden="1" x14ac:dyDescent="0.25">
      <c r="A1944" s="114" t="s">
        <v>4728</v>
      </c>
      <c r="B1944" s="115" t="s">
        <v>7545</v>
      </c>
      <c r="C1944" s="116" t="s">
        <v>16</v>
      </c>
      <c r="D1944" s="116">
        <v>0</v>
      </c>
      <c r="E1944" s="136" t="s">
        <v>416</v>
      </c>
      <c r="F1944" s="137" t="str">
        <f t="shared" si="99"/>
        <v/>
      </c>
      <c r="G1944" s="138" t="e">
        <f>IF(A1944&lt;&gt;"",IF(AND(#REF!="Padrão",$H$4=#REF!),BDI!$B$17,IF(AND(#REF!="Padrão",$H$4=#REF!),BDI!#REF!,IF(AND(#REF!="Diferenciado",$H$4=#REF!),BDI!$E$17,IF(AND(#REF!="Diferenciado",$H$4=#REF!),BDI!#REF!,IF(#REF!="ZERO",0))))),"")</f>
        <v>#REF!</v>
      </c>
      <c r="H1944" s="139" t="str">
        <f t="shared" si="100"/>
        <v/>
      </c>
      <c r="I1944" s="137" t="str">
        <f t="shared" si="101"/>
        <v/>
      </c>
      <c r="J1944" s="117"/>
    </row>
    <row r="1945" spans="1:10" hidden="1" x14ac:dyDescent="0.25">
      <c r="A1945" s="114" t="s">
        <v>4729</v>
      </c>
      <c r="B1945" s="115" t="s">
        <v>3662</v>
      </c>
      <c r="C1945" s="116" t="s">
        <v>16</v>
      </c>
      <c r="D1945" s="116">
        <v>0</v>
      </c>
      <c r="E1945" s="136" t="s">
        <v>416</v>
      </c>
      <c r="F1945" s="137" t="str">
        <f t="shared" si="99"/>
        <v/>
      </c>
      <c r="G1945" s="138" t="e">
        <f>IF(A1945&lt;&gt;"",IF(AND(#REF!="Padrão",$H$4=#REF!),BDI!$B$17,IF(AND(#REF!="Padrão",$H$4=#REF!),BDI!#REF!,IF(AND(#REF!="Diferenciado",$H$4=#REF!),BDI!$E$17,IF(AND(#REF!="Diferenciado",$H$4=#REF!),BDI!#REF!,IF(#REF!="ZERO",0))))),"")</f>
        <v>#REF!</v>
      </c>
      <c r="H1945" s="139" t="str">
        <f t="shared" si="100"/>
        <v/>
      </c>
      <c r="I1945" s="137" t="str">
        <f t="shared" si="101"/>
        <v/>
      </c>
      <c r="J1945" s="117"/>
    </row>
    <row r="1946" spans="1:10" hidden="1" x14ac:dyDescent="0.25">
      <c r="A1946" s="114" t="s">
        <v>4730</v>
      </c>
      <c r="B1946" s="115" t="s">
        <v>7537</v>
      </c>
      <c r="C1946" s="116" t="s">
        <v>16</v>
      </c>
      <c r="D1946" s="116">
        <v>0</v>
      </c>
      <c r="E1946" s="136" t="s">
        <v>416</v>
      </c>
      <c r="F1946" s="137" t="str">
        <f t="shared" si="99"/>
        <v/>
      </c>
      <c r="G1946" s="138" t="e">
        <f>IF(A1946&lt;&gt;"",IF(AND(#REF!="Padrão",$H$4=#REF!),BDI!$B$17,IF(AND(#REF!="Padrão",$H$4=#REF!),BDI!#REF!,IF(AND(#REF!="Diferenciado",$H$4=#REF!),BDI!$E$17,IF(AND(#REF!="Diferenciado",$H$4=#REF!),BDI!#REF!,IF(#REF!="ZERO",0))))),"")</f>
        <v>#REF!</v>
      </c>
      <c r="H1946" s="139" t="str">
        <f t="shared" si="100"/>
        <v/>
      </c>
      <c r="I1946" s="137" t="str">
        <f t="shared" si="101"/>
        <v/>
      </c>
      <c r="J1946" s="117"/>
    </row>
    <row r="1947" spans="1:10" hidden="1" x14ac:dyDescent="0.25">
      <c r="A1947" s="114" t="s">
        <v>4731</v>
      </c>
      <c r="B1947" s="115" t="s">
        <v>7538</v>
      </c>
      <c r="C1947" s="116" t="s">
        <v>16</v>
      </c>
      <c r="D1947" s="116">
        <v>0</v>
      </c>
      <c r="E1947" s="136" t="s">
        <v>416</v>
      </c>
      <c r="F1947" s="137" t="str">
        <f t="shared" si="99"/>
        <v/>
      </c>
      <c r="G1947" s="138" t="e">
        <f>IF(A1947&lt;&gt;"",IF(AND(#REF!="Padrão",$H$4=#REF!),BDI!$B$17,IF(AND(#REF!="Padrão",$H$4=#REF!),BDI!#REF!,IF(AND(#REF!="Diferenciado",$H$4=#REF!),BDI!$E$17,IF(AND(#REF!="Diferenciado",$H$4=#REF!),BDI!#REF!,IF(#REF!="ZERO",0))))),"")</f>
        <v>#REF!</v>
      </c>
      <c r="H1947" s="139" t="str">
        <f t="shared" si="100"/>
        <v/>
      </c>
      <c r="I1947" s="137" t="str">
        <f t="shared" si="101"/>
        <v/>
      </c>
      <c r="J1947" s="117"/>
    </row>
    <row r="1948" spans="1:10" hidden="1" x14ac:dyDescent="0.25">
      <c r="A1948" s="114" t="s">
        <v>4732</v>
      </c>
      <c r="B1948" s="115" t="s">
        <v>7539</v>
      </c>
      <c r="C1948" s="116" t="s">
        <v>16</v>
      </c>
      <c r="D1948" s="116">
        <v>0</v>
      </c>
      <c r="E1948" s="136" t="s">
        <v>416</v>
      </c>
      <c r="F1948" s="137" t="str">
        <f t="shared" si="99"/>
        <v/>
      </c>
      <c r="G1948" s="138" t="e">
        <f>IF(A1948&lt;&gt;"",IF(AND(#REF!="Padrão",$H$4=#REF!),BDI!$B$17,IF(AND(#REF!="Padrão",$H$4=#REF!),BDI!#REF!,IF(AND(#REF!="Diferenciado",$H$4=#REF!),BDI!$E$17,IF(AND(#REF!="Diferenciado",$H$4=#REF!),BDI!#REF!,IF(#REF!="ZERO",0))))),"")</f>
        <v>#REF!</v>
      </c>
      <c r="H1948" s="139" t="str">
        <f t="shared" si="100"/>
        <v/>
      </c>
      <c r="I1948" s="137" t="str">
        <f t="shared" si="101"/>
        <v/>
      </c>
      <c r="J1948" s="117"/>
    </row>
    <row r="1949" spans="1:10" hidden="1" x14ac:dyDescent="0.25">
      <c r="A1949" s="114" t="s">
        <v>4733</v>
      </c>
      <c r="B1949" s="115" t="s">
        <v>7532</v>
      </c>
      <c r="C1949" s="116" t="s">
        <v>16</v>
      </c>
      <c r="D1949" s="116">
        <v>0</v>
      </c>
      <c r="E1949" s="136">
        <f ca="1">OFFSET(INDEX(Composições!A:J,MATCH(Orçamentária!A1949,Composições!A:A,0),8),2,0)</f>
        <v>483.02749999999997</v>
      </c>
      <c r="F1949" s="137">
        <f t="shared" ca="1" si="99"/>
        <v>0</v>
      </c>
      <c r="G1949" s="138" t="e">
        <f>IF(A1949&lt;&gt;"",IF(AND(#REF!="Padrão",$H$4=#REF!),BDI!$B$17,IF(AND(#REF!="Padrão",$H$4=#REF!),BDI!#REF!,IF(AND(#REF!="Diferenciado",$H$4=#REF!),BDI!$E$17,IF(AND(#REF!="Diferenciado",$H$4=#REF!),BDI!#REF!,IF(#REF!="ZERO",0))))),"")</f>
        <v>#REF!</v>
      </c>
      <c r="H1949" s="139" t="e">
        <f t="shared" ca="1" si="100"/>
        <v>#REF!</v>
      </c>
      <c r="I1949" s="137" t="e">
        <f t="shared" ca="1" si="101"/>
        <v>#REF!</v>
      </c>
      <c r="J1949" s="117"/>
    </row>
    <row r="1950" spans="1:10" hidden="1" x14ac:dyDescent="0.25">
      <c r="A1950" s="114" t="s">
        <v>4734</v>
      </c>
      <c r="B1950" s="115" t="s">
        <v>7533</v>
      </c>
      <c r="C1950" s="116" t="s">
        <v>16</v>
      </c>
      <c r="D1950" s="116">
        <v>0</v>
      </c>
      <c r="E1950" s="136" t="s">
        <v>416</v>
      </c>
      <c r="F1950" s="137" t="str">
        <f t="shared" si="99"/>
        <v/>
      </c>
      <c r="G1950" s="138" t="e">
        <f>IF(A1950&lt;&gt;"",IF(AND(#REF!="Padrão",$H$4=#REF!),BDI!$B$17,IF(AND(#REF!="Padrão",$H$4=#REF!),BDI!#REF!,IF(AND(#REF!="Diferenciado",$H$4=#REF!),BDI!$E$17,IF(AND(#REF!="Diferenciado",$H$4=#REF!),BDI!#REF!,IF(#REF!="ZERO",0))))),"")</f>
        <v>#REF!</v>
      </c>
      <c r="H1950" s="139" t="str">
        <f t="shared" si="100"/>
        <v/>
      </c>
      <c r="I1950" s="137" t="str">
        <f t="shared" si="101"/>
        <v/>
      </c>
      <c r="J1950" s="117"/>
    </row>
    <row r="1951" spans="1:10" hidden="1" x14ac:dyDescent="0.25">
      <c r="A1951" s="114" t="s">
        <v>4735</v>
      </c>
      <c r="B1951" s="115" t="s">
        <v>7534</v>
      </c>
      <c r="C1951" s="116" t="s">
        <v>16</v>
      </c>
      <c r="D1951" s="116">
        <v>0</v>
      </c>
      <c r="E1951" s="136">
        <f ca="1">OFFSET(INDEX(Composições!A:J,MATCH(Orçamentária!A1951,Composições!A:A,0),8),2,0)</f>
        <v>1874.8154999999999</v>
      </c>
      <c r="F1951" s="137">
        <f t="shared" ca="1" si="99"/>
        <v>0</v>
      </c>
      <c r="G1951" s="138" t="e">
        <f>IF(A1951&lt;&gt;"",IF(AND(#REF!="Padrão",$H$4=#REF!),BDI!$B$17,IF(AND(#REF!="Padrão",$H$4=#REF!),BDI!#REF!,IF(AND(#REF!="Diferenciado",$H$4=#REF!),BDI!$E$17,IF(AND(#REF!="Diferenciado",$H$4=#REF!),BDI!#REF!,IF(#REF!="ZERO",0))))),"")</f>
        <v>#REF!</v>
      </c>
      <c r="H1951" s="139" t="e">
        <f t="shared" ca="1" si="100"/>
        <v>#REF!</v>
      </c>
      <c r="I1951" s="137" t="e">
        <f t="shared" ca="1" si="101"/>
        <v>#REF!</v>
      </c>
      <c r="J1951" s="117"/>
    </row>
    <row r="1952" spans="1:10" hidden="1" x14ac:dyDescent="0.25">
      <c r="A1952" s="114" t="s">
        <v>4736</v>
      </c>
      <c r="B1952" s="115" t="s">
        <v>7535</v>
      </c>
      <c r="C1952" s="116" t="s">
        <v>16</v>
      </c>
      <c r="D1952" s="116">
        <v>0</v>
      </c>
      <c r="E1952" s="136" t="s">
        <v>416</v>
      </c>
      <c r="F1952" s="137" t="str">
        <f t="shared" si="99"/>
        <v/>
      </c>
      <c r="G1952" s="138" t="e">
        <f>IF(A1952&lt;&gt;"",IF(AND(#REF!="Padrão",$H$4=#REF!),BDI!$B$17,IF(AND(#REF!="Padrão",$H$4=#REF!),BDI!#REF!,IF(AND(#REF!="Diferenciado",$H$4=#REF!),BDI!$E$17,IF(AND(#REF!="Diferenciado",$H$4=#REF!),BDI!#REF!,IF(#REF!="ZERO",0))))),"")</f>
        <v>#REF!</v>
      </c>
      <c r="H1952" s="139" t="str">
        <f t="shared" si="100"/>
        <v/>
      </c>
      <c r="I1952" s="137" t="str">
        <f t="shared" si="101"/>
        <v/>
      </c>
      <c r="J1952" s="117"/>
    </row>
    <row r="1953" spans="1:10" hidden="1" x14ac:dyDescent="0.25">
      <c r="A1953" s="114" t="s">
        <v>4737</v>
      </c>
      <c r="B1953" s="115" t="s">
        <v>7536</v>
      </c>
      <c r="C1953" s="116" t="s">
        <v>16</v>
      </c>
      <c r="D1953" s="116">
        <v>0</v>
      </c>
      <c r="E1953" s="136">
        <f ca="1">OFFSET(INDEX(Composições!A:J,MATCH(Orçamentária!A1953,Composições!A:A,0),8),2,0)</f>
        <v>2207.61</v>
      </c>
      <c r="F1953" s="137">
        <f t="shared" ca="1" si="99"/>
        <v>0</v>
      </c>
      <c r="G1953" s="138" t="e">
        <f>IF(A1953&lt;&gt;"",IF(AND(#REF!="Padrão",$H$4=#REF!),BDI!$B$17,IF(AND(#REF!="Padrão",$H$4=#REF!),BDI!#REF!,IF(AND(#REF!="Diferenciado",$H$4=#REF!),BDI!$E$17,IF(AND(#REF!="Diferenciado",$H$4=#REF!),BDI!#REF!,IF(#REF!="ZERO",0))))),"")</f>
        <v>#REF!</v>
      </c>
      <c r="H1953" s="139" t="e">
        <f t="shared" ca="1" si="100"/>
        <v>#REF!</v>
      </c>
      <c r="I1953" s="137" t="e">
        <f t="shared" ca="1" si="101"/>
        <v>#REF!</v>
      </c>
      <c r="J1953" s="117"/>
    </row>
    <row r="1954" spans="1:10" hidden="1" x14ac:dyDescent="0.25">
      <c r="A1954" s="114" t="s">
        <v>4738</v>
      </c>
      <c r="B1954" s="115" t="s">
        <v>3663</v>
      </c>
      <c r="C1954" s="116" t="s">
        <v>16</v>
      </c>
      <c r="D1954" s="116">
        <v>0</v>
      </c>
      <c r="E1954" s="136">
        <f ca="1">OFFSET(INDEX(Composições!A:J,MATCH(Orçamentária!A1954,Composições!A:A,0),8),2,0)</f>
        <v>38.475000000000001</v>
      </c>
      <c r="F1954" s="137">
        <f t="shared" ca="1" si="99"/>
        <v>0</v>
      </c>
      <c r="G1954" s="138" t="e">
        <f>IF(A1954&lt;&gt;"",IF(AND(#REF!="Padrão",$H$4=#REF!),BDI!$B$17,IF(AND(#REF!="Padrão",$H$4=#REF!),BDI!#REF!,IF(AND(#REF!="Diferenciado",$H$4=#REF!),BDI!$E$17,IF(AND(#REF!="Diferenciado",$H$4=#REF!),BDI!#REF!,IF(#REF!="ZERO",0))))),"")</f>
        <v>#REF!</v>
      </c>
      <c r="H1954" s="139" t="e">
        <f t="shared" ca="1" si="100"/>
        <v>#REF!</v>
      </c>
      <c r="I1954" s="137" t="e">
        <f t="shared" ca="1" si="101"/>
        <v>#REF!</v>
      </c>
      <c r="J1954" s="117"/>
    </row>
    <row r="1955" spans="1:10" hidden="1" x14ac:dyDescent="0.25">
      <c r="A1955" s="114" t="s">
        <v>4739</v>
      </c>
      <c r="B1955" s="115" t="s">
        <v>3664</v>
      </c>
      <c r="C1955" s="116" t="s">
        <v>16</v>
      </c>
      <c r="D1955" s="116">
        <v>0</v>
      </c>
      <c r="E1955" s="136" t="s">
        <v>416</v>
      </c>
      <c r="F1955" s="137" t="str">
        <f t="shared" si="99"/>
        <v/>
      </c>
      <c r="G1955" s="138" t="e">
        <f>IF(A1955&lt;&gt;"",IF(AND(#REF!="Padrão",$H$4=#REF!),BDI!$B$17,IF(AND(#REF!="Padrão",$H$4=#REF!),BDI!#REF!,IF(AND(#REF!="Diferenciado",$H$4=#REF!),BDI!$E$17,IF(AND(#REF!="Diferenciado",$H$4=#REF!),BDI!#REF!,IF(#REF!="ZERO",0))))),"")</f>
        <v>#REF!</v>
      </c>
      <c r="H1955" s="139" t="str">
        <f t="shared" si="100"/>
        <v/>
      </c>
      <c r="I1955" s="137" t="str">
        <f t="shared" si="101"/>
        <v/>
      </c>
      <c r="J1955" s="117"/>
    </row>
    <row r="1956" spans="1:10" hidden="1" x14ac:dyDescent="0.25">
      <c r="A1956" s="114" t="s">
        <v>4740</v>
      </c>
      <c r="B1956" s="115" t="s">
        <v>3665</v>
      </c>
      <c r="C1956" s="116" t="s">
        <v>16</v>
      </c>
      <c r="D1956" s="116">
        <v>0</v>
      </c>
      <c r="E1956" s="136" t="s">
        <v>416</v>
      </c>
      <c r="F1956" s="137" t="str">
        <f t="shared" si="99"/>
        <v/>
      </c>
      <c r="G1956" s="138" t="e">
        <f>IF(A1956&lt;&gt;"",IF(AND(#REF!="Padrão",$H$4=#REF!),BDI!$B$17,IF(AND(#REF!="Padrão",$H$4=#REF!),BDI!#REF!,IF(AND(#REF!="Diferenciado",$H$4=#REF!),BDI!$E$17,IF(AND(#REF!="Diferenciado",$H$4=#REF!),BDI!#REF!,IF(#REF!="ZERO",0))))),"")</f>
        <v>#REF!</v>
      </c>
      <c r="H1956" s="139" t="str">
        <f t="shared" si="100"/>
        <v/>
      </c>
      <c r="I1956" s="137" t="str">
        <f t="shared" si="101"/>
        <v/>
      </c>
      <c r="J1956" s="117"/>
    </row>
    <row r="1957" spans="1:10" hidden="1" x14ac:dyDescent="0.25">
      <c r="A1957" s="114" t="s">
        <v>4741</v>
      </c>
      <c r="B1957" s="115" t="s">
        <v>3666</v>
      </c>
      <c r="C1957" s="116" t="s">
        <v>16</v>
      </c>
      <c r="D1957" s="116">
        <v>0</v>
      </c>
      <c r="E1957" s="136" t="s">
        <v>416</v>
      </c>
      <c r="F1957" s="137" t="str">
        <f t="shared" si="99"/>
        <v/>
      </c>
      <c r="G1957" s="138" t="e">
        <f>IF(A1957&lt;&gt;"",IF(AND(#REF!="Padrão",$H$4=#REF!),BDI!$B$17,IF(AND(#REF!="Padrão",$H$4=#REF!),BDI!#REF!,IF(AND(#REF!="Diferenciado",$H$4=#REF!),BDI!$E$17,IF(AND(#REF!="Diferenciado",$H$4=#REF!),BDI!#REF!,IF(#REF!="ZERO",0))))),"")</f>
        <v>#REF!</v>
      </c>
      <c r="H1957" s="139" t="str">
        <f t="shared" si="100"/>
        <v/>
      </c>
      <c r="I1957" s="137" t="str">
        <f t="shared" si="101"/>
        <v/>
      </c>
      <c r="J1957" s="117"/>
    </row>
    <row r="1958" spans="1:10" hidden="1" x14ac:dyDescent="0.25">
      <c r="A1958" s="114" t="s">
        <v>4742</v>
      </c>
      <c r="B1958" s="115" t="s">
        <v>3667</v>
      </c>
      <c r="C1958" s="116" t="s">
        <v>16</v>
      </c>
      <c r="D1958" s="116">
        <v>0</v>
      </c>
      <c r="E1958" s="136" t="s">
        <v>416</v>
      </c>
      <c r="F1958" s="137" t="str">
        <f t="shared" si="99"/>
        <v/>
      </c>
      <c r="G1958" s="138" t="e">
        <f>IF(A1958&lt;&gt;"",IF(AND(#REF!="Padrão",$H$4=#REF!),BDI!$B$17,IF(AND(#REF!="Padrão",$H$4=#REF!),BDI!#REF!,IF(AND(#REF!="Diferenciado",$H$4=#REF!),BDI!$E$17,IF(AND(#REF!="Diferenciado",$H$4=#REF!),BDI!#REF!,IF(#REF!="ZERO",0))))),"")</f>
        <v>#REF!</v>
      </c>
      <c r="H1958" s="139" t="str">
        <f t="shared" si="100"/>
        <v/>
      </c>
      <c r="I1958" s="137" t="str">
        <f t="shared" si="101"/>
        <v/>
      </c>
      <c r="J1958" s="117"/>
    </row>
    <row r="1959" spans="1:10" hidden="1" x14ac:dyDescent="0.25">
      <c r="A1959" s="114" t="s">
        <v>4743</v>
      </c>
      <c r="B1959" s="115" t="s">
        <v>3668</v>
      </c>
      <c r="C1959" s="116" t="s">
        <v>16</v>
      </c>
      <c r="D1959" s="116">
        <v>0</v>
      </c>
      <c r="E1959" s="136" t="s">
        <v>416</v>
      </c>
      <c r="F1959" s="137" t="str">
        <f t="shared" si="99"/>
        <v/>
      </c>
      <c r="G1959" s="138" t="e">
        <f>IF(A1959&lt;&gt;"",IF(AND(#REF!="Padrão",$H$4=#REF!),BDI!$B$17,IF(AND(#REF!="Padrão",$H$4=#REF!),BDI!#REF!,IF(AND(#REF!="Diferenciado",$H$4=#REF!),BDI!$E$17,IF(AND(#REF!="Diferenciado",$H$4=#REF!),BDI!#REF!,IF(#REF!="ZERO",0))))),"")</f>
        <v>#REF!</v>
      </c>
      <c r="H1959" s="139" t="str">
        <f t="shared" si="100"/>
        <v/>
      </c>
      <c r="I1959" s="137" t="str">
        <f t="shared" si="101"/>
        <v/>
      </c>
      <c r="J1959" s="117"/>
    </row>
    <row r="1960" spans="1:10" hidden="1" x14ac:dyDescent="0.25">
      <c r="A1960" s="114" t="s">
        <v>4744</v>
      </c>
      <c r="B1960" s="115" t="s">
        <v>3669</v>
      </c>
      <c r="C1960" s="116" t="s">
        <v>16</v>
      </c>
      <c r="D1960" s="116">
        <v>0</v>
      </c>
      <c r="E1960" s="136" t="s">
        <v>416</v>
      </c>
      <c r="F1960" s="137" t="str">
        <f t="shared" si="99"/>
        <v/>
      </c>
      <c r="G1960" s="138" t="e">
        <f>IF(A1960&lt;&gt;"",IF(AND(#REF!="Padrão",$H$4=#REF!),BDI!$B$17,IF(AND(#REF!="Padrão",$H$4=#REF!),BDI!#REF!,IF(AND(#REF!="Diferenciado",$H$4=#REF!),BDI!$E$17,IF(AND(#REF!="Diferenciado",$H$4=#REF!),BDI!#REF!,IF(#REF!="ZERO",0))))),"")</f>
        <v>#REF!</v>
      </c>
      <c r="H1960" s="139" t="str">
        <f t="shared" si="100"/>
        <v/>
      </c>
      <c r="I1960" s="137" t="str">
        <f t="shared" si="101"/>
        <v/>
      </c>
      <c r="J1960" s="117"/>
    </row>
    <row r="1961" spans="1:10" hidden="1" x14ac:dyDescent="0.25">
      <c r="A1961" s="114" t="s">
        <v>4745</v>
      </c>
      <c r="B1961" s="115" t="s">
        <v>3670</v>
      </c>
      <c r="C1961" s="116" t="s">
        <v>16</v>
      </c>
      <c r="D1961" s="116">
        <v>0</v>
      </c>
      <c r="E1961" s="136" t="s">
        <v>416</v>
      </c>
      <c r="F1961" s="137" t="str">
        <f t="shared" si="99"/>
        <v/>
      </c>
      <c r="G1961" s="138" t="e">
        <f>IF(A1961&lt;&gt;"",IF(AND(#REF!="Padrão",$H$4=#REF!),BDI!$B$17,IF(AND(#REF!="Padrão",$H$4=#REF!),BDI!#REF!,IF(AND(#REF!="Diferenciado",$H$4=#REF!),BDI!$E$17,IF(AND(#REF!="Diferenciado",$H$4=#REF!),BDI!#REF!,IF(#REF!="ZERO",0))))),"")</f>
        <v>#REF!</v>
      </c>
      <c r="H1961" s="139" t="str">
        <f t="shared" si="100"/>
        <v/>
      </c>
      <c r="I1961" s="137" t="str">
        <f t="shared" si="101"/>
        <v/>
      </c>
      <c r="J1961" s="117"/>
    </row>
    <row r="1962" spans="1:10" hidden="1" x14ac:dyDescent="0.25">
      <c r="A1962" s="114" t="s">
        <v>4746</v>
      </c>
      <c r="B1962" s="115" t="s">
        <v>3671</v>
      </c>
      <c r="C1962" s="116" t="s">
        <v>16</v>
      </c>
      <c r="D1962" s="116">
        <v>0</v>
      </c>
      <c r="E1962" s="136" t="s">
        <v>416</v>
      </c>
      <c r="F1962" s="137" t="str">
        <f t="shared" si="99"/>
        <v/>
      </c>
      <c r="G1962" s="138" t="e">
        <f>IF(A1962&lt;&gt;"",IF(AND(#REF!="Padrão",$H$4=#REF!),BDI!$B$17,IF(AND(#REF!="Padrão",$H$4=#REF!),BDI!#REF!,IF(AND(#REF!="Diferenciado",$H$4=#REF!),BDI!$E$17,IF(AND(#REF!="Diferenciado",$H$4=#REF!),BDI!#REF!,IF(#REF!="ZERO",0))))),"")</f>
        <v>#REF!</v>
      </c>
      <c r="H1962" s="139" t="str">
        <f t="shared" si="100"/>
        <v/>
      </c>
      <c r="I1962" s="137" t="str">
        <f t="shared" si="101"/>
        <v/>
      </c>
      <c r="J1962" s="117"/>
    </row>
    <row r="1963" spans="1:10" hidden="1" x14ac:dyDescent="0.25">
      <c r="A1963" s="114" t="s">
        <v>4747</v>
      </c>
      <c r="B1963" s="115" t="s">
        <v>3672</v>
      </c>
      <c r="C1963" s="116" t="s">
        <v>16</v>
      </c>
      <c r="D1963" s="116">
        <v>0</v>
      </c>
      <c r="E1963" s="136" t="s">
        <v>416</v>
      </c>
      <c r="F1963" s="137" t="str">
        <f t="shared" si="99"/>
        <v/>
      </c>
      <c r="G1963" s="138" t="e">
        <f>IF(A1963&lt;&gt;"",IF(AND(#REF!="Padrão",$H$4=#REF!),BDI!$B$17,IF(AND(#REF!="Padrão",$H$4=#REF!),BDI!#REF!,IF(AND(#REF!="Diferenciado",$H$4=#REF!),BDI!$E$17,IF(AND(#REF!="Diferenciado",$H$4=#REF!),BDI!#REF!,IF(#REF!="ZERO",0))))),"")</f>
        <v>#REF!</v>
      </c>
      <c r="H1963" s="139" t="str">
        <f t="shared" si="100"/>
        <v/>
      </c>
      <c r="I1963" s="137" t="str">
        <f t="shared" si="101"/>
        <v/>
      </c>
      <c r="J1963" s="117"/>
    </row>
    <row r="1964" spans="1:10" hidden="1" x14ac:dyDescent="0.25">
      <c r="A1964" s="114" t="s">
        <v>4748</v>
      </c>
      <c r="B1964" s="115" t="s">
        <v>3673</v>
      </c>
      <c r="C1964" s="116" t="s">
        <v>16</v>
      </c>
      <c r="D1964" s="116">
        <v>0</v>
      </c>
      <c r="E1964" s="136" t="s">
        <v>416</v>
      </c>
      <c r="F1964" s="137" t="str">
        <f t="shared" si="99"/>
        <v/>
      </c>
      <c r="G1964" s="138" t="e">
        <f>IF(A1964&lt;&gt;"",IF(AND(#REF!="Padrão",$H$4=#REF!),BDI!$B$17,IF(AND(#REF!="Padrão",$H$4=#REF!),BDI!#REF!,IF(AND(#REF!="Diferenciado",$H$4=#REF!),BDI!$E$17,IF(AND(#REF!="Diferenciado",$H$4=#REF!),BDI!#REF!,IF(#REF!="ZERO",0))))),"")</f>
        <v>#REF!</v>
      </c>
      <c r="H1964" s="139" t="str">
        <f t="shared" si="100"/>
        <v/>
      </c>
      <c r="I1964" s="137" t="str">
        <f t="shared" si="101"/>
        <v/>
      </c>
      <c r="J1964" s="117"/>
    </row>
    <row r="1965" spans="1:10" hidden="1" x14ac:dyDescent="0.25">
      <c r="A1965" s="114" t="s">
        <v>4749</v>
      </c>
      <c r="B1965" s="115" t="s">
        <v>3674</v>
      </c>
      <c r="C1965" s="116" t="s">
        <v>16</v>
      </c>
      <c r="D1965" s="116">
        <v>0</v>
      </c>
      <c r="E1965" s="136" t="s">
        <v>416</v>
      </c>
      <c r="F1965" s="137" t="str">
        <f t="shared" ref="F1965:F2028" si="102">IF(ISNUMBER(E1965),D1965*E1965,"")</f>
        <v/>
      </c>
      <c r="G1965" s="138" t="e">
        <f>IF(A1965&lt;&gt;"",IF(AND(#REF!="Padrão",$H$4=#REF!),BDI!$B$17,IF(AND(#REF!="Padrão",$H$4=#REF!),BDI!#REF!,IF(AND(#REF!="Diferenciado",$H$4=#REF!),BDI!$E$17,IF(AND(#REF!="Diferenciado",$H$4=#REF!),BDI!#REF!,IF(#REF!="ZERO",0))))),"")</f>
        <v>#REF!</v>
      </c>
      <c r="H1965" s="139" t="str">
        <f t="shared" ref="H1965:H2028" si="103">IF(ISNUMBER(E1965),ROUND(E1965*(1+G1965),2),"")</f>
        <v/>
      </c>
      <c r="I1965" s="137" t="str">
        <f t="shared" ref="I1965:I2028" si="104">IF(ISNUMBER(E1965),ROUND(H1965*D1965,2),"")</f>
        <v/>
      </c>
      <c r="J1965" s="117"/>
    </row>
    <row r="1966" spans="1:10" hidden="1" x14ac:dyDescent="0.25">
      <c r="A1966" s="114" t="s">
        <v>4750</v>
      </c>
      <c r="B1966" s="115" t="s">
        <v>3675</v>
      </c>
      <c r="C1966" s="116" t="s">
        <v>16</v>
      </c>
      <c r="D1966" s="116">
        <v>0</v>
      </c>
      <c r="E1966" s="136" t="s">
        <v>416</v>
      </c>
      <c r="F1966" s="137" t="str">
        <f t="shared" si="102"/>
        <v/>
      </c>
      <c r="G1966" s="138" t="e">
        <f>IF(A1966&lt;&gt;"",IF(AND(#REF!="Padrão",$H$4=#REF!),BDI!$B$17,IF(AND(#REF!="Padrão",$H$4=#REF!),BDI!#REF!,IF(AND(#REF!="Diferenciado",$H$4=#REF!),BDI!$E$17,IF(AND(#REF!="Diferenciado",$H$4=#REF!),BDI!#REF!,IF(#REF!="ZERO",0))))),"")</f>
        <v>#REF!</v>
      </c>
      <c r="H1966" s="139" t="str">
        <f t="shared" si="103"/>
        <v/>
      </c>
      <c r="I1966" s="137" t="str">
        <f t="shared" si="104"/>
        <v/>
      </c>
      <c r="J1966" s="117"/>
    </row>
    <row r="1967" spans="1:10" hidden="1" x14ac:dyDescent="0.25">
      <c r="A1967" s="114" t="s">
        <v>4751</v>
      </c>
      <c r="B1967" s="115" t="s">
        <v>3676</v>
      </c>
      <c r="C1967" s="116" t="s">
        <v>16</v>
      </c>
      <c r="D1967" s="116">
        <v>0</v>
      </c>
      <c r="E1967" s="136" t="s">
        <v>416</v>
      </c>
      <c r="F1967" s="137" t="str">
        <f t="shared" si="102"/>
        <v/>
      </c>
      <c r="G1967" s="138" t="e">
        <f>IF(A1967&lt;&gt;"",IF(AND(#REF!="Padrão",$H$4=#REF!),BDI!$B$17,IF(AND(#REF!="Padrão",$H$4=#REF!),BDI!#REF!,IF(AND(#REF!="Diferenciado",$H$4=#REF!),BDI!$E$17,IF(AND(#REF!="Diferenciado",$H$4=#REF!),BDI!#REF!,IF(#REF!="ZERO",0))))),"")</f>
        <v>#REF!</v>
      </c>
      <c r="H1967" s="139" t="str">
        <f t="shared" si="103"/>
        <v/>
      </c>
      <c r="I1967" s="137" t="str">
        <f t="shared" si="104"/>
        <v/>
      </c>
      <c r="J1967" s="117"/>
    </row>
    <row r="1968" spans="1:10" hidden="1" x14ac:dyDescent="0.25">
      <c r="A1968" s="114" t="s">
        <v>4752</v>
      </c>
      <c r="B1968" s="115" t="s">
        <v>3677</v>
      </c>
      <c r="C1968" s="116" t="s">
        <v>16</v>
      </c>
      <c r="D1968" s="116">
        <v>0</v>
      </c>
      <c r="E1968" s="136" t="s">
        <v>416</v>
      </c>
      <c r="F1968" s="137" t="str">
        <f t="shared" si="102"/>
        <v/>
      </c>
      <c r="G1968" s="138" t="e">
        <f>IF(A1968&lt;&gt;"",IF(AND(#REF!="Padrão",$H$4=#REF!),BDI!$B$17,IF(AND(#REF!="Padrão",$H$4=#REF!),BDI!#REF!,IF(AND(#REF!="Diferenciado",$H$4=#REF!),BDI!$E$17,IF(AND(#REF!="Diferenciado",$H$4=#REF!),BDI!#REF!,IF(#REF!="ZERO",0))))),"")</f>
        <v>#REF!</v>
      </c>
      <c r="H1968" s="139" t="str">
        <f t="shared" si="103"/>
        <v/>
      </c>
      <c r="I1968" s="137" t="str">
        <f t="shared" si="104"/>
        <v/>
      </c>
      <c r="J1968" s="117"/>
    </row>
    <row r="1969" spans="1:10" hidden="1" x14ac:dyDescent="0.25">
      <c r="A1969" s="114" t="s">
        <v>4753</v>
      </c>
      <c r="B1969" s="115" t="s">
        <v>3678</v>
      </c>
      <c r="C1969" s="116" t="s">
        <v>16</v>
      </c>
      <c r="D1969" s="116">
        <v>0</v>
      </c>
      <c r="E1969" s="136" t="s">
        <v>416</v>
      </c>
      <c r="F1969" s="137" t="str">
        <f t="shared" si="102"/>
        <v/>
      </c>
      <c r="G1969" s="138" t="e">
        <f>IF(A1969&lt;&gt;"",IF(AND(#REF!="Padrão",$H$4=#REF!),BDI!$B$17,IF(AND(#REF!="Padrão",$H$4=#REF!),BDI!#REF!,IF(AND(#REF!="Diferenciado",$H$4=#REF!),BDI!$E$17,IF(AND(#REF!="Diferenciado",$H$4=#REF!),BDI!#REF!,IF(#REF!="ZERO",0))))),"")</f>
        <v>#REF!</v>
      </c>
      <c r="H1969" s="139" t="str">
        <f t="shared" si="103"/>
        <v/>
      </c>
      <c r="I1969" s="137" t="str">
        <f t="shared" si="104"/>
        <v/>
      </c>
      <c r="J1969" s="117"/>
    </row>
    <row r="1970" spans="1:10" hidden="1" x14ac:dyDescent="0.25">
      <c r="A1970" s="114" t="s">
        <v>4754</v>
      </c>
      <c r="B1970" s="115" t="s">
        <v>3679</v>
      </c>
      <c r="C1970" s="116" t="s">
        <v>16</v>
      </c>
      <c r="D1970" s="116">
        <v>0</v>
      </c>
      <c r="E1970" s="136" t="s">
        <v>416</v>
      </c>
      <c r="F1970" s="137" t="str">
        <f t="shared" si="102"/>
        <v/>
      </c>
      <c r="G1970" s="138" t="e">
        <f>IF(A1970&lt;&gt;"",IF(AND(#REF!="Padrão",$H$4=#REF!),BDI!$B$17,IF(AND(#REF!="Padrão",$H$4=#REF!),BDI!#REF!,IF(AND(#REF!="Diferenciado",$H$4=#REF!),BDI!$E$17,IF(AND(#REF!="Diferenciado",$H$4=#REF!),BDI!#REF!,IF(#REF!="ZERO",0))))),"")</f>
        <v>#REF!</v>
      </c>
      <c r="H1970" s="139" t="str">
        <f t="shared" si="103"/>
        <v/>
      </c>
      <c r="I1970" s="137" t="str">
        <f t="shared" si="104"/>
        <v/>
      </c>
      <c r="J1970" s="117"/>
    </row>
    <row r="1971" spans="1:10" hidden="1" x14ac:dyDescent="0.25">
      <c r="A1971" s="114" t="s">
        <v>4755</v>
      </c>
      <c r="B1971" s="115" t="s">
        <v>3680</v>
      </c>
      <c r="C1971" s="116" t="s">
        <v>16</v>
      </c>
      <c r="D1971" s="116">
        <v>0</v>
      </c>
      <c r="E1971" s="136" t="s">
        <v>416</v>
      </c>
      <c r="F1971" s="137" t="str">
        <f t="shared" si="102"/>
        <v/>
      </c>
      <c r="G1971" s="138" t="e">
        <f>IF(A1971&lt;&gt;"",IF(AND(#REF!="Padrão",$H$4=#REF!),BDI!$B$17,IF(AND(#REF!="Padrão",$H$4=#REF!),BDI!#REF!,IF(AND(#REF!="Diferenciado",$H$4=#REF!),BDI!$E$17,IF(AND(#REF!="Diferenciado",$H$4=#REF!),BDI!#REF!,IF(#REF!="ZERO",0))))),"")</f>
        <v>#REF!</v>
      </c>
      <c r="H1971" s="139" t="str">
        <f t="shared" si="103"/>
        <v/>
      </c>
      <c r="I1971" s="137" t="str">
        <f t="shared" si="104"/>
        <v/>
      </c>
      <c r="J1971" s="117"/>
    </row>
    <row r="1972" spans="1:10" hidden="1" x14ac:dyDescent="0.25">
      <c r="A1972" s="114" t="s">
        <v>4756</v>
      </c>
      <c r="B1972" s="115" t="s">
        <v>3681</v>
      </c>
      <c r="C1972" s="116" t="s">
        <v>16</v>
      </c>
      <c r="D1972" s="116">
        <v>0</v>
      </c>
      <c r="E1972" s="136" t="s">
        <v>416</v>
      </c>
      <c r="F1972" s="137" t="str">
        <f t="shared" si="102"/>
        <v/>
      </c>
      <c r="G1972" s="138" t="e">
        <f>IF(A1972&lt;&gt;"",IF(AND(#REF!="Padrão",$H$4=#REF!),BDI!$B$17,IF(AND(#REF!="Padrão",$H$4=#REF!),BDI!#REF!,IF(AND(#REF!="Diferenciado",$H$4=#REF!),BDI!$E$17,IF(AND(#REF!="Diferenciado",$H$4=#REF!),BDI!#REF!,IF(#REF!="ZERO",0))))),"")</f>
        <v>#REF!</v>
      </c>
      <c r="H1972" s="139" t="str">
        <f t="shared" si="103"/>
        <v/>
      </c>
      <c r="I1972" s="137" t="str">
        <f t="shared" si="104"/>
        <v/>
      </c>
      <c r="J1972" s="117"/>
    </row>
    <row r="1973" spans="1:10" hidden="1" x14ac:dyDescent="0.25">
      <c r="A1973" s="114" t="s">
        <v>4757</v>
      </c>
      <c r="B1973" s="115" t="s">
        <v>3682</v>
      </c>
      <c r="C1973" s="116" t="s">
        <v>16</v>
      </c>
      <c r="D1973" s="116">
        <v>0</v>
      </c>
      <c r="E1973" s="136" t="s">
        <v>416</v>
      </c>
      <c r="F1973" s="137" t="str">
        <f t="shared" si="102"/>
        <v/>
      </c>
      <c r="G1973" s="138" t="e">
        <f>IF(A1973&lt;&gt;"",IF(AND(#REF!="Padrão",$H$4=#REF!),BDI!$B$17,IF(AND(#REF!="Padrão",$H$4=#REF!),BDI!#REF!,IF(AND(#REF!="Diferenciado",$H$4=#REF!),BDI!$E$17,IF(AND(#REF!="Diferenciado",$H$4=#REF!),BDI!#REF!,IF(#REF!="ZERO",0))))),"")</f>
        <v>#REF!</v>
      </c>
      <c r="H1973" s="139" t="str">
        <f t="shared" si="103"/>
        <v/>
      </c>
      <c r="I1973" s="137" t="str">
        <f t="shared" si="104"/>
        <v/>
      </c>
      <c r="J1973" s="117"/>
    </row>
    <row r="1974" spans="1:10" hidden="1" x14ac:dyDescent="0.25">
      <c r="A1974" s="114" t="s">
        <v>4758</v>
      </c>
      <c r="B1974" s="115" t="s">
        <v>3683</v>
      </c>
      <c r="C1974" s="116" t="s">
        <v>16</v>
      </c>
      <c r="D1974" s="116">
        <v>0</v>
      </c>
      <c r="E1974" s="136" t="s">
        <v>416</v>
      </c>
      <c r="F1974" s="137" t="str">
        <f t="shared" si="102"/>
        <v/>
      </c>
      <c r="G1974" s="138" t="e">
        <f>IF(A1974&lt;&gt;"",IF(AND(#REF!="Padrão",$H$4=#REF!),BDI!$B$17,IF(AND(#REF!="Padrão",$H$4=#REF!),BDI!#REF!,IF(AND(#REF!="Diferenciado",$H$4=#REF!),BDI!$E$17,IF(AND(#REF!="Diferenciado",$H$4=#REF!),BDI!#REF!,IF(#REF!="ZERO",0))))),"")</f>
        <v>#REF!</v>
      </c>
      <c r="H1974" s="139" t="str">
        <f t="shared" si="103"/>
        <v/>
      </c>
      <c r="I1974" s="137" t="str">
        <f t="shared" si="104"/>
        <v/>
      </c>
      <c r="J1974" s="117"/>
    </row>
    <row r="1975" spans="1:10" hidden="1" x14ac:dyDescent="0.25">
      <c r="A1975" s="114" t="s">
        <v>4759</v>
      </c>
      <c r="B1975" s="115" t="s">
        <v>3684</v>
      </c>
      <c r="C1975" s="116" t="s">
        <v>16</v>
      </c>
      <c r="D1975" s="116">
        <v>0</v>
      </c>
      <c r="E1975" s="136" t="s">
        <v>416</v>
      </c>
      <c r="F1975" s="137" t="str">
        <f t="shared" si="102"/>
        <v/>
      </c>
      <c r="G1975" s="138" t="e">
        <f>IF(A1975&lt;&gt;"",IF(AND(#REF!="Padrão",$H$4=#REF!),BDI!$B$17,IF(AND(#REF!="Padrão",$H$4=#REF!),BDI!#REF!,IF(AND(#REF!="Diferenciado",$H$4=#REF!),BDI!$E$17,IF(AND(#REF!="Diferenciado",$H$4=#REF!),BDI!#REF!,IF(#REF!="ZERO",0))))),"")</f>
        <v>#REF!</v>
      </c>
      <c r="H1975" s="139" t="str">
        <f t="shared" si="103"/>
        <v/>
      </c>
      <c r="I1975" s="137" t="str">
        <f t="shared" si="104"/>
        <v/>
      </c>
      <c r="J1975" s="117"/>
    </row>
    <row r="1976" spans="1:10" hidden="1" x14ac:dyDescent="0.25">
      <c r="A1976" s="114" t="s">
        <v>4760</v>
      </c>
      <c r="B1976" s="115" t="s">
        <v>3685</v>
      </c>
      <c r="C1976" s="116" t="s">
        <v>16</v>
      </c>
      <c r="D1976" s="116">
        <v>0</v>
      </c>
      <c r="E1976" s="136" t="s">
        <v>416</v>
      </c>
      <c r="F1976" s="137" t="str">
        <f t="shared" si="102"/>
        <v/>
      </c>
      <c r="G1976" s="138" t="e">
        <f>IF(A1976&lt;&gt;"",IF(AND(#REF!="Padrão",$H$4=#REF!),BDI!$B$17,IF(AND(#REF!="Padrão",$H$4=#REF!),BDI!#REF!,IF(AND(#REF!="Diferenciado",$H$4=#REF!),BDI!$E$17,IF(AND(#REF!="Diferenciado",$H$4=#REF!),BDI!#REF!,IF(#REF!="ZERO",0))))),"")</f>
        <v>#REF!</v>
      </c>
      <c r="H1976" s="139" t="str">
        <f t="shared" si="103"/>
        <v/>
      </c>
      <c r="I1976" s="137" t="str">
        <f t="shared" si="104"/>
        <v/>
      </c>
      <c r="J1976" s="117"/>
    </row>
    <row r="1977" spans="1:10" hidden="1" x14ac:dyDescent="0.25">
      <c r="A1977" s="114" t="s">
        <v>4761</v>
      </c>
      <c r="B1977" s="115" t="s">
        <v>7521</v>
      </c>
      <c r="C1977" s="116" t="s">
        <v>16</v>
      </c>
      <c r="D1977" s="116">
        <v>0</v>
      </c>
      <c r="E1977" s="136" t="s">
        <v>416</v>
      </c>
      <c r="F1977" s="137" t="str">
        <f t="shared" si="102"/>
        <v/>
      </c>
      <c r="G1977" s="138" t="e">
        <f>IF(A1977&lt;&gt;"",IF(AND(#REF!="Padrão",$H$4=#REF!),BDI!$B$17,IF(AND(#REF!="Padrão",$H$4=#REF!),BDI!#REF!,IF(AND(#REF!="Diferenciado",$H$4=#REF!),BDI!$E$17,IF(AND(#REF!="Diferenciado",$H$4=#REF!),BDI!#REF!,IF(#REF!="ZERO",0))))),"")</f>
        <v>#REF!</v>
      </c>
      <c r="H1977" s="139" t="str">
        <f t="shared" si="103"/>
        <v/>
      </c>
      <c r="I1977" s="137" t="str">
        <f t="shared" si="104"/>
        <v/>
      </c>
      <c r="J1977" s="117"/>
    </row>
    <row r="1978" spans="1:10" hidden="1" x14ac:dyDescent="0.25">
      <c r="A1978" s="114" t="s">
        <v>4762</v>
      </c>
      <c r="B1978" s="115" t="s">
        <v>7522</v>
      </c>
      <c r="C1978" s="116" t="s">
        <v>16</v>
      </c>
      <c r="D1978" s="116">
        <v>0</v>
      </c>
      <c r="E1978" s="136" t="s">
        <v>416</v>
      </c>
      <c r="F1978" s="137" t="str">
        <f t="shared" si="102"/>
        <v/>
      </c>
      <c r="G1978" s="138" t="e">
        <f>IF(A1978&lt;&gt;"",IF(AND(#REF!="Padrão",$H$4=#REF!),BDI!$B$17,IF(AND(#REF!="Padrão",$H$4=#REF!),BDI!#REF!,IF(AND(#REF!="Diferenciado",$H$4=#REF!),BDI!$E$17,IF(AND(#REF!="Diferenciado",$H$4=#REF!),BDI!#REF!,IF(#REF!="ZERO",0))))),"")</f>
        <v>#REF!</v>
      </c>
      <c r="H1978" s="139" t="str">
        <f t="shared" si="103"/>
        <v/>
      </c>
      <c r="I1978" s="137" t="str">
        <f t="shared" si="104"/>
        <v/>
      </c>
      <c r="J1978" s="117"/>
    </row>
    <row r="1979" spans="1:10" hidden="1" x14ac:dyDescent="0.25">
      <c r="A1979" s="114" t="s">
        <v>4763</v>
      </c>
      <c r="B1979" s="115" t="s">
        <v>7523</v>
      </c>
      <c r="C1979" s="116" t="s">
        <v>16</v>
      </c>
      <c r="D1979" s="116">
        <v>0</v>
      </c>
      <c r="E1979" s="136" t="s">
        <v>416</v>
      </c>
      <c r="F1979" s="137" t="str">
        <f t="shared" si="102"/>
        <v/>
      </c>
      <c r="G1979" s="138" t="e">
        <f>IF(A1979&lt;&gt;"",IF(AND(#REF!="Padrão",$H$4=#REF!),BDI!$B$17,IF(AND(#REF!="Padrão",$H$4=#REF!),BDI!#REF!,IF(AND(#REF!="Diferenciado",$H$4=#REF!),BDI!$E$17,IF(AND(#REF!="Diferenciado",$H$4=#REF!),BDI!#REF!,IF(#REF!="ZERO",0))))),"")</f>
        <v>#REF!</v>
      </c>
      <c r="H1979" s="139" t="str">
        <f t="shared" si="103"/>
        <v/>
      </c>
      <c r="I1979" s="137" t="str">
        <f t="shared" si="104"/>
        <v/>
      </c>
      <c r="J1979" s="117"/>
    </row>
    <row r="1980" spans="1:10" hidden="1" x14ac:dyDescent="0.25">
      <c r="A1980" s="114" t="s">
        <v>4764</v>
      </c>
      <c r="B1980" s="115" t="s">
        <v>7524</v>
      </c>
      <c r="C1980" s="116" t="s">
        <v>16</v>
      </c>
      <c r="D1980" s="116">
        <v>0</v>
      </c>
      <c r="E1980" s="136" t="s">
        <v>416</v>
      </c>
      <c r="F1980" s="137" t="str">
        <f t="shared" si="102"/>
        <v/>
      </c>
      <c r="G1980" s="138" t="e">
        <f>IF(A1980&lt;&gt;"",IF(AND(#REF!="Padrão",$H$4=#REF!),BDI!$B$17,IF(AND(#REF!="Padrão",$H$4=#REF!),BDI!#REF!,IF(AND(#REF!="Diferenciado",$H$4=#REF!),BDI!$E$17,IF(AND(#REF!="Diferenciado",$H$4=#REF!),BDI!#REF!,IF(#REF!="ZERO",0))))),"")</f>
        <v>#REF!</v>
      </c>
      <c r="H1980" s="139" t="str">
        <f t="shared" si="103"/>
        <v/>
      </c>
      <c r="I1980" s="137" t="str">
        <f t="shared" si="104"/>
        <v/>
      </c>
      <c r="J1980" s="117"/>
    </row>
    <row r="1981" spans="1:10" hidden="1" x14ac:dyDescent="0.25">
      <c r="A1981" s="114" t="s">
        <v>4765</v>
      </c>
      <c r="B1981" s="115" t="s">
        <v>7525</v>
      </c>
      <c r="C1981" s="116" t="s">
        <v>16</v>
      </c>
      <c r="D1981" s="116">
        <v>0</v>
      </c>
      <c r="E1981" s="136" t="s">
        <v>416</v>
      </c>
      <c r="F1981" s="137" t="str">
        <f t="shared" si="102"/>
        <v/>
      </c>
      <c r="G1981" s="138" t="e">
        <f>IF(A1981&lt;&gt;"",IF(AND(#REF!="Padrão",$H$4=#REF!),BDI!$B$17,IF(AND(#REF!="Padrão",$H$4=#REF!),BDI!#REF!,IF(AND(#REF!="Diferenciado",$H$4=#REF!),BDI!$E$17,IF(AND(#REF!="Diferenciado",$H$4=#REF!),BDI!#REF!,IF(#REF!="ZERO",0))))),"")</f>
        <v>#REF!</v>
      </c>
      <c r="H1981" s="139" t="str">
        <f t="shared" si="103"/>
        <v/>
      </c>
      <c r="I1981" s="137" t="str">
        <f t="shared" si="104"/>
        <v/>
      </c>
      <c r="J1981" s="117"/>
    </row>
    <row r="1982" spans="1:10" hidden="1" x14ac:dyDescent="0.25">
      <c r="A1982" s="114" t="s">
        <v>4766</v>
      </c>
      <c r="B1982" s="115" t="s">
        <v>7526</v>
      </c>
      <c r="C1982" s="116" t="s">
        <v>16</v>
      </c>
      <c r="D1982" s="116">
        <v>0</v>
      </c>
      <c r="E1982" s="136" t="s">
        <v>416</v>
      </c>
      <c r="F1982" s="137" t="str">
        <f t="shared" si="102"/>
        <v/>
      </c>
      <c r="G1982" s="138" t="e">
        <f>IF(A1982&lt;&gt;"",IF(AND(#REF!="Padrão",$H$4=#REF!),BDI!$B$17,IF(AND(#REF!="Padrão",$H$4=#REF!),BDI!#REF!,IF(AND(#REF!="Diferenciado",$H$4=#REF!),BDI!$E$17,IF(AND(#REF!="Diferenciado",$H$4=#REF!),BDI!#REF!,IF(#REF!="ZERO",0))))),"")</f>
        <v>#REF!</v>
      </c>
      <c r="H1982" s="139" t="str">
        <f t="shared" si="103"/>
        <v/>
      </c>
      <c r="I1982" s="137" t="str">
        <f t="shared" si="104"/>
        <v/>
      </c>
      <c r="J1982" s="117"/>
    </row>
    <row r="1983" spans="1:10" hidden="1" x14ac:dyDescent="0.25">
      <c r="A1983" s="114" t="s">
        <v>4767</v>
      </c>
      <c r="B1983" s="115" t="s">
        <v>7527</v>
      </c>
      <c r="C1983" s="116" t="s">
        <v>16</v>
      </c>
      <c r="D1983" s="116">
        <v>0</v>
      </c>
      <c r="E1983" s="136" t="s">
        <v>416</v>
      </c>
      <c r="F1983" s="137" t="str">
        <f t="shared" si="102"/>
        <v/>
      </c>
      <c r="G1983" s="138" t="e">
        <f>IF(A1983&lt;&gt;"",IF(AND(#REF!="Padrão",$H$4=#REF!),BDI!$B$17,IF(AND(#REF!="Padrão",$H$4=#REF!),BDI!#REF!,IF(AND(#REF!="Diferenciado",$H$4=#REF!),BDI!$E$17,IF(AND(#REF!="Diferenciado",$H$4=#REF!),BDI!#REF!,IF(#REF!="ZERO",0))))),"")</f>
        <v>#REF!</v>
      </c>
      <c r="H1983" s="139" t="str">
        <f t="shared" si="103"/>
        <v/>
      </c>
      <c r="I1983" s="137" t="str">
        <f t="shared" si="104"/>
        <v/>
      </c>
      <c r="J1983" s="117"/>
    </row>
    <row r="1984" spans="1:10" hidden="1" x14ac:dyDescent="0.25">
      <c r="A1984" s="114" t="s">
        <v>4768</v>
      </c>
      <c r="B1984" s="115" t="s">
        <v>7528</v>
      </c>
      <c r="C1984" s="116" t="s">
        <v>16</v>
      </c>
      <c r="D1984" s="116">
        <v>0</v>
      </c>
      <c r="E1984" s="136" t="s">
        <v>416</v>
      </c>
      <c r="F1984" s="137" t="str">
        <f t="shared" si="102"/>
        <v/>
      </c>
      <c r="G1984" s="138" t="e">
        <f>IF(A1984&lt;&gt;"",IF(AND(#REF!="Padrão",$H$4=#REF!),BDI!$B$17,IF(AND(#REF!="Padrão",$H$4=#REF!),BDI!#REF!,IF(AND(#REF!="Diferenciado",$H$4=#REF!),BDI!$E$17,IF(AND(#REF!="Diferenciado",$H$4=#REF!),BDI!#REF!,IF(#REF!="ZERO",0))))),"")</f>
        <v>#REF!</v>
      </c>
      <c r="H1984" s="139" t="str">
        <f t="shared" si="103"/>
        <v/>
      </c>
      <c r="I1984" s="137" t="str">
        <f t="shared" si="104"/>
        <v/>
      </c>
      <c r="J1984" s="117"/>
    </row>
    <row r="1985" spans="1:10" hidden="1" x14ac:dyDescent="0.25">
      <c r="A1985" s="114" t="s">
        <v>4769</v>
      </c>
      <c r="B1985" s="115" t="s">
        <v>7529</v>
      </c>
      <c r="C1985" s="116" t="s">
        <v>16</v>
      </c>
      <c r="D1985" s="116">
        <v>0</v>
      </c>
      <c r="E1985" s="136" t="s">
        <v>416</v>
      </c>
      <c r="F1985" s="137" t="str">
        <f t="shared" si="102"/>
        <v/>
      </c>
      <c r="G1985" s="138" t="e">
        <f>IF(A1985&lt;&gt;"",IF(AND(#REF!="Padrão",$H$4=#REF!),BDI!$B$17,IF(AND(#REF!="Padrão",$H$4=#REF!),BDI!#REF!,IF(AND(#REF!="Diferenciado",$H$4=#REF!),BDI!$E$17,IF(AND(#REF!="Diferenciado",$H$4=#REF!),BDI!#REF!,IF(#REF!="ZERO",0))))),"")</f>
        <v>#REF!</v>
      </c>
      <c r="H1985" s="139" t="str">
        <f t="shared" si="103"/>
        <v/>
      </c>
      <c r="I1985" s="137" t="str">
        <f t="shared" si="104"/>
        <v/>
      </c>
      <c r="J1985" s="117"/>
    </row>
    <row r="1986" spans="1:10" hidden="1" x14ac:dyDescent="0.25">
      <c r="A1986" s="114" t="s">
        <v>4770</v>
      </c>
      <c r="B1986" s="115" t="s">
        <v>7530</v>
      </c>
      <c r="C1986" s="116" t="s">
        <v>16</v>
      </c>
      <c r="D1986" s="116">
        <v>0</v>
      </c>
      <c r="E1986" s="136" t="s">
        <v>416</v>
      </c>
      <c r="F1986" s="137" t="str">
        <f t="shared" si="102"/>
        <v/>
      </c>
      <c r="G1986" s="138" t="e">
        <f>IF(A1986&lt;&gt;"",IF(AND(#REF!="Padrão",$H$4=#REF!),BDI!$B$17,IF(AND(#REF!="Padrão",$H$4=#REF!),BDI!#REF!,IF(AND(#REF!="Diferenciado",$H$4=#REF!),BDI!$E$17,IF(AND(#REF!="Diferenciado",$H$4=#REF!),BDI!#REF!,IF(#REF!="ZERO",0))))),"")</f>
        <v>#REF!</v>
      </c>
      <c r="H1986" s="139" t="str">
        <f t="shared" si="103"/>
        <v/>
      </c>
      <c r="I1986" s="137" t="str">
        <f t="shared" si="104"/>
        <v/>
      </c>
      <c r="J1986" s="117"/>
    </row>
    <row r="1987" spans="1:10" hidden="1" x14ac:dyDescent="0.25">
      <c r="A1987" s="114" t="s">
        <v>4771</v>
      </c>
      <c r="B1987" s="115" t="s">
        <v>7531</v>
      </c>
      <c r="C1987" s="116" t="s">
        <v>16</v>
      </c>
      <c r="D1987" s="116">
        <v>0</v>
      </c>
      <c r="E1987" s="136" t="s">
        <v>416</v>
      </c>
      <c r="F1987" s="137" t="str">
        <f t="shared" si="102"/>
        <v/>
      </c>
      <c r="G1987" s="138" t="e">
        <f>IF(A1987&lt;&gt;"",IF(AND(#REF!="Padrão",$H$4=#REF!),BDI!$B$17,IF(AND(#REF!="Padrão",$H$4=#REF!),BDI!#REF!,IF(AND(#REF!="Diferenciado",$H$4=#REF!),BDI!$E$17,IF(AND(#REF!="Diferenciado",$H$4=#REF!),BDI!#REF!,IF(#REF!="ZERO",0))))),"")</f>
        <v>#REF!</v>
      </c>
      <c r="H1987" s="139" t="str">
        <f t="shared" si="103"/>
        <v/>
      </c>
      <c r="I1987" s="137" t="str">
        <f t="shared" si="104"/>
        <v/>
      </c>
      <c r="J1987" s="117"/>
    </row>
    <row r="1988" spans="1:10" hidden="1" x14ac:dyDescent="0.25">
      <c r="A1988" s="114" t="s">
        <v>4772</v>
      </c>
      <c r="B1988" s="115" t="s">
        <v>3686</v>
      </c>
      <c r="C1988" s="116" t="s">
        <v>16</v>
      </c>
      <c r="D1988" s="116">
        <v>0</v>
      </c>
      <c r="E1988" s="136" t="s">
        <v>416</v>
      </c>
      <c r="F1988" s="137" t="str">
        <f t="shared" si="102"/>
        <v/>
      </c>
      <c r="G1988" s="138" t="e">
        <f>IF(A1988&lt;&gt;"",IF(AND(#REF!="Padrão",$H$4=#REF!),BDI!$B$17,IF(AND(#REF!="Padrão",$H$4=#REF!),BDI!#REF!,IF(AND(#REF!="Diferenciado",$H$4=#REF!),BDI!$E$17,IF(AND(#REF!="Diferenciado",$H$4=#REF!),BDI!#REF!,IF(#REF!="ZERO",0))))),"")</f>
        <v>#REF!</v>
      </c>
      <c r="H1988" s="139" t="str">
        <f t="shared" si="103"/>
        <v/>
      </c>
      <c r="I1988" s="137" t="str">
        <f t="shared" si="104"/>
        <v/>
      </c>
      <c r="J1988" s="117"/>
    </row>
    <row r="1989" spans="1:10" hidden="1" x14ac:dyDescent="0.25">
      <c r="A1989" s="114" t="s">
        <v>4773</v>
      </c>
      <c r="B1989" s="115" t="s">
        <v>3687</v>
      </c>
      <c r="C1989" s="116" t="s">
        <v>16</v>
      </c>
      <c r="D1989" s="116">
        <v>0</v>
      </c>
      <c r="E1989" s="136" t="s">
        <v>416</v>
      </c>
      <c r="F1989" s="137" t="str">
        <f t="shared" si="102"/>
        <v/>
      </c>
      <c r="G1989" s="138" t="e">
        <f>IF(A1989&lt;&gt;"",IF(AND(#REF!="Padrão",$H$4=#REF!),BDI!$B$17,IF(AND(#REF!="Padrão",$H$4=#REF!),BDI!#REF!,IF(AND(#REF!="Diferenciado",$H$4=#REF!),BDI!$E$17,IF(AND(#REF!="Diferenciado",$H$4=#REF!),BDI!#REF!,IF(#REF!="ZERO",0))))),"")</f>
        <v>#REF!</v>
      </c>
      <c r="H1989" s="139" t="str">
        <f t="shared" si="103"/>
        <v/>
      </c>
      <c r="I1989" s="137" t="str">
        <f t="shared" si="104"/>
        <v/>
      </c>
      <c r="J1989" s="117"/>
    </row>
    <row r="1990" spans="1:10" hidden="1" x14ac:dyDescent="0.25">
      <c r="A1990" s="114" t="s">
        <v>4774</v>
      </c>
      <c r="B1990" s="115" t="s">
        <v>3688</v>
      </c>
      <c r="C1990" s="116" t="s">
        <v>16</v>
      </c>
      <c r="D1990" s="116">
        <v>0</v>
      </c>
      <c r="E1990" s="136" t="s">
        <v>416</v>
      </c>
      <c r="F1990" s="137" t="str">
        <f t="shared" si="102"/>
        <v/>
      </c>
      <c r="G1990" s="138" t="e">
        <f>IF(A1990&lt;&gt;"",IF(AND(#REF!="Padrão",$H$4=#REF!),BDI!$B$17,IF(AND(#REF!="Padrão",$H$4=#REF!),BDI!#REF!,IF(AND(#REF!="Diferenciado",$H$4=#REF!),BDI!$E$17,IF(AND(#REF!="Diferenciado",$H$4=#REF!),BDI!#REF!,IF(#REF!="ZERO",0))))),"")</f>
        <v>#REF!</v>
      </c>
      <c r="H1990" s="139" t="str">
        <f t="shared" si="103"/>
        <v/>
      </c>
      <c r="I1990" s="137" t="str">
        <f t="shared" si="104"/>
        <v/>
      </c>
      <c r="J1990" s="117"/>
    </row>
    <row r="1991" spans="1:10" hidden="1" x14ac:dyDescent="0.25">
      <c r="A1991" s="114" t="s">
        <v>4775</v>
      </c>
      <c r="B1991" s="115" t="s">
        <v>7520</v>
      </c>
      <c r="C1991" s="116" t="s">
        <v>16</v>
      </c>
      <c r="D1991" s="116">
        <v>0</v>
      </c>
      <c r="E1991" s="136" t="s">
        <v>416</v>
      </c>
      <c r="F1991" s="137" t="str">
        <f t="shared" si="102"/>
        <v/>
      </c>
      <c r="G1991" s="138" t="e">
        <f>IF(A1991&lt;&gt;"",IF(AND(#REF!="Padrão",$H$4=#REF!),BDI!$B$17,IF(AND(#REF!="Padrão",$H$4=#REF!),BDI!#REF!,IF(AND(#REF!="Diferenciado",$H$4=#REF!),BDI!$E$17,IF(AND(#REF!="Diferenciado",$H$4=#REF!),BDI!#REF!,IF(#REF!="ZERO",0))))),"")</f>
        <v>#REF!</v>
      </c>
      <c r="H1991" s="139" t="str">
        <f t="shared" si="103"/>
        <v/>
      </c>
      <c r="I1991" s="137" t="str">
        <f t="shared" si="104"/>
        <v/>
      </c>
      <c r="J1991" s="117"/>
    </row>
    <row r="1992" spans="1:10" hidden="1" x14ac:dyDescent="0.25">
      <c r="A1992" s="114" t="s">
        <v>4776</v>
      </c>
      <c r="B1992" s="115" t="s">
        <v>7519</v>
      </c>
      <c r="C1992" s="116" t="s">
        <v>16</v>
      </c>
      <c r="D1992" s="116">
        <v>0</v>
      </c>
      <c r="E1992" s="136" t="s">
        <v>416</v>
      </c>
      <c r="F1992" s="137" t="str">
        <f t="shared" si="102"/>
        <v/>
      </c>
      <c r="G1992" s="138" t="e">
        <f>IF(A1992&lt;&gt;"",IF(AND(#REF!="Padrão",$H$4=#REF!),BDI!$B$17,IF(AND(#REF!="Padrão",$H$4=#REF!),BDI!#REF!,IF(AND(#REF!="Diferenciado",$H$4=#REF!),BDI!$E$17,IF(AND(#REF!="Diferenciado",$H$4=#REF!),BDI!#REF!,IF(#REF!="ZERO",0))))),"")</f>
        <v>#REF!</v>
      </c>
      <c r="H1992" s="139" t="str">
        <f t="shared" si="103"/>
        <v/>
      </c>
      <c r="I1992" s="137" t="str">
        <f t="shared" si="104"/>
        <v/>
      </c>
      <c r="J1992" s="117"/>
    </row>
    <row r="1993" spans="1:10" hidden="1" x14ac:dyDescent="0.25">
      <c r="A1993" s="114" t="s">
        <v>4777</v>
      </c>
      <c r="B1993" s="115" t="s">
        <v>7518</v>
      </c>
      <c r="C1993" s="116" t="s">
        <v>16</v>
      </c>
      <c r="D1993" s="116">
        <v>0</v>
      </c>
      <c r="E1993" s="136" t="s">
        <v>416</v>
      </c>
      <c r="F1993" s="137" t="str">
        <f t="shared" si="102"/>
        <v/>
      </c>
      <c r="G1993" s="138" t="e">
        <f>IF(A1993&lt;&gt;"",IF(AND(#REF!="Padrão",$H$4=#REF!),BDI!$B$17,IF(AND(#REF!="Padrão",$H$4=#REF!),BDI!#REF!,IF(AND(#REF!="Diferenciado",$H$4=#REF!),BDI!$E$17,IF(AND(#REF!="Diferenciado",$H$4=#REF!),BDI!#REF!,IF(#REF!="ZERO",0))))),"")</f>
        <v>#REF!</v>
      </c>
      <c r="H1993" s="139" t="str">
        <f t="shared" si="103"/>
        <v/>
      </c>
      <c r="I1993" s="137" t="str">
        <f t="shared" si="104"/>
        <v/>
      </c>
      <c r="J1993" s="117"/>
    </row>
    <row r="1994" spans="1:10" hidden="1" x14ac:dyDescent="0.25">
      <c r="A1994" s="114" t="s">
        <v>4778</v>
      </c>
      <c r="B1994" s="115" t="s">
        <v>7517</v>
      </c>
      <c r="C1994" s="116" t="s">
        <v>16</v>
      </c>
      <c r="D1994" s="116">
        <v>0</v>
      </c>
      <c r="E1994" s="136" t="s">
        <v>416</v>
      </c>
      <c r="F1994" s="137" t="str">
        <f t="shared" si="102"/>
        <v/>
      </c>
      <c r="G1994" s="138" t="e">
        <f>IF(A1994&lt;&gt;"",IF(AND(#REF!="Padrão",$H$4=#REF!),BDI!$B$17,IF(AND(#REF!="Padrão",$H$4=#REF!),BDI!#REF!,IF(AND(#REF!="Diferenciado",$H$4=#REF!),BDI!$E$17,IF(AND(#REF!="Diferenciado",$H$4=#REF!),BDI!#REF!,IF(#REF!="ZERO",0))))),"")</f>
        <v>#REF!</v>
      </c>
      <c r="H1994" s="139" t="str">
        <f t="shared" si="103"/>
        <v/>
      </c>
      <c r="I1994" s="137" t="str">
        <f t="shared" si="104"/>
        <v/>
      </c>
      <c r="J1994" s="117"/>
    </row>
    <row r="1995" spans="1:10" hidden="1" x14ac:dyDescent="0.25">
      <c r="A1995" s="114" t="s">
        <v>4779</v>
      </c>
      <c r="B1995" s="115" t="s">
        <v>7515</v>
      </c>
      <c r="C1995" s="116" t="s">
        <v>16</v>
      </c>
      <c r="D1995" s="116">
        <v>0</v>
      </c>
      <c r="E1995" s="136" t="s">
        <v>416</v>
      </c>
      <c r="F1995" s="137" t="str">
        <f t="shared" si="102"/>
        <v/>
      </c>
      <c r="G1995" s="138" t="e">
        <f>IF(A1995&lt;&gt;"",IF(AND(#REF!="Padrão",$H$4=#REF!),BDI!$B$17,IF(AND(#REF!="Padrão",$H$4=#REF!),BDI!#REF!,IF(AND(#REF!="Diferenciado",$H$4=#REF!),BDI!$E$17,IF(AND(#REF!="Diferenciado",$H$4=#REF!),BDI!#REF!,IF(#REF!="ZERO",0))))),"")</f>
        <v>#REF!</v>
      </c>
      <c r="H1995" s="139" t="str">
        <f t="shared" si="103"/>
        <v/>
      </c>
      <c r="I1995" s="137" t="str">
        <f t="shared" si="104"/>
        <v/>
      </c>
      <c r="J1995" s="117"/>
    </row>
    <row r="1996" spans="1:10" hidden="1" x14ac:dyDescent="0.25">
      <c r="A1996" s="114" t="s">
        <v>4780</v>
      </c>
      <c r="B1996" s="115" t="s">
        <v>7516</v>
      </c>
      <c r="C1996" s="116" t="s">
        <v>16</v>
      </c>
      <c r="D1996" s="116">
        <v>0</v>
      </c>
      <c r="E1996" s="136" t="s">
        <v>416</v>
      </c>
      <c r="F1996" s="137" t="str">
        <f t="shared" si="102"/>
        <v/>
      </c>
      <c r="G1996" s="138" t="e">
        <f>IF(A1996&lt;&gt;"",IF(AND(#REF!="Padrão",$H$4=#REF!),BDI!$B$17,IF(AND(#REF!="Padrão",$H$4=#REF!),BDI!#REF!,IF(AND(#REF!="Diferenciado",$H$4=#REF!),BDI!$E$17,IF(AND(#REF!="Diferenciado",$H$4=#REF!),BDI!#REF!,IF(#REF!="ZERO",0))))),"")</f>
        <v>#REF!</v>
      </c>
      <c r="H1996" s="139" t="str">
        <f t="shared" si="103"/>
        <v/>
      </c>
      <c r="I1996" s="137" t="str">
        <f t="shared" si="104"/>
        <v/>
      </c>
      <c r="J1996" s="117"/>
    </row>
    <row r="1997" spans="1:10" hidden="1" x14ac:dyDescent="0.25">
      <c r="A1997" s="114" t="s">
        <v>4781</v>
      </c>
      <c r="B1997" s="115" t="s">
        <v>7508</v>
      </c>
      <c r="C1997" s="116" t="s">
        <v>16</v>
      </c>
      <c r="D1997" s="116">
        <v>0</v>
      </c>
      <c r="E1997" s="136" t="s">
        <v>416</v>
      </c>
      <c r="F1997" s="137" t="str">
        <f t="shared" si="102"/>
        <v/>
      </c>
      <c r="G1997" s="138" t="e">
        <f>IF(A1997&lt;&gt;"",IF(AND(#REF!="Padrão",$H$4=#REF!),BDI!$B$17,IF(AND(#REF!="Padrão",$H$4=#REF!),BDI!#REF!,IF(AND(#REF!="Diferenciado",$H$4=#REF!),BDI!$E$17,IF(AND(#REF!="Diferenciado",$H$4=#REF!),BDI!#REF!,IF(#REF!="ZERO",0))))),"")</f>
        <v>#REF!</v>
      </c>
      <c r="H1997" s="139" t="str">
        <f t="shared" si="103"/>
        <v/>
      </c>
      <c r="I1997" s="137" t="str">
        <f t="shared" si="104"/>
        <v/>
      </c>
      <c r="J1997" s="117"/>
    </row>
    <row r="1998" spans="1:10" hidden="1" x14ac:dyDescent="0.25">
      <c r="A1998" s="114" t="s">
        <v>4782</v>
      </c>
      <c r="B1998" s="115" t="s">
        <v>7509</v>
      </c>
      <c r="C1998" s="116" t="s">
        <v>16</v>
      </c>
      <c r="D1998" s="116">
        <v>0</v>
      </c>
      <c r="E1998" s="136" t="s">
        <v>416</v>
      </c>
      <c r="F1998" s="137" t="str">
        <f t="shared" si="102"/>
        <v/>
      </c>
      <c r="G1998" s="138" t="e">
        <f>IF(A1998&lt;&gt;"",IF(AND(#REF!="Padrão",$H$4=#REF!),BDI!$B$17,IF(AND(#REF!="Padrão",$H$4=#REF!),BDI!#REF!,IF(AND(#REF!="Diferenciado",$H$4=#REF!),BDI!$E$17,IF(AND(#REF!="Diferenciado",$H$4=#REF!),BDI!#REF!,IF(#REF!="ZERO",0))))),"")</f>
        <v>#REF!</v>
      </c>
      <c r="H1998" s="139" t="str">
        <f t="shared" si="103"/>
        <v/>
      </c>
      <c r="I1998" s="137" t="str">
        <f t="shared" si="104"/>
        <v/>
      </c>
      <c r="J1998" s="117"/>
    </row>
    <row r="1999" spans="1:10" hidden="1" x14ac:dyDescent="0.25">
      <c r="A1999" s="114" t="s">
        <v>4783</v>
      </c>
      <c r="B1999" s="115" t="s">
        <v>7510</v>
      </c>
      <c r="C1999" s="116" t="s">
        <v>16</v>
      </c>
      <c r="D1999" s="116">
        <v>0</v>
      </c>
      <c r="E1999" s="136" t="s">
        <v>416</v>
      </c>
      <c r="F1999" s="137" t="str">
        <f t="shared" si="102"/>
        <v/>
      </c>
      <c r="G1999" s="138" t="e">
        <f>IF(A1999&lt;&gt;"",IF(AND(#REF!="Padrão",$H$4=#REF!),BDI!$B$17,IF(AND(#REF!="Padrão",$H$4=#REF!),BDI!#REF!,IF(AND(#REF!="Diferenciado",$H$4=#REF!),BDI!$E$17,IF(AND(#REF!="Diferenciado",$H$4=#REF!),BDI!#REF!,IF(#REF!="ZERO",0))))),"")</f>
        <v>#REF!</v>
      </c>
      <c r="H1999" s="139" t="str">
        <f t="shared" si="103"/>
        <v/>
      </c>
      <c r="I1999" s="137" t="str">
        <f t="shared" si="104"/>
        <v/>
      </c>
      <c r="J1999" s="117"/>
    </row>
    <row r="2000" spans="1:10" hidden="1" x14ac:dyDescent="0.25">
      <c r="A2000" s="114" t="s">
        <v>4784</v>
      </c>
      <c r="B2000" s="115" t="s">
        <v>7511</v>
      </c>
      <c r="C2000" s="116" t="s">
        <v>16</v>
      </c>
      <c r="D2000" s="116">
        <v>0</v>
      </c>
      <c r="E2000" s="136" t="s">
        <v>416</v>
      </c>
      <c r="F2000" s="137" t="str">
        <f t="shared" si="102"/>
        <v/>
      </c>
      <c r="G2000" s="138" t="e">
        <f>IF(A2000&lt;&gt;"",IF(AND(#REF!="Padrão",$H$4=#REF!),BDI!$B$17,IF(AND(#REF!="Padrão",$H$4=#REF!),BDI!#REF!,IF(AND(#REF!="Diferenciado",$H$4=#REF!),BDI!$E$17,IF(AND(#REF!="Diferenciado",$H$4=#REF!),BDI!#REF!,IF(#REF!="ZERO",0))))),"")</f>
        <v>#REF!</v>
      </c>
      <c r="H2000" s="139" t="str">
        <f t="shared" si="103"/>
        <v/>
      </c>
      <c r="I2000" s="137" t="str">
        <f t="shared" si="104"/>
        <v/>
      </c>
      <c r="J2000" s="117"/>
    </row>
    <row r="2001" spans="1:10" hidden="1" x14ac:dyDescent="0.25">
      <c r="A2001" s="114" t="s">
        <v>4785</v>
      </c>
      <c r="B2001" s="115" t="s">
        <v>7512</v>
      </c>
      <c r="C2001" s="116" t="s">
        <v>16</v>
      </c>
      <c r="D2001" s="116">
        <v>0</v>
      </c>
      <c r="E2001" s="136" t="s">
        <v>416</v>
      </c>
      <c r="F2001" s="137" t="str">
        <f t="shared" si="102"/>
        <v/>
      </c>
      <c r="G2001" s="138" t="e">
        <f>IF(A2001&lt;&gt;"",IF(AND(#REF!="Padrão",$H$4=#REF!),BDI!$B$17,IF(AND(#REF!="Padrão",$H$4=#REF!),BDI!#REF!,IF(AND(#REF!="Diferenciado",$H$4=#REF!),BDI!$E$17,IF(AND(#REF!="Diferenciado",$H$4=#REF!),BDI!#REF!,IF(#REF!="ZERO",0))))),"")</f>
        <v>#REF!</v>
      </c>
      <c r="H2001" s="139" t="str">
        <f t="shared" si="103"/>
        <v/>
      </c>
      <c r="I2001" s="137" t="str">
        <f t="shared" si="104"/>
        <v/>
      </c>
      <c r="J2001" s="117"/>
    </row>
    <row r="2002" spans="1:10" hidden="1" x14ac:dyDescent="0.25">
      <c r="A2002" s="114" t="s">
        <v>4786</v>
      </c>
      <c r="B2002" s="115" t="s">
        <v>7513</v>
      </c>
      <c r="C2002" s="116" t="s">
        <v>16</v>
      </c>
      <c r="D2002" s="116">
        <v>0</v>
      </c>
      <c r="E2002" s="136" t="s">
        <v>416</v>
      </c>
      <c r="F2002" s="137" t="str">
        <f t="shared" si="102"/>
        <v/>
      </c>
      <c r="G2002" s="138" t="e">
        <f>IF(A2002&lt;&gt;"",IF(AND(#REF!="Padrão",$H$4=#REF!),BDI!$B$17,IF(AND(#REF!="Padrão",$H$4=#REF!),BDI!#REF!,IF(AND(#REF!="Diferenciado",$H$4=#REF!),BDI!$E$17,IF(AND(#REF!="Diferenciado",$H$4=#REF!),BDI!#REF!,IF(#REF!="ZERO",0))))),"")</f>
        <v>#REF!</v>
      </c>
      <c r="H2002" s="139" t="str">
        <f t="shared" si="103"/>
        <v/>
      </c>
      <c r="I2002" s="137" t="str">
        <f t="shared" si="104"/>
        <v/>
      </c>
      <c r="J2002" s="117"/>
    </row>
    <row r="2003" spans="1:10" hidden="1" x14ac:dyDescent="0.25">
      <c r="A2003" s="114" t="s">
        <v>4787</v>
      </c>
      <c r="B2003" s="115" t="s">
        <v>7514</v>
      </c>
      <c r="C2003" s="116" t="s">
        <v>16</v>
      </c>
      <c r="D2003" s="116">
        <v>0</v>
      </c>
      <c r="E2003" s="136" t="s">
        <v>416</v>
      </c>
      <c r="F2003" s="137" t="str">
        <f t="shared" si="102"/>
        <v/>
      </c>
      <c r="G2003" s="138" t="e">
        <f>IF(A2003&lt;&gt;"",IF(AND(#REF!="Padrão",$H$4=#REF!),BDI!$B$17,IF(AND(#REF!="Padrão",$H$4=#REF!),BDI!#REF!,IF(AND(#REF!="Diferenciado",$H$4=#REF!),BDI!$E$17,IF(AND(#REF!="Diferenciado",$H$4=#REF!),BDI!#REF!,IF(#REF!="ZERO",0))))),"")</f>
        <v>#REF!</v>
      </c>
      <c r="H2003" s="139" t="str">
        <f t="shared" si="103"/>
        <v/>
      </c>
      <c r="I2003" s="137" t="str">
        <f t="shared" si="104"/>
        <v/>
      </c>
      <c r="J2003" s="117"/>
    </row>
    <row r="2004" spans="1:10" hidden="1" x14ac:dyDescent="0.25">
      <c r="A2004" s="114" t="s">
        <v>4788</v>
      </c>
      <c r="B2004" s="115" t="s">
        <v>3689</v>
      </c>
      <c r="C2004" s="116" t="s">
        <v>16</v>
      </c>
      <c r="D2004" s="116">
        <v>0</v>
      </c>
      <c r="E2004" s="136" t="s">
        <v>416</v>
      </c>
      <c r="F2004" s="137" t="str">
        <f t="shared" si="102"/>
        <v/>
      </c>
      <c r="G2004" s="138" t="e">
        <f>IF(A2004&lt;&gt;"",IF(AND(#REF!="Padrão",$H$4=#REF!),BDI!$B$17,IF(AND(#REF!="Padrão",$H$4=#REF!),BDI!#REF!,IF(AND(#REF!="Diferenciado",$H$4=#REF!),BDI!$E$17,IF(AND(#REF!="Diferenciado",$H$4=#REF!),BDI!#REF!,IF(#REF!="ZERO",0))))),"")</f>
        <v>#REF!</v>
      </c>
      <c r="H2004" s="139" t="str">
        <f t="shared" si="103"/>
        <v/>
      </c>
      <c r="I2004" s="137" t="str">
        <f t="shared" si="104"/>
        <v/>
      </c>
      <c r="J2004" s="117"/>
    </row>
    <row r="2005" spans="1:10" hidden="1" x14ac:dyDescent="0.25">
      <c r="A2005" s="114" t="s">
        <v>4789</v>
      </c>
      <c r="B2005" s="115" t="s">
        <v>3690</v>
      </c>
      <c r="C2005" s="116" t="s">
        <v>16</v>
      </c>
      <c r="D2005" s="116">
        <v>0</v>
      </c>
      <c r="E2005" s="136" t="s">
        <v>416</v>
      </c>
      <c r="F2005" s="137" t="str">
        <f t="shared" si="102"/>
        <v/>
      </c>
      <c r="G2005" s="138" t="e">
        <f>IF(A2005&lt;&gt;"",IF(AND(#REF!="Padrão",$H$4=#REF!),BDI!$B$17,IF(AND(#REF!="Padrão",$H$4=#REF!),BDI!#REF!,IF(AND(#REF!="Diferenciado",$H$4=#REF!),BDI!$E$17,IF(AND(#REF!="Diferenciado",$H$4=#REF!),BDI!#REF!,IF(#REF!="ZERO",0))))),"")</f>
        <v>#REF!</v>
      </c>
      <c r="H2005" s="139" t="str">
        <f t="shared" si="103"/>
        <v/>
      </c>
      <c r="I2005" s="137" t="str">
        <f t="shared" si="104"/>
        <v/>
      </c>
      <c r="J2005" s="117"/>
    </row>
    <row r="2006" spans="1:10" hidden="1" x14ac:dyDescent="0.25">
      <c r="A2006" s="114" t="s">
        <v>4790</v>
      </c>
      <c r="B2006" s="115" t="s">
        <v>3691</v>
      </c>
      <c r="C2006" s="116" t="s">
        <v>16</v>
      </c>
      <c r="D2006" s="116">
        <v>0</v>
      </c>
      <c r="E2006" s="136" t="s">
        <v>416</v>
      </c>
      <c r="F2006" s="137" t="str">
        <f t="shared" si="102"/>
        <v/>
      </c>
      <c r="G2006" s="138" t="e">
        <f>IF(A2006&lt;&gt;"",IF(AND(#REF!="Padrão",$H$4=#REF!),BDI!$B$17,IF(AND(#REF!="Padrão",$H$4=#REF!),BDI!#REF!,IF(AND(#REF!="Diferenciado",$H$4=#REF!),BDI!$E$17,IF(AND(#REF!="Diferenciado",$H$4=#REF!),BDI!#REF!,IF(#REF!="ZERO",0))))),"")</f>
        <v>#REF!</v>
      </c>
      <c r="H2006" s="139" t="str">
        <f t="shared" si="103"/>
        <v/>
      </c>
      <c r="I2006" s="137" t="str">
        <f t="shared" si="104"/>
        <v/>
      </c>
      <c r="J2006" s="117"/>
    </row>
    <row r="2007" spans="1:10" hidden="1" x14ac:dyDescent="0.25">
      <c r="A2007" s="114" t="s">
        <v>4791</v>
      </c>
      <c r="B2007" s="115" t="s">
        <v>3692</v>
      </c>
      <c r="C2007" s="116" t="s">
        <v>16</v>
      </c>
      <c r="D2007" s="116">
        <v>0</v>
      </c>
      <c r="E2007" s="136" t="s">
        <v>416</v>
      </c>
      <c r="F2007" s="137" t="str">
        <f t="shared" si="102"/>
        <v/>
      </c>
      <c r="G2007" s="138" t="e">
        <f>IF(A2007&lt;&gt;"",IF(AND(#REF!="Padrão",$H$4=#REF!),BDI!$B$17,IF(AND(#REF!="Padrão",$H$4=#REF!),BDI!#REF!,IF(AND(#REF!="Diferenciado",$H$4=#REF!),BDI!$E$17,IF(AND(#REF!="Diferenciado",$H$4=#REF!),BDI!#REF!,IF(#REF!="ZERO",0))))),"")</f>
        <v>#REF!</v>
      </c>
      <c r="H2007" s="139" t="str">
        <f t="shared" si="103"/>
        <v/>
      </c>
      <c r="I2007" s="137" t="str">
        <f t="shared" si="104"/>
        <v/>
      </c>
      <c r="J2007" s="117"/>
    </row>
    <row r="2008" spans="1:10" hidden="1" x14ac:dyDescent="0.25">
      <c r="A2008" s="114" t="s">
        <v>4792</v>
      </c>
      <c r="B2008" s="115" t="s">
        <v>3693</v>
      </c>
      <c r="C2008" s="116" t="s">
        <v>16</v>
      </c>
      <c r="D2008" s="116">
        <v>0</v>
      </c>
      <c r="E2008" s="136" t="s">
        <v>416</v>
      </c>
      <c r="F2008" s="137" t="str">
        <f t="shared" si="102"/>
        <v/>
      </c>
      <c r="G2008" s="138" t="e">
        <f>IF(A2008&lt;&gt;"",IF(AND(#REF!="Padrão",$H$4=#REF!),BDI!$B$17,IF(AND(#REF!="Padrão",$H$4=#REF!),BDI!#REF!,IF(AND(#REF!="Diferenciado",$H$4=#REF!),BDI!$E$17,IF(AND(#REF!="Diferenciado",$H$4=#REF!),BDI!#REF!,IF(#REF!="ZERO",0))))),"")</f>
        <v>#REF!</v>
      </c>
      <c r="H2008" s="139" t="str">
        <f t="shared" si="103"/>
        <v/>
      </c>
      <c r="I2008" s="137" t="str">
        <f t="shared" si="104"/>
        <v/>
      </c>
      <c r="J2008" s="117"/>
    </row>
    <row r="2009" spans="1:10" hidden="1" x14ac:dyDescent="0.25">
      <c r="A2009" s="114" t="s">
        <v>4793</v>
      </c>
      <c r="B2009" s="115" t="s">
        <v>7491</v>
      </c>
      <c r="C2009" s="116" t="s">
        <v>16</v>
      </c>
      <c r="D2009" s="116">
        <v>0</v>
      </c>
      <c r="E2009" s="136" t="s">
        <v>416</v>
      </c>
      <c r="F2009" s="137" t="str">
        <f t="shared" si="102"/>
        <v/>
      </c>
      <c r="G2009" s="138" t="e">
        <f>IF(A2009&lt;&gt;"",IF(AND(#REF!="Padrão",$H$4=#REF!),BDI!$B$17,IF(AND(#REF!="Padrão",$H$4=#REF!),BDI!#REF!,IF(AND(#REF!="Diferenciado",$H$4=#REF!),BDI!$E$17,IF(AND(#REF!="Diferenciado",$H$4=#REF!),BDI!#REF!,IF(#REF!="ZERO",0))))),"")</f>
        <v>#REF!</v>
      </c>
      <c r="H2009" s="139" t="str">
        <f t="shared" si="103"/>
        <v/>
      </c>
      <c r="I2009" s="137" t="str">
        <f t="shared" si="104"/>
        <v/>
      </c>
      <c r="J2009" s="117"/>
    </row>
    <row r="2010" spans="1:10" hidden="1" x14ac:dyDescent="0.25">
      <c r="A2010" s="114" t="s">
        <v>4794</v>
      </c>
      <c r="B2010" s="115" t="s">
        <v>3694</v>
      </c>
      <c r="C2010" s="116" t="s">
        <v>16</v>
      </c>
      <c r="D2010" s="116">
        <v>0</v>
      </c>
      <c r="E2010" s="136" t="s">
        <v>416</v>
      </c>
      <c r="F2010" s="137" t="str">
        <f t="shared" si="102"/>
        <v/>
      </c>
      <c r="G2010" s="138" t="e">
        <f>IF(A2010&lt;&gt;"",IF(AND(#REF!="Padrão",$H$4=#REF!),BDI!$B$17,IF(AND(#REF!="Padrão",$H$4=#REF!),BDI!#REF!,IF(AND(#REF!="Diferenciado",$H$4=#REF!),BDI!$E$17,IF(AND(#REF!="Diferenciado",$H$4=#REF!),BDI!#REF!,IF(#REF!="ZERO",0))))),"")</f>
        <v>#REF!</v>
      </c>
      <c r="H2010" s="139" t="str">
        <f t="shared" si="103"/>
        <v/>
      </c>
      <c r="I2010" s="137" t="str">
        <f t="shared" si="104"/>
        <v/>
      </c>
      <c r="J2010" s="117"/>
    </row>
    <row r="2011" spans="1:10" hidden="1" x14ac:dyDescent="0.25">
      <c r="A2011" s="114" t="s">
        <v>4795</v>
      </c>
      <c r="B2011" s="115" t="s">
        <v>3695</v>
      </c>
      <c r="C2011" s="116" t="s">
        <v>16</v>
      </c>
      <c r="D2011" s="116">
        <v>0</v>
      </c>
      <c r="E2011" s="136" t="s">
        <v>416</v>
      </c>
      <c r="F2011" s="137" t="str">
        <f t="shared" si="102"/>
        <v/>
      </c>
      <c r="G2011" s="138" t="e">
        <f>IF(A2011&lt;&gt;"",IF(AND(#REF!="Padrão",$H$4=#REF!),BDI!$B$17,IF(AND(#REF!="Padrão",$H$4=#REF!),BDI!#REF!,IF(AND(#REF!="Diferenciado",$H$4=#REF!),BDI!$E$17,IF(AND(#REF!="Diferenciado",$H$4=#REF!),BDI!#REF!,IF(#REF!="ZERO",0))))),"")</f>
        <v>#REF!</v>
      </c>
      <c r="H2011" s="139" t="str">
        <f t="shared" si="103"/>
        <v/>
      </c>
      <c r="I2011" s="137" t="str">
        <f t="shared" si="104"/>
        <v/>
      </c>
      <c r="J2011" s="117"/>
    </row>
    <row r="2012" spans="1:10" hidden="1" x14ac:dyDescent="0.25">
      <c r="A2012" s="114" t="s">
        <v>4796</v>
      </c>
      <c r="B2012" s="115" t="s">
        <v>7492</v>
      </c>
      <c r="C2012" s="116" t="s">
        <v>16</v>
      </c>
      <c r="D2012" s="116">
        <v>0</v>
      </c>
      <c r="E2012" s="136" t="s">
        <v>416</v>
      </c>
      <c r="F2012" s="137" t="str">
        <f t="shared" si="102"/>
        <v/>
      </c>
      <c r="G2012" s="138" t="e">
        <f>IF(A2012&lt;&gt;"",IF(AND(#REF!="Padrão",$H$4=#REF!),BDI!$B$17,IF(AND(#REF!="Padrão",$H$4=#REF!),BDI!#REF!,IF(AND(#REF!="Diferenciado",$H$4=#REF!),BDI!$E$17,IF(AND(#REF!="Diferenciado",$H$4=#REF!),BDI!#REF!,IF(#REF!="ZERO",0))))),"")</f>
        <v>#REF!</v>
      </c>
      <c r="H2012" s="139" t="str">
        <f t="shared" si="103"/>
        <v/>
      </c>
      <c r="I2012" s="137" t="str">
        <f t="shared" si="104"/>
        <v/>
      </c>
      <c r="J2012" s="117"/>
    </row>
    <row r="2013" spans="1:10" hidden="1" x14ac:dyDescent="0.25">
      <c r="A2013" s="114" t="s">
        <v>4797</v>
      </c>
      <c r="B2013" s="115" t="s">
        <v>7493</v>
      </c>
      <c r="C2013" s="116" t="s">
        <v>16</v>
      </c>
      <c r="D2013" s="116">
        <v>0</v>
      </c>
      <c r="E2013" s="136" t="s">
        <v>416</v>
      </c>
      <c r="F2013" s="137" t="str">
        <f t="shared" si="102"/>
        <v/>
      </c>
      <c r="G2013" s="138" t="e">
        <f>IF(A2013&lt;&gt;"",IF(AND(#REF!="Padrão",$H$4=#REF!),BDI!$B$17,IF(AND(#REF!="Padrão",$H$4=#REF!),BDI!#REF!,IF(AND(#REF!="Diferenciado",$H$4=#REF!),BDI!$E$17,IF(AND(#REF!="Diferenciado",$H$4=#REF!),BDI!#REF!,IF(#REF!="ZERO",0))))),"")</f>
        <v>#REF!</v>
      </c>
      <c r="H2013" s="139" t="str">
        <f t="shared" si="103"/>
        <v/>
      </c>
      <c r="I2013" s="137" t="str">
        <f t="shared" si="104"/>
        <v/>
      </c>
      <c r="J2013" s="117"/>
    </row>
    <row r="2014" spans="1:10" hidden="1" x14ac:dyDescent="0.25">
      <c r="A2014" s="114" t="s">
        <v>4798</v>
      </c>
      <c r="B2014" s="115" t="s">
        <v>7494</v>
      </c>
      <c r="C2014" s="116" t="s">
        <v>16</v>
      </c>
      <c r="D2014" s="116">
        <v>0</v>
      </c>
      <c r="E2014" s="136" t="s">
        <v>416</v>
      </c>
      <c r="F2014" s="137" t="str">
        <f t="shared" si="102"/>
        <v/>
      </c>
      <c r="G2014" s="138" t="e">
        <f>IF(A2014&lt;&gt;"",IF(AND(#REF!="Padrão",$H$4=#REF!),BDI!$B$17,IF(AND(#REF!="Padrão",$H$4=#REF!),BDI!#REF!,IF(AND(#REF!="Diferenciado",$H$4=#REF!),BDI!$E$17,IF(AND(#REF!="Diferenciado",$H$4=#REF!),BDI!#REF!,IF(#REF!="ZERO",0))))),"")</f>
        <v>#REF!</v>
      </c>
      <c r="H2014" s="139" t="str">
        <f t="shared" si="103"/>
        <v/>
      </c>
      <c r="I2014" s="137" t="str">
        <f t="shared" si="104"/>
        <v/>
      </c>
      <c r="J2014" s="117"/>
    </row>
    <row r="2015" spans="1:10" hidden="1" x14ac:dyDescent="0.25">
      <c r="A2015" s="114" t="s">
        <v>4799</v>
      </c>
      <c r="B2015" s="115" t="s">
        <v>7495</v>
      </c>
      <c r="C2015" s="116" t="s">
        <v>16</v>
      </c>
      <c r="D2015" s="116">
        <v>0</v>
      </c>
      <c r="E2015" s="136" t="s">
        <v>416</v>
      </c>
      <c r="F2015" s="137" t="str">
        <f t="shared" si="102"/>
        <v/>
      </c>
      <c r="G2015" s="138" t="e">
        <f>IF(A2015&lt;&gt;"",IF(AND(#REF!="Padrão",$H$4=#REF!),BDI!$B$17,IF(AND(#REF!="Padrão",$H$4=#REF!),BDI!#REF!,IF(AND(#REF!="Diferenciado",$H$4=#REF!),BDI!$E$17,IF(AND(#REF!="Diferenciado",$H$4=#REF!),BDI!#REF!,IF(#REF!="ZERO",0))))),"")</f>
        <v>#REF!</v>
      </c>
      <c r="H2015" s="139" t="str">
        <f t="shared" si="103"/>
        <v/>
      </c>
      <c r="I2015" s="137" t="str">
        <f t="shared" si="104"/>
        <v/>
      </c>
      <c r="J2015" s="117"/>
    </row>
    <row r="2016" spans="1:10" hidden="1" x14ac:dyDescent="0.25">
      <c r="A2016" s="114" t="s">
        <v>4800</v>
      </c>
      <c r="B2016" s="115" t="s">
        <v>7496</v>
      </c>
      <c r="C2016" s="116" t="s">
        <v>16</v>
      </c>
      <c r="D2016" s="116">
        <v>0</v>
      </c>
      <c r="E2016" s="136" t="s">
        <v>416</v>
      </c>
      <c r="F2016" s="137" t="str">
        <f t="shared" si="102"/>
        <v/>
      </c>
      <c r="G2016" s="138" t="e">
        <f>IF(A2016&lt;&gt;"",IF(AND(#REF!="Padrão",$H$4=#REF!),BDI!$B$17,IF(AND(#REF!="Padrão",$H$4=#REF!),BDI!#REF!,IF(AND(#REF!="Diferenciado",$H$4=#REF!),BDI!$E$17,IF(AND(#REF!="Diferenciado",$H$4=#REF!),BDI!#REF!,IF(#REF!="ZERO",0))))),"")</f>
        <v>#REF!</v>
      </c>
      <c r="H2016" s="139" t="str">
        <f t="shared" si="103"/>
        <v/>
      </c>
      <c r="I2016" s="137" t="str">
        <f t="shared" si="104"/>
        <v/>
      </c>
      <c r="J2016" s="117"/>
    </row>
    <row r="2017" spans="1:10" hidden="1" x14ac:dyDescent="0.25">
      <c r="A2017" s="114" t="s">
        <v>4801</v>
      </c>
      <c r="B2017" s="115" t="s">
        <v>7497</v>
      </c>
      <c r="C2017" s="116" t="s">
        <v>16</v>
      </c>
      <c r="D2017" s="116">
        <v>0</v>
      </c>
      <c r="E2017" s="136" t="s">
        <v>416</v>
      </c>
      <c r="F2017" s="137" t="str">
        <f t="shared" si="102"/>
        <v/>
      </c>
      <c r="G2017" s="138" t="e">
        <f>IF(A2017&lt;&gt;"",IF(AND(#REF!="Padrão",$H$4=#REF!),BDI!$B$17,IF(AND(#REF!="Padrão",$H$4=#REF!),BDI!#REF!,IF(AND(#REF!="Diferenciado",$H$4=#REF!),BDI!$E$17,IF(AND(#REF!="Diferenciado",$H$4=#REF!),BDI!#REF!,IF(#REF!="ZERO",0))))),"")</f>
        <v>#REF!</v>
      </c>
      <c r="H2017" s="139" t="str">
        <f t="shared" si="103"/>
        <v/>
      </c>
      <c r="I2017" s="137" t="str">
        <f t="shared" si="104"/>
        <v/>
      </c>
      <c r="J2017" s="117"/>
    </row>
    <row r="2018" spans="1:10" hidden="1" x14ac:dyDescent="0.25">
      <c r="A2018" s="114" t="s">
        <v>4802</v>
      </c>
      <c r="B2018" s="115" t="s">
        <v>7498</v>
      </c>
      <c r="C2018" s="116" t="s">
        <v>16</v>
      </c>
      <c r="D2018" s="116">
        <v>0</v>
      </c>
      <c r="E2018" s="136" t="s">
        <v>416</v>
      </c>
      <c r="F2018" s="137" t="str">
        <f t="shared" si="102"/>
        <v/>
      </c>
      <c r="G2018" s="138" t="e">
        <f>IF(A2018&lt;&gt;"",IF(AND(#REF!="Padrão",$H$4=#REF!),BDI!$B$17,IF(AND(#REF!="Padrão",$H$4=#REF!),BDI!#REF!,IF(AND(#REF!="Diferenciado",$H$4=#REF!),BDI!$E$17,IF(AND(#REF!="Diferenciado",$H$4=#REF!),BDI!#REF!,IF(#REF!="ZERO",0))))),"")</f>
        <v>#REF!</v>
      </c>
      <c r="H2018" s="139" t="str">
        <f t="shared" si="103"/>
        <v/>
      </c>
      <c r="I2018" s="137" t="str">
        <f t="shared" si="104"/>
        <v/>
      </c>
      <c r="J2018" s="117"/>
    </row>
    <row r="2019" spans="1:10" hidden="1" x14ac:dyDescent="0.25">
      <c r="A2019" s="114" t="s">
        <v>4803</v>
      </c>
      <c r="B2019" s="115" t="s">
        <v>7499</v>
      </c>
      <c r="C2019" s="116" t="s">
        <v>16</v>
      </c>
      <c r="D2019" s="116">
        <v>0</v>
      </c>
      <c r="E2019" s="136" t="s">
        <v>416</v>
      </c>
      <c r="F2019" s="137" t="str">
        <f t="shared" si="102"/>
        <v/>
      </c>
      <c r="G2019" s="138" t="e">
        <f>IF(A2019&lt;&gt;"",IF(AND(#REF!="Padrão",$H$4=#REF!),BDI!$B$17,IF(AND(#REF!="Padrão",$H$4=#REF!),BDI!#REF!,IF(AND(#REF!="Diferenciado",$H$4=#REF!),BDI!$E$17,IF(AND(#REF!="Diferenciado",$H$4=#REF!),BDI!#REF!,IF(#REF!="ZERO",0))))),"")</f>
        <v>#REF!</v>
      </c>
      <c r="H2019" s="139" t="str">
        <f t="shared" si="103"/>
        <v/>
      </c>
      <c r="I2019" s="137" t="str">
        <f t="shared" si="104"/>
        <v/>
      </c>
      <c r="J2019" s="117"/>
    </row>
    <row r="2020" spans="1:10" hidden="1" x14ac:dyDescent="0.25">
      <c r="A2020" s="114" t="s">
        <v>4804</v>
      </c>
      <c r="B2020" s="115" t="s">
        <v>7500</v>
      </c>
      <c r="C2020" s="116" t="s">
        <v>16</v>
      </c>
      <c r="D2020" s="116">
        <v>0</v>
      </c>
      <c r="E2020" s="136" t="s">
        <v>416</v>
      </c>
      <c r="F2020" s="137" t="str">
        <f t="shared" si="102"/>
        <v/>
      </c>
      <c r="G2020" s="138" t="e">
        <f>IF(A2020&lt;&gt;"",IF(AND(#REF!="Padrão",$H$4=#REF!),BDI!$B$17,IF(AND(#REF!="Padrão",$H$4=#REF!),BDI!#REF!,IF(AND(#REF!="Diferenciado",$H$4=#REF!),BDI!$E$17,IF(AND(#REF!="Diferenciado",$H$4=#REF!),BDI!#REF!,IF(#REF!="ZERO",0))))),"")</f>
        <v>#REF!</v>
      </c>
      <c r="H2020" s="139" t="str">
        <f t="shared" si="103"/>
        <v/>
      </c>
      <c r="I2020" s="137" t="str">
        <f t="shared" si="104"/>
        <v/>
      </c>
      <c r="J2020" s="117"/>
    </row>
    <row r="2021" spans="1:10" hidden="1" x14ac:dyDescent="0.25">
      <c r="A2021" s="114" t="s">
        <v>4805</v>
      </c>
      <c r="B2021" s="115" t="s">
        <v>7501</v>
      </c>
      <c r="C2021" s="116" t="s">
        <v>16</v>
      </c>
      <c r="D2021" s="116">
        <v>0</v>
      </c>
      <c r="E2021" s="136" t="s">
        <v>416</v>
      </c>
      <c r="F2021" s="137" t="str">
        <f t="shared" si="102"/>
        <v/>
      </c>
      <c r="G2021" s="138" t="e">
        <f>IF(A2021&lt;&gt;"",IF(AND(#REF!="Padrão",$H$4=#REF!),BDI!$B$17,IF(AND(#REF!="Padrão",$H$4=#REF!),BDI!#REF!,IF(AND(#REF!="Diferenciado",$H$4=#REF!),BDI!$E$17,IF(AND(#REF!="Diferenciado",$H$4=#REF!),BDI!#REF!,IF(#REF!="ZERO",0))))),"")</f>
        <v>#REF!</v>
      </c>
      <c r="H2021" s="139" t="str">
        <f t="shared" si="103"/>
        <v/>
      </c>
      <c r="I2021" s="137" t="str">
        <f t="shared" si="104"/>
        <v/>
      </c>
      <c r="J2021" s="117"/>
    </row>
    <row r="2022" spans="1:10" hidden="1" x14ac:dyDescent="0.25">
      <c r="A2022" s="114" t="s">
        <v>4806</v>
      </c>
      <c r="B2022" s="115" t="s">
        <v>7502</v>
      </c>
      <c r="C2022" s="116" t="s">
        <v>16</v>
      </c>
      <c r="D2022" s="116">
        <v>0</v>
      </c>
      <c r="E2022" s="136" t="s">
        <v>416</v>
      </c>
      <c r="F2022" s="137" t="str">
        <f t="shared" si="102"/>
        <v/>
      </c>
      <c r="G2022" s="138" t="e">
        <f>IF(A2022&lt;&gt;"",IF(AND(#REF!="Padrão",$H$4=#REF!),BDI!$B$17,IF(AND(#REF!="Padrão",$H$4=#REF!),BDI!#REF!,IF(AND(#REF!="Diferenciado",$H$4=#REF!),BDI!$E$17,IF(AND(#REF!="Diferenciado",$H$4=#REF!),BDI!#REF!,IF(#REF!="ZERO",0))))),"")</f>
        <v>#REF!</v>
      </c>
      <c r="H2022" s="139" t="str">
        <f t="shared" si="103"/>
        <v/>
      </c>
      <c r="I2022" s="137" t="str">
        <f t="shared" si="104"/>
        <v/>
      </c>
      <c r="J2022" s="117"/>
    </row>
    <row r="2023" spans="1:10" hidden="1" x14ac:dyDescent="0.25">
      <c r="A2023" s="114" t="s">
        <v>4807</v>
      </c>
      <c r="B2023" s="115" t="s">
        <v>7503</v>
      </c>
      <c r="C2023" s="116" t="s">
        <v>16</v>
      </c>
      <c r="D2023" s="116">
        <v>0</v>
      </c>
      <c r="E2023" s="136" t="s">
        <v>416</v>
      </c>
      <c r="F2023" s="137" t="str">
        <f t="shared" si="102"/>
        <v/>
      </c>
      <c r="G2023" s="138" t="e">
        <f>IF(A2023&lt;&gt;"",IF(AND(#REF!="Padrão",$H$4=#REF!),BDI!$B$17,IF(AND(#REF!="Padrão",$H$4=#REF!),BDI!#REF!,IF(AND(#REF!="Diferenciado",$H$4=#REF!),BDI!$E$17,IF(AND(#REF!="Diferenciado",$H$4=#REF!),BDI!#REF!,IF(#REF!="ZERO",0))))),"")</f>
        <v>#REF!</v>
      </c>
      <c r="H2023" s="139" t="str">
        <f t="shared" si="103"/>
        <v/>
      </c>
      <c r="I2023" s="137" t="str">
        <f t="shared" si="104"/>
        <v/>
      </c>
      <c r="J2023" s="117"/>
    </row>
    <row r="2024" spans="1:10" hidden="1" x14ac:dyDescent="0.25">
      <c r="A2024" s="114" t="s">
        <v>4808</v>
      </c>
      <c r="B2024" s="115" t="s">
        <v>7504</v>
      </c>
      <c r="C2024" s="116" t="s">
        <v>16</v>
      </c>
      <c r="D2024" s="116">
        <v>0</v>
      </c>
      <c r="E2024" s="136" t="s">
        <v>416</v>
      </c>
      <c r="F2024" s="137" t="str">
        <f t="shared" si="102"/>
        <v/>
      </c>
      <c r="G2024" s="138" t="e">
        <f>IF(A2024&lt;&gt;"",IF(AND(#REF!="Padrão",$H$4=#REF!),BDI!$B$17,IF(AND(#REF!="Padrão",$H$4=#REF!),BDI!#REF!,IF(AND(#REF!="Diferenciado",$H$4=#REF!),BDI!$E$17,IF(AND(#REF!="Diferenciado",$H$4=#REF!),BDI!#REF!,IF(#REF!="ZERO",0))))),"")</f>
        <v>#REF!</v>
      </c>
      <c r="H2024" s="139" t="str">
        <f t="shared" si="103"/>
        <v/>
      </c>
      <c r="I2024" s="137" t="str">
        <f t="shared" si="104"/>
        <v/>
      </c>
      <c r="J2024" s="117"/>
    </row>
    <row r="2025" spans="1:10" hidden="1" x14ac:dyDescent="0.25">
      <c r="A2025" s="114" t="s">
        <v>4809</v>
      </c>
      <c r="B2025" s="115" t="s">
        <v>7505</v>
      </c>
      <c r="C2025" s="116" t="s">
        <v>16</v>
      </c>
      <c r="D2025" s="116">
        <v>0</v>
      </c>
      <c r="E2025" s="136" t="s">
        <v>416</v>
      </c>
      <c r="F2025" s="137" t="str">
        <f t="shared" si="102"/>
        <v/>
      </c>
      <c r="G2025" s="138" t="e">
        <f>IF(A2025&lt;&gt;"",IF(AND(#REF!="Padrão",$H$4=#REF!),BDI!$B$17,IF(AND(#REF!="Padrão",$H$4=#REF!),BDI!#REF!,IF(AND(#REF!="Diferenciado",$H$4=#REF!),BDI!$E$17,IF(AND(#REF!="Diferenciado",$H$4=#REF!),BDI!#REF!,IF(#REF!="ZERO",0))))),"")</f>
        <v>#REF!</v>
      </c>
      <c r="H2025" s="139" t="str">
        <f t="shared" si="103"/>
        <v/>
      </c>
      <c r="I2025" s="137" t="str">
        <f t="shared" si="104"/>
        <v/>
      </c>
      <c r="J2025" s="117"/>
    </row>
    <row r="2026" spans="1:10" hidden="1" x14ac:dyDescent="0.25">
      <c r="A2026" s="114" t="s">
        <v>4810</v>
      </c>
      <c r="B2026" s="115" t="s">
        <v>7506</v>
      </c>
      <c r="C2026" s="116" t="s">
        <v>16</v>
      </c>
      <c r="D2026" s="116">
        <v>0</v>
      </c>
      <c r="E2026" s="136" t="s">
        <v>416</v>
      </c>
      <c r="F2026" s="137" t="str">
        <f t="shared" si="102"/>
        <v/>
      </c>
      <c r="G2026" s="138" t="e">
        <f>IF(A2026&lt;&gt;"",IF(AND(#REF!="Padrão",$H$4=#REF!),BDI!$B$17,IF(AND(#REF!="Padrão",$H$4=#REF!),BDI!#REF!,IF(AND(#REF!="Diferenciado",$H$4=#REF!),BDI!$E$17,IF(AND(#REF!="Diferenciado",$H$4=#REF!),BDI!#REF!,IF(#REF!="ZERO",0))))),"")</f>
        <v>#REF!</v>
      </c>
      <c r="H2026" s="139" t="str">
        <f t="shared" si="103"/>
        <v/>
      </c>
      <c r="I2026" s="137" t="str">
        <f t="shared" si="104"/>
        <v/>
      </c>
      <c r="J2026" s="117"/>
    </row>
    <row r="2027" spans="1:10" hidden="1" x14ac:dyDescent="0.25">
      <c r="A2027" s="114" t="s">
        <v>4811</v>
      </c>
      <c r="B2027" s="115" t="s">
        <v>7507</v>
      </c>
      <c r="C2027" s="116" t="s">
        <v>16</v>
      </c>
      <c r="D2027" s="116">
        <v>0</v>
      </c>
      <c r="E2027" s="136" t="s">
        <v>416</v>
      </c>
      <c r="F2027" s="137" t="str">
        <f t="shared" si="102"/>
        <v/>
      </c>
      <c r="G2027" s="138" t="e">
        <f>IF(A2027&lt;&gt;"",IF(AND(#REF!="Padrão",$H$4=#REF!),BDI!$B$17,IF(AND(#REF!="Padrão",$H$4=#REF!),BDI!#REF!,IF(AND(#REF!="Diferenciado",$H$4=#REF!),BDI!$E$17,IF(AND(#REF!="Diferenciado",$H$4=#REF!),BDI!#REF!,IF(#REF!="ZERO",0))))),"")</f>
        <v>#REF!</v>
      </c>
      <c r="H2027" s="139" t="str">
        <f t="shared" si="103"/>
        <v/>
      </c>
      <c r="I2027" s="137" t="str">
        <f t="shared" si="104"/>
        <v/>
      </c>
      <c r="J2027" s="117"/>
    </row>
    <row r="2028" spans="1:10" hidden="1" x14ac:dyDescent="0.25">
      <c r="A2028" s="114" t="s">
        <v>4812</v>
      </c>
      <c r="B2028" s="115" t="s">
        <v>3696</v>
      </c>
      <c r="C2028" s="116" t="s">
        <v>16</v>
      </c>
      <c r="D2028" s="116">
        <v>0</v>
      </c>
      <c r="E2028" s="136" t="s">
        <v>416</v>
      </c>
      <c r="F2028" s="137" t="str">
        <f t="shared" si="102"/>
        <v/>
      </c>
      <c r="G2028" s="138" t="e">
        <f>IF(A2028&lt;&gt;"",IF(AND(#REF!="Padrão",$H$4=#REF!),BDI!$B$17,IF(AND(#REF!="Padrão",$H$4=#REF!),BDI!#REF!,IF(AND(#REF!="Diferenciado",$H$4=#REF!),BDI!$E$17,IF(AND(#REF!="Diferenciado",$H$4=#REF!),BDI!#REF!,IF(#REF!="ZERO",0))))),"")</f>
        <v>#REF!</v>
      </c>
      <c r="H2028" s="139" t="str">
        <f t="shared" si="103"/>
        <v/>
      </c>
      <c r="I2028" s="137" t="str">
        <f t="shared" si="104"/>
        <v/>
      </c>
      <c r="J2028" s="117"/>
    </row>
    <row r="2029" spans="1:10" hidden="1" x14ac:dyDescent="0.25">
      <c r="A2029" s="114" t="s">
        <v>4813</v>
      </c>
      <c r="B2029" s="115" t="s">
        <v>3697</v>
      </c>
      <c r="C2029" s="116" t="s">
        <v>16</v>
      </c>
      <c r="D2029" s="116">
        <v>0</v>
      </c>
      <c r="E2029" s="136" t="s">
        <v>416</v>
      </c>
      <c r="F2029" s="137" t="str">
        <f t="shared" ref="F2029:F2092" si="105">IF(ISNUMBER(E2029),D2029*E2029,"")</f>
        <v/>
      </c>
      <c r="G2029" s="138" t="e">
        <f>IF(A2029&lt;&gt;"",IF(AND(#REF!="Padrão",$H$4=#REF!),BDI!$B$17,IF(AND(#REF!="Padrão",$H$4=#REF!),BDI!#REF!,IF(AND(#REF!="Diferenciado",$H$4=#REF!),BDI!$E$17,IF(AND(#REF!="Diferenciado",$H$4=#REF!),BDI!#REF!,IF(#REF!="ZERO",0))))),"")</f>
        <v>#REF!</v>
      </c>
      <c r="H2029" s="139" t="str">
        <f t="shared" ref="H2029:H2092" si="106">IF(ISNUMBER(E2029),ROUND(E2029*(1+G2029),2),"")</f>
        <v/>
      </c>
      <c r="I2029" s="137" t="str">
        <f t="shared" ref="I2029:I2092" si="107">IF(ISNUMBER(E2029),ROUND(H2029*D2029,2),"")</f>
        <v/>
      </c>
      <c r="J2029" s="117"/>
    </row>
    <row r="2030" spans="1:10" hidden="1" x14ac:dyDescent="0.25">
      <c r="A2030" s="114" t="s">
        <v>4814</v>
      </c>
      <c r="B2030" s="115" t="s">
        <v>3698</v>
      </c>
      <c r="C2030" s="116" t="s">
        <v>16</v>
      </c>
      <c r="D2030" s="116">
        <v>0</v>
      </c>
      <c r="E2030" s="136" t="s">
        <v>416</v>
      </c>
      <c r="F2030" s="137" t="str">
        <f t="shared" si="105"/>
        <v/>
      </c>
      <c r="G2030" s="138" t="e">
        <f>IF(A2030&lt;&gt;"",IF(AND(#REF!="Padrão",$H$4=#REF!),BDI!$B$17,IF(AND(#REF!="Padrão",$H$4=#REF!),BDI!#REF!,IF(AND(#REF!="Diferenciado",$H$4=#REF!),BDI!$E$17,IF(AND(#REF!="Diferenciado",$H$4=#REF!),BDI!#REF!,IF(#REF!="ZERO",0))))),"")</f>
        <v>#REF!</v>
      </c>
      <c r="H2030" s="139" t="str">
        <f t="shared" si="106"/>
        <v/>
      </c>
      <c r="I2030" s="137" t="str">
        <f t="shared" si="107"/>
        <v/>
      </c>
      <c r="J2030" s="117"/>
    </row>
    <row r="2031" spans="1:10" hidden="1" x14ac:dyDescent="0.25">
      <c r="A2031" s="114" t="s">
        <v>4815</v>
      </c>
      <c r="B2031" s="115" t="s">
        <v>3699</v>
      </c>
      <c r="C2031" s="116" t="s">
        <v>16</v>
      </c>
      <c r="D2031" s="116">
        <v>0</v>
      </c>
      <c r="E2031" s="136" t="s">
        <v>416</v>
      </c>
      <c r="F2031" s="137" t="str">
        <f t="shared" si="105"/>
        <v/>
      </c>
      <c r="G2031" s="138" t="e">
        <f>IF(A2031&lt;&gt;"",IF(AND(#REF!="Padrão",$H$4=#REF!),BDI!$B$17,IF(AND(#REF!="Padrão",$H$4=#REF!),BDI!#REF!,IF(AND(#REF!="Diferenciado",$H$4=#REF!),BDI!$E$17,IF(AND(#REF!="Diferenciado",$H$4=#REF!),BDI!#REF!,IF(#REF!="ZERO",0))))),"")</f>
        <v>#REF!</v>
      </c>
      <c r="H2031" s="139" t="str">
        <f t="shared" si="106"/>
        <v/>
      </c>
      <c r="I2031" s="137" t="str">
        <f t="shared" si="107"/>
        <v/>
      </c>
      <c r="J2031" s="117"/>
    </row>
    <row r="2032" spans="1:10" hidden="1" x14ac:dyDescent="0.25">
      <c r="A2032" s="114" t="s">
        <v>4816</v>
      </c>
      <c r="B2032" s="115" t="s">
        <v>3700</v>
      </c>
      <c r="C2032" s="116" t="s">
        <v>16</v>
      </c>
      <c r="D2032" s="116">
        <v>0</v>
      </c>
      <c r="E2032" s="136" t="s">
        <v>416</v>
      </c>
      <c r="F2032" s="137" t="str">
        <f t="shared" si="105"/>
        <v/>
      </c>
      <c r="G2032" s="138" t="e">
        <f>IF(A2032&lt;&gt;"",IF(AND(#REF!="Padrão",$H$4=#REF!),BDI!$B$17,IF(AND(#REF!="Padrão",$H$4=#REF!),BDI!#REF!,IF(AND(#REF!="Diferenciado",$H$4=#REF!),BDI!$E$17,IF(AND(#REF!="Diferenciado",$H$4=#REF!),BDI!#REF!,IF(#REF!="ZERO",0))))),"")</f>
        <v>#REF!</v>
      </c>
      <c r="H2032" s="139" t="str">
        <f t="shared" si="106"/>
        <v/>
      </c>
      <c r="I2032" s="137" t="str">
        <f t="shared" si="107"/>
        <v/>
      </c>
      <c r="J2032" s="117"/>
    </row>
    <row r="2033" spans="1:10" hidden="1" x14ac:dyDescent="0.25">
      <c r="A2033" s="114" t="s">
        <v>4817</v>
      </c>
      <c r="B2033" s="115" t="s">
        <v>3701</v>
      </c>
      <c r="C2033" s="116" t="s">
        <v>16</v>
      </c>
      <c r="D2033" s="116">
        <v>0</v>
      </c>
      <c r="E2033" s="136" t="s">
        <v>416</v>
      </c>
      <c r="F2033" s="137" t="str">
        <f t="shared" si="105"/>
        <v/>
      </c>
      <c r="G2033" s="138" t="e">
        <f>IF(A2033&lt;&gt;"",IF(AND(#REF!="Padrão",$H$4=#REF!),BDI!$B$17,IF(AND(#REF!="Padrão",$H$4=#REF!),BDI!#REF!,IF(AND(#REF!="Diferenciado",$H$4=#REF!),BDI!$E$17,IF(AND(#REF!="Diferenciado",$H$4=#REF!),BDI!#REF!,IF(#REF!="ZERO",0))))),"")</f>
        <v>#REF!</v>
      </c>
      <c r="H2033" s="139" t="str">
        <f t="shared" si="106"/>
        <v/>
      </c>
      <c r="I2033" s="137" t="str">
        <f t="shared" si="107"/>
        <v/>
      </c>
      <c r="J2033" s="117"/>
    </row>
    <row r="2034" spans="1:10" hidden="1" x14ac:dyDescent="0.25">
      <c r="A2034" s="114" t="s">
        <v>4818</v>
      </c>
      <c r="B2034" s="115" t="s">
        <v>3702</v>
      </c>
      <c r="C2034" s="116" t="s">
        <v>16</v>
      </c>
      <c r="D2034" s="116">
        <v>0</v>
      </c>
      <c r="E2034" s="136" t="s">
        <v>416</v>
      </c>
      <c r="F2034" s="137" t="str">
        <f t="shared" si="105"/>
        <v/>
      </c>
      <c r="G2034" s="138" t="e">
        <f>IF(A2034&lt;&gt;"",IF(AND(#REF!="Padrão",$H$4=#REF!),BDI!$B$17,IF(AND(#REF!="Padrão",$H$4=#REF!),BDI!#REF!,IF(AND(#REF!="Diferenciado",$H$4=#REF!),BDI!$E$17,IF(AND(#REF!="Diferenciado",$H$4=#REF!),BDI!#REF!,IF(#REF!="ZERO",0))))),"")</f>
        <v>#REF!</v>
      </c>
      <c r="H2034" s="139" t="str">
        <f t="shared" si="106"/>
        <v/>
      </c>
      <c r="I2034" s="137" t="str">
        <f t="shared" si="107"/>
        <v/>
      </c>
      <c r="J2034" s="117"/>
    </row>
    <row r="2035" spans="1:10" hidden="1" x14ac:dyDescent="0.25">
      <c r="A2035" s="114" t="s">
        <v>4819</v>
      </c>
      <c r="B2035" s="115" t="s">
        <v>3703</v>
      </c>
      <c r="C2035" s="116" t="s">
        <v>16</v>
      </c>
      <c r="D2035" s="116">
        <v>0</v>
      </c>
      <c r="E2035" s="136" t="s">
        <v>416</v>
      </c>
      <c r="F2035" s="137" t="str">
        <f t="shared" si="105"/>
        <v/>
      </c>
      <c r="G2035" s="138" t="e">
        <f>IF(A2035&lt;&gt;"",IF(AND(#REF!="Padrão",$H$4=#REF!),BDI!$B$17,IF(AND(#REF!="Padrão",$H$4=#REF!),BDI!#REF!,IF(AND(#REF!="Diferenciado",$H$4=#REF!),BDI!$E$17,IF(AND(#REF!="Diferenciado",$H$4=#REF!),BDI!#REF!,IF(#REF!="ZERO",0))))),"")</f>
        <v>#REF!</v>
      </c>
      <c r="H2035" s="139" t="str">
        <f t="shared" si="106"/>
        <v/>
      </c>
      <c r="I2035" s="137" t="str">
        <f t="shared" si="107"/>
        <v/>
      </c>
      <c r="J2035" s="117"/>
    </row>
    <row r="2036" spans="1:10" hidden="1" x14ac:dyDescent="0.25">
      <c r="A2036" s="114" t="s">
        <v>4820</v>
      </c>
      <c r="B2036" s="115" t="s">
        <v>3704</v>
      </c>
      <c r="C2036" s="116" t="s">
        <v>16</v>
      </c>
      <c r="D2036" s="116">
        <v>0</v>
      </c>
      <c r="E2036" s="136" t="s">
        <v>416</v>
      </c>
      <c r="F2036" s="137" t="str">
        <f t="shared" si="105"/>
        <v/>
      </c>
      <c r="G2036" s="138" t="e">
        <f>IF(A2036&lt;&gt;"",IF(AND(#REF!="Padrão",$H$4=#REF!),BDI!$B$17,IF(AND(#REF!="Padrão",$H$4=#REF!),BDI!#REF!,IF(AND(#REF!="Diferenciado",$H$4=#REF!),BDI!$E$17,IF(AND(#REF!="Diferenciado",$H$4=#REF!),BDI!#REF!,IF(#REF!="ZERO",0))))),"")</f>
        <v>#REF!</v>
      </c>
      <c r="H2036" s="139" t="str">
        <f t="shared" si="106"/>
        <v/>
      </c>
      <c r="I2036" s="137" t="str">
        <f t="shared" si="107"/>
        <v/>
      </c>
      <c r="J2036" s="117"/>
    </row>
    <row r="2037" spans="1:10" hidden="1" x14ac:dyDescent="0.25">
      <c r="A2037" s="114" t="s">
        <v>4821</v>
      </c>
      <c r="B2037" s="115" t="s">
        <v>3705</v>
      </c>
      <c r="C2037" s="116" t="s">
        <v>16</v>
      </c>
      <c r="D2037" s="116">
        <v>0</v>
      </c>
      <c r="E2037" s="136" t="s">
        <v>416</v>
      </c>
      <c r="F2037" s="137" t="str">
        <f t="shared" si="105"/>
        <v/>
      </c>
      <c r="G2037" s="138" t="e">
        <f>IF(A2037&lt;&gt;"",IF(AND(#REF!="Padrão",$H$4=#REF!),BDI!$B$17,IF(AND(#REF!="Padrão",$H$4=#REF!),BDI!#REF!,IF(AND(#REF!="Diferenciado",$H$4=#REF!),BDI!$E$17,IF(AND(#REF!="Diferenciado",$H$4=#REF!),BDI!#REF!,IF(#REF!="ZERO",0))))),"")</f>
        <v>#REF!</v>
      </c>
      <c r="H2037" s="139" t="str">
        <f t="shared" si="106"/>
        <v/>
      </c>
      <c r="I2037" s="137" t="str">
        <f t="shared" si="107"/>
        <v/>
      </c>
      <c r="J2037" s="117"/>
    </row>
    <row r="2038" spans="1:10" hidden="1" x14ac:dyDescent="0.25">
      <c r="A2038" s="114" t="s">
        <v>4822</v>
      </c>
      <c r="B2038" s="115" t="s">
        <v>3706</v>
      </c>
      <c r="C2038" s="116" t="s">
        <v>16</v>
      </c>
      <c r="D2038" s="116">
        <v>0</v>
      </c>
      <c r="E2038" s="136" t="s">
        <v>416</v>
      </c>
      <c r="F2038" s="137" t="str">
        <f t="shared" si="105"/>
        <v/>
      </c>
      <c r="G2038" s="138" t="e">
        <f>IF(A2038&lt;&gt;"",IF(AND(#REF!="Padrão",$H$4=#REF!),BDI!$B$17,IF(AND(#REF!="Padrão",$H$4=#REF!),BDI!#REF!,IF(AND(#REF!="Diferenciado",$H$4=#REF!),BDI!$E$17,IF(AND(#REF!="Diferenciado",$H$4=#REF!),BDI!#REF!,IF(#REF!="ZERO",0))))),"")</f>
        <v>#REF!</v>
      </c>
      <c r="H2038" s="139" t="str">
        <f t="shared" si="106"/>
        <v/>
      </c>
      <c r="I2038" s="137" t="str">
        <f t="shared" si="107"/>
        <v/>
      </c>
      <c r="J2038" s="117"/>
    </row>
    <row r="2039" spans="1:10" hidden="1" x14ac:dyDescent="0.25">
      <c r="A2039" s="114" t="s">
        <v>4823</v>
      </c>
      <c r="B2039" s="115" t="s">
        <v>3707</v>
      </c>
      <c r="C2039" s="116" t="s">
        <v>16</v>
      </c>
      <c r="D2039" s="116">
        <v>0</v>
      </c>
      <c r="E2039" s="136" t="s">
        <v>416</v>
      </c>
      <c r="F2039" s="137" t="str">
        <f t="shared" si="105"/>
        <v/>
      </c>
      <c r="G2039" s="138" t="e">
        <f>IF(A2039&lt;&gt;"",IF(AND(#REF!="Padrão",$H$4=#REF!),BDI!$B$17,IF(AND(#REF!="Padrão",$H$4=#REF!),BDI!#REF!,IF(AND(#REF!="Diferenciado",$H$4=#REF!),BDI!$E$17,IF(AND(#REF!="Diferenciado",$H$4=#REF!),BDI!#REF!,IF(#REF!="ZERO",0))))),"")</f>
        <v>#REF!</v>
      </c>
      <c r="H2039" s="139" t="str">
        <f t="shared" si="106"/>
        <v/>
      </c>
      <c r="I2039" s="137" t="str">
        <f t="shared" si="107"/>
        <v/>
      </c>
      <c r="J2039" s="117"/>
    </row>
    <row r="2040" spans="1:10" hidden="1" x14ac:dyDescent="0.25">
      <c r="A2040" s="114" t="s">
        <v>4824</v>
      </c>
      <c r="B2040" s="115" t="s">
        <v>3708</v>
      </c>
      <c r="C2040" s="116" t="s">
        <v>16</v>
      </c>
      <c r="D2040" s="116">
        <v>0</v>
      </c>
      <c r="E2040" s="136" t="s">
        <v>416</v>
      </c>
      <c r="F2040" s="137" t="str">
        <f t="shared" si="105"/>
        <v/>
      </c>
      <c r="G2040" s="138" t="e">
        <f>IF(A2040&lt;&gt;"",IF(AND(#REF!="Padrão",$H$4=#REF!),BDI!$B$17,IF(AND(#REF!="Padrão",$H$4=#REF!),BDI!#REF!,IF(AND(#REF!="Diferenciado",$H$4=#REF!),BDI!$E$17,IF(AND(#REF!="Diferenciado",$H$4=#REF!),BDI!#REF!,IF(#REF!="ZERO",0))))),"")</f>
        <v>#REF!</v>
      </c>
      <c r="H2040" s="139" t="str">
        <f t="shared" si="106"/>
        <v/>
      </c>
      <c r="I2040" s="137" t="str">
        <f t="shared" si="107"/>
        <v/>
      </c>
      <c r="J2040" s="117"/>
    </row>
    <row r="2041" spans="1:10" hidden="1" x14ac:dyDescent="0.25">
      <c r="A2041" s="114" t="s">
        <v>4825</v>
      </c>
      <c r="B2041" s="115" t="s">
        <v>3709</v>
      </c>
      <c r="C2041" s="116" t="s">
        <v>16</v>
      </c>
      <c r="D2041" s="116">
        <v>0</v>
      </c>
      <c r="E2041" s="136" t="s">
        <v>416</v>
      </c>
      <c r="F2041" s="137" t="str">
        <f t="shared" si="105"/>
        <v/>
      </c>
      <c r="G2041" s="138" t="e">
        <f>IF(A2041&lt;&gt;"",IF(AND(#REF!="Padrão",$H$4=#REF!),BDI!$B$17,IF(AND(#REF!="Padrão",$H$4=#REF!),BDI!#REF!,IF(AND(#REF!="Diferenciado",$H$4=#REF!),BDI!$E$17,IF(AND(#REF!="Diferenciado",$H$4=#REF!),BDI!#REF!,IF(#REF!="ZERO",0))))),"")</f>
        <v>#REF!</v>
      </c>
      <c r="H2041" s="139" t="str">
        <f t="shared" si="106"/>
        <v/>
      </c>
      <c r="I2041" s="137" t="str">
        <f t="shared" si="107"/>
        <v/>
      </c>
      <c r="J2041" s="117"/>
    </row>
    <row r="2042" spans="1:10" hidden="1" x14ac:dyDescent="0.25">
      <c r="A2042" s="114" t="s">
        <v>4826</v>
      </c>
      <c r="B2042" s="115" t="s">
        <v>3710</v>
      </c>
      <c r="C2042" s="116" t="s">
        <v>16</v>
      </c>
      <c r="D2042" s="116">
        <v>0</v>
      </c>
      <c r="E2042" s="136" t="s">
        <v>416</v>
      </c>
      <c r="F2042" s="137" t="str">
        <f t="shared" si="105"/>
        <v/>
      </c>
      <c r="G2042" s="138" t="e">
        <f>IF(A2042&lt;&gt;"",IF(AND(#REF!="Padrão",$H$4=#REF!),BDI!$B$17,IF(AND(#REF!="Padrão",$H$4=#REF!),BDI!#REF!,IF(AND(#REF!="Diferenciado",$H$4=#REF!),BDI!$E$17,IF(AND(#REF!="Diferenciado",$H$4=#REF!),BDI!#REF!,IF(#REF!="ZERO",0))))),"")</f>
        <v>#REF!</v>
      </c>
      <c r="H2042" s="139" t="str">
        <f t="shared" si="106"/>
        <v/>
      </c>
      <c r="I2042" s="137" t="str">
        <f t="shared" si="107"/>
        <v/>
      </c>
      <c r="J2042" s="117"/>
    </row>
    <row r="2043" spans="1:10" hidden="1" x14ac:dyDescent="0.25">
      <c r="A2043" s="114" t="s">
        <v>4827</v>
      </c>
      <c r="B2043" s="115" t="s">
        <v>7490</v>
      </c>
      <c r="C2043" s="116" t="s">
        <v>16</v>
      </c>
      <c r="D2043" s="116">
        <v>0</v>
      </c>
      <c r="E2043" s="136" t="s">
        <v>416</v>
      </c>
      <c r="F2043" s="137" t="str">
        <f t="shared" si="105"/>
        <v/>
      </c>
      <c r="G2043" s="138" t="e">
        <f>IF(A2043&lt;&gt;"",IF(AND(#REF!="Padrão",$H$4=#REF!),BDI!$B$17,IF(AND(#REF!="Padrão",$H$4=#REF!),BDI!#REF!,IF(AND(#REF!="Diferenciado",$H$4=#REF!),BDI!$E$17,IF(AND(#REF!="Diferenciado",$H$4=#REF!),BDI!#REF!,IF(#REF!="ZERO",0))))),"")</f>
        <v>#REF!</v>
      </c>
      <c r="H2043" s="139" t="str">
        <f t="shared" si="106"/>
        <v/>
      </c>
      <c r="I2043" s="137" t="str">
        <f t="shared" si="107"/>
        <v/>
      </c>
      <c r="J2043" s="117"/>
    </row>
    <row r="2044" spans="1:10" hidden="1" x14ac:dyDescent="0.25">
      <c r="A2044" s="114" t="s">
        <v>4828</v>
      </c>
      <c r="B2044" s="115" t="s">
        <v>7489</v>
      </c>
      <c r="C2044" s="116" t="s">
        <v>16</v>
      </c>
      <c r="D2044" s="116">
        <v>0</v>
      </c>
      <c r="E2044" s="136" t="s">
        <v>416</v>
      </c>
      <c r="F2044" s="137" t="str">
        <f t="shared" si="105"/>
        <v/>
      </c>
      <c r="G2044" s="138" t="e">
        <f>IF(A2044&lt;&gt;"",IF(AND(#REF!="Padrão",$H$4=#REF!),BDI!$B$17,IF(AND(#REF!="Padrão",$H$4=#REF!),BDI!#REF!,IF(AND(#REF!="Diferenciado",$H$4=#REF!),BDI!$E$17,IF(AND(#REF!="Diferenciado",$H$4=#REF!),BDI!#REF!,IF(#REF!="ZERO",0))))),"")</f>
        <v>#REF!</v>
      </c>
      <c r="H2044" s="139" t="str">
        <f t="shared" si="106"/>
        <v/>
      </c>
      <c r="I2044" s="137" t="str">
        <f t="shared" si="107"/>
        <v/>
      </c>
      <c r="J2044" s="117"/>
    </row>
    <row r="2045" spans="1:10" hidden="1" x14ac:dyDescent="0.25">
      <c r="A2045" s="114" t="s">
        <v>4829</v>
      </c>
      <c r="B2045" s="115" t="s">
        <v>7488</v>
      </c>
      <c r="C2045" s="116" t="s">
        <v>16</v>
      </c>
      <c r="D2045" s="116">
        <v>0</v>
      </c>
      <c r="E2045" s="136" t="s">
        <v>416</v>
      </c>
      <c r="F2045" s="137" t="str">
        <f t="shared" si="105"/>
        <v/>
      </c>
      <c r="G2045" s="138" t="e">
        <f>IF(A2045&lt;&gt;"",IF(AND(#REF!="Padrão",$H$4=#REF!),BDI!$B$17,IF(AND(#REF!="Padrão",$H$4=#REF!),BDI!#REF!,IF(AND(#REF!="Diferenciado",$H$4=#REF!),BDI!$E$17,IF(AND(#REF!="Diferenciado",$H$4=#REF!),BDI!#REF!,IF(#REF!="ZERO",0))))),"")</f>
        <v>#REF!</v>
      </c>
      <c r="H2045" s="139" t="str">
        <f t="shared" si="106"/>
        <v/>
      </c>
      <c r="I2045" s="137" t="str">
        <f t="shared" si="107"/>
        <v/>
      </c>
      <c r="J2045" s="117"/>
    </row>
    <row r="2046" spans="1:10" hidden="1" x14ac:dyDescent="0.25">
      <c r="A2046" s="114" t="s">
        <v>4830</v>
      </c>
      <c r="B2046" s="115" t="s">
        <v>7487</v>
      </c>
      <c r="C2046" s="116" t="s">
        <v>16</v>
      </c>
      <c r="D2046" s="116">
        <v>0</v>
      </c>
      <c r="E2046" s="136" t="s">
        <v>416</v>
      </c>
      <c r="F2046" s="137" t="str">
        <f t="shared" si="105"/>
        <v/>
      </c>
      <c r="G2046" s="138" t="e">
        <f>IF(A2046&lt;&gt;"",IF(AND(#REF!="Padrão",$H$4=#REF!),BDI!$B$17,IF(AND(#REF!="Padrão",$H$4=#REF!),BDI!#REF!,IF(AND(#REF!="Diferenciado",$H$4=#REF!),BDI!$E$17,IF(AND(#REF!="Diferenciado",$H$4=#REF!),BDI!#REF!,IF(#REF!="ZERO",0))))),"")</f>
        <v>#REF!</v>
      </c>
      <c r="H2046" s="139" t="str">
        <f t="shared" si="106"/>
        <v/>
      </c>
      <c r="I2046" s="137" t="str">
        <f t="shared" si="107"/>
        <v/>
      </c>
      <c r="J2046" s="117"/>
    </row>
    <row r="2047" spans="1:10" hidden="1" x14ac:dyDescent="0.25">
      <c r="A2047" s="114" t="s">
        <v>4831</v>
      </c>
      <c r="B2047" s="115" t="s">
        <v>7486</v>
      </c>
      <c r="C2047" s="116" t="s">
        <v>16</v>
      </c>
      <c r="D2047" s="116">
        <v>0</v>
      </c>
      <c r="E2047" s="136" t="s">
        <v>416</v>
      </c>
      <c r="F2047" s="137" t="str">
        <f t="shared" si="105"/>
        <v/>
      </c>
      <c r="G2047" s="138" t="e">
        <f>IF(A2047&lt;&gt;"",IF(AND(#REF!="Padrão",$H$4=#REF!),BDI!$B$17,IF(AND(#REF!="Padrão",$H$4=#REF!),BDI!#REF!,IF(AND(#REF!="Diferenciado",$H$4=#REF!),BDI!$E$17,IF(AND(#REF!="Diferenciado",$H$4=#REF!),BDI!#REF!,IF(#REF!="ZERO",0))))),"")</f>
        <v>#REF!</v>
      </c>
      <c r="H2047" s="139" t="str">
        <f t="shared" si="106"/>
        <v/>
      </c>
      <c r="I2047" s="137" t="str">
        <f t="shared" si="107"/>
        <v/>
      </c>
      <c r="J2047" s="117"/>
    </row>
    <row r="2048" spans="1:10" hidden="1" x14ac:dyDescent="0.25">
      <c r="A2048" s="114" t="s">
        <v>4832</v>
      </c>
      <c r="B2048" s="115" t="s">
        <v>3711</v>
      </c>
      <c r="C2048" s="116" t="s">
        <v>16</v>
      </c>
      <c r="D2048" s="116">
        <v>0</v>
      </c>
      <c r="E2048" s="136" t="s">
        <v>416</v>
      </c>
      <c r="F2048" s="137" t="str">
        <f t="shared" si="105"/>
        <v/>
      </c>
      <c r="G2048" s="138" t="e">
        <f>IF(A2048&lt;&gt;"",IF(AND(#REF!="Padrão",$H$4=#REF!),BDI!$B$17,IF(AND(#REF!="Padrão",$H$4=#REF!),BDI!#REF!,IF(AND(#REF!="Diferenciado",$H$4=#REF!),BDI!$E$17,IF(AND(#REF!="Diferenciado",$H$4=#REF!),BDI!#REF!,IF(#REF!="ZERO",0))))),"")</f>
        <v>#REF!</v>
      </c>
      <c r="H2048" s="139" t="str">
        <f t="shared" si="106"/>
        <v/>
      </c>
      <c r="I2048" s="137" t="str">
        <f t="shared" si="107"/>
        <v/>
      </c>
      <c r="J2048" s="117"/>
    </row>
    <row r="2049" spans="1:10" hidden="1" x14ac:dyDescent="0.25">
      <c r="A2049" s="114" t="s">
        <v>4833</v>
      </c>
      <c r="B2049" s="115" t="s">
        <v>3712</v>
      </c>
      <c r="C2049" s="116" t="s">
        <v>16</v>
      </c>
      <c r="D2049" s="116">
        <v>0</v>
      </c>
      <c r="E2049" s="136" t="s">
        <v>416</v>
      </c>
      <c r="F2049" s="137" t="str">
        <f t="shared" si="105"/>
        <v/>
      </c>
      <c r="G2049" s="138" t="e">
        <f>IF(A2049&lt;&gt;"",IF(AND(#REF!="Padrão",$H$4=#REF!),BDI!$B$17,IF(AND(#REF!="Padrão",$H$4=#REF!),BDI!#REF!,IF(AND(#REF!="Diferenciado",$H$4=#REF!),BDI!$E$17,IF(AND(#REF!="Diferenciado",$H$4=#REF!),BDI!#REF!,IF(#REF!="ZERO",0))))),"")</f>
        <v>#REF!</v>
      </c>
      <c r="H2049" s="139" t="str">
        <f t="shared" si="106"/>
        <v/>
      </c>
      <c r="I2049" s="137" t="str">
        <f t="shared" si="107"/>
        <v/>
      </c>
      <c r="J2049" s="117"/>
    </row>
    <row r="2050" spans="1:10" hidden="1" x14ac:dyDescent="0.25">
      <c r="A2050" s="114" t="s">
        <v>4834</v>
      </c>
      <c r="B2050" s="115" t="s">
        <v>3713</v>
      </c>
      <c r="C2050" s="116" t="s">
        <v>16</v>
      </c>
      <c r="D2050" s="116">
        <v>0</v>
      </c>
      <c r="E2050" s="136" t="s">
        <v>416</v>
      </c>
      <c r="F2050" s="137" t="str">
        <f t="shared" si="105"/>
        <v/>
      </c>
      <c r="G2050" s="138" t="e">
        <f>IF(A2050&lt;&gt;"",IF(AND(#REF!="Padrão",$H$4=#REF!),BDI!$B$17,IF(AND(#REF!="Padrão",$H$4=#REF!),BDI!#REF!,IF(AND(#REF!="Diferenciado",$H$4=#REF!),BDI!$E$17,IF(AND(#REF!="Diferenciado",$H$4=#REF!),BDI!#REF!,IF(#REF!="ZERO",0))))),"")</f>
        <v>#REF!</v>
      </c>
      <c r="H2050" s="139" t="str">
        <f t="shared" si="106"/>
        <v/>
      </c>
      <c r="I2050" s="137" t="str">
        <f t="shared" si="107"/>
        <v/>
      </c>
      <c r="J2050" s="117"/>
    </row>
    <row r="2051" spans="1:10" hidden="1" x14ac:dyDescent="0.25">
      <c r="A2051" s="114" t="s">
        <v>4835</v>
      </c>
      <c r="B2051" s="115" t="s">
        <v>3714</v>
      </c>
      <c r="C2051" s="116" t="s">
        <v>16</v>
      </c>
      <c r="D2051" s="116">
        <v>0</v>
      </c>
      <c r="E2051" s="136" t="s">
        <v>416</v>
      </c>
      <c r="F2051" s="137" t="str">
        <f t="shared" si="105"/>
        <v/>
      </c>
      <c r="G2051" s="138" t="e">
        <f>IF(A2051&lt;&gt;"",IF(AND(#REF!="Padrão",$H$4=#REF!),BDI!$B$17,IF(AND(#REF!="Padrão",$H$4=#REF!),BDI!#REF!,IF(AND(#REF!="Diferenciado",$H$4=#REF!),BDI!$E$17,IF(AND(#REF!="Diferenciado",$H$4=#REF!),BDI!#REF!,IF(#REF!="ZERO",0))))),"")</f>
        <v>#REF!</v>
      </c>
      <c r="H2051" s="139" t="str">
        <f t="shared" si="106"/>
        <v/>
      </c>
      <c r="I2051" s="137" t="str">
        <f t="shared" si="107"/>
        <v/>
      </c>
      <c r="J2051" s="117"/>
    </row>
    <row r="2052" spans="1:10" hidden="1" x14ac:dyDescent="0.25">
      <c r="A2052" s="114" t="s">
        <v>4836</v>
      </c>
      <c r="B2052" s="115" t="s">
        <v>7483</v>
      </c>
      <c r="C2052" s="116" t="s">
        <v>16</v>
      </c>
      <c r="D2052" s="116">
        <v>0</v>
      </c>
      <c r="E2052" s="136" t="s">
        <v>416</v>
      </c>
      <c r="F2052" s="137" t="str">
        <f t="shared" si="105"/>
        <v/>
      </c>
      <c r="G2052" s="138" t="e">
        <f>IF(A2052&lt;&gt;"",IF(AND(#REF!="Padrão",$H$4=#REF!),BDI!$B$17,IF(AND(#REF!="Padrão",$H$4=#REF!),BDI!#REF!,IF(AND(#REF!="Diferenciado",$H$4=#REF!),BDI!$E$17,IF(AND(#REF!="Diferenciado",$H$4=#REF!),BDI!#REF!,IF(#REF!="ZERO",0))))),"")</f>
        <v>#REF!</v>
      </c>
      <c r="H2052" s="139" t="str">
        <f t="shared" si="106"/>
        <v/>
      </c>
      <c r="I2052" s="137" t="str">
        <f t="shared" si="107"/>
        <v/>
      </c>
      <c r="J2052" s="117"/>
    </row>
    <row r="2053" spans="1:10" hidden="1" x14ac:dyDescent="0.25">
      <c r="A2053" s="114" t="s">
        <v>4837</v>
      </c>
      <c r="B2053" s="115" t="s">
        <v>7484</v>
      </c>
      <c r="C2053" s="116" t="s">
        <v>16</v>
      </c>
      <c r="D2053" s="116">
        <v>0</v>
      </c>
      <c r="E2053" s="136" t="s">
        <v>416</v>
      </c>
      <c r="F2053" s="137" t="str">
        <f t="shared" si="105"/>
        <v/>
      </c>
      <c r="G2053" s="138" t="e">
        <f>IF(A2053&lt;&gt;"",IF(AND(#REF!="Padrão",$H$4=#REF!),BDI!$B$17,IF(AND(#REF!="Padrão",$H$4=#REF!),BDI!#REF!,IF(AND(#REF!="Diferenciado",$H$4=#REF!),BDI!$E$17,IF(AND(#REF!="Diferenciado",$H$4=#REF!),BDI!#REF!,IF(#REF!="ZERO",0))))),"")</f>
        <v>#REF!</v>
      </c>
      <c r="H2053" s="139" t="str">
        <f t="shared" si="106"/>
        <v/>
      </c>
      <c r="I2053" s="137" t="str">
        <f t="shared" si="107"/>
        <v/>
      </c>
      <c r="J2053" s="117"/>
    </row>
    <row r="2054" spans="1:10" hidden="1" x14ac:dyDescent="0.25">
      <c r="A2054" s="114" t="s">
        <v>4838</v>
      </c>
      <c r="B2054" s="115" t="s">
        <v>7485</v>
      </c>
      <c r="C2054" s="116" t="s">
        <v>16</v>
      </c>
      <c r="D2054" s="116">
        <v>0</v>
      </c>
      <c r="E2054" s="136" t="s">
        <v>416</v>
      </c>
      <c r="F2054" s="137" t="str">
        <f t="shared" si="105"/>
        <v/>
      </c>
      <c r="G2054" s="138" t="e">
        <f>IF(A2054&lt;&gt;"",IF(AND(#REF!="Padrão",$H$4=#REF!),BDI!$B$17,IF(AND(#REF!="Padrão",$H$4=#REF!),BDI!#REF!,IF(AND(#REF!="Diferenciado",$H$4=#REF!),BDI!$E$17,IF(AND(#REF!="Diferenciado",$H$4=#REF!),BDI!#REF!,IF(#REF!="ZERO",0))))),"")</f>
        <v>#REF!</v>
      </c>
      <c r="H2054" s="139" t="str">
        <f t="shared" si="106"/>
        <v/>
      </c>
      <c r="I2054" s="137" t="str">
        <f t="shared" si="107"/>
        <v/>
      </c>
      <c r="J2054" s="117"/>
    </row>
    <row r="2055" spans="1:10" hidden="1" x14ac:dyDescent="0.25">
      <c r="A2055" s="114" t="s">
        <v>4839</v>
      </c>
      <c r="B2055" s="115" t="s">
        <v>7482</v>
      </c>
      <c r="C2055" s="116" t="s">
        <v>16</v>
      </c>
      <c r="D2055" s="116">
        <v>0</v>
      </c>
      <c r="E2055" s="136" t="s">
        <v>416</v>
      </c>
      <c r="F2055" s="137" t="str">
        <f t="shared" si="105"/>
        <v/>
      </c>
      <c r="G2055" s="138" t="e">
        <f>IF(A2055&lt;&gt;"",IF(AND(#REF!="Padrão",$H$4=#REF!),BDI!$B$17,IF(AND(#REF!="Padrão",$H$4=#REF!),BDI!#REF!,IF(AND(#REF!="Diferenciado",$H$4=#REF!),BDI!$E$17,IF(AND(#REF!="Diferenciado",$H$4=#REF!),BDI!#REF!,IF(#REF!="ZERO",0))))),"")</f>
        <v>#REF!</v>
      </c>
      <c r="H2055" s="139" t="str">
        <f t="shared" si="106"/>
        <v/>
      </c>
      <c r="I2055" s="137" t="str">
        <f t="shared" si="107"/>
        <v/>
      </c>
      <c r="J2055" s="117"/>
    </row>
    <row r="2056" spans="1:10" hidden="1" x14ac:dyDescent="0.25">
      <c r="A2056" s="114" t="s">
        <v>4840</v>
      </c>
      <c r="B2056" s="115" t="s">
        <v>3715</v>
      </c>
      <c r="C2056" s="116" t="s">
        <v>16</v>
      </c>
      <c r="D2056" s="116">
        <v>0</v>
      </c>
      <c r="E2056" s="136" t="s">
        <v>416</v>
      </c>
      <c r="F2056" s="137" t="str">
        <f t="shared" si="105"/>
        <v/>
      </c>
      <c r="G2056" s="138" t="e">
        <f>IF(A2056&lt;&gt;"",IF(AND(#REF!="Padrão",$H$4=#REF!),BDI!$B$17,IF(AND(#REF!="Padrão",$H$4=#REF!),BDI!#REF!,IF(AND(#REF!="Diferenciado",$H$4=#REF!),BDI!$E$17,IF(AND(#REF!="Diferenciado",$H$4=#REF!),BDI!#REF!,IF(#REF!="ZERO",0))))),"")</f>
        <v>#REF!</v>
      </c>
      <c r="H2056" s="139" t="str">
        <f t="shared" si="106"/>
        <v/>
      </c>
      <c r="I2056" s="137" t="str">
        <f t="shared" si="107"/>
        <v/>
      </c>
      <c r="J2056" s="117"/>
    </row>
    <row r="2057" spans="1:10" hidden="1" x14ac:dyDescent="0.25">
      <c r="A2057" s="114" t="s">
        <v>4841</v>
      </c>
      <c r="B2057" s="115" t="s">
        <v>3716</v>
      </c>
      <c r="C2057" s="116" t="s">
        <v>16</v>
      </c>
      <c r="D2057" s="116">
        <v>0</v>
      </c>
      <c r="E2057" s="136" t="s">
        <v>416</v>
      </c>
      <c r="F2057" s="137" t="str">
        <f t="shared" si="105"/>
        <v/>
      </c>
      <c r="G2057" s="138" t="e">
        <f>IF(A2057&lt;&gt;"",IF(AND(#REF!="Padrão",$H$4=#REF!),BDI!$B$17,IF(AND(#REF!="Padrão",$H$4=#REF!),BDI!#REF!,IF(AND(#REF!="Diferenciado",$H$4=#REF!),BDI!$E$17,IF(AND(#REF!="Diferenciado",$H$4=#REF!),BDI!#REF!,IF(#REF!="ZERO",0))))),"")</f>
        <v>#REF!</v>
      </c>
      <c r="H2057" s="139" t="str">
        <f t="shared" si="106"/>
        <v/>
      </c>
      <c r="I2057" s="137" t="str">
        <f t="shared" si="107"/>
        <v/>
      </c>
      <c r="J2057" s="117"/>
    </row>
    <row r="2058" spans="1:10" hidden="1" x14ac:dyDescent="0.25">
      <c r="A2058" s="114" t="s">
        <v>4842</v>
      </c>
      <c r="B2058" s="115" t="s">
        <v>3717</v>
      </c>
      <c r="C2058" s="116" t="s">
        <v>16</v>
      </c>
      <c r="D2058" s="116">
        <v>0</v>
      </c>
      <c r="E2058" s="136" t="s">
        <v>416</v>
      </c>
      <c r="F2058" s="137" t="str">
        <f t="shared" si="105"/>
        <v/>
      </c>
      <c r="G2058" s="138" t="e">
        <f>IF(A2058&lt;&gt;"",IF(AND(#REF!="Padrão",$H$4=#REF!),BDI!$B$17,IF(AND(#REF!="Padrão",$H$4=#REF!),BDI!#REF!,IF(AND(#REF!="Diferenciado",$H$4=#REF!),BDI!$E$17,IF(AND(#REF!="Diferenciado",$H$4=#REF!),BDI!#REF!,IF(#REF!="ZERO",0))))),"")</f>
        <v>#REF!</v>
      </c>
      <c r="H2058" s="139" t="str">
        <f t="shared" si="106"/>
        <v/>
      </c>
      <c r="I2058" s="137" t="str">
        <f t="shared" si="107"/>
        <v/>
      </c>
      <c r="J2058" s="117"/>
    </row>
    <row r="2059" spans="1:10" hidden="1" x14ac:dyDescent="0.25">
      <c r="A2059" s="114" t="s">
        <v>4843</v>
      </c>
      <c r="B2059" s="115" t="s">
        <v>3718</v>
      </c>
      <c r="C2059" s="116" t="s">
        <v>16</v>
      </c>
      <c r="D2059" s="116">
        <v>0</v>
      </c>
      <c r="E2059" s="136" t="s">
        <v>416</v>
      </c>
      <c r="F2059" s="137" t="str">
        <f t="shared" si="105"/>
        <v/>
      </c>
      <c r="G2059" s="138" t="e">
        <f>IF(A2059&lt;&gt;"",IF(AND(#REF!="Padrão",$H$4=#REF!),BDI!$B$17,IF(AND(#REF!="Padrão",$H$4=#REF!),BDI!#REF!,IF(AND(#REF!="Diferenciado",$H$4=#REF!),BDI!$E$17,IF(AND(#REF!="Diferenciado",$H$4=#REF!),BDI!#REF!,IF(#REF!="ZERO",0))))),"")</f>
        <v>#REF!</v>
      </c>
      <c r="H2059" s="139" t="str">
        <f t="shared" si="106"/>
        <v/>
      </c>
      <c r="I2059" s="137" t="str">
        <f t="shared" si="107"/>
        <v/>
      </c>
      <c r="J2059" s="117"/>
    </row>
    <row r="2060" spans="1:10" hidden="1" x14ac:dyDescent="0.25">
      <c r="A2060" s="114" t="s">
        <v>4844</v>
      </c>
      <c r="B2060" s="115" t="s">
        <v>3719</v>
      </c>
      <c r="C2060" s="116" t="s">
        <v>16</v>
      </c>
      <c r="D2060" s="116">
        <v>0</v>
      </c>
      <c r="E2060" s="136" t="s">
        <v>416</v>
      </c>
      <c r="F2060" s="137" t="str">
        <f t="shared" si="105"/>
        <v/>
      </c>
      <c r="G2060" s="138" t="e">
        <f>IF(A2060&lt;&gt;"",IF(AND(#REF!="Padrão",$H$4=#REF!),BDI!$B$17,IF(AND(#REF!="Padrão",$H$4=#REF!),BDI!#REF!,IF(AND(#REF!="Diferenciado",$H$4=#REF!),BDI!$E$17,IF(AND(#REF!="Diferenciado",$H$4=#REF!),BDI!#REF!,IF(#REF!="ZERO",0))))),"")</f>
        <v>#REF!</v>
      </c>
      <c r="H2060" s="139" t="str">
        <f t="shared" si="106"/>
        <v/>
      </c>
      <c r="I2060" s="137" t="str">
        <f t="shared" si="107"/>
        <v/>
      </c>
      <c r="J2060" s="117"/>
    </row>
    <row r="2061" spans="1:10" hidden="1" x14ac:dyDescent="0.25">
      <c r="A2061" s="114" t="s">
        <v>4845</v>
      </c>
      <c r="B2061" s="115" t="s">
        <v>7481</v>
      </c>
      <c r="C2061" s="116" t="s">
        <v>16</v>
      </c>
      <c r="D2061" s="116">
        <v>0</v>
      </c>
      <c r="E2061" s="136" t="s">
        <v>416</v>
      </c>
      <c r="F2061" s="137" t="str">
        <f t="shared" si="105"/>
        <v/>
      </c>
      <c r="G2061" s="138" t="e">
        <f>IF(A2061&lt;&gt;"",IF(AND(#REF!="Padrão",$H$4=#REF!),BDI!$B$17,IF(AND(#REF!="Padrão",$H$4=#REF!),BDI!#REF!,IF(AND(#REF!="Diferenciado",$H$4=#REF!),BDI!$E$17,IF(AND(#REF!="Diferenciado",$H$4=#REF!),BDI!#REF!,IF(#REF!="ZERO",0))))),"")</f>
        <v>#REF!</v>
      </c>
      <c r="H2061" s="139" t="str">
        <f t="shared" si="106"/>
        <v/>
      </c>
      <c r="I2061" s="137" t="str">
        <f t="shared" si="107"/>
        <v/>
      </c>
      <c r="J2061" s="117"/>
    </row>
    <row r="2062" spans="1:10" hidden="1" x14ac:dyDescent="0.25">
      <c r="A2062" s="114" t="s">
        <v>4846</v>
      </c>
      <c r="B2062" s="115" t="s">
        <v>3720</v>
      </c>
      <c r="C2062" s="116" t="s">
        <v>16</v>
      </c>
      <c r="D2062" s="116">
        <v>0</v>
      </c>
      <c r="E2062" s="136" t="s">
        <v>416</v>
      </c>
      <c r="F2062" s="137" t="str">
        <f t="shared" si="105"/>
        <v/>
      </c>
      <c r="G2062" s="138" t="e">
        <f>IF(A2062&lt;&gt;"",IF(AND(#REF!="Padrão",$H$4=#REF!),BDI!$B$17,IF(AND(#REF!="Padrão",$H$4=#REF!),BDI!#REF!,IF(AND(#REF!="Diferenciado",$H$4=#REF!),BDI!$E$17,IF(AND(#REF!="Diferenciado",$H$4=#REF!),BDI!#REF!,IF(#REF!="ZERO",0))))),"")</f>
        <v>#REF!</v>
      </c>
      <c r="H2062" s="139" t="str">
        <f t="shared" si="106"/>
        <v/>
      </c>
      <c r="I2062" s="137" t="str">
        <f t="shared" si="107"/>
        <v/>
      </c>
      <c r="J2062" s="117"/>
    </row>
    <row r="2063" spans="1:10" hidden="1" x14ac:dyDescent="0.25">
      <c r="A2063" s="114" t="s">
        <v>4847</v>
      </c>
      <c r="B2063" s="115" t="s">
        <v>3721</v>
      </c>
      <c r="C2063" s="116" t="s">
        <v>16</v>
      </c>
      <c r="D2063" s="116">
        <v>0</v>
      </c>
      <c r="E2063" s="136" t="s">
        <v>416</v>
      </c>
      <c r="F2063" s="137" t="str">
        <f t="shared" si="105"/>
        <v/>
      </c>
      <c r="G2063" s="138" t="e">
        <f>IF(A2063&lt;&gt;"",IF(AND(#REF!="Padrão",$H$4=#REF!),BDI!$B$17,IF(AND(#REF!="Padrão",$H$4=#REF!),BDI!#REF!,IF(AND(#REF!="Diferenciado",$H$4=#REF!),BDI!$E$17,IF(AND(#REF!="Diferenciado",$H$4=#REF!),BDI!#REF!,IF(#REF!="ZERO",0))))),"")</f>
        <v>#REF!</v>
      </c>
      <c r="H2063" s="139" t="str">
        <f t="shared" si="106"/>
        <v/>
      </c>
      <c r="I2063" s="137" t="str">
        <f t="shared" si="107"/>
        <v/>
      </c>
      <c r="J2063" s="117"/>
    </row>
    <row r="2064" spans="1:10" hidden="1" x14ac:dyDescent="0.25">
      <c r="A2064" s="114" t="s">
        <v>4848</v>
      </c>
      <c r="B2064" s="115" t="s">
        <v>3722</v>
      </c>
      <c r="C2064" s="116" t="s">
        <v>16</v>
      </c>
      <c r="D2064" s="116">
        <v>0</v>
      </c>
      <c r="E2064" s="136" t="s">
        <v>416</v>
      </c>
      <c r="F2064" s="137" t="str">
        <f t="shared" si="105"/>
        <v/>
      </c>
      <c r="G2064" s="138" t="e">
        <f>IF(A2064&lt;&gt;"",IF(AND(#REF!="Padrão",$H$4=#REF!),BDI!$B$17,IF(AND(#REF!="Padrão",$H$4=#REF!),BDI!#REF!,IF(AND(#REF!="Diferenciado",$H$4=#REF!),BDI!$E$17,IF(AND(#REF!="Diferenciado",$H$4=#REF!),BDI!#REF!,IF(#REF!="ZERO",0))))),"")</f>
        <v>#REF!</v>
      </c>
      <c r="H2064" s="139" t="str">
        <f t="shared" si="106"/>
        <v/>
      </c>
      <c r="I2064" s="137" t="str">
        <f t="shared" si="107"/>
        <v/>
      </c>
      <c r="J2064" s="117"/>
    </row>
    <row r="2065" spans="1:10" hidden="1" x14ac:dyDescent="0.25">
      <c r="A2065" s="114" t="s">
        <v>4849</v>
      </c>
      <c r="B2065" s="115" t="s">
        <v>3723</v>
      </c>
      <c r="C2065" s="116" t="s">
        <v>16</v>
      </c>
      <c r="D2065" s="116">
        <v>0</v>
      </c>
      <c r="E2065" s="136" t="s">
        <v>416</v>
      </c>
      <c r="F2065" s="137" t="str">
        <f t="shared" si="105"/>
        <v/>
      </c>
      <c r="G2065" s="138" t="e">
        <f>IF(A2065&lt;&gt;"",IF(AND(#REF!="Padrão",$H$4=#REF!),BDI!$B$17,IF(AND(#REF!="Padrão",$H$4=#REF!),BDI!#REF!,IF(AND(#REF!="Diferenciado",$H$4=#REF!),BDI!$E$17,IF(AND(#REF!="Diferenciado",$H$4=#REF!),BDI!#REF!,IF(#REF!="ZERO",0))))),"")</f>
        <v>#REF!</v>
      </c>
      <c r="H2065" s="139" t="str">
        <f t="shared" si="106"/>
        <v/>
      </c>
      <c r="I2065" s="137" t="str">
        <f t="shared" si="107"/>
        <v/>
      </c>
      <c r="J2065" s="117"/>
    </row>
    <row r="2066" spans="1:10" hidden="1" x14ac:dyDescent="0.25">
      <c r="A2066" s="114" t="s">
        <v>4850</v>
      </c>
      <c r="B2066" s="115" t="s">
        <v>3724</v>
      </c>
      <c r="C2066" s="116" t="s">
        <v>16</v>
      </c>
      <c r="D2066" s="116">
        <v>0</v>
      </c>
      <c r="E2066" s="136" t="s">
        <v>416</v>
      </c>
      <c r="F2066" s="137" t="str">
        <f t="shared" si="105"/>
        <v/>
      </c>
      <c r="G2066" s="138" t="e">
        <f>IF(A2066&lt;&gt;"",IF(AND(#REF!="Padrão",$H$4=#REF!),BDI!$B$17,IF(AND(#REF!="Padrão",$H$4=#REF!),BDI!#REF!,IF(AND(#REF!="Diferenciado",$H$4=#REF!),BDI!$E$17,IF(AND(#REF!="Diferenciado",$H$4=#REF!),BDI!#REF!,IF(#REF!="ZERO",0))))),"")</f>
        <v>#REF!</v>
      </c>
      <c r="H2066" s="139" t="str">
        <f t="shared" si="106"/>
        <v/>
      </c>
      <c r="I2066" s="137" t="str">
        <f t="shared" si="107"/>
        <v/>
      </c>
      <c r="J2066" s="117"/>
    </row>
    <row r="2067" spans="1:10" hidden="1" x14ac:dyDescent="0.25">
      <c r="A2067" s="114" t="s">
        <v>4851</v>
      </c>
      <c r="B2067" s="115" t="s">
        <v>3725</v>
      </c>
      <c r="C2067" s="116" t="s">
        <v>16</v>
      </c>
      <c r="D2067" s="116">
        <v>0</v>
      </c>
      <c r="E2067" s="136" t="s">
        <v>416</v>
      </c>
      <c r="F2067" s="137" t="str">
        <f t="shared" si="105"/>
        <v/>
      </c>
      <c r="G2067" s="138" t="e">
        <f>IF(A2067&lt;&gt;"",IF(AND(#REF!="Padrão",$H$4=#REF!),BDI!$B$17,IF(AND(#REF!="Padrão",$H$4=#REF!),BDI!#REF!,IF(AND(#REF!="Diferenciado",$H$4=#REF!),BDI!$E$17,IF(AND(#REF!="Diferenciado",$H$4=#REF!),BDI!#REF!,IF(#REF!="ZERO",0))))),"")</f>
        <v>#REF!</v>
      </c>
      <c r="H2067" s="139" t="str">
        <f t="shared" si="106"/>
        <v/>
      </c>
      <c r="I2067" s="137" t="str">
        <f t="shared" si="107"/>
        <v/>
      </c>
      <c r="J2067" s="117"/>
    </row>
    <row r="2068" spans="1:10" hidden="1" x14ac:dyDescent="0.25">
      <c r="A2068" s="114" t="s">
        <v>4852</v>
      </c>
      <c r="B2068" s="115" t="s">
        <v>3726</v>
      </c>
      <c r="C2068" s="116" t="s">
        <v>16</v>
      </c>
      <c r="D2068" s="116">
        <v>0</v>
      </c>
      <c r="E2068" s="136" t="s">
        <v>416</v>
      </c>
      <c r="F2068" s="137" t="str">
        <f t="shared" si="105"/>
        <v/>
      </c>
      <c r="G2068" s="138" t="e">
        <f>IF(A2068&lt;&gt;"",IF(AND(#REF!="Padrão",$H$4=#REF!),BDI!$B$17,IF(AND(#REF!="Padrão",$H$4=#REF!),BDI!#REF!,IF(AND(#REF!="Diferenciado",$H$4=#REF!),BDI!$E$17,IF(AND(#REF!="Diferenciado",$H$4=#REF!),BDI!#REF!,IF(#REF!="ZERO",0))))),"")</f>
        <v>#REF!</v>
      </c>
      <c r="H2068" s="139" t="str">
        <f t="shared" si="106"/>
        <v/>
      </c>
      <c r="I2068" s="137" t="str">
        <f t="shared" si="107"/>
        <v/>
      </c>
      <c r="J2068" s="117"/>
    </row>
    <row r="2069" spans="1:10" hidden="1" x14ac:dyDescent="0.25">
      <c r="A2069" s="114" t="s">
        <v>4853</v>
      </c>
      <c r="B2069" s="115" t="s">
        <v>3727</v>
      </c>
      <c r="C2069" s="116" t="s">
        <v>69</v>
      </c>
      <c r="D2069" s="116">
        <v>0</v>
      </c>
      <c r="E2069" s="136" t="s">
        <v>416</v>
      </c>
      <c r="F2069" s="137" t="str">
        <f t="shared" si="105"/>
        <v/>
      </c>
      <c r="G2069" s="138" t="e">
        <f>IF(A2069&lt;&gt;"",IF(AND(#REF!="Padrão",$H$4=#REF!),BDI!$B$17,IF(AND(#REF!="Padrão",$H$4=#REF!),BDI!#REF!,IF(AND(#REF!="Diferenciado",$H$4=#REF!),BDI!$E$17,IF(AND(#REF!="Diferenciado",$H$4=#REF!),BDI!#REF!,IF(#REF!="ZERO",0))))),"")</f>
        <v>#REF!</v>
      </c>
      <c r="H2069" s="139" t="str">
        <f t="shared" si="106"/>
        <v/>
      </c>
      <c r="I2069" s="137" t="str">
        <f t="shared" si="107"/>
        <v/>
      </c>
      <c r="J2069" s="117"/>
    </row>
    <row r="2070" spans="1:10" hidden="1" x14ac:dyDescent="0.25">
      <c r="A2070" s="114" t="s">
        <v>4854</v>
      </c>
      <c r="B2070" s="115" t="s">
        <v>3728</v>
      </c>
      <c r="C2070" s="116" t="s">
        <v>16</v>
      </c>
      <c r="D2070" s="116">
        <v>0</v>
      </c>
      <c r="E2070" s="136" t="s">
        <v>416</v>
      </c>
      <c r="F2070" s="137" t="str">
        <f t="shared" si="105"/>
        <v/>
      </c>
      <c r="G2070" s="138" t="e">
        <f>IF(A2070&lt;&gt;"",IF(AND(#REF!="Padrão",$H$4=#REF!),BDI!$B$17,IF(AND(#REF!="Padrão",$H$4=#REF!),BDI!#REF!,IF(AND(#REF!="Diferenciado",$H$4=#REF!),BDI!$E$17,IF(AND(#REF!="Diferenciado",$H$4=#REF!),BDI!#REF!,IF(#REF!="ZERO",0))))),"")</f>
        <v>#REF!</v>
      </c>
      <c r="H2070" s="139" t="str">
        <f t="shared" si="106"/>
        <v/>
      </c>
      <c r="I2070" s="137" t="str">
        <f t="shared" si="107"/>
        <v/>
      </c>
      <c r="J2070" s="117"/>
    </row>
    <row r="2071" spans="1:10" hidden="1" x14ac:dyDescent="0.25">
      <c r="A2071" s="114" t="s">
        <v>4855</v>
      </c>
      <c r="B2071" s="115" t="s">
        <v>3729</v>
      </c>
      <c r="C2071" s="116" t="s">
        <v>16</v>
      </c>
      <c r="D2071" s="116">
        <v>0</v>
      </c>
      <c r="E2071" s="136" t="s">
        <v>416</v>
      </c>
      <c r="F2071" s="137" t="str">
        <f t="shared" si="105"/>
        <v/>
      </c>
      <c r="G2071" s="138" t="e">
        <f>IF(A2071&lt;&gt;"",IF(AND(#REF!="Padrão",$H$4=#REF!),BDI!$B$17,IF(AND(#REF!="Padrão",$H$4=#REF!),BDI!#REF!,IF(AND(#REF!="Diferenciado",$H$4=#REF!),BDI!$E$17,IF(AND(#REF!="Diferenciado",$H$4=#REF!),BDI!#REF!,IF(#REF!="ZERO",0))))),"")</f>
        <v>#REF!</v>
      </c>
      <c r="H2071" s="139" t="str">
        <f t="shared" si="106"/>
        <v/>
      </c>
      <c r="I2071" s="137" t="str">
        <f t="shared" si="107"/>
        <v/>
      </c>
      <c r="J2071" s="117"/>
    </row>
    <row r="2072" spans="1:10" hidden="1" x14ac:dyDescent="0.25">
      <c r="A2072" s="114" t="s">
        <v>4856</v>
      </c>
      <c r="B2072" s="115" t="s">
        <v>3730</v>
      </c>
      <c r="C2072" s="116" t="s">
        <v>16</v>
      </c>
      <c r="D2072" s="116">
        <v>0</v>
      </c>
      <c r="E2072" s="136" t="s">
        <v>416</v>
      </c>
      <c r="F2072" s="137" t="str">
        <f t="shared" si="105"/>
        <v/>
      </c>
      <c r="G2072" s="138" t="e">
        <f>IF(A2072&lt;&gt;"",IF(AND(#REF!="Padrão",$H$4=#REF!),BDI!$B$17,IF(AND(#REF!="Padrão",$H$4=#REF!),BDI!#REF!,IF(AND(#REF!="Diferenciado",$H$4=#REF!),BDI!$E$17,IF(AND(#REF!="Diferenciado",$H$4=#REF!),BDI!#REF!,IF(#REF!="ZERO",0))))),"")</f>
        <v>#REF!</v>
      </c>
      <c r="H2072" s="139" t="str">
        <f t="shared" si="106"/>
        <v/>
      </c>
      <c r="I2072" s="137" t="str">
        <f t="shared" si="107"/>
        <v/>
      </c>
      <c r="J2072" s="117"/>
    </row>
    <row r="2073" spans="1:10" hidden="1" x14ac:dyDescent="0.25">
      <c r="A2073" s="114" t="s">
        <v>4857</v>
      </c>
      <c r="B2073" s="115" t="s">
        <v>3731</v>
      </c>
      <c r="C2073" s="116" t="s">
        <v>16</v>
      </c>
      <c r="D2073" s="116">
        <v>0</v>
      </c>
      <c r="E2073" s="136" t="s">
        <v>416</v>
      </c>
      <c r="F2073" s="137" t="str">
        <f t="shared" si="105"/>
        <v/>
      </c>
      <c r="G2073" s="138" t="e">
        <f>IF(A2073&lt;&gt;"",IF(AND(#REF!="Padrão",$H$4=#REF!),BDI!$B$17,IF(AND(#REF!="Padrão",$H$4=#REF!),BDI!#REF!,IF(AND(#REF!="Diferenciado",$H$4=#REF!),BDI!$E$17,IF(AND(#REF!="Diferenciado",$H$4=#REF!),BDI!#REF!,IF(#REF!="ZERO",0))))),"")</f>
        <v>#REF!</v>
      </c>
      <c r="H2073" s="139" t="str">
        <f t="shared" si="106"/>
        <v/>
      </c>
      <c r="I2073" s="137" t="str">
        <f t="shared" si="107"/>
        <v/>
      </c>
      <c r="J2073" s="117"/>
    </row>
    <row r="2074" spans="1:10" hidden="1" x14ac:dyDescent="0.25">
      <c r="A2074" s="114" t="s">
        <v>4858</v>
      </c>
      <c r="B2074" s="115" t="s">
        <v>3732</v>
      </c>
      <c r="C2074" s="116" t="s">
        <v>16</v>
      </c>
      <c r="D2074" s="116">
        <v>0</v>
      </c>
      <c r="E2074" s="136" t="s">
        <v>416</v>
      </c>
      <c r="F2074" s="137" t="str">
        <f t="shared" si="105"/>
        <v/>
      </c>
      <c r="G2074" s="138" t="e">
        <f>IF(A2074&lt;&gt;"",IF(AND(#REF!="Padrão",$H$4=#REF!),BDI!$B$17,IF(AND(#REF!="Padrão",$H$4=#REF!),BDI!#REF!,IF(AND(#REF!="Diferenciado",$H$4=#REF!),BDI!$E$17,IF(AND(#REF!="Diferenciado",$H$4=#REF!),BDI!#REF!,IF(#REF!="ZERO",0))))),"")</f>
        <v>#REF!</v>
      </c>
      <c r="H2074" s="139" t="str">
        <f t="shared" si="106"/>
        <v/>
      </c>
      <c r="I2074" s="137" t="str">
        <f t="shared" si="107"/>
        <v/>
      </c>
      <c r="J2074" s="117"/>
    </row>
    <row r="2075" spans="1:10" hidden="1" x14ac:dyDescent="0.25">
      <c r="A2075" s="114" t="s">
        <v>4859</v>
      </c>
      <c r="B2075" s="115" t="s">
        <v>3733</v>
      </c>
      <c r="C2075" s="116" t="s">
        <v>16</v>
      </c>
      <c r="D2075" s="116">
        <v>0</v>
      </c>
      <c r="E2075" s="136" t="s">
        <v>416</v>
      </c>
      <c r="F2075" s="137" t="str">
        <f t="shared" si="105"/>
        <v/>
      </c>
      <c r="G2075" s="138" t="e">
        <f>IF(A2075&lt;&gt;"",IF(AND(#REF!="Padrão",$H$4=#REF!),BDI!$B$17,IF(AND(#REF!="Padrão",$H$4=#REF!),BDI!#REF!,IF(AND(#REF!="Diferenciado",$H$4=#REF!),BDI!$E$17,IF(AND(#REF!="Diferenciado",$H$4=#REF!),BDI!#REF!,IF(#REF!="ZERO",0))))),"")</f>
        <v>#REF!</v>
      </c>
      <c r="H2075" s="139" t="str">
        <f t="shared" si="106"/>
        <v/>
      </c>
      <c r="I2075" s="137" t="str">
        <f t="shared" si="107"/>
        <v/>
      </c>
      <c r="J2075" s="117"/>
    </row>
    <row r="2076" spans="1:10" hidden="1" x14ac:dyDescent="0.25">
      <c r="A2076" s="114" t="s">
        <v>4860</v>
      </c>
      <c r="B2076" s="115" t="s">
        <v>3734</v>
      </c>
      <c r="C2076" s="116" t="s">
        <v>16</v>
      </c>
      <c r="D2076" s="116">
        <v>0</v>
      </c>
      <c r="E2076" s="136" t="s">
        <v>416</v>
      </c>
      <c r="F2076" s="137" t="str">
        <f t="shared" si="105"/>
        <v/>
      </c>
      <c r="G2076" s="138" t="e">
        <f>IF(A2076&lt;&gt;"",IF(AND(#REF!="Padrão",$H$4=#REF!),BDI!$B$17,IF(AND(#REF!="Padrão",$H$4=#REF!),BDI!#REF!,IF(AND(#REF!="Diferenciado",$H$4=#REF!),BDI!$E$17,IF(AND(#REF!="Diferenciado",$H$4=#REF!),BDI!#REF!,IF(#REF!="ZERO",0))))),"")</f>
        <v>#REF!</v>
      </c>
      <c r="H2076" s="139" t="str">
        <f t="shared" si="106"/>
        <v/>
      </c>
      <c r="I2076" s="137" t="str">
        <f t="shared" si="107"/>
        <v/>
      </c>
      <c r="J2076" s="117"/>
    </row>
    <row r="2077" spans="1:10" hidden="1" x14ac:dyDescent="0.25">
      <c r="A2077" s="114" t="s">
        <v>4861</v>
      </c>
      <c r="B2077" s="115" t="s">
        <v>3735</v>
      </c>
      <c r="C2077" s="116" t="s">
        <v>16</v>
      </c>
      <c r="D2077" s="116">
        <v>0</v>
      </c>
      <c r="E2077" s="136" t="s">
        <v>416</v>
      </c>
      <c r="F2077" s="137" t="str">
        <f t="shared" si="105"/>
        <v/>
      </c>
      <c r="G2077" s="138" t="e">
        <f>IF(A2077&lt;&gt;"",IF(AND(#REF!="Padrão",$H$4=#REF!),BDI!$B$17,IF(AND(#REF!="Padrão",$H$4=#REF!),BDI!#REF!,IF(AND(#REF!="Diferenciado",$H$4=#REF!),BDI!$E$17,IF(AND(#REF!="Diferenciado",$H$4=#REF!),BDI!#REF!,IF(#REF!="ZERO",0))))),"")</f>
        <v>#REF!</v>
      </c>
      <c r="H2077" s="139" t="str">
        <f t="shared" si="106"/>
        <v/>
      </c>
      <c r="I2077" s="137" t="str">
        <f t="shared" si="107"/>
        <v/>
      </c>
      <c r="J2077" s="117"/>
    </row>
    <row r="2078" spans="1:10" hidden="1" x14ac:dyDescent="0.25">
      <c r="A2078" s="114" t="s">
        <v>4862</v>
      </c>
      <c r="B2078" s="115" t="s">
        <v>3736</v>
      </c>
      <c r="C2078" s="116" t="s">
        <v>16</v>
      </c>
      <c r="D2078" s="116">
        <v>0</v>
      </c>
      <c r="E2078" s="136" t="s">
        <v>416</v>
      </c>
      <c r="F2078" s="137" t="str">
        <f t="shared" si="105"/>
        <v/>
      </c>
      <c r="G2078" s="138" t="e">
        <f>IF(A2078&lt;&gt;"",IF(AND(#REF!="Padrão",$H$4=#REF!),BDI!$B$17,IF(AND(#REF!="Padrão",$H$4=#REF!),BDI!#REF!,IF(AND(#REF!="Diferenciado",$H$4=#REF!),BDI!$E$17,IF(AND(#REF!="Diferenciado",$H$4=#REF!),BDI!#REF!,IF(#REF!="ZERO",0))))),"")</f>
        <v>#REF!</v>
      </c>
      <c r="H2078" s="139" t="str">
        <f t="shared" si="106"/>
        <v/>
      </c>
      <c r="I2078" s="137" t="str">
        <f t="shared" si="107"/>
        <v/>
      </c>
      <c r="J2078" s="117"/>
    </row>
    <row r="2079" spans="1:10" hidden="1" x14ac:dyDescent="0.25">
      <c r="A2079" s="114" t="s">
        <v>4863</v>
      </c>
      <c r="B2079" s="115" t="s">
        <v>3737</v>
      </c>
      <c r="C2079" s="116" t="s">
        <v>16</v>
      </c>
      <c r="D2079" s="116">
        <v>0</v>
      </c>
      <c r="E2079" s="136" t="s">
        <v>416</v>
      </c>
      <c r="F2079" s="137" t="str">
        <f t="shared" si="105"/>
        <v/>
      </c>
      <c r="G2079" s="138" t="e">
        <f>IF(A2079&lt;&gt;"",IF(AND(#REF!="Padrão",$H$4=#REF!),BDI!$B$17,IF(AND(#REF!="Padrão",$H$4=#REF!),BDI!#REF!,IF(AND(#REF!="Diferenciado",$H$4=#REF!),BDI!$E$17,IF(AND(#REF!="Diferenciado",$H$4=#REF!),BDI!#REF!,IF(#REF!="ZERO",0))))),"")</f>
        <v>#REF!</v>
      </c>
      <c r="H2079" s="139" t="str">
        <f t="shared" si="106"/>
        <v/>
      </c>
      <c r="I2079" s="137" t="str">
        <f t="shared" si="107"/>
        <v/>
      </c>
      <c r="J2079" s="117"/>
    </row>
    <row r="2080" spans="1:10" hidden="1" x14ac:dyDescent="0.25">
      <c r="A2080" s="114" t="s">
        <v>4864</v>
      </c>
      <c r="B2080" s="115" t="s">
        <v>3738</v>
      </c>
      <c r="C2080" s="116" t="s">
        <v>16</v>
      </c>
      <c r="D2080" s="116">
        <v>0</v>
      </c>
      <c r="E2080" s="136" t="s">
        <v>416</v>
      </c>
      <c r="F2080" s="137" t="str">
        <f t="shared" si="105"/>
        <v/>
      </c>
      <c r="G2080" s="138" t="e">
        <f>IF(A2080&lt;&gt;"",IF(AND(#REF!="Padrão",$H$4=#REF!),BDI!$B$17,IF(AND(#REF!="Padrão",$H$4=#REF!),BDI!#REF!,IF(AND(#REF!="Diferenciado",$H$4=#REF!),BDI!$E$17,IF(AND(#REF!="Diferenciado",$H$4=#REF!),BDI!#REF!,IF(#REF!="ZERO",0))))),"")</f>
        <v>#REF!</v>
      </c>
      <c r="H2080" s="139" t="str">
        <f t="shared" si="106"/>
        <v/>
      </c>
      <c r="I2080" s="137" t="str">
        <f t="shared" si="107"/>
        <v/>
      </c>
      <c r="J2080" s="117"/>
    </row>
    <row r="2081" spans="1:10" hidden="1" x14ac:dyDescent="0.25">
      <c r="A2081" s="114" t="s">
        <v>4865</v>
      </c>
      <c r="B2081" s="115" t="s">
        <v>3739</v>
      </c>
      <c r="C2081" s="116" t="s">
        <v>16</v>
      </c>
      <c r="D2081" s="116">
        <v>0</v>
      </c>
      <c r="E2081" s="136">
        <f ca="1">OFFSET(INDEX(Composições!A:J,MATCH(Orçamentária!A2081,Composições!A:A,0),8),2,0)</f>
        <v>1.216</v>
      </c>
      <c r="F2081" s="137">
        <f t="shared" ca="1" si="105"/>
        <v>0</v>
      </c>
      <c r="G2081" s="138" t="e">
        <f>IF(A2081&lt;&gt;"",IF(AND(#REF!="Padrão",$H$4=#REF!),BDI!$B$17,IF(AND(#REF!="Padrão",$H$4=#REF!),BDI!#REF!,IF(AND(#REF!="Diferenciado",$H$4=#REF!),BDI!$E$17,IF(AND(#REF!="Diferenciado",$H$4=#REF!),BDI!#REF!,IF(#REF!="ZERO",0))))),"")</f>
        <v>#REF!</v>
      </c>
      <c r="H2081" s="139" t="e">
        <f t="shared" ca="1" si="106"/>
        <v>#REF!</v>
      </c>
      <c r="I2081" s="137" t="e">
        <f t="shared" ca="1" si="107"/>
        <v>#REF!</v>
      </c>
      <c r="J2081" s="117"/>
    </row>
    <row r="2082" spans="1:10" hidden="1" x14ac:dyDescent="0.25">
      <c r="A2082" s="114" t="s">
        <v>4866</v>
      </c>
      <c r="B2082" s="115" t="s">
        <v>3740</v>
      </c>
      <c r="C2082" s="116" t="s">
        <v>16</v>
      </c>
      <c r="D2082" s="116">
        <v>0</v>
      </c>
      <c r="E2082" s="136" t="s">
        <v>416</v>
      </c>
      <c r="F2082" s="137" t="str">
        <f t="shared" si="105"/>
        <v/>
      </c>
      <c r="G2082" s="138" t="e">
        <f>IF(A2082&lt;&gt;"",IF(AND(#REF!="Padrão",$H$4=#REF!),BDI!$B$17,IF(AND(#REF!="Padrão",$H$4=#REF!),BDI!#REF!,IF(AND(#REF!="Diferenciado",$H$4=#REF!),BDI!$E$17,IF(AND(#REF!="Diferenciado",$H$4=#REF!),BDI!#REF!,IF(#REF!="ZERO",0))))),"")</f>
        <v>#REF!</v>
      </c>
      <c r="H2082" s="139" t="str">
        <f t="shared" si="106"/>
        <v/>
      </c>
      <c r="I2082" s="137" t="str">
        <f t="shared" si="107"/>
        <v/>
      </c>
      <c r="J2082" s="117"/>
    </row>
    <row r="2083" spans="1:10" hidden="1" x14ac:dyDescent="0.25">
      <c r="A2083" s="114" t="s">
        <v>4867</v>
      </c>
      <c r="B2083" s="115" t="s">
        <v>3741</v>
      </c>
      <c r="C2083" s="116" t="s">
        <v>16</v>
      </c>
      <c r="D2083" s="116">
        <v>0</v>
      </c>
      <c r="E2083" s="136" t="s">
        <v>416</v>
      </c>
      <c r="F2083" s="137" t="str">
        <f t="shared" si="105"/>
        <v/>
      </c>
      <c r="G2083" s="138" t="e">
        <f>IF(A2083&lt;&gt;"",IF(AND(#REF!="Padrão",$H$4=#REF!),BDI!$B$17,IF(AND(#REF!="Padrão",$H$4=#REF!),BDI!#REF!,IF(AND(#REF!="Diferenciado",$H$4=#REF!),BDI!$E$17,IF(AND(#REF!="Diferenciado",$H$4=#REF!),BDI!#REF!,IF(#REF!="ZERO",0))))),"")</f>
        <v>#REF!</v>
      </c>
      <c r="H2083" s="139" t="str">
        <f t="shared" si="106"/>
        <v/>
      </c>
      <c r="I2083" s="137" t="str">
        <f t="shared" si="107"/>
        <v/>
      </c>
      <c r="J2083" s="117"/>
    </row>
    <row r="2084" spans="1:10" hidden="1" x14ac:dyDescent="0.25">
      <c r="A2084" s="114" t="s">
        <v>4868</v>
      </c>
      <c r="B2084" s="115" t="s">
        <v>3742</v>
      </c>
      <c r="C2084" s="116" t="s">
        <v>69</v>
      </c>
      <c r="D2084" s="116">
        <v>0</v>
      </c>
      <c r="E2084" s="136" t="s">
        <v>416</v>
      </c>
      <c r="F2084" s="137" t="str">
        <f t="shared" si="105"/>
        <v/>
      </c>
      <c r="G2084" s="138" t="e">
        <f>IF(A2084&lt;&gt;"",IF(AND(#REF!="Padrão",$H$4=#REF!),BDI!$B$17,IF(AND(#REF!="Padrão",$H$4=#REF!),BDI!#REF!,IF(AND(#REF!="Diferenciado",$H$4=#REF!),BDI!$E$17,IF(AND(#REF!="Diferenciado",$H$4=#REF!),BDI!#REF!,IF(#REF!="ZERO",0))))),"")</f>
        <v>#REF!</v>
      </c>
      <c r="H2084" s="139" t="str">
        <f t="shared" si="106"/>
        <v/>
      </c>
      <c r="I2084" s="137" t="str">
        <f t="shared" si="107"/>
        <v/>
      </c>
      <c r="J2084" s="117"/>
    </row>
    <row r="2085" spans="1:10" hidden="1" x14ac:dyDescent="0.25">
      <c r="A2085" s="114" t="s">
        <v>4869</v>
      </c>
      <c r="B2085" s="115" t="s">
        <v>3743</v>
      </c>
      <c r="C2085" s="116" t="s">
        <v>69</v>
      </c>
      <c r="D2085" s="116">
        <v>0</v>
      </c>
      <c r="E2085" s="136" t="s">
        <v>416</v>
      </c>
      <c r="F2085" s="137" t="str">
        <f t="shared" si="105"/>
        <v/>
      </c>
      <c r="G2085" s="138" t="e">
        <f>IF(A2085&lt;&gt;"",IF(AND(#REF!="Padrão",$H$4=#REF!),BDI!$B$17,IF(AND(#REF!="Padrão",$H$4=#REF!),BDI!#REF!,IF(AND(#REF!="Diferenciado",$H$4=#REF!),BDI!$E$17,IF(AND(#REF!="Diferenciado",$H$4=#REF!),BDI!#REF!,IF(#REF!="ZERO",0))))),"")</f>
        <v>#REF!</v>
      </c>
      <c r="H2085" s="139" t="str">
        <f t="shared" si="106"/>
        <v/>
      </c>
      <c r="I2085" s="137" t="str">
        <f t="shared" si="107"/>
        <v/>
      </c>
      <c r="J2085" s="117"/>
    </row>
    <row r="2086" spans="1:10" hidden="1" x14ac:dyDescent="0.25">
      <c r="A2086" s="114" t="s">
        <v>4870</v>
      </c>
      <c r="B2086" s="115" t="s">
        <v>3744</v>
      </c>
      <c r="C2086" s="116" t="s">
        <v>69</v>
      </c>
      <c r="D2086" s="116">
        <v>0</v>
      </c>
      <c r="E2086" s="136" t="s">
        <v>416</v>
      </c>
      <c r="F2086" s="137" t="str">
        <f t="shared" si="105"/>
        <v/>
      </c>
      <c r="G2086" s="138" t="e">
        <f>IF(A2086&lt;&gt;"",IF(AND(#REF!="Padrão",$H$4=#REF!),BDI!$B$17,IF(AND(#REF!="Padrão",$H$4=#REF!),BDI!#REF!,IF(AND(#REF!="Diferenciado",$H$4=#REF!),BDI!$E$17,IF(AND(#REF!="Diferenciado",$H$4=#REF!),BDI!#REF!,IF(#REF!="ZERO",0))))),"")</f>
        <v>#REF!</v>
      </c>
      <c r="H2086" s="139" t="str">
        <f t="shared" si="106"/>
        <v/>
      </c>
      <c r="I2086" s="137" t="str">
        <f t="shared" si="107"/>
        <v/>
      </c>
      <c r="J2086" s="117"/>
    </row>
    <row r="2087" spans="1:10" hidden="1" x14ac:dyDescent="0.25">
      <c r="A2087" s="114" t="s">
        <v>4871</v>
      </c>
      <c r="B2087" s="115" t="s">
        <v>7477</v>
      </c>
      <c r="C2087" s="116" t="s">
        <v>16</v>
      </c>
      <c r="D2087" s="116">
        <v>0</v>
      </c>
      <c r="E2087" s="136">
        <f ca="1">OFFSET(INDEX(Composições!A:J,MATCH(Orçamentária!A2087,Composições!A:A,0),8),2,0)</f>
        <v>3.2395</v>
      </c>
      <c r="F2087" s="137">
        <f t="shared" ca="1" si="105"/>
        <v>0</v>
      </c>
      <c r="G2087" s="138" t="e">
        <f>IF(A2087&lt;&gt;"",IF(AND(#REF!="Padrão",$H$4=#REF!),BDI!$B$17,IF(AND(#REF!="Padrão",$H$4=#REF!),BDI!#REF!,IF(AND(#REF!="Diferenciado",$H$4=#REF!),BDI!$E$17,IF(AND(#REF!="Diferenciado",$H$4=#REF!),BDI!#REF!,IF(#REF!="ZERO",0))))),"")</f>
        <v>#REF!</v>
      </c>
      <c r="H2087" s="139" t="e">
        <f t="shared" ca="1" si="106"/>
        <v>#REF!</v>
      </c>
      <c r="I2087" s="137" t="e">
        <f t="shared" ca="1" si="107"/>
        <v>#REF!</v>
      </c>
      <c r="J2087" s="117"/>
    </row>
    <row r="2088" spans="1:10" hidden="1" x14ac:dyDescent="0.25">
      <c r="A2088" s="114" t="s">
        <v>4872</v>
      </c>
      <c r="B2088" s="115" t="s">
        <v>7478</v>
      </c>
      <c r="C2088" s="116" t="s">
        <v>16</v>
      </c>
      <c r="D2088" s="116">
        <v>0</v>
      </c>
      <c r="E2088" s="136">
        <f ca="1">OFFSET(INDEX(Composições!A:J,MATCH(Orçamentária!A2088,Composições!A:A,0),8),2,0)</f>
        <v>6.4409999999999998</v>
      </c>
      <c r="F2088" s="137">
        <f t="shared" ca="1" si="105"/>
        <v>0</v>
      </c>
      <c r="G2088" s="138" t="e">
        <f>IF(A2088&lt;&gt;"",IF(AND(#REF!="Padrão",$H$4=#REF!),BDI!$B$17,IF(AND(#REF!="Padrão",$H$4=#REF!),BDI!#REF!,IF(AND(#REF!="Diferenciado",$H$4=#REF!),BDI!$E$17,IF(AND(#REF!="Diferenciado",$H$4=#REF!),BDI!#REF!,IF(#REF!="ZERO",0))))),"")</f>
        <v>#REF!</v>
      </c>
      <c r="H2088" s="139" t="e">
        <f t="shared" ca="1" si="106"/>
        <v>#REF!</v>
      </c>
      <c r="I2088" s="137" t="e">
        <f t="shared" ca="1" si="107"/>
        <v>#REF!</v>
      </c>
      <c r="J2088" s="117"/>
    </row>
    <row r="2089" spans="1:10" hidden="1" x14ac:dyDescent="0.25">
      <c r="A2089" s="114" t="s">
        <v>4873</v>
      </c>
      <c r="B2089" s="115" t="s">
        <v>7479</v>
      </c>
      <c r="C2089" s="116" t="s">
        <v>16</v>
      </c>
      <c r="D2089" s="116">
        <v>0</v>
      </c>
      <c r="E2089" s="136" t="s">
        <v>416</v>
      </c>
      <c r="F2089" s="137" t="str">
        <f t="shared" si="105"/>
        <v/>
      </c>
      <c r="G2089" s="138" t="e">
        <f>IF(A2089&lt;&gt;"",IF(AND(#REF!="Padrão",$H$4=#REF!),BDI!$B$17,IF(AND(#REF!="Padrão",$H$4=#REF!),BDI!#REF!,IF(AND(#REF!="Diferenciado",$H$4=#REF!),BDI!$E$17,IF(AND(#REF!="Diferenciado",$H$4=#REF!),BDI!#REF!,IF(#REF!="ZERO",0))))),"")</f>
        <v>#REF!</v>
      </c>
      <c r="H2089" s="139" t="str">
        <f t="shared" si="106"/>
        <v/>
      </c>
      <c r="I2089" s="137" t="str">
        <f t="shared" si="107"/>
        <v/>
      </c>
      <c r="J2089" s="117"/>
    </row>
    <row r="2090" spans="1:10" hidden="1" x14ac:dyDescent="0.25">
      <c r="A2090" s="114" t="s">
        <v>4874</v>
      </c>
      <c r="B2090" s="115" t="s">
        <v>7480</v>
      </c>
      <c r="C2090" s="116" t="s">
        <v>16</v>
      </c>
      <c r="D2090" s="116">
        <v>0</v>
      </c>
      <c r="E2090" s="136" t="s">
        <v>416</v>
      </c>
      <c r="F2090" s="137" t="str">
        <f t="shared" si="105"/>
        <v/>
      </c>
      <c r="G2090" s="138" t="e">
        <f>IF(A2090&lt;&gt;"",IF(AND(#REF!="Padrão",$H$4=#REF!),BDI!$B$17,IF(AND(#REF!="Padrão",$H$4=#REF!),BDI!#REF!,IF(AND(#REF!="Diferenciado",$H$4=#REF!),BDI!$E$17,IF(AND(#REF!="Diferenciado",$H$4=#REF!),BDI!#REF!,IF(#REF!="ZERO",0))))),"")</f>
        <v>#REF!</v>
      </c>
      <c r="H2090" s="139" t="str">
        <f t="shared" si="106"/>
        <v/>
      </c>
      <c r="I2090" s="137" t="str">
        <f t="shared" si="107"/>
        <v/>
      </c>
      <c r="J2090" s="117"/>
    </row>
    <row r="2091" spans="1:10" hidden="1" x14ac:dyDescent="0.25">
      <c r="A2091" s="114" t="s">
        <v>4875</v>
      </c>
      <c r="B2091" s="115" t="s">
        <v>7469</v>
      </c>
      <c r="C2091" s="116" t="s">
        <v>16</v>
      </c>
      <c r="D2091" s="116">
        <v>0</v>
      </c>
      <c r="E2091" s="136" t="s">
        <v>416</v>
      </c>
      <c r="F2091" s="137" t="str">
        <f t="shared" si="105"/>
        <v/>
      </c>
      <c r="G2091" s="138" t="e">
        <f>IF(A2091&lt;&gt;"",IF(AND(#REF!="Padrão",$H$4=#REF!),BDI!$B$17,IF(AND(#REF!="Padrão",$H$4=#REF!),BDI!#REF!,IF(AND(#REF!="Diferenciado",$H$4=#REF!),BDI!$E$17,IF(AND(#REF!="Diferenciado",$H$4=#REF!),BDI!#REF!,IF(#REF!="ZERO",0))))),"")</f>
        <v>#REF!</v>
      </c>
      <c r="H2091" s="139" t="str">
        <f t="shared" si="106"/>
        <v/>
      </c>
      <c r="I2091" s="137" t="str">
        <f t="shared" si="107"/>
        <v/>
      </c>
      <c r="J2091" s="117"/>
    </row>
    <row r="2092" spans="1:10" hidden="1" x14ac:dyDescent="0.25">
      <c r="A2092" s="114" t="s">
        <v>4876</v>
      </c>
      <c r="B2092" s="115" t="s">
        <v>7470</v>
      </c>
      <c r="C2092" s="116" t="s">
        <v>16</v>
      </c>
      <c r="D2092" s="116">
        <v>0</v>
      </c>
      <c r="E2092" s="136" t="s">
        <v>416</v>
      </c>
      <c r="F2092" s="137" t="str">
        <f t="shared" si="105"/>
        <v/>
      </c>
      <c r="G2092" s="138" t="e">
        <f>IF(A2092&lt;&gt;"",IF(AND(#REF!="Padrão",$H$4=#REF!),BDI!$B$17,IF(AND(#REF!="Padrão",$H$4=#REF!),BDI!#REF!,IF(AND(#REF!="Diferenciado",$H$4=#REF!),BDI!$E$17,IF(AND(#REF!="Diferenciado",$H$4=#REF!),BDI!#REF!,IF(#REF!="ZERO",0))))),"")</f>
        <v>#REF!</v>
      </c>
      <c r="H2092" s="139" t="str">
        <f t="shared" si="106"/>
        <v/>
      </c>
      <c r="I2092" s="137" t="str">
        <f t="shared" si="107"/>
        <v/>
      </c>
      <c r="J2092" s="117"/>
    </row>
    <row r="2093" spans="1:10" hidden="1" x14ac:dyDescent="0.25">
      <c r="A2093" s="114" t="s">
        <v>4877</v>
      </c>
      <c r="B2093" s="115" t="s">
        <v>7471</v>
      </c>
      <c r="C2093" s="116" t="s">
        <v>16</v>
      </c>
      <c r="D2093" s="116">
        <v>0</v>
      </c>
      <c r="E2093" s="136" t="s">
        <v>416</v>
      </c>
      <c r="F2093" s="137" t="str">
        <f t="shared" ref="F2093:F2156" si="108">IF(ISNUMBER(E2093),D2093*E2093,"")</f>
        <v/>
      </c>
      <c r="G2093" s="138" t="e">
        <f>IF(A2093&lt;&gt;"",IF(AND(#REF!="Padrão",$H$4=#REF!),BDI!$B$17,IF(AND(#REF!="Padrão",$H$4=#REF!),BDI!#REF!,IF(AND(#REF!="Diferenciado",$H$4=#REF!),BDI!$E$17,IF(AND(#REF!="Diferenciado",$H$4=#REF!),BDI!#REF!,IF(#REF!="ZERO",0))))),"")</f>
        <v>#REF!</v>
      </c>
      <c r="H2093" s="139" t="str">
        <f t="shared" ref="H2093:H2156" si="109">IF(ISNUMBER(E2093),ROUND(E2093*(1+G2093),2),"")</f>
        <v/>
      </c>
      <c r="I2093" s="137" t="str">
        <f t="shared" ref="I2093:I2156" si="110">IF(ISNUMBER(E2093),ROUND(H2093*D2093,2),"")</f>
        <v/>
      </c>
      <c r="J2093" s="117"/>
    </row>
    <row r="2094" spans="1:10" hidden="1" x14ac:dyDescent="0.25">
      <c r="A2094" s="114" t="s">
        <v>4878</v>
      </c>
      <c r="B2094" s="115" t="s">
        <v>7472</v>
      </c>
      <c r="C2094" s="116" t="s">
        <v>16</v>
      </c>
      <c r="D2094" s="116">
        <v>0</v>
      </c>
      <c r="E2094" s="136" t="s">
        <v>416</v>
      </c>
      <c r="F2094" s="137" t="str">
        <f t="shared" si="108"/>
        <v/>
      </c>
      <c r="G2094" s="138" t="e">
        <f>IF(A2094&lt;&gt;"",IF(AND(#REF!="Padrão",$H$4=#REF!),BDI!$B$17,IF(AND(#REF!="Padrão",$H$4=#REF!),BDI!#REF!,IF(AND(#REF!="Diferenciado",$H$4=#REF!),BDI!$E$17,IF(AND(#REF!="Diferenciado",$H$4=#REF!),BDI!#REF!,IF(#REF!="ZERO",0))))),"")</f>
        <v>#REF!</v>
      </c>
      <c r="H2094" s="139" t="str">
        <f t="shared" si="109"/>
        <v/>
      </c>
      <c r="I2094" s="137" t="str">
        <f t="shared" si="110"/>
        <v/>
      </c>
      <c r="J2094" s="117"/>
    </row>
    <row r="2095" spans="1:10" hidden="1" x14ac:dyDescent="0.25">
      <c r="A2095" s="114" t="s">
        <v>4879</v>
      </c>
      <c r="B2095" s="115" t="s">
        <v>7473</v>
      </c>
      <c r="C2095" s="116" t="s">
        <v>16</v>
      </c>
      <c r="D2095" s="116">
        <v>0</v>
      </c>
      <c r="E2095" s="136" t="s">
        <v>416</v>
      </c>
      <c r="F2095" s="137" t="str">
        <f t="shared" si="108"/>
        <v/>
      </c>
      <c r="G2095" s="138" t="e">
        <f>IF(A2095&lt;&gt;"",IF(AND(#REF!="Padrão",$H$4=#REF!),BDI!$B$17,IF(AND(#REF!="Padrão",$H$4=#REF!),BDI!#REF!,IF(AND(#REF!="Diferenciado",$H$4=#REF!),BDI!$E$17,IF(AND(#REF!="Diferenciado",$H$4=#REF!),BDI!#REF!,IF(#REF!="ZERO",0))))),"")</f>
        <v>#REF!</v>
      </c>
      <c r="H2095" s="139" t="str">
        <f t="shared" si="109"/>
        <v/>
      </c>
      <c r="I2095" s="137" t="str">
        <f t="shared" si="110"/>
        <v/>
      </c>
      <c r="J2095" s="117"/>
    </row>
    <row r="2096" spans="1:10" hidden="1" x14ac:dyDescent="0.25">
      <c r="A2096" s="114" t="s">
        <v>4880</v>
      </c>
      <c r="B2096" s="115" t="s">
        <v>7474</v>
      </c>
      <c r="C2096" s="116" t="s">
        <v>16</v>
      </c>
      <c r="D2096" s="116">
        <v>0</v>
      </c>
      <c r="E2096" s="136">
        <f ca="1">OFFSET(INDEX(Composições!A:J,MATCH(Orçamentária!A2096,Composições!A:A,0),8),2,0)</f>
        <v>0</v>
      </c>
      <c r="F2096" s="137">
        <f t="shared" ca="1" si="108"/>
        <v>0</v>
      </c>
      <c r="G2096" s="138" t="e">
        <f>IF(A2096&lt;&gt;"",IF(AND(#REF!="Padrão",$H$4=#REF!),BDI!$B$17,IF(AND(#REF!="Padrão",$H$4=#REF!),BDI!#REF!,IF(AND(#REF!="Diferenciado",$H$4=#REF!),BDI!$E$17,IF(AND(#REF!="Diferenciado",$H$4=#REF!),BDI!#REF!,IF(#REF!="ZERO",0))))),"")</f>
        <v>#REF!</v>
      </c>
      <c r="H2096" s="139" t="e">
        <f t="shared" ca="1" si="109"/>
        <v>#REF!</v>
      </c>
      <c r="I2096" s="137" t="e">
        <f t="shared" ca="1" si="110"/>
        <v>#REF!</v>
      </c>
      <c r="J2096" s="117"/>
    </row>
    <row r="2097" spans="1:10" hidden="1" x14ac:dyDescent="0.25">
      <c r="A2097" s="114" t="s">
        <v>4881</v>
      </c>
      <c r="B2097" s="115" t="s">
        <v>7475</v>
      </c>
      <c r="C2097" s="116" t="s">
        <v>16</v>
      </c>
      <c r="D2097" s="116">
        <v>0</v>
      </c>
      <c r="E2097" s="136" t="s">
        <v>416</v>
      </c>
      <c r="F2097" s="137" t="str">
        <f t="shared" si="108"/>
        <v/>
      </c>
      <c r="G2097" s="138" t="e">
        <f>IF(A2097&lt;&gt;"",IF(AND(#REF!="Padrão",$H$4=#REF!),BDI!$B$17,IF(AND(#REF!="Padrão",$H$4=#REF!),BDI!#REF!,IF(AND(#REF!="Diferenciado",$H$4=#REF!),BDI!$E$17,IF(AND(#REF!="Diferenciado",$H$4=#REF!),BDI!#REF!,IF(#REF!="ZERO",0))))),"")</f>
        <v>#REF!</v>
      </c>
      <c r="H2097" s="139" t="str">
        <f t="shared" si="109"/>
        <v/>
      </c>
      <c r="I2097" s="137" t="str">
        <f t="shared" si="110"/>
        <v/>
      </c>
      <c r="J2097" s="117"/>
    </row>
    <row r="2098" spans="1:10" hidden="1" x14ac:dyDescent="0.25">
      <c r="A2098" s="114" t="s">
        <v>4882</v>
      </c>
      <c r="B2098" s="115" t="s">
        <v>7476</v>
      </c>
      <c r="C2098" s="116" t="s">
        <v>16</v>
      </c>
      <c r="D2098" s="116">
        <v>0</v>
      </c>
      <c r="E2098" s="136" t="s">
        <v>416</v>
      </c>
      <c r="F2098" s="137" t="str">
        <f t="shared" si="108"/>
        <v/>
      </c>
      <c r="G2098" s="138" t="e">
        <f>IF(A2098&lt;&gt;"",IF(AND(#REF!="Padrão",$H$4=#REF!),BDI!$B$17,IF(AND(#REF!="Padrão",$H$4=#REF!),BDI!#REF!,IF(AND(#REF!="Diferenciado",$H$4=#REF!),BDI!$E$17,IF(AND(#REF!="Diferenciado",$H$4=#REF!),BDI!#REF!,IF(#REF!="ZERO",0))))),"")</f>
        <v>#REF!</v>
      </c>
      <c r="H2098" s="139" t="str">
        <f t="shared" si="109"/>
        <v/>
      </c>
      <c r="I2098" s="137" t="str">
        <f t="shared" si="110"/>
        <v/>
      </c>
      <c r="J2098" s="117"/>
    </row>
    <row r="2099" spans="1:10" hidden="1" x14ac:dyDescent="0.25">
      <c r="A2099" s="114" t="s">
        <v>4883</v>
      </c>
      <c r="B2099" s="115" t="s">
        <v>3745</v>
      </c>
      <c r="C2099" s="116" t="s">
        <v>16</v>
      </c>
      <c r="D2099" s="116">
        <v>0</v>
      </c>
      <c r="E2099" s="136">
        <f ca="1">OFFSET(INDEX(Composições!A:J,MATCH(Orçamentária!A2099,Composições!A:A,0),8),2,0)</f>
        <v>4.7404999999999999</v>
      </c>
      <c r="F2099" s="137">
        <f t="shared" ca="1" si="108"/>
        <v>0</v>
      </c>
      <c r="G2099" s="138" t="e">
        <f>IF(A2099&lt;&gt;"",IF(AND(#REF!="Padrão",$H$4=#REF!),BDI!$B$17,IF(AND(#REF!="Padrão",$H$4=#REF!),BDI!#REF!,IF(AND(#REF!="Diferenciado",$H$4=#REF!),BDI!$E$17,IF(AND(#REF!="Diferenciado",$H$4=#REF!),BDI!#REF!,IF(#REF!="ZERO",0))))),"")</f>
        <v>#REF!</v>
      </c>
      <c r="H2099" s="139" t="e">
        <f t="shared" ca="1" si="109"/>
        <v>#REF!</v>
      </c>
      <c r="I2099" s="137" t="e">
        <f t="shared" ca="1" si="110"/>
        <v>#REF!</v>
      </c>
      <c r="J2099" s="117"/>
    </row>
    <row r="2100" spans="1:10" hidden="1" x14ac:dyDescent="0.25">
      <c r="A2100" s="114" t="s">
        <v>4884</v>
      </c>
      <c r="B2100" s="115" t="s">
        <v>3746</v>
      </c>
      <c r="C2100" s="116" t="s">
        <v>16</v>
      </c>
      <c r="D2100" s="116">
        <v>0</v>
      </c>
      <c r="E2100" s="136">
        <f ca="1">OFFSET(INDEX(Composições!A:J,MATCH(Orçamentária!A2100,Composições!A:A,0),8),2,0)</f>
        <v>0</v>
      </c>
      <c r="F2100" s="137">
        <f t="shared" ca="1" si="108"/>
        <v>0</v>
      </c>
      <c r="G2100" s="138" t="e">
        <f>IF(A2100&lt;&gt;"",IF(AND(#REF!="Padrão",$H$4=#REF!),BDI!$B$17,IF(AND(#REF!="Padrão",$H$4=#REF!),BDI!#REF!,IF(AND(#REF!="Diferenciado",$H$4=#REF!),BDI!$E$17,IF(AND(#REF!="Diferenciado",$H$4=#REF!),BDI!#REF!,IF(#REF!="ZERO",0))))),"")</f>
        <v>#REF!</v>
      </c>
      <c r="H2100" s="139" t="e">
        <f t="shared" ca="1" si="109"/>
        <v>#REF!</v>
      </c>
      <c r="I2100" s="137" t="e">
        <f t="shared" ca="1" si="110"/>
        <v>#REF!</v>
      </c>
      <c r="J2100" s="117"/>
    </row>
    <row r="2101" spans="1:10" hidden="1" x14ac:dyDescent="0.25">
      <c r="A2101" s="114" t="s">
        <v>4885</v>
      </c>
      <c r="B2101" s="115" t="s">
        <v>5606</v>
      </c>
      <c r="C2101" s="116" t="s">
        <v>16</v>
      </c>
      <c r="D2101" s="116">
        <v>0</v>
      </c>
      <c r="E2101" s="136" t="s">
        <v>416</v>
      </c>
      <c r="F2101" s="137" t="str">
        <f t="shared" si="108"/>
        <v/>
      </c>
      <c r="G2101" s="138" t="e">
        <f>IF(A2101&lt;&gt;"",IF(AND(#REF!="Padrão",$H$4=#REF!),BDI!$B$17,IF(AND(#REF!="Padrão",$H$4=#REF!),BDI!#REF!,IF(AND(#REF!="Diferenciado",$H$4=#REF!),BDI!$E$17,IF(AND(#REF!="Diferenciado",$H$4=#REF!),BDI!#REF!,IF(#REF!="ZERO",0))))),"")</f>
        <v>#REF!</v>
      </c>
      <c r="H2101" s="139" t="str">
        <f t="shared" si="109"/>
        <v/>
      </c>
      <c r="I2101" s="137" t="str">
        <f t="shared" si="110"/>
        <v/>
      </c>
      <c r="J2101" s="117"/>
    </row>
    <row r="2102" spans="1:10" hidden="1" x14ac:dyDescent="0.25">
      <c r="A2102" s="114" t="s">
        <v>4886</v>
      </c>
      <c r="B2102" s="115" t="s">
        <v>3747</v>
      </c>
      <c r="C2102" s="116" t="s">
        <v>16</v>
      </c>
      <c r="D2102" s="116">
        <v>0</v>
      </c>
      <c r="E2102" s="136" t="s">
        <v>416</v>
      </c>
      <c r="F2102" s="137" t="str">
        <f t="shared" si="108"/>
        <v/>
      </c>
      <c r="G2102" s="138" t="e">
        <f>IF(A2102&lt;&gt;"",IF(AND(#REF!="Padrão",$H$4=#REF!),BDI!$B$17,IF(AND(#REF!="Padrão",$H$4=#REF!),BDI!#REF!,IF(AND(#REF!="Diferenciado",$H$4=#REF!),BDI!$E$17,IF(AND(#REF!="Diferenciado",$H$4=#REF!),BDI!#REF!,IF(#REF!="ZERO",0))))),"")</f>
        <v>#REF!</v>
      </c>
      <c r="H2102" s="139" t="str">
        <f t="shared" si="109"/>
        <v/>
      </c>
      <c r="I2102" s="137" t="str">
        <f t="shared" si="110"/>
        <v/>
      </c>
      <c r="J2102" s="117"/>
    </row>
    <row r="2103" spans="1:10" hidden="1" x14ac:dyDescent="0.25">
      <c r="A2103" s="114" t="s">
        <v>4887</v>
      </c>
      <c r="B2103" s="115" t="s">
        <v>7464</v>
      </c>
      <c r="C2103" s="116" t="s">
        <v>16</v>
      </c>
      <c r="D2103" s="116">
        <v>0</v>
      </c>
      <c r="E2103" s="136" t="s">
        <v>416</v>
      </c>
      <c r="F2103" s="137" t="str">
        <f t="shared" si="108"/>
        <v/>
      </c>
      <c r="G2103" s="138" t="e">
        <f>IF(A2103&lt;&gt;"",IF(AND(#REF!="Padrão",$H$4=#REF!),BDI!$B$17,IF(AND(#REF!="Padrão",$H$4=#REF!),BDI!#REF!,IF(AND(#REF!="Diferenciado",$H$4=#REF!),BDI!$E$17,IF(AND(#REF!="Diferenciado",$H$4=#REF!),BDI!#REF!,IF(#REF!="ZERO",0))))),"")</f>
        <v>#REF!</v>
      </c>
      <c r="H2103" s="139" t="str">
        <f t="shared" si="109"/>
        <v/>
      </c>
      <c r="I2103" s="137" t="str">
        <f t="shared" si="110"/>
        <v/>
      </c>
      <c r="J2103" s="117"/>
    </row>
    <row r="2104" spans="1:10" hidden="1" x14ac:dyDescent="0.25">
      <c r="A2104" s="114" t="s">
        <v>4888</v>
      </c>
      <c r="B2104" s="115" t="s">
        <v>7465</v>
      </c>
      <c r="C2104" s="116" t="s">
        <v>16</v>
      </c>
      <c r="D2104" s="116">
        <v>0</v>
      </c>
      <c r="E2104" s="136">
        <f ca="1">OFFSET(INDEX(Composições!A:J,MATCH(Orçamentária!A2104,Composições!A:A,0),8),2,0)</f>
        <v>23.75</v>
      </c>
      <c r="F2104" s="137">
        <f t="shared" ca="1" si="108"/>
        <v>0</v>
      </c>
      <c r="G2104" s="138" t="e">
        <f>IF(A2104&lt;&gt;"",IF(AND(#REF!="Padrão",$H$4=#REF!),BDI!$B$17,IF(AND(#REF!="Padrão",$H$4=#REF!),BDI!#REF!,IF(AND(#REF!="Diferenciado",$H$4=#REF!),BDI!$E$17,IF(AND(#REF!="Diferenciado",$H$4=#REF!),BDI!#REF!,IF(#REF!="ZERO",0))))),"")</f>
        <v>#REF!</v>
      </c>
      <c r="H2104" s="139" t="e">
        <f t="shared" ca="1" si="109"/>
        <v>#REF!</v>
      </c>
      <c r="I2104" s="137" t="e">
        <f t="shared" ca="1" si="110"/>
        <v>#REF!</v>
      </c>
      <c r="J2104" s="117"/>
    </row>
    <row r="2105" spans="1:10" hidden="1" x14ac:dyDescent="0.25">
      <c r="A2105" s="114" t="s">
        <v>4889</v>
      </c>
      <c r="B2105" s="115" t="s">
        <v>7466</v>
      </c>
      <c r="C2105" s="116" t="s">
        <v>16</v>
      </c>
      <c r="D2105" s="116">
        <v>0</v>
      </c>
      <c r="E2105" s="136" t="s">
        <v>416</v>
      </c>
      <c r="F2105" s="137" t="str">
        <f t="shared" si="108"/>
        <v/>
      </c>
      <c r="G2105" s="138" t="e">
        <f>IF(A2105&lt;&gt;"",IF(AND(#REF!="Padrão",$H$4=#REF!),BDI!$B$17,IF(AND(#REF!="Padrão",$H$4=#REF!),BDI!#REF!,IF(AND(#REF!="Diferenciado",$H$4=#REF!),BDI!$E$17,IF(AND(#REF!="Diferenciado",$H$4=#REF!),BDI!#REF!,IF(#REF!="ZERO",0))))),"")</f>
        <v>#REF!</v>
      </c>
      <c r="H2105" s="139" t="str">
        <f t="shared" si="109"/>
        <v/>
      </c>
      <c r="I2105" s="137" t="str">
        <f t="shared" si="110"/>
        <v/>
      </c>
      <c r="J2105" s="117"/>
    </row>
    <row r="2106" spans="1:10" hidden="1" x14ac:dyDescent="0.25">
      <c r="A2106" s="114" t="s">
        <v>4890</v>
      </c>
      <c r="B2106" s="115" t="s">
        <v>7467</v>
      </c>
      <c r="C2106" s="116" t="s">
        <v>16</v>
      </c>
      <c r="D2106" s="116">
        <v>0</v>
      </c>
      <c r="E2106" s="136" t="s">
        <v>416</v>
      </c>
      <c r="F2106" s="137" t="str">
        <f t="shared" si="108"/>
        <v/>
      </c>
      <c r="G2106" s="138" t="e">
        <f>IF(A2106&lt;&gt;"",IF(AND(#REF!="Padrão",$H$4=#REF!),BDI!$B$17,IF(AND(#REF!="Padrão",$H$4=#REF!),BDI!#REF!,IF(AND(#REF!="Diferenciado",$H$4=#REF!),BDI!$E$17,IF(AND(#REF!="Diferenciado",$H$4=#REF!),BDI!#REF!,IF(#REF!="ZERO",0))))),"")</f>
        <v>#REF!</v>
      </c>
      <c r="H2106" s="139" t="str">
        <f t="shared" si="109"/>
        <v/>
      </c>
      <c r="I2106" s="137" t="str">
        <f t="shared" si="110"/>
        <v/>
      </c>
      <c r="J2106" s="117"/>
    </row>
    <row r="2107" spans="1:10" hidden="1" x14ac:dyDescent="0.25">
      <c r="A2107" s="114" t="s">
        <v>4891</v>
      </c>
      <c r="B2107" s="115" t="s">
        <v>7468</v>
      </c>
      <c r="C2107" s="116" t="s">
        <v>16</v>
      </c>
      <c r="D2107" s="116">
        <v>0</v>
      </c>
      <c r="E2107" s="136" t="s">
        <v>416</v>
      </c>
      <c r="F2107" s="137" t="str">
        <f t="shared" si="108"/>
        <v/>
      </c>
      <c r="G2107" s="138" t="e">
        <f>IF(A2107&lt;&gt;"",IF(AND(#REF!="Padrão",$H$4=#REF!),BDI!$B$17,IF(AND(#REF!="Padrão",$H$4=#REF!),BDI!#REF!,IF(AND(#REF!="Diferenciado",$H$4=#REF!),BDI!$E$17,IF(AND(#REF!="Diferenciado",$H$4=#REF!),BDI!#REF!,IF(#REF!="ZERO",0))))),"")</f>
        <v>#REF!</v>
      </c>
      <c r="H2107" s="139" t="str">
        <f t="shared" si="109"/>
        <v/>
      </c>
      <c r="I2107" s="137" t="str">
        <f t="shared" si="110"/>
        <v/>
      </c>
      <c r="J2107" s="117"/>
    </row>
    <row r="2108" spans="1:10" hidden="1" x14ac:dyDescent="0.25">
      <c r="A2108" s="114" t="s">
        <v>4892</v>
      </c>
      <c r="B2108" s="115" t="s">
        <v>7462</v>
      </c>
      <c r="C2108" s="116" t="s">
        <v>16</v>
      </c>
      <c r="D2108" s="116">
        <v>0</v>
      </c>
      <c r="E2108" s="136" t="s">
        <v>416</v>
      </c>
      <c r="F2108" s="137" t="str">
        <f t="shared" si="108"/>
        <v/>
      </c>
      <c r="G2108" s="138" t="e">
        <f>IF(A2108&lt;&gt;"",IF(AND(#REF!="Padrão",$H$4=#REF!),BDI!$B$17,IF(AND(#REF!="Padrão",$H$4=#REF!),BDI!#REF!,IF(AND(#REF!="Diferenciado",$H$4=#REF!),BDI!$E$17,IF(AND(#REF!="Diferenciado",$H$4=#REF!),BDI!#REF!,IF(#REF!="ZERO",0))))),"")</f>
        <v>#REF!</v>
      </c>
      <c r="H2108" s="139" t="str">
        <f t="shared" si="109"/>
        <v/>
      </c>
      <c r="I2108" s="137" t="str">
        <f t="shared" si="110"/>
        <v/>
      </c>
      <c r="J2108" s="117"/>
    </row>
    <row r="2109" spans="1:10" hidden="1" x14ac:dyDescent="0.25">
      <c r="A2109" s="114" t="s">
        <v>4893</v>
      </c>
      <c r="B2109" s="115" t="s">
        <v>7463</v>
      </c>
      <c r="C2109" s="116" t="s">
        <v>16</v>
      </c>
      <c r="D2109" s="116">
        <v>0</v>
      </c>
      <c r="E2109" s="136" t="s">
        <v>416</v>
      </c>
      <c r="F2109" s="137" t="str">
        <f t="shared" si="108"/>
        <v/>
      </c>
      <c r="G2109" s="138" t="e">
        <f>IF(A2109&lt;&gt;"",IF(AND(#REF!="Padrão",$H$4=#REF!),BDI!$B$17,IF(AND(#REF!="Padrão",$H$4=#REF!),BDI!#REF!,IF(AND(#REF!="Diferenciado",$H$4=#REF!),BDI!$E$17,IF(AND(#REF!="Diferenciado",$H$4=#REF!),BDI!#REF!,IF(#REF!="ZERO",0))))),"")</f>
        <v>#REF!</v>
      </c>
      <c r="H2109" s="139" t="str">
        <f t="shared" si="109"/>
        <v/>
      </c>
      <c r="I2109" s="137" t="str">
        <f t="shared" si="110"/>
        <v/>
      </c>
      <c r="J2109" s="117"/>
    </row>
    <row r="2110" spans="1:10" hidden="1" x14ac:dyDescent="0.25">
      <c r="A2110" s="114" t="s">
        <v>4894</v>
      </c>
      <c r="B2110" s="115" t="s">
        <v>3748</v>
      </c>
      <c r="C2110" s="116" t="s">
        <v>4171</v>
      </c>
      <c r="D2110" s="116">
        <v>0</v>
      </c>
      <c r="E2110" s="136" t="s">
        <v>416</v>
      </c>
      <c r="F2110" s="137" t="str">
        <f t="shared" si="108"/>
        <v/>
      </c>
      <c r="G2110" s="138" t="e">
        <f>IF(A2110&lt;&gt;"",IF(AND(#REF!="Padrão",$H$4=#REF!),BDI!$B$17,IF(AND(#REF!="Padrão",$H$4=#REF!),BDI!#REF!,IF(AND(#REF!="Diferenciado",$H$4=#REF!),BDI!$E$17,IF(AND(#REF!="Diferenciado",$H$4=#REF!),BDI!#REF!,IF(#REF!="ZERO",0))))),"")</f>
        <v>#REF!</v>
      </c>
      <c r="H2110" s="139" t="str">
        <f t="shared" si="109"/>
        <v/>
      </c>
      <c r="I2110" s="137" t="str">
        <f t="shared" si="110"/>
        <v/>
      </c>
      <c r="J2110" s="117"/>
    </row>
    <row r="2111" spans="1:10" hidden="1" x14ac:dyDescent="0.25">
      <c r="A2111" s="114" t="s">
        <v>4895</v>
      </c>
      <c r="B2111" s="115" t="s">
        <v>3749</v>
      </c>
      <c r="C2111" s="116" t="s">
        <v>4171</v>
      </c>
      <c r="D2111" s="116">
        <v>0</v>
      </c>
      <c r="E2111" s="136" t="s">
        <v>416</v>
      </c>
      <c r="F2111" s="137" t="str">
        <f t="shared" si="108"/>
        <v/>
      </c>
      <c r="G2111" s="138" t="e">
        <f>IF(A2111&lt;&gt;"",IF(AND(#REF!="Padrão",$H$4=#REF!),BDI!$B$17,IF(AND(#REF!="Padrão",$H$4=#REF!),BDI!#REF!,IF(AND(#REF!="Diferenciado",$H$4=#REF!),BDI!$E$17,IF(AND(#REF!="Diferenciado",$H$4=#REF!),BDI!#REF!,IF(#REF!="ZERO",0))))),"")</f>
        <v>#REF!</v>
      </c>
      <c r="H2111" s="139" t="str">
        <f t="shared" si="109"/>
        <v/>
      </c>
      <c r="I2111" s="137" t="str">
        <f t="shared" si="110"/>
        <v/>
      </c>
      <c r="J2111" s="117"/>
    </row>
    <row r="2112" spans="1:10" hidden="1" x14ac:dyDescent="0.25">
      <c r="A2112" s="114" t="s">
        <v>4896</v>
      </c>
      <c r="B2112" s="115" t="s">
        <v>3750</v>
      </c>
      <c r="C2112" s="116" t="s">
        <v>4171</v>
      </c>
      <c r="D2112" s="116">
        <v>0</v>
      </c>
      <c r="E2112" s="136" t="s">
        <v>416</v>
      </c>
      <c r="F2112" s="137" t="str">
        <f t="shared" si="108"/>
        <v/>
      </c>
      <c r="G2112" s="138" t="e">
        <f>IF(A2112&lt;&gt;"",IF(AND(#REF!="Padrão",$H$4=#REF!),BDI!$B$17,IF(AND(#REF!="Padrão",$H$4=#REF!),BDI!#REF!,IF(AND(#REF!="Diferenciado",$H$4=#REF!),BDI!$E$17,IF(AND(#REF!="Diferenciado",$H$4=#REF!),BDI!#REF!,IF(#REF!="ZERO",0))))),"")</f>
        <v>#REF!</v>
      </c>
      <c r="H2112" s="139" t="str">
        <f t="shared" si="109"/>
        <v/>
      </c>
      <c r="I2112" s="137" t="str">
        <f t="shared" si="110"/>
        <v/>
      </c>
      <c r="J2112" s="117"/>
    </row>
    <row r="2113" spans="1:10" hidden="1" x14ac:dyDescent="0.25">
      <c r="A2113" s="114" t="s">
        <v>4897</v>
      </c>
      <c r="B2113" s="115" t="s">
        <v>3751</v>
      </c>
      <c r="C2113" s="116" t="s">
        <v>4171</v>
      </c>
      <c r="D2113" s="116">
        <v>0</v>
      </c>
      <c r="E2113" s="136" t="s">
        <v>416</v>
      </c>
      <c r="F2113" s="137" t="str">
        <f t="shared" si="108"/>
        <v/>
      </c>
      <c r="G2113" s="138" t="e">
        <f>IF(A2113&lt;&gt;"",IF(AND(#REF!="Padrão",$H$4=#REF!),BDI!$B$17,IF(AND(#REF!="Padrão",$H$4=#REF!),BDI!#REF!,IF(AND(#REF!="Diferenciado",$H$4=#REF!),BDI!$E$17,IF(AND(#REF!="Diferenciado",$H$4=#REF!),BDI!#REF!,IF(#REF!="ZERO",0))))),"")</f>
        <v>#REF!</v>
      </c>
      <c r="H2113" s="139" t="str">
        <f t="shared" si="109"/>
        <v/>
      </c>
      <c r="I2113" s="137" t="str">
        <f t="shared" si="110"/>
        <v/>
      </c>
      <c r="J2113" s="117"/>
    </row>
    <row r="2114" spans="1:10" hidden="1" x14ac:dyDescent="0.25">
      <c r="A2114" s="114" t="s">
        <v>4898</v>
      </c>
      <c r="B2114" s="115" t="s">
        <v>3752</v>
      </c>
      <c r="C2114" s="116" t="s">
        <v>16</v>
      </c>
      <c r="D2114" s="116">
        <v>0</v>
      </c>
      <c r="E2114" s="136" t="s">
        <v>416</v>
      </c>
      <c r="F2114" s="137" t="str">
        <f t="shared" si="108"/>
        <v/>
      </c>
      <c r="G2114" s="138" t="e">
        <f>IF(A2114&lt;&gt;"",IF(AND(#REF!="Padrão",$H$4=#REF!),BDI!$B$17,IF(AND(#REF!="Padrão",$H$4=#REF!),BDI!#REF!,IF(AND(#REF!="Diferenciado",$H$4=#REF!),BDI!$E$17,IF(AND(#REF!="Diferenciado",$H$4=#REF!),BDI!#REF!,IF(#REF!="ZERO",0))))),"")</f>
        <v>#REF!</v>
      </c>
      <c r="H2114" s="139" t="str">
        <f t="shared" si="109"/>
        <v/>
      </c>
      <c r="I2114" s="137" t="str">
        <f t="shared" si="110"/>
        <v/>
      </c>
      <c r="J2114" s="117"/>
    </row>
    <row r="2115" spans="1:10" hidden="1" x14ac:dyDescent="0.25">
      <c r="A2115" s="114" t="s">
        <v>4899</v>
      </c>
      <c r="B2115" s="115" t="s">
        <v>3753</v>
      </c>
      <c r="C2115" s="116" t="s">
        <v>16</v>
      </c>
      <c r="D2115" s="116">
        <v>0</v>
      </c>
      <c r="E2115" s="136" t="s">
        <v>416</v>
      </c>
      <c r="F2115" s="137" t="str">
        <f t="shared" si="108"/>
        <v/>
      </c>
      <c r="G2115" s="138" t="e">
        <f>IF(A2115&lt;&gt;"",IF(AND(#REF!="Padrão",$H$4=#REF!),BDI!$B$17,IF(AND(#REF!="Padrão",$H$4=#REF!),BDI!#REF!,IF(AND(#REF!="Diferenciado",$H$4=#REF!),BDI!$E$17,IF(AND(#REF!="Diferenciado",$H$4=#REF!),BDI!#REF!,IF(#REF!="ZERO",0))))),"")</f>
        <v>#REF!</v>
      </c>
      <c r="H2115" s="139" t="str">
        <f t="shared" si="109"/>
        <v/>
      </c>
      <c r="I2115" s="137" t="str">
        <f t="shared" si="110"/>
        <v/>
      </c>
      <c r="J2115" s="117"/>
    </row>
    <row r="2116" spans="1:10" hidden="1" x14ac:dyDescent="0.25">
      <c r="A2116" s="114" t="s">
        <v>4900</v>
      </c>
      <c r="B2116" s="115" t="s">
        <v>3754</v>
      </c>
      <c r="C2116" s="116" t="s">
        <v>16</v>
      </c>
      <c r="D2116" s="116">
        <v>0</v>
      </c>
      <c r="E2116" s="136" t="s">
        <v>416</v>
      </c>
      <c r="F2116" s="137" t="str">
        <f t="shared" si="108"/>
        <v/>
      </c>
      <c r="G2116" s="138" t="e">
        <f>IF(A2116&lt;&gt;"",IF(AND(#REF!="Padrão",$H$4=#REF!),BDI!$B$17,IF(AND(#REF!="Padrão",$H$4=#REF!),BDI!#REF!,IF(AND(#REF!="Diferenciado",$H$4=#REF!),BDI!$E$17,IF(AND(#REF!="Diferenciado",$H$4=#REF!),BDI!#REF!,IF(#REF!="ZERO",0))))),"")</f>
        <v>#REF!</v>
      </c>
      <c r="H2116" s="139" t="str">
        <f t="shared" si="109"/>
        <v/>
      </c>
      <c r="I2116" s="137" t="str">
        <f t="shared" si="110"/>
        <v/>
      </c>
      <c r="J2116" s="117"/>
    </row>
    <row r="2117" spans="1:10" hidden="1" x14ac:dyDescent="0.25">
      <c r="A2117" s="114" t="s">
        <v>4901</v>
      </c>
      <c r="B2117" s="115" t="s">
        <v>3755</v>
      </c>
      <c r="C2117" s="116" t="s">
        <v>16</v>
      </c>
      <c r="D2117" s="116">
        <v>0</v>
      </c>
      <c r="E2117" s="136" t="s">
        <v>416</v>
      </c>
      <c r="F2117" s="137" t="str">
        <f t="shared" si="108"/>
        <v/>
      </c>
      <c r="G2117" s="138" t="e">
        <f>IF(A2117&lt;&gt;"",IF(AND(#REF!="Padrão",$H$4=#REF!),BDI!$B$17,IF(AND(#REF!="Padrão",$H$4=#REF!),BDI!#REF!,IF(AND(#REF!="Diferenciado",$H$4=#REF!),BDI!$E$17,IF(AND(#REF!="Diferenciado",$H$4=#REF!),BDI!#REF!,IF(#REF!="ZERO",0))))),"")</f>
        <v>#REF!</v>
      </c>
      <c r="H2117" s="139" t="str">
        <f t="shared" si="109"/>
        <v/>
      </c>
      <c r="I2117" s="137" t="str">
        <f t="shared" si="110"/>
        <v/>
      </c>
      <c r="J2117" s="117"/>
    </row>
    <row r="2118" spans="1:10" hidden="1" x14ac:dyDescent="0.25">
      <c r="A2118" s="114" t="s">
        <v>4902</v>
      </c>
      <c r="B2118" s="115" t="s">
        <v>5607</v>
      </c>
      <c r="C2118" s="116" t="s">
        <v>16</v>
      </c>
      <c r="D2118" s="116">
        <v>0</v>
      </c>
      <c r="E2118" s="136" t="s">
        <v>416</v>
      </c>
      <c r="F2118" s="137" t="str">
        <f t="shared" si="108"/>
        <v/>
      </c>
      <c r="G2118" s="138" t="e">
        <f>IF(A2118&lt;&gt;"",IF(AND(#REF!="Padrão",$H$4=#REF!),BDI!$B$17,IF(AND(#REF!="Padrão",$H$4=#REF!),BDI!#REF!,IF(AND(#REF!="Diferenciado",$H$4=#REF!),BDI!$E$17,IF(AND(#REF!="Diferenciado",$H$4=#REF!),BDI!#REF!,IF(#REF!="ZERO",0))))),"")</f>
        <v>#REF!</v>
      </c>
      <c r="H2118" s="139" t="str">
        <f t="shared" si="109"/>
        <v/>
      </c>
      <c r="I2118" s="137" t="str">
        <f t="shared" si="110"/>
        <v/>
      </c>
      <c r="J2118" s="117"/>
    </row>
    <row r="2119" spans="1:10" hidden="1" x14ac:dyDescent="0.25">
      <c r="A2119" s="114" t="s">
        <v>4903</v>
      </c>
      <c r="B2119" s="115" t="s">
        <v>7458</v>
      </c>
      <c r="C2119" s="116" t="s">
        <v>16</v>
      </c>
      <c r="D2119" s="116">
        <v>0</v>
      </c>
      <c r="E2119" s="136" t="s">
        <v>416</v>
      </c>
      <c r="F2119" s="137" t="str">
        <f t="shared" si="108"/>
        <v/>
      </c>
      <c r="G2119" s="138" t="e">
        <f>IF(A2119&lt;&gt;"",IF(AND(#REF!="Padrão",$H$4=#REF!),BDI!$B$17,IF(AND(#REF!="Padrão",$H$4=#REF!),BDI!#REF!,IF(AND(#REF!="Diferenciado",$H$4=#REF!),BDI!$E$17,IF(AND(#REF!="Diferenciado",$H$4=#REF!),BDI!#REF!,IF(#REF!="ZERO",0))))),"")</f>
        <v>#REF!</v>
      </c>
      <c r="H2119" s="139" t="str">
        <f t="shared" si="109"/>
        <v/>
      </c>
      <c r="I2119" s="137" t="str">
        <f t="shared" si="110"/>
        <v/>
      </c>
      <c r="J2119" s="117"/>
    </row>
    <row r="2120" spans="1:10" hidden="1" x14ac:dyDescent="0.25">
      <c r="A2120" s="114" t="s">
        <v>4904</v>
      </c>
      <c r="B2120" s="115" t="s">
        <v>7459</v>
      </c>
      <c r="C2120" s="116" t="s">
        <v>16</v>
      </c>
      <c r="D2120" s="116">
        <v>0</v>
      </c>
      <c r="E2120" s="136" t="s">
        <v>416</v>
      </c>
      <c r="F2120" s="137" t="str">
        <f t="shared" si="108"/>
        <v/>
      </c>
      <c r="G2120" s="138" t="e">
        <f>IF(A2120&lt;&gt;"",IF(AND(#REF!="Padrão",$H$4=#REF!),BDI!$B$17,IF(AND(#REF!="Padrão",$H$4=#REF!),BDI!#REF!,IF(AND(#REF!="Diferenciado",$H$4=#REF!),BDI!$E$17,IF(AND(#REF!="Diferenciado",$H$4=#REF!),BDI!#REF!,IF(#REF!="ZERO",0))))),"")</f>
        <v>#REF!</v>
      </c>
      <c r="H2120" s="139" t="str">
        <f t="shared" si="109"/>
        <v/>
      </c>
      <c r="I2120" s="137" t="str">
        <f t="shared" si="110"/>
        <v/>
      </c>
      <c r="J2120" s="117"/>
    </row>
    <row r="2121" spans="1:10" hidden="1" x14ac:dyDescent="0.25">
      <c r="A2121" s="114" t="s">
        <v>4905</v>
      </c>
      <c r="B2121" s="115" t="s">
        <v>7460</v>
      </c>
      <c r="C2121" s="116" t="s">
        <v>16</v>
      </c>
      <c r="D2121" s="116">
        <v>0</v>
      </c>
      <c r="E2121" s="136" t="s">
        <v>416</v>
      </c>
      <c r="F2121" s="137" t="str">
        <f t="shared" si="108"/>
        <v/>
      </c>
      <c r="G2121" s="138" t="e">
        <f>IF(A2121&lt;&gt;"",IF(AND(#REF!="Padrão",$H$4=#REF!),BDI!$B$17,IF(AND(#REF!="Padrão",$H$4=#REF!),BDI!#REF!,IF(AND(#REF!="Diferenciado",$H$4=#REF!),BDI!$E$17,IF(AND(#REF!="Diferenciado",$H$4=#REF!),BDI!#REF!,IF(#REF!="ZERO",0))))),"")</f>
        <v>#REF!</v>
      </c>
      <c r="H2121" s="139" t="str">
        <f t="shared" si="109"/>
        <v/>
      </c>
      <c r="I2121" s="137" t="str">
        <f t="shared" si="110"/>
        <v/>
      </c>
      <c r="J2121" s="117"/>
    </row>
    <row r="2122" spans="1:10" hidden="1" x14ac:dyDescent="0.25">
      <c r="A2122" s="114" t="s">
        <v>4906</v>
      </c>
      <c r="B2122" s="115" t="s">
        <v>7461</v>
      </c>
      <c r="C2122" s="116" t="s">
        <v>16</v>
      </c>
      <c r="D2122" s="116">
        <v>0</v>
      </c>
      <c r="E2122" s="136" t="s">
        <v>416</v>
      </c>
      <c r="F2122" s="137" t="str">
        <f t="shared" si="108"/>
        <v/>
      </c>
      <c r="G2122" s="138" t="e">
        <f>IF(A2122&lt;&gt;"",IF(AND(#REF!="Padrão",$H$4=#REF!),BDI!$B$17,IF(AND(#REF!="Padrão",$H$4=#REF!),BDI!#REF!,IF(AND(#REF!="Diferenciado",$H$4=#REF!),BDI!$E$17,IF(AND(#REF!="Diferenciado",$H$4=#REF!),BDI!#REF!,IF(#REF!="ZERO",0))))),"")</f>
        <v>#REF!</v>
      </c>
      <c r="H2122" s="139" t="str">
        <f t="shared" si="109"/>
        <v/>
      </c>
      <c r="I2122" s="137" t="str">
        <f t="shared" si="110"/>
        <v/>
      </c>
      <c r="J2122" s="117"/>
    </row>
    <row r="2123" spans="1:10" hidden="1" x14ac:dyDescent="0.25">
      <c r="A2123" s="114" t="s">
        <v>4907</v>
      </c>
      <c r="B2123" s="115" t="s">
        <v>5608</v>
      </c>
      <c r="C2123" s="116" t="s">
        <v>16</v>
      </c>
      <c r="D2123" s="116">
        <v>0</v>
      </c>
      <c r="E2123" s="136" t="s">
        <v>416</v>
      </c>
      <c r="F2123" s="137" t="str">
        <f t="shared" si="108"/>
        <v/>
      </c>
      <c r="G2123" s="138" t="e">
        <f>IF(A2123&lt;&gt;"",IF(AND(#REF!="Padrão",$H$4=#REF!),BDI!$B$17,IF(AND(#REF!="Padrão",$H$4=#REF!),BDI!#REF!,IF(AND(#REF!="Diferenciado",$H$4=#REF!),BDI!$E$17,IF(AND(#REF!="Diferenciado",$H$4=#REF!),BDI!#REF!,IF(#REF!="ZERO",0))))),"")</f>
        <v>#REF!</v>
      </c>
      <c r="H2123" s="139" t="str">
        <f t="shared" si="109"/>
        <v/>
      </c>
      <c r="I2123" s="137" t="str">
        <f t="shared" si="110"/>
        <v/>
      </c>
      <c r="J2123" s="117"/>
    </row>
    <row r="2124" spans="1:10" hidden="1" x14ac:dyDescent="0.25">
      <c r="A2124" s="114" t="s">
        <v>4908</v>
      </c>
      <c r="B2124" s="115" t="s">
        <v>5609</v>
      </c>
      <c r="C2124" s="116" t="s">
        <v>16</v>
      </c>
      <c r="D2124" s="116">
        <v>0</v>
      </c>
      <c r="E2124" s="136" t="s">
        <v>416</v>
      </c>
      <c r="F2124" s="137" t="str">
        <f t="shared" si="108"/>
        <v/>
      </c>
      <c r="G2124" s="138" t="e">
        <f>IF(A2124&lt;&gt;"",IF(AND(#REF!="Padrão",$H$4=#REF!),BDI!$B$17,IF(AND(#REF!="Padrão",$H$4=#REF!),BDI!#REF!,IF(AND(#REF!="Diferenciado",$H$4=#REF!),BDI!$E$17,IF(AND(#REF!="Diferenciado",$H$4=#REF!),BDI!#REF!,IF(#REF!="ZERO",0))))),"")</f>
        <v>#REF!</v>
      </c>
      <c r="H2124" s="139" t="str">
        <f t="shared" si="109"/>
        <v/>
      </c>
      <c r="I2124" s="137" t="str">
        <f t="shared" si="110"/>
        <v/>
      </c>
      <c r="J2124" s="117"/>
    </row>
    <row r="2125" spans="1:10" hidden="1" x14ac:dyDescent="0.25">
      <c r="A2125" s="114" t="s">
        <v>4909</v>
      </c>
      <c r="B2125" s="115" t="s">
        <v>5610</v>
      </c>
      <c r="C2125" s="116" t="s">
        <v>16</v>
      </c>
      <c r="D2125" s="116">
        <v>0</v>
      </c>
      <c r="E2125" s="136" t="s">
        <v>416</v>
      </c>
      <c r="F2125" s="137" t="str">
        <f t="shared" si="108"/>
        <v/>
      </c>
      <c r="G2125" s="138" t="e">
        <f>IF(A2125&lt;&gt;"",IF(AND(#REF!="Padrão",$H$4=#REF!),BDI!$B$17,IF(AND(#REF!="Padrão",$H$4=#REF!),BDI!#REF!,IF(AND(#REF!="Diferenciado",$H$4=#REF!),BDI!$E$17,IF(AND(#REF!="Diferenciado",$H$4=#REF!),BDI!#REF!,IF(#REF!="ZERO",0))))),"")</f>
        <v>#REF!</v>
      </c>
      <c r="H2125" s="139" t="str">
        <f t="shared" si="109"/>
        <v/>
      </c>
      <c r="I2125" s="137" t="str">
        <f t="shared" si="110"/>
        <v/>
      </c>
      <c r="J2125" s="117"/>
    </row>
    <row r="2126" spans="1:10" hidden="1" x14ac:dyDescent="0.25">
      <c r="A2126" s="114" t="s">
        <v>4910</v>
      </c>
      <c r="B2126" s="115" t="s">
        <v>5611</v>
      </c>
      <c r="C2126" s="116" t="s">
        <v>16</v>
      </c>
      <c r="D2126" s="116">
        <v>0</v>
      </c>
      <c r="E2126" s="136" t="s">
        <v>416</v>
      </c>
      <c r="F2126" s="137" t="str">
        <f t="shared" si="108"/>
        <v/>
      </c>
      <c r="G2126" s="138" t="e">
        <f>IF(A2126&lt;&gt;"",IF(AND(#REF!="Padrão",$H$4=#REF!),BDI!$B$17,IF(AND(#REF!="Padrão",$H$4=#REF!),BDI!#REF!,IF(AND(#REF!="Diferenciado",$H$4=#REF!),BDI!$E$17,IF(AND(#REF!="Diferenciado",$H$4=#REF!),BDI!#REF!,IF(#REF!="ZERO",0))))),"")</f>
        <v>#REF!</v>
      </c>
      <c r="H2126" s="139" t="str">
        <f t="shared" si="109"/>
        <v/>
      </c>
      <c r="I2126" s="137" t="str">
        <f t="shared" si="110"/>
        <v/>
      </c>
      <c r="J2126" s="117"/>
    </row>
    <row r="2127" spans="1:10" hidden="1" x14ac:dyDescent="0.25">
      <c r="A2127" s="114" t="s">
        <v>4911</v>
      </c>
      <c r="B2127" s="115" t="s">
        <v>5612</v>
      </c>
      <c r="C2127" s="116" t="s">
        <v>16</v>
      </c>
      <c r="D2127" s="116">
        <v>0</v>
      </c>
      <c r="E2127" s="136" t="s">
        <v>416</v>
      </c>
      <c r="F2127" s="137" t="str">
        <f t="shared" si="108"/>
        <v/>
      </c>
      <c r="G2127" s="138" t="e">
        <f>IF(A2127&lt;&gt;"",IF(AND(#REF!="Padrão",$H$4=#REF!),BDI!$B$17,IF(AND(#REF!="Padrão",$H$4=#REF!),BDI!#REF!,IF(AND(#REF!="Diferenciado",$H$4=#REF!),BDI!$E$17,IF(AND(#REF!="Diferenciado",$H$4=#REF!),BDI!#REF!,IF(#REF!="ZERO",0))))),"")</f>
        <v>#REF!</v>
      </c>
      <c r="H2127" s="139" t="str">
        <f t="shared" si="109"/>
        <v/>
      </c>
      <c r="I2127" s="137" t="str">
        <f t="shared" si="110"/>
        <v/>
      </c>
      <c r="J2127" s="117"/>
    </row>
    <row r="2128" spans="1:10" hidden="1" x14ac:dyDescent="0.25">
      <c r="A2128" s="114" t="s">
        <v>4912</v>
      </c>
      <c r="B2128" s="115" t="s">
        <v>5613</v>
      </c>
      <c r="C2128" s="116" t="s">
        <v>16</v>
      </c>
      <c r="D2128" s="116">
        <v>0</v>
      </c>
      <c r="E2128" s="136" t="s">
        <v>416</v>
      </c>
      <c r="F2128" s="137" t="str">
        <f t="shared" si="108"/>
        <v/>
      </c>
      <c r="G2128" s="138" t="e">
        <f>IF(A2128&lt;&gt;"",IF(AND(#REF!="Padrão",$H$4=#REF!),BDI!$B$17,IF(AND(#REF!="Padrão",$H$4=#REF!),BDI!#REF!,IF(AND(#REF!="Diferenciado",$H$4=#REF!),BDI!$E$17,IF(AND(#REF!="Diferenciado",$H$4=#REF!),BDI!#REF!,IF(#REF!="ZERO",0))))),"")</f>
        <v>#REF!</v>
      </c>
      <c r="H2128" s="139" t="str">
        <f t="shared" si="109"/>
        <v/>
      </c>
      <c r="I2128" s="137" t="str">
        <f t="shared" si="110"/>
        <v/>
      </c>
      <c r="J2128" s="117"/>
    </row>
    <row r="2129" spans="1:10" hidden="1" x14ac:dyDescent="0.25">
      <c r="A2129" s="114" t="s">
        <v>4913</v>
      </c>
      <c r="B2129" s="115" t="s">
        <v>3756</v>
      </c>
      <c r="C2129" s="116" t="s">
        <v>16</v>
      </c>
      <c r="D2129" s="116">
        <v>0</v>
      </c>
      <c r="E2129" s="136" t="s">
        <v>416</v>
      </c>
      <c r="F2129" s="137" t="str">
        <f t="shared" si="108"/>
        <v/>
      </c>
      <c r="G2129" s="138" t="e">
        <f>IF(A2129&lt;&gt;"",IF(AND(#REF!="Padrão",$H$4=#REF!),BDI!$B$17,IF(AND(#REF!="Padrão",$H$4=#REF!),BDI!#REF!,IF(AND(#REF!="Diferenciado",$H$4=#REF!),BDI!$E$17,IF(AND(#REF!="Diferenciado",$H$4=#REF!),BDI!#REF!,IF(#REF!="ZERO",0))))),"")</f>
        <v>#REF!</v>
      </c>
      <c r="H2129" s="139" t="str">
        <f t="shared" si="109"/>
        <v/>
      </c>
      <c r="I2129" s="137" t="str">
        <f t="shared" si="110"/>
        <v/>
      </c>
      <c r="J2129" s="117"/>
    </row>
    <row r="2130" spans="1:10" hidden="1" x14ac:dyDescent="0.25">
      <c r="A2130" s="114" t="s">
        <v>4914</v>
      </c>
      <c r="B2130" s="115" t="s">
        <v>3757</v>
      </c>
      <c r="C2130" s="116" t="s">
        <v>16</v>
      </c>
      <c r="D2130" s="116">
        <v>0</v>
      </c>
      <c r="E2130" s="136" t="s">
        <v>416</v>
      </c>
      <c r="F2130" s="137" t="str">
        <f t="shared" si="108"/>
        <v/>
      </c>
      <c r="G2130" s="138" t="e">
        <f>IF(A2130&lt;&gt;"",IF(AND(#REF!="Padrão",$H$4=#REF!),BDI!$B$17,IF(AND(#REF!="Padrão",$H$4=#REF!),BDI!#REF!,IF(AND(#REF!="Diferenciado",$H$4=#REF!),BDI!$E$17,IF(AND(#REF!="Diferenciado",$H$4=#REF!),BDI!#REF!,IF(#REF!="ZERO",0))))),"")</f>
        <v>#REF!</v>
      </c>
      <c r="H2130" s="139" t="str">
        <f t="shared" si="109"/>
        <v/>
      </c>
      <c r="I2130" s="137" t="str">
        <f t="shared" si="110"/>
        <v/>
      </c>
      <c r="J2130" s="117"/>
    </row>
    <row r="2131" spans="1:10" hidden="1" x14ac:dyDescent="0.25">
      <c r="A2131" s="114" t="s">
        <v>4915</v>
      </c>
      <c r="B2131" s="115" t="s">
        <v>3758</v>
      </c>
      <c r="C2131" s="116" t="s">
        <v>16</v>
      </c>
      <c r="D2131" s="116">
        <v>0</v>
      </c>
      <c r="E2131" s="136" t="s">
        <v>416</v>
      </c>
      <c r="F2131" s="137" t="str">
        <f t="shared" si="108"/>
        <v/>
      </c>
      <c r="G2131" s="138" t="e">
        <f>IF(A2131&lt;&gt;"",IF(AND(#REF!="Padrão",$H$4=#REF!),BDI!$B$17,IF(AND(#REF!="Padrão",$H$4=#REF!),BDI!#REF!,IF(AND(#REF!="Diferenciado",$H$4=#REF!),BDI!$E$17,IF(AND(#REF!="Diferenciado",$H$4=#REF!),BDI!#REF!,IF(#REF!="ZERO",0))))),"")</f>
        <v>#REF!</v>
      </c>
      <c r="H2131" s="139" t="str">
        <f t="shared" si="109"/>
        <v/>
      </c>
      <c r="I2131" s="137" t="str">
        <f t="shared" si="110"/>
        <v/>
      </c>
      <c r="J2131" s="117"/>
    </row>
    <row r="2132" spans="1:10" hidden="1" x14ac:dyDescent="0.25">
      <c r="A2132" s="114" t="s">
        <v>4916</v>
      </c>
      <c r="B2132" s="115" t="s">
        <v>3759</v>
      </c>
      <c r="C2132" s="116" t="s">
        <v>16</v>
      </c>
      <c r="D2132" s="116">
        <v>0</v>
      </c>
      <c r="E2132" s="136" t="s">
        <v>416</v>
      </c>
      <c r="F2132" s="137" t="str">
        <f t="shared" si="108"/>
        <v/>
      </c>
      <c r="G2132" s="138" t="e">
        <f>IF(A2132&lt;&gt;"",IF(AND(#REF!="Padrão",$H$4=#REF!),BDI!$B$17,IF(AND(#REF!="Padrão",$H$4=#REF!),BDI!#REF!,IF(AND(#REF!="Diferenciado",$H$4=#REF!),BDI!$E$17,IF(AND(#REF!="Diferenciado",$H$4=#REF!),BDI!#REF!,IF(#REF!="ZERO",0))))),"")</f>
        <v>#REF!</v>
      </c>
      <c r="H2132" s="139" t="str">
        <f t="shared" si="109"/>
        <v/>
      </c>
      <c r="I2132" s="137" t="str">
        <f t="shared" si="110"/>
        <v/>
      </c>
      <c r="J2132" s="117"/>
    </row>
    <row r="2133" spans="1:10" hidden="1" x14ac:dyDescent="0.25">
      <c r="A2133" s="114" t="s">
        <v>4917</v>
      </c>
      <c r="B2133" s="115" t="s">
        <v>5614</v>
      </c>
      <c r="C2133" s="116" t="s">
        <v>16</v>
      </c>
      <c r="D2133" s="116">
        <v>0</v>
      </c>
      <c r="E2133" s="136" t="s">
        <v>416</v>
      </c>
      <c r="F2133" s="137" t="str">
        <f t="shared" si="108"/>
        <v/>
      </c>
      <c r="G2133" s="138" t="e">
        <f>IF(A2133&lt;&gt;"",IF(AND(#REF!="Padrão",$H$4=#REF!),BDI!$B$17,IF(AND(#REF!="Padrão",$H$4=#REF!),BDI!#REF!,IF(AND(#REF!="Diferenciado",$H$4=#REF!),BDI!$E$17,IF(AND(#REF!="Diferenciado",$H$4=#REF!),BDI!#REF!,IF(#REF!="ZERO",0))))),"")</f>
        <v>#REF!</v>
      </c>
      <c r="H2133" s="139" t="str">
        <f t="shared" si="109"/>
        <v/>
      </c>
      <c r="I2133" s="137" t="str">
        <f t="shared" si="110"/>
        <v/>
      </c>
      <c r="J2133" s="117"/>
    </row>
    <row r="2134" spans="1:10" hidden="1" x14ac:dyDescent="0.25">
      <c r="A2134" s="114" t="s">
        <v>4918</v>
      </c>
      <c r="B2134" s="115" t="s">
        <v>3760</v>
      </c>
      <c r="C2134" s="116" t="s">
        <v>16</v>
      </c>
      <c r="D2134" s="116">
        <v>0</v>
      </c>
      <c r="E2134" s="136" t="s">
        <v>416</v>
      </c>
      <c r="F2134" s="137" t="str">
        <f t="shared" si="108"/>
        <v/>
      </c>
      <c r="G2134" s="138" t="e">
        <f>IF(A2134&lt;&gt;"",IF(AND(#REF!="Padrão",$H$4=#REF!),BDI!$B$17,IF(AND(#REF!="Padrão",$H$4=#REF!),BDI!#REF!,IF(AND(#REF!="Diferenciado",$H$4=#REF!),BDI!$E$17,IF(AND(#REF!="Diferenciado",$H$4=#REF!),BDI!#REF!,IF(#REF!="ZERO",0))))),"")</f>
        <v>#REF!</v>
      </c>
      <c r="H2134" s="139" t="str">
        <f t="shared" si="109"/>
        <v/>
      </c>
      <c r="I2134" s="137" t="str">
        <f t="shared" si="110"/>
        <v/>
      </c>
      <c r="J2134" s="117"/>
    </row>
    <row r="2135" spans="1:10" hidden="1" x14ac:dyDescent="0.25">
      <c r="A2135" s="114" t="s">
        <v>4919</v>
      </c>
      <c r="B2135" s="115" t="s">
        <v>3761</v>
      </c>
      <c r="C2135" s="116" t="s">
        <v>16</v>
      </c>
      <c r="D2135" s="116">
        <v>0</v>
      </c>
      <c r="E2135" s="136" t="s">
        <v>416</v>
      </c>
      <c r="F2135" s="137" t="str">
        <f t="shared" si="108"/>
        <v/>
      </c>
      <c r="G2135" s="138" t="e">
        <f>IF(A2135&lt;&gt;"",IF(AND(#REF!="Padrão",$H$4=#REF!),BDI!$B$17,IF(AND(#REF!="Padrão",$H$4=#REF!),BDI!#REF!,IF(AND(#REF!="Diferenciado",$H$4=#REF!),BDI!$E$17,IF(AND(#REF!="Diferenciado",$H$4=#REF!),BDI!#REF!,IF(#REF!="ZERO",0))))),"")</f>
        <v>#REF!</v>
      </c>
      <c r="H2135" s="139" t="str">
        <f t="shared" si="109"/>
        <v/>
      </c>
      <c r="I2135" s="137" t="str">
        <f t="shared" si="110"/>
        <v/>
      </c>
      <c r="J2135" s="117"/>
    </row>
    <row r="2136" spans="1:10" hidden="1" x14ac:dyDescent="0.25">
      <c r="A2136" s="114" t="s">
        <v>4920</v>
      </c>
      <c r="B2136" s="115" t="s">
        <v>3762</v>
      </c>
      <c r="C2136" s="116" t="s">
        <v>16</v>
      </c>
      <c r="D2136" s="116">
        <v>0</v>
      </c>
      <c r="E2136" s="136" t="s">
        <v>416</v>
      </c>
      <c r="F2136" s="137" t="str">
        <f t="shared" si="108"/>
        <v/>
      </c>
      <c r="G2136" s="138" t="e">
        <f>IF(A2136&lt;&gt;"",IF(AND(#REF!="Padrão",$H$4=#REF!),BDI!$B$17,IF(AND(#REF!="Padrão",$H$4=#REF!),BDI!#REF!,IF(AND(#REF!="Diferenciado",$H$4=#REF!),BDI!$E$17,IF(AND(#REF!="Diferenciado",$H$4=#REF!),BDI!#REF!,IF(#REF!="ZERO",0))))),"")</f>
        <v>#REF!</v>
      </c>
      <c r="H2136" s="139" t="str">
        <f t="shared" si="109"/>
        <v/>
      </c>
      <c r="I2136" s="137" t="str">
        <f t="shared" si="110"/>
        <v/>
      </c>
      <c r="J2136" s="117"/>
    </row>
    <row r="2137" spans="1:10" hidden="1" x14ac:dyDescent="0.25">
      <c r="A2137" s="114" t="s">
        <v>4921</v>
      </c>
      <c r="B2137" s="115" t="s">
        <v>3763</v>
      </c>
      <c r="C2137" s="116" t="s">
        <v>16</v>
      </c>
      <c r="D2137" s="116">
        <v>0</v>
      </c>
      <c r="E2137" s="136" t="s">
        <v>416</v>
      </c>
      <c r="F2137" s="137" t="str">
        <f t="shared" si="108"/>
        <v/>
      </c>
      <c r="G2137" s="138" t="e">
        <f>IF(A2137&lt;&gt;"",IF(AND(#REF!="Padrão",$H$4=#REF!),BDI!$B$17,IF(AND(#REF!="Padrão",$H$4=#REF!),BDI!#REF!,IF(AND(#REF!="Diferenciado",$H$4=#REF!),BDI!$E$17,IF(AND(#REF!="Diferenciado",$H$4=#REF!),BDI!#REF!,IF(#REF!="ZERO",0))))),"")</f>
        <v>#REF!</v>
      </c>
      <c r="H2137" s="139" t="str">
        <f t="shared" si="109"/>
        <v/>
      </c>
      <c r="I2137" s="137" t="str">
        <f t="shared" si="110"/>
        <v/>
      </c>
      <c r="J2137" s="117"/>
    </row>
    <row r="2138" spans="1:10" hidden="1" x14ac:dyDescent="0.25">
      <c r="A2138" s="114" t="s">
        <v>4922</v>
      </c>
      <c r="B2138" s="115" t="s">
        <v>7454</v>
      </c>
      <c r="C2138" s="116" t="s">
        <v>16</v>
      </c>
      <c r="D2138" s="116">
        <v>0</v>
      </c>
      <c r="E2138" s="136" t="s">
        <v>416</v>
      </c>
      <c r="F2138" s="137" t="str">
        <f t="shared" si="108"/>
        <v/>
      </c>
      <c r="G2138" s="138" t="e">
        <f>IF(A2138&lt;&gt;"",IF(AND(#REF!="Padrão",$H$4=#REF!),BDI!$B$17,IF(AND(#REF!="Padrão",$H$4=#REF!),BDI!#REF!,IF(AND(#REF!="Diferenciado",$H$4=#REF!),BDI!$E$17,IF(AND(#REF!="Diferenciado",$H$4=#REF!),BDI!#REF!,IF(#REF!="ZERO",0))))),"")</f>
        <v>#REF!</v>
      </c>
      <c r="H2138" s="139" t="str">
        <f t="shared" si="109"/>
        <v/>
      </c>
      <c r="I2138" s="137" t="str">
        <f t="shared" si="110"/>
        <v/>
      </c>
      <c r="J2138" s="117"/>
    </row>
    <row r="2139" spans="1:10" hidden="1" x14ac:dyDescent="0.25">
      <c r="A2139" s="114" t="s">
        <v>4923</v>
      </c>
      <c r="B2139" s="115" t="s">
        <v>7455</v>
      </c>
      <c r="C2139" s="116" t="s">
        <v>16</v>
      </c>
      <c r="D2139" s="116">
        <v>0</v>
      </c>
      <c r="E2139" s="136" t="s">
        <v>416</v>
      </c>
      <c r="F2139" s="137" t="str">
        <f t="shared" si="108"/>
        <v/>
      </c>
      <c r="G2139" s="138" t="e">
        <f>IF(A2139&lt;&gt;"",IF(AND(#REF!="Padrão",$H$4=#REF!),BDI!$B$17,IF(AND(#REF!="Padrão",$H$4=#REF!),BDI!#REF!,IF(AND(#REF!="Diferenciado",$H$4=#REF!),BDI!$E$17,IF(AND(#REF!="Diferenciado",$H$4=#REF!),BDI!#REF!,IF(#REF!="ZERO",0))))),"")</f>
        <v>#REF!</v>
      </c>
      <c r="H2139" s="139" t="str">
        <f t="shared" si="109"/>
        <v/>
      </c>
      <c r="I2139" s="137" t="str">
        <f t="shared" si="110"/>
        <v/>
      </c>
      <c r="J2139" s="117"/>
    </row>
    <row r="2140" spans="1:10" hidden="1" x14ac:dyDescent="0.25">
      <c r="A2140" s="114" t="s">
        <v>4924</v>
      </c>
      <c r="B2140" s="115" t="s">
        <v>7456</v>
      </c>
      <c r="C2140" s="116" t="s">
        <v>16</v>
      </c>
      <c r="D2140" s="116">
        <v>0</v>
      </c>
      <c r="E2140" s="136" t="s">
        <v>416</v>
      </c>
      <c r="F2140" s="137" t="str">
        <f t="shared" si="108"/>
        <v/>
      </c>
      <c r="G2140" s="138" t="e">
        <f>IF(A2140&lt;&gt;"",IF(AND(#REF!="Padrão",$H$4=#REF!),BDI!$B$17,IF(AND(#REF!="Padrão",$H$4=#REF!),BDI!#REF!,IF(AND(#REF!="Diferenciado",$H$4=#REF!),BDI!$E$17,IF(AND(#REF!="Diferenciado",$H$4=#REF!),BDI!#REF!,IF(#REF!="ZERO",0))))),"")</f>
        <v>#REF!</v>
      </c>
      <c r="H2140" s="139" t="str">
        <f t="shared" si="109"/>
        <v/>
      </c>
      <c r="I2140" s="137" t="str">
        <f t="shared" si="110"/>
        <v/>
      </c>
      <c r="J2140" s="117"/>
    </row>
    <row r="2141" spans="1:10" hidden="1" x14ac:dyDescent="0.25">
      <c r="A2141" s="114" t="s">
        <v>4925</v>
      </c>
      <c r="B2141" s="115" t="s">
        <v>7457</v>
      </c>
      <c r="C2141" s="116" t="s">
        <v>16</v>
      </c>
      <c r="D2141" s="116">
        <v>0</v>
      </c>
      <c r="E2141" s="136" t="s">
        <v>416</v>
      </c>
      <c r="F2141" s="137" t="str">
        <f t="shared" si="108"/>
        <v/>
      </c>
      <c r="G2141" s="138" t="e">
        <f>IF(A2141&lt;&gt;"",IF(AND(#REF!="Padrão",$H$4=#REF!),BDI!$B$17,IF(AND(#REF!="Padrão",$H$4=#REF!),BDI!#REF!,IF(AND(#REF!="Diferenciado",$H$4=#REF!),BDI!$E$17,IF(AND(#REF!="Diferenciado",$H$4=#REF!),BDI!#REF!,IF(#REF!="ZERO",0))))),"")</f>
        <v>#REF!</v>
      </c>
      <c r="H2141" s="139" t="str">
        <f t="shared" si="109"/>
        <v/>
      </c>
      <c r="I2141" s="137" t="str">
        <f t="shared" si="110"/>
        <v/>
      </c>
      <c r="J2141" s="117"/>
    </row>
    <row r="2142" spans="1:10" hidden="1" x14ac:dyDescent="0.25">
      <c r="A2142" s="114" t="s">
        <v>4926</v>
      </c>
      <c r="B2142" s="115" t="s">
        <v>3764</v>
      </c>
      <c r="C2142" s="116" t="s">
        <v>16</v>
      </c>
      <c r="D2142" s="116">
        <v>0</v>
      </c>
      <c r="E2142" s="136" t="s">
        <v>416</v>
      </c>
      <c r="F2142" s="137" t="str">
        <f t="shared" si="108"/>
        <v/>
      </c>
      <c r="G2142" s="138" t="e">
        <f>IF(A2142&lt;&gt;"",IF(AND(#REF!="Padrão",$H$4=#REF!),BDI!$B$17,IF(AND(#REF!="Padrão",$H$4=#REF!),BDI!#REF!,IF(AND(#REF!="Diferenciado",$H$4=#REF!),BDI!$E$17,IF(AND(#REF!="Diferenciado",$H$4=#REF!),BDI!#REF!,IF(#REF!="ZERO",0))))),"")</f>
        <v>#REF!</v>
      </c>
      <c r="H2142" s="139" t="str">
        <f t="shared" si="109"/>
        <v/>
      </c>
      <c r="I2142" s="137" t="str">
        <f t="shared" si="110"/>
        <v/>
      </c>
      <c r="J2142" s="117"/>
    </row>
    <row r="2143" spans="1:10" hidden="1" x14ac:dyDescent="0.25">
      <c r="A2143" s="114" t="s">
        <v>4927</v>
      </c>
      <c r="B2143" s="115" t="s">
        <v>3765</v>
      </c>
      <c r="C2143" s="116" t="s">
        <v>16</v>
      </c>
      <c r="D2143" s="116">
        <v>0</v>
      </c>
      <c r="E2143" s="136" t="s">
        <v>416</v>
      </c>
      <c r="F2143" s="137" t="str">
        <f t="shared" si="108"/>
        <v/>
      </c>
      <c r="G2143" s="138" t="e">
        <f>IF(A2143&lt;&gt;"",IF(AND(#REF!="Padrão",$H$4=#REF!),BDI!$B$17,IF(AND(#REF!="Padrão",$H$4=#REF!),BDI!#REF!,IF(AND(#REF!="Diferenciado",$H$4=#REF!),BDI!$E$17,IF(AND(#REF!="Diferenciado",$H$4=#REF!),BDI!#REF!,IF(#REF!="ZERO",0))))),"")</f>
        <v>#REF!</v>
      </c>
      <c r="H2143" s="139" t="str">
        <f t="shared" si="109"/>
        <v/>
      </c>
      <c r="I2143" s="137" t="str">
        <f t="shared" si="110"/>
        <v/>
      </c>
      <c r="J2143" s="117"/>
    </row>
    <row r="2144" spans="1:10" hidden="1" x14ac:dyDescent="0.25">
      <c r="A2144" s="114" t="s">
        <v>4928</v>
      </c>
      <c r="B2144" s="115" t="s">
        <v>7451</v>
      </c>
      <c r="C2144" s="116" t="s">
        <v>69</v>
      </c>
      <c r="D2144" s="116">
        <v>0</v>
      </c>
      <c r="E2144" s="136" t="s">
        <v>416</v>
      </c>
      <c r="F2144" s="137" t="str">
        <f t="shared" si="108"/>
        <v/>
      </c>
      <c r="G2144" s="138" t="e">
        <f>IF(A2144&lt;&gt;"",IF(AND(#REF!="Padrão",$H$4=#REF!),BDI!$B$17,IF(AND(#REF!="Padrão",$H$4=#REF!),BDI!#REF!,IF(AND(#REF!="Diferenciado",$H$4=#REF!),BDI!$E$17,IF(AND(#REF!="Diferenciado",$H$4=#REF!),BDI!#REF!,IF(#REF!="ZERO",0))))),"")</f>
        <v>#REF!</v>
      </c>
      <c r="H2144" s="139" t="str">
        <f t="shared" si="109"/>
        <v/>
      </c>
      <c r="I2144" s="137" t="str">
        <f t="shared" si="110"/>
        <v/>
      </c>
      <c r="J2144" s="117"/>
    </row>
    <row r="2145" spans="1:10" hidden="1" x14ac:dyDescent="0.25">
      <c r="A2145" s="114" t="s">
        <v>4929</v>
      </c>
      <c r="B2145" s="115" t="s">
        <v>7452</v>
      </c>
      <c r="C2145" s="116" t="s">
        <v>69</v>
      </c>
      <c r="D2145" s="116">
        <v>0</v>
      </c>
      <c r="E2145" s="136" t="s">
        <v>416</v>
      </c>
      <c r="F2145" s="137" t="str">
        <f t="shared" si="108"/>
        <v/>
      </c>
      <c r="G2145" s="138" t="e">
        <f>IF(A2145&lt;&gt;"",IF(AND(#REF!="Padrão",$H$4=#REF!),BDI!$B$17,IF(AND(#REF!="Padrão",$H$4=#REF!),BDI!#REF!,IF(AND(#REF!="Diferenciado",$H$4=#REF!),BDI!$E$17,IF(AND(#REF!="Diferenciado",$H$4=#REF!),BDI!#REF!,IF(#REF!="ZERO",0))))),"")</f>
        <v>#REF!</v>
      </c>
      <c r="H2145" s="139" t="str">
        <f t="shared" si="109"/>
        <v/>
      </c>
      <c r="I2145" s="137" t="str">
        <f t="shared" si="110"/>
        <v/>
      </c>
      <c r="J2145" s="117"/>
    </row>
    <row r="2146" spans="1:10" hidden="1" x14ac:dyDescent="0.25">
      <c r="A2146" s="114" t="s">
        <v>4930</v>
      </c>
      <c r="B2146" s="115" t="s">
        <v>7453</v>
      </c>
      <c r="C2146" s="116" t="s">
        <v>69</v>
      </c>
      <c r="D2146" s="116">
        <v>0</v>
      </c>
      <c r="E2146" s="136" t="s">
        <v>416</v>
      </c>
      <c r="F2146" s="137" t="str">
        <f t="shared" si="108"/>
        <v/>
      </c>
      <c r="G2146" s="138" t="e">
        <f>IF(A2146&lt;&gt;"",IF(AND(#REF!="Padrão",$H$4=#REF!),BDI!$B$17,IF(AND(#REF!="Padrão",$H$4=#REF!),BDI!#REF!,IF(AND(#REF!="Diferenciado",$H$4=#REF!),BDI!$E$17,IF(AND(#REF!="Diferenciado",$H$4=#REF!),BDI!#REF!,IF(#REF!="ZERO",0))))),"")</f>
        <v>#REF!</v>
      </c>
      <c r="H2146" s="139" t="str">
        <f t="shared" si="109"/>
        <v/>
      </c>
      <c r="I2146" s="137" t="str">
        <f t="shared" si="110"/>
        <v/>
      </c>
      <c r="J2146" s="117"/>
    </row>
    <row r="2147" spans="1:10" hidden="1" x14ac:dyDescent="0.25">
      <c r="A2147" s="114" t="s">
        <v>4931</v>
      </c>
      <c r="B2147" s="115" t="s">
        <v>7442</v>
      </c>
      <c r="C2147" s="116" t="s">
        <v>16</v>
      </c>
      <c r="D2147" s="116">
        <v>0</v>
      </c>
      <c r="E2147" s="136" t="s">
        <v>416</v>
      </c>
      <c r="F2147" s="137" t="str">
        <f t="shared" si="108"/>
        <v/>
      </c>
      <c r="G2147" s="138" t="e">
        <f>IF(A2147&lt;&gt;"",IF(AND(#REF!="Padrão",$H$4=#REF!),BDI!$B$17,IF(AND(#REF!="Padrão",$H$4=#REF!),BDI!#REF!,IF(AND(#REF!="Diferenciado",$H$4=#REF!),BDI!$E$17,IF(AND(#REF!="Diferenciado",$H$4=#REF!),BDI!#REF!,IF(#REF!="ZERO",0))))),"")</f>
        <v>#REF!</v>
      </c>
      <c r="H2147" s="139" t="str">
        <f t="shared" si="109"/>
        <v/>
      </c>
      <c r="I2147" s="137" t="str">
        <f t="shared" si="110"/>
        <v/>
      </c>
      <c r="J2147" s="117"/>
    </row>
    <row r="2148" spans="1:10" hidden="1" x14ac:dyDescent="0.25">
      <c r="A2148" s="114" t="s">
        <v>4932</v>
      </c>
      <c r="B2148" s="115" t="s">
        <v>7443</v>
      </c>
      <c r="C2148" s="116" t="s">
        <v>16</v>
      </c>
      <c r="D2148" s="116">
        <v>0</v>
      </c>
      <c r="E2148" s="136" t="s">
        <v>416</v>
      </c>
      <c r="F2148" s="137" t="str">
        <f t="shared" si="108"/>
        <v/>
      </c>
      <c r="G2148" s="138" t="e">
        <f>IF(A2148&lt;&gt;"",IF(AND(#REF!="Padrão",$H$4=#REF!),BDI!$B$17,IF(AND(#REF!="Padrão",$H$4=#REF!),BDI!#REF!,IF(AND(#REF!="Diferenciado",$H$4=#REF!),BDI!$E$17,IF(AND(#REF!="Diferenciado",$H$4=#REF!),BDI!#REF!,IF(#REF!="ZERO",0))))),"")</f>
        <v>#REF!</v>
      </c>
      <c r="H2148" s="139" t="str">
        <f t="shared" si="109"/>
        <v/>
      </c>
      <c r="I2148" s="137" t="str">
        <f t="shared" si="110"/>
        <v/>
      </c>
      <c r="J2148" s="117"/>
    </row>
    <row r="2149" spans="1:10" hidden="1" x14ac:dyDescent="0.25">
      <c r="A2149" s="114" t="s">
        <v>4933</v>
      </c>
      <c r="B2149" s="115" t="s">
        <v>7444</v>
      </c>
      <c r="C2149" s="116" t="s">
        <v>16</v>
      </c>
      <c r="D2149" s="116">
        <v>0</v>
      </c>
      <c r="E2149" s="136" t="s">
        <v>416</v>
      </c>
      <c r="F2149" s="137" t="str">
        <f t="shared" si="108"/>
        <v/>
      </c>
      <c r="G2149" s="138" t="e">
        <f>IF(A2149&lt;&gt;"",IF(AND(#REF!="Padrão",$H$4=#REF!),BDI!$B$17,IF(AND(#REF!="Padrão",$H$4=#REF!),BDI!#REF!,IF(AND(#REF!="Diferenciado",$H$4=#REF!),BDI!$E$17,IF(AND(#REF!="Diferenciado",$H$4=#REF!),BDI!#REF!,IF(#REF!="ZERO",0))))),"")</f>
        <v>#REF!</v>
      </c>
      <c r="H2149" s="139" t="str">
        <f t="shared" si="109"/>
        <v/>
      </c>
      <c r="I2149" s="137" t="str">
        <f t="shared" si="110"/>
        <v/>
      </c>
      <c r="J2149" s="117"/>
    </row>
    <row r="2150" spans="1:10" hidden="1" x14ac:dyDescent="0.25">
      <c r="A2150" s="114" t="s">
        <v>4934</v>
      </c>
      <c r="B2150" s="115" t="s">
        <v>7445</v>
      </c>
      <c r="C2150" s="116" t="s">
        <v>16</v>
      </c>
      <c r="D2150" s="116">
        <v>0</v>
      </c>
      <c r="E2150" s="136" t="s">
        <v>416</v>
      </c>
      <c r="F2150" s="137" t="str">
        <f t="shared" si="108"/>
        <v/>
      </c>
      <c r="G2150" s="138" t="e">
        <f>IF(A2150&lt;&gt;"",IF(AND(#REF!="Padrão",$H$4=#REF!),BDI!$B$17,IF(AND(#REF!="Padrão",$H$4=#REF!),BDI!#REF!,IF(AND(#REF!="Diferenciado",$H$4=#REF!),BDI!$E$17,IF(AND(#REF!="Diferenciado",$H$4=#REF!),BDI!#REF!,IF(#REF!="ZERO",0))))),"")</f>
        <v>#REF!</v>
      </c>
      <c r="H2150" s="139" t="str">
        <f t="shared" si="109"/>
        <v/>
      </c>
      <c r="I2150" s="137" t="str">
        <f t="shared" si="110"/>
        <v/>
      </c>
      <c r="J2150" s="117"/>
    </row>
    <row r="2151" spans="1:10" hidden="1" x14ac:dyDescent="0.25">
      <c r="A2151" s="114" t="s">
        <v>4935</v>
      </c>
      <c r="B2151" s="115" t="s">
        <v>7446</v>
      </c>
      <c r="C2151" s="116" t="s">
        <v>16</v>
      </c>
      <c r="D2151" s="116">
        <v>0</v>
      </c>
      <c r="E2151" s="136" t="s">
        <v>416</v>
      </c>
      <c r="F2151" s="137" t="str">
        <f t="shared" si="108"/>
        <v/>
      </c>
      <c r="G2151" s="138" t="e">
        <f>IF(A2151&lt;&gt;"",IF(AND(#REF!="Padrão",$H$4=#REF!),BDI!$B$17,IF(AND(#REF!="Padrão",$H$4=#REF!),BDI!#REF!,IF(AND(#REF!="Diferenciado",$H$4=#REF!),BDI!$E$17,IF(AND(#REF!="Diferenciado",$H$4=#REF!),BDI!#REF!,IF(#REF!="ZERO",0))))),"")</f>
        <v>#REF!</v>
      </c>
      <c r="H2151" s="139" t="str">
        <f t="shared" si="109"/>
        <v/>
      </c>
      <c r="I2151" s="137" t="str">
        <f t="shared" si="110"/>
        <v/>
      </c>
      <c r="J2151" s="117"/>
    </row>
    <row r="2152" spans="1:10" hidden="1" x14ac:dyDescent="0.25">
      <c r="A2152" s="114" t="s">
        <v>4936</v>
      </c>
      <c r="B2152" s="115" t="s">
        <v>7447</v>
      </c>
      <c r="C2152" s="116" t="s">
        <v>16</v>
      </c>
      <c r="D2152" s="116">
        <v>0</v>
      </c>
      <c r="E2152" s="136" t="s">
        <v>416</v>
      </c>
      <c r="F2152" s="137" t="str">
        <f t="shared" si="108"/>
        <v/>
      </c>
      <c r="G2152" s="138" t="e">
        <f>IF(A2152&lt;&gt;"",IF(AND(#REF!="Padrão",$H$4=#REF!),BDI!$B$17,IF(AND(#REF!="Padrão",$H$4=#REF!),BDI!#REF!,IF(AND(#REF!="Diferenciado",$H$4=#REF!),BDI!$E$17,IF(AND(#REF!="Diferenciado",$H$4=#REF!),BDI!#REF!,IF(#REF!="ZERO",0))))),"")</f>
        <v>#REF!</v>
      </c>
      <c r="H2152" s="139" t="str">
        <f t="shared" si="109"/>
        <v/>
      </c>
      <c r="I2152" s="137" t="str">
        <f t="shared" si="110"/>
        <v/>
      </c>
      <c r="J2152" s="117"/>
    </row>
    <row r="2153" spans="1:10" hidden="1" x14ac:dyDescent="0.25">
      <c r="A2153" s="114" t="s">
        <v>4937</v>
      </c>
      <c r="B2153" s="115" t="s">
        <v>7448</v>
      </c>
      <c r="C2153" s="116" t="s">
        <v>16</v>
      </c>
      <c r="D2153" s="116">
        <v>0</v>
      </c>
      <c r="E2153" s="136" t="s">
        <v>416</v>
      </c>
      <c r="F2153" s="137" t="str">
        <f t="shared" si="108"/>
        <v/>
      </c>
      <c r="G2153" s="138" t="e">
        <f>IF(A2153&lt;&gt;"",IF(AND(#REF!="Padrão",$H$4=#REF!),BDI!$B$17,IF(AND(#REF!="Padrão",$H$4=#REF!),BDI!#REF!,IF(AND(#REF!="Diferenciado",$H$4=#REF!),BDI!$E$17,IF(AND(#REF!="Diferenciado",$H$4=#REF!),BDI!#REF!,IF(#REF!="ZERO",0))))),"")</f>
        <v>#REF!</v>
      </c>
      <c r="H2153" s="139" t="str">
        <f t="shared" si="109"/>
        <v/>
      </c>
      <c r="I2153" s="137" t="str">
        <f t="shared" si="110"/>
        <v/>
      </c>
      <c r="J2153" s="117"/>
    </row>
    <row r="2154" spans="1:10" hidden="1" x14ac:dyDescent="0.25">
      <c r="A2154" s="114" t="s">
        <v>4938</v>
      </c>
      <c r="B2154" s="115" t="s">
        <v>7449</v>
      </c>
      <c r="C2154" s="116" t="s">
        <v>16</v>
      </c>
      <c r="D2154" s="116">
        <v>0</v>
      </c>
      <c r="E2154" s="136" t="s">
        <v>416</v>
      </c>
      <c r="F2154" s="137" t="str">
        <f t="shared" si="108"/>
        <v/>
      </c>
      <c r="G2154" s="138" t="e">
        <f>IF(A2154&lt;&gt;"",IF(AND(#REF!="Padrão",$H$4=#REF!),BDI!$B$17,IF(AND(#REF!="Padrão",$H$4=#REF!),BDI!#REF!,IF(AND(#REF!="Diferenciado",$H$4=#REF!),BDI!$E$17,IF(AND(#REF!="Diferenciado",$H$4=#REF!),BDI!#REF!,IF(#REF!="ZERO",0))))),"")</f>
        <v>#REF!</v>
      </c>
      <c r="H2154" s="139" t="str">
        <f t="shared" si="109"/>
        <v/>
      </c>
      <c r="I2154" s="137" t="str">
        <f t="shared" si="110"/>
        <v/>
      </c>
      <c r="J2154" s="117"/>
    </row>
    <row r="2155" spans="1:10" hidden="1" x14ac:dyDescent="0.25">
      <c r="A2155" s="114" t="s">
        <v>4939</v>
      </c>
      <c r="B2155" s="115" t="s">
        <v>7450</v>
      </c>
      <c r="C2155" s="116" t="s">
        <v>16</v>
      </c>
      <c r="D2155" s="116">
        <v>0</v>
      </c>
      <c r="E2155" s="136" t="s">
        <v>416</v>
      </c>
      <c r="F2155" s="137" t="str">
        <f t="shared" si="108"/>
        <v/>
      </c>
      <c r="G2155" s="138" t="e">
        <f>IF(A2155&lt;&gt;"",IF(AND(#REF!="Padrão",$H$4=#REF!),BDI!$B$17,IF(AND(#REF!="Padrão",$H$4=#REF!),BDI!#REF!,IF(AND(#REF!="Diferenciado",$H$4=#REF!),BDI!$E$17,IF(AND(#REF!="Diferenciado",$H$4=#REF!),BDI!#REF!,IF(#REF!="ZERO",0))))),"")</f>
        <v>#REF!</v>
      </c>
      <c r="H2155" s="139" t="str">
        <f t="shared" si="109"/>
        <v/>
      </c>
      <c r="I2155" s="137" t="str">
        <f t="shared" si="110"/>
        <v/>
      </c>
      <c r="J2155" s="117"/>
    </row>
    <row r="2156" spans="1:10" hidden="1" x14ac:dyDescent="0.25">
      <c r="A2156" s="114" t="s">
        <v>4940</v>
      </c>
      <c r="B2156" s="115" t="s">
        <v>3766</v>
      </c>
      <c r="C2156" s="116" t="s">
        <v>16</v>
      </c>
      <c r="D2156" s="116">
        <v>0</v>
      </c>
      <c r="E2156" s="136" t="s">
        <v>416</v>
      </c>
      <c r="F2156" s="137" t="str">
        <f t="shared" si="108"/>
        <v/>
      </c>
      <c r="G2156" s="138" t="e">
        <f>IF(A2156&lt;&gt;"",IF(AND(#REF!="Padrão",$H$4=#REF!),BDI!$B$17,IF(AND(#REF!="Padrão",$H$4=#REF!),BDI!#REF!,IF(AND(#REF!="Diferenciado",$H$4=#REF!),BDI!$E$17,IF(AND(#REF!="Diferenciado",$H$4=#REF!),BDI!#REF!,IF(#REF!="ZERO",0))))),"")</f>
        <v>#REF!</v>
      </c>
      <c r="H2156" s="139" t="str">
        <f t="shared" si="109"/>
        <v/>
      </c>
      <c r="I2156" s="137" t="str">
        <f t="shared" si="110"/>
        <v/>
      </c>
      <c r="J2156" s="117"/>
    </row>
    <row r="2157" spans="1:10" hidden="1" x14ac:dyDescent="0.25">
      <c r="A2157" s="114" t="s">
        <v>4941</v>
      </c>
      <c r="B2157" s="115" t="s">
        <v>3767</v>
      </c>
      <c r="C2157" s="116" t="s">
        <v>16</v>
      </c>
      <c r="D2157" s="116">
        <v>0</v>
      </c>
      <c r="E2157" s="136" t="s">
        <v>416</v>
      </c>
      <c r="F2157" s="137" t="str">
        <f t="shared" ref="F2157:F2220" si="111">IF(ISNUMBER(E2157),D2157*E2157,"")</f>
        <v/>
      </c>
      <c r="G2157" s="138" t="e">
        <f>IF(A2157&lt;&gt;"",IF(AND(#REF!="Padrão",$H$4=#REF!),BDI!$B$17,IF(AND(#REF!="Padrão",$H$4=#REF!),BDI!#REF!,IF(AND(#REF!="Diferenciado",$H$4=#REF!),BDI!$E$17,IF(AND(#REF!="Diferenciado",$H$4=#REF!),BDI!#REF!,IF(#REF!="ZERO",0))))),"")</f>
        <v>#REF!</v>
      </c>
      <c r="H2157" s="139" t="str">
        <f t="shared" ref="H2157:H2220" si="112">IF(ISNUMBER(E2157),ROUND(E2157*(1+G2157),2),"")</f>
        <v/>
      </c>
      <c r="I2157" s="137" t="str">
        <f t="shared" ref="I2157:I2220" si="113">IF(ISNUMBER(E2157),ROUND(H2157*D2157,2),"")</f>
        <v/>
      </c>
      <c r="J2157" s="117"/>
    </row>
    <row r="2158" spans="1:10" hidden="1" x14ac:dyDescent="0.25">
      <c r="A2158" s="114" t="s">
        <v>4942</v>
      </c>
      <c r="B2158" s="115" t="s">
        <v>3768</v>
      </c>
      <c r="C2158" s="116" t="s">
        <v>16</v>
      </c>
      <c r="D2158" s="116">
        <v>0</v>
      </c>
      <c r="E2158" s="136" t="s">
        <v>416</v>
      </c>
      <c r="F2158" s="137" t="str">
        <f t="shared" si="111"/>
        <v/>
      </c>
      <c r="G2158" s="138" t="e">
        <f>IF(A2158&lt;&gt;"",IF(AND(#REF!="Padrão",$H$4=#REF!),BDI!$B$17,IF(AND(#REF!="Padrão",$H$4=#REF!),BDI!#REF!,IF(AND(#REF!="Diferenciado",$H$4=#REF!),BDI!$E$17,IF(AND(#REF!="Diferenciado",$H$4=#REF!),BDI!#REF!,IF(#REF!="ZERO",0))))),"")</f>
        <v>#REF!</v>
      </c>
      <c r="H2158" s="139" t="str">
        <f t="shared" si="112"/>
        <v/>
      </c>
      <c r="I2158" s="137" t="str">
        <f t="shared" si="113"/>
        <v/>
      </c>
      <c r="J2158" s="117"/>
    </row>
    <row r="2159" spans="1:10" hidden="1" x14ac:dyDescent="0.25">
      <c r="A2159" s="114" t="s">
        <v>4943</v>
      </c>
      <c r="B2159" s="115" t="s">
        <v>3769</v>
      </c>
      <c r="C2159" s="116" t="s">
        <v>16</v>
      </c>
      <c r="D2159" s="116">
        <v>0</v>
      </c>
      <c r="E2159" s="136" t="s">
        <v>416</v>
      </c>
      <c r="F2159" s="137" t="str">
        <f t="shared" si="111"/>
        <v/>
      </c>
      <c r="G2159" s="138" t="e">
        <f>IF(A2159&lt;&gt;"",IF(AND(#REF!="Padrão",$H$4=#REF!),BDI!$B$17,IF(AND(#REF!="Padrão",$H$4=#REF!),BDI!#REF!,IF(AND(#REF!="Diferenciado",$H$4=#REF!),BDI!$E$17,IF(AND(#REF!="Diferenciado",$H$4=#REF!),BDI!#REF!,IF(#REF!="ZERO",0))))),"")</f>
        <v>#REF!</v>
      </c>
      <c r="H2159" s="139" t="str">
        <f t="shared" si="112"/>
        <v/>
      </c>
      <c r="I2159" s="137" t="str">
        <f t="shared" si="113"/>
        <v/>
      </c>
      <c r="J2159" s="117"/>
    </row>
    <row r="2160" spans="1:10" hidden="1" x14ac:dyDescent="0.25">
      <c r="A2160" s="114" t="s">
        <v>4944</v>
      </c>
      <c r="B2160" s="115" t="s">
        <v>3770</v>
      </c>
      <c r="C2160" s="116" t="s">
        <v>16</v>
      </c>
      <c r="D2160" s="116">
        <v>0</v>
      </c>
      <c r="E2160" s="136" t="s">
        <v>416</v>
      </c>
      <c r="F2160" s="137" t="str">
        <f t="shared" si="111"/>
        <v/>
      </c>
      <c r="G2160" s="138" t="e">
        <f>IF(A2160&lt;&gt;"",IF(AND(#REF!="Padrão",$H$4=#REF!),BDI!$B$17,IF(AND(#REF!="Padrão",$H$4=#REF!),BDI!#REF!,IF(AND(#REF!="Diferenciado",$H$4=#REF!),BDI!$E$17,IF(AND(#REF!="Diferenciado",$H$4=#REF!),BDI!#REF!,IF(#REF!="ZERO",0))))),"")</f>
        <v>#REF!</v>
      </c>
      <c r="H2160" s="139" t="str">
        <f t="shared" si="112"/>
        <v/>
      </c>
      <c r="I2160" s="137" t="str">
        <f t="shared" si="113"/>
        <v/>
      </c>
      <c r="J2160" s="117"/>
    </row>
    <row r="2161" spans="1:10" hidden="1" x14ac:dyDescent="0.25">
      <c r="A2161" s="114" t="s">
        <v>4945</v>
      </c>
      <c r="B2161" s="115" t="s">
        <v>3771</v>
      </c>
      <c r="C2161" s="116" t="s">
        <v>16</v>
      </c>
      <c r="D2161" s="116">
        <v>0</v>
      </c>
      <c r="E2161" s="136" t="s">
        <v>416</v>
      </c>
      <c r="F2161" s="137" t="str">
        <f t="shared" si="111"/>
        <v/>
      </c>
      <c r="G2161" s="138" t="e">
        <f>IF(A2161&lt;&gt;"",IF(AND(#REF!="Padrão",$H$4=#REF!),BDI!$B$17,IF(AND(#REF!="Padrão",$H$4=#REF!),BDI!#REF!,IF(AND(#REF!="Diferenciado",$H$4=#REF!),BDI!$E$17,IF(AND(#REF!="Diferenciado",$H$4=#REF!),BDI!#REF!,IF(#REF!="ZERO",0))))),"")</f>
        <v>#REF!</v>
      </c>
      <c r="H2161" s="139" t="str">
        <f t="shared" si="112"/>
        <v/>
      </c>
      <c r="I2161" s="137" t="str">
        <f t="shared" si="113"/>
        <v/>
      </c>
      <c r="J2161" s="117"/>
    </row>
    <row r="2162" spans="1:10" hidden="1" x14ac:dyDescent="0.25">
      <c r="A2162" s="114" t="s">
        <v>4946</v>
      </c>
      <c r="B2162" s="115" t="s">
        <v>3772</v>
      </c>
      <c r="C2162" s="116" t="s">
        <v>16</v>
      </c>
      <c r="D2162" s="116">
        <v>0</v>
      </c>
      <c r="E2162" s="136" t="s">
        <v>416</v>
      </c>
      <c r="F2162" s="137" t="str">
        <f t="shared" si="111"/>
        <v/>
      </c>
      <c r="G2162" s="138" t="e">
        <f>IF(A2162&lt;&gt;"",IF(AND(#REF!="Padrão",$H$4=#REF!),BDI!$B$17,IF(AND(#REF!="Padrão",$H$4=#REF!),BDI!#REF!,IF(AND(#REF!="Diferenciado",$H$4=#REF!),BDI!$E$17,IF(AND(#REF!="Diferenciado",$H$4=#REF!),BDI!#REF!,IF(#REF!="ZERO",0))))),"")</f>
        <v>#REF!</v>
      </c>
      <c r="H2162" s="139" t="str">
        <f t="shared" si="112"/>
        <v/>
      </c>
      <c r="I2162" s="137" t="str">
        <f t="shared" si="113"/>
        <v/>
      </c>
      <c r="J2162" s="117"/>
    </row>
    <row r="2163" spans="1:10" hidden="1" x14ac:dyDescent="0.25">
      <c r="A2163" s="114" t="s">
        <v>4947</v>
      </c>
      <c r="B2163" s="115" t="s">
        <v>3773</v>
      </c>
      <c r="C2163" s="116" t="s">
        <v>16</v>
      </c>
      <c r="D2163" s="116">
        <v>0</v>
      </c>
      <c r="E2163" s="136" t="s">
        <v>416</v>
      </c>
      <c r="F2163" s="137" t="str">
        <f t="shared" si="111"/>
        <v/>
      </c>
      <c r="G2163" s="138" t="e">
        <f>IF(A2163&lt;&gt;"",IF(AND(#REF!="Padrão",$H$4=#REF!),BDI!$B$17,IF(AND(#REF!="Padrão",$H$4=#REF!),BDI!#REF!,IF(AND(#REF!="Diferenciado",$H$4=#REF!),BDI!$E$17,IF(AND(#REF!="Diferenciado",$H$4=#REF!),BDI!#REF!,IF(#REF!="ZERO",0))))),"")</f>
        <v>#REF!</v>
      </c>
      <c r="H2163" s="139" t="str">
        <f t="shared" si="112"/>
        <v/>
      </c>
      <c r="I2163" s="137" t="str">
        <f t="shared" si="113"/>
        <v/>
      </c>
      <c r="J2163" s="117"/>
    </row>
    <row r="2164" spans="1:10" hidden="1" x14ac:dyDescent="0.25">
      <c r="A2164" s="114" t="s">
        <v>4948</v>
      </c>
      <c r="B2164" s="115" t="s">
        <v>3774</v>
      </c>
      <c r="C2164" s="116" t="s">
        <v>16</v>
      </c>
      <c r="D2164" s="116">
        <v>0</v>
      </c>
      <c r="E2164" s="136" t="s">
        <v>416</v>
      </c>
      <c r="F2164" s="137" t="str">
        <f t="shared" si="111"/>
        <v/>
      </c>
      <c r="G2164" s="138" t="e">
        <f>IF(A2164&lt;&gt;"",IF(AND(#REF!="Padrão",$H$4=#REF!),BDI!$B$17,IF(AND(#REF!="Padrão",$H$4=#REF!),BDI!#REF!,IF(AND(#REF!="Diferenciado",$H$4=#REF!),BDI!$E$17,IF(AND(#REF!="Diferenciado",$H$4=#REF!),BDI!#REF!,IF(#REF!="ZERO",0))))),"")</f>
        <v>#REF!</v>
      </c>
      <c r="H2164" s="139" t="str">
        <f t="shared" si="112"/>
        <v/>
      </c>
      <c r="I2164" s="137" t="str">
        <f t="shared" si="113"/>
        <v/>
      </c>
      <c r="J2164" s="117"/>
    </row>
    <row r="2165" spans="1:10" hidden="1" x14ac:dyDescent="0.25">
      <c r="A2165" s="114" t="s">
        <v>4949</v>
      </c>
      <c r="B2165" s="115" t="s">
        <v>3775</v>
      </c>
      <c r="C2165" s="116" t="s">
        <v>69</v>
      </c>
      <c r="D2165" s="116">
        <v>0</v>
      </c>
      <c r="E2165" s="136" t="s">
        <v>416</v>
      </c>
      <c r="F2165" s="137" t="str">
        <f t="shared" si="111"/>
        <v/>
      </c>
      <c r="G2165" s="138" t="e">
        <f>IF(A2165&lt;&gt;"",IF(AND(#REF!="Padrão",$H$4=#REF!),BDI!$B$17,IF(AND(#REF!="Padrão",$H$4=#REF!),BDI!#REF!,IF(AND(#REF!="Diferenciado",$H$4=#REF!),BDI!$E$17,IF(AND(#REF!="Diferenciado",$H$4=#REF!),BDI!#REF!,IF(#REF!="ZERO",0))))),"")</f>
        <v>#REF!</v>
      </c>
      <c r="H2165" s="139" t="str">
        <f t="shared" si="112"/>
        <v/>
      </c>
      <c r="I2165" s="137" t="str">
        <f t="shared" si="113"/>
        <v/>
      </c>
      <c r="J2165" s="117"/>
    </row>
    <row r="2166" spans="1:10" hidden="1" x14ac:dyDescent="0.25">
      <c r="A2166" s="114" t="s">
        <v>4950</v>
      </c>
      <c r="B2166" s="115" t="s">
        <v>3776</v>
      </c>
      <c r="C2166" s="116" t="s">
        <v>16</v>
      </c>
      <c r="D2166" s="116">
        <v>0</v>
      </c>
      <c r="E2166" s="136" t="s">
        <v>416</v>
      </c>
      <c r="F2166" s="137" t="str">
        <f t="shared" si="111"/>
        <v/>
      </c>
      <c r="G2166" s="138" t="e">
        <f>IF(A2166&lt;&gt;"",IF(AND(#REF!="Padrão",$H$4=#REF!),BDI!$B$17,IF(AND(#REF!="Padrão",$H$4=#REF!),BDI!#REF!,IF(AND(#REF!="Diferenciado",$H$4=#REF!),BDI!$E$17,IF(AND(#REF!="Diferenciado",$H$4=#REF!),BDI!#REF!,IF(#REF!="ZERO",0))))),"")</f>
        <v>#REF!</v>
      </c>
      <c r="H2166" s="139" t="str">
        <f t="shared" si="112"/>
        <v/>
      </c>
      <c r="I2166" s="137" t="str">
        <f t="shared" si="113"/>
        <v/>
      </c>
      <c r="J2166" s="117"/>
    </row>
    <row r="2167" spans="1:10" hidden="1" x14ac:dyDescent="0.25">
      <c r="A2167" s="114" t="s">
        <v>4951</v>
      </c>
      <c r="B2167" s="115" t="s">
        <v>3777</v>
      </c>
      <c r="C2167" s="116" t="s">
        <v>16</v>
      </c>
      <c r="D2167" s="116">
        <v>0</v>
      </c>
      <c r="E2167" s="136" t="s">
        <v>416</v>
      </c>
      <c r="F2167" s="137" t="str">
        <f t="shared" si="111"/>
        <v/>
      </c>
      <c r="G2167" s="138" t="e">
        <f>IF(A2167&lt;&gt;"",IF(AND(#REF!="Padrão",$H$4=#REF!),BDI!$B$17,IF(AND(#REF!="Padrão",$H$4=#REF!),BDI!#REF!,IF(AND(#REF!="Diferenciado",$H$4=#REF!),BDI!$E$17,IF(AND(#REF!="Diferenciado",$H$4=#REF!),BDI!#REF!,IF(#REF!="ZERO",0))))),"")</f>
        <v>#REF!</v>
      </c>
      <c r="H2167" s="139" t="str">
        <f t="shared" si="112"/>
        <v/>
      </c>
      <c r="I2167" s="137" t="str">
        <f t="shared" si="113"/>
        <v/>
      </c>
      <c r="J2167" s="117"/>
    </row>
    <row r="2168" spans="1:10" hidden="1" x14ac:dyDescent="0.25">
      <c r="A2168" s="114" t="s">
        <v>4952</v>
      </c>
      <c r="B2168" s="115" t="s">
        <v>3778</v>
      </c>
      <c r="C2168" s="116" t="s">
        <v>16</v>
      </c>
      <c r="D2168" s="116">
        <v>0</v>
      </c>
      <c r="E2168" s="136" t="s">
        <v>416</v>
      </c>
      <c r="F2168" s="137" t="str">
        <f t="shared" si="111"/>
        <v/>
      </c>
      <c r="G2168" s="138" t="e">
        <f>IF(A2168&lt;&gt;"",IF(AND(#REF!="Padrão",$H$4=#REF!),BDI!$B$17,IF(AND(#REF!="Padrão",$H$4=#REF!),BDI!#REF!,IF(AND(#REF!="Diferenciado",$H$4=#REF!),BDI!$E$17,IF(AND(#REF!="Diferenciado",$H$4=#REF!),BDI!#REF!,IF(#REF!="ZERO",0))))),"")</f>
        <v>#REF!</v>
      </c>
      <c r="H2168" s="139" t="str">
        <f t="shared" si="112"/>
        <v/>
      </c>
      <c r="I2168" s="137" t="str">
        <f t="shared" si="113"/>
        <v/>
      </c>
      <c r="J2168" s="117"/>
    </row>
    <row r="2169" spans="1:10" hidden="1" x14ac:dyDescent="0.25">
      <c r="A2169" s="114" t="s">
        <v>4953</v>
      </c>
      <c r="B2169" s="115" t="s">
        <v>3779</v>
      </c>
      <c r="C2169" s="116" t="s">
        <v>16</v>
      </c>
      <c r="D2169" s="116">
        <v>0</v>
      </c>
      <c r="E2169" s="136" t="s">
        <v>416</v>
      </c>
      <c r="F2169" s="137" t="str">
        <f t="shared" si="111"/>
        <v/>
      </c>
      <c r="G2169" s="138" t="e">
        <f>IF(A2169&lt;&gt;"",IF(AND(#REF!="Padrão",$H$4=#REF!),BDI!$B$17,IF(AND(#REF!="Padrão",$H$4=#REF!),BDI!#REF!,IF(AND(#REF!="Diferenciado",$H$4=#REF!),BDI!$E$17,IF(AND(#REF!="Diferenciado",$H$4=#REF!),BDI!#REF!,IF(#REF!="ZERO",0))))),"")</f>
        <v>#REF!</v>
      </c>
      <c r="H2169" s="139" t="str">
        <f t="shared" si="112"/>
        <v/>
      </c>
      <c r="I2169" s="137" t="str">
        <f t="shared" si="113"/>
        <v/>
      </c>
      <c r="J2169" s="117"/>
    </row>
    <row r="2170" spans="1:10" hidden="1" x14ac:dyDescent="0.25">
      <c r="A2170" s="114" t="s">
        <v>4954</v>
      </c>
      <c r="B2170" s="115" t="s">
        <v>3780</v>
      </c>
      <c r="C2170" s="116" t="s">
        <v>16</v>
      </c>
      <c r="D2170" s="116">
        <v>0</v>
      </c>
      <c r="E2170" s="136" t="s">
        <v>416</v>
      </c>
      <c r="F2170" s="137" t="str">
        <f t="shared" si="111"/>
        <v/>
      </c>
      <c r="G2170" s="138" t="e">
        <f>IF(A2170&lt;&gt;"",IF(AND(#REF!="Padrão",$H$4=#REF!),BDI!$B$17,IF(AND(#REF!="Padrão",$H$4=#REF!),BDI!#REF!,IF(AND(#REF!="Diferenciado",$H$4=#REF!),BDI!$E$17,IF(AND(#REF!="Diferenciado",$H$4=#REF!),BDI!#REF!,IF(#REF!="ZERO",0))))),"")</f>
        <v>#REF!</v>
      </c>
      <c r="H2170" s="139" t="str">
        <f t="shared" si="112"/>
        <v/>
      </c>
      <c r="I2170" s="137" t="str">
        <f t="shared" si="113"/>
        <v/>
      </c>
      <c r="J2170" s="117"/>
    </row>
    <row r="2171" spans="1:10" hidden="1" x14ac:dyDescent="0.25">
      <c r="A2171" s="114" t="s">
        <v>4955</v>
      </c>
      <c r="B2171" s="115" t="s">
        <v>3781</v>
      </c>
      <c r="C2171" s="116" t="s">
        <v>16</v>
      </c>
      <c r="D2171" s="116">
        <v>0</v>
      </c>
      <c r="E2171" s="136" t="s">
        <v>416</v>
      </c>
      <c r="F2171" s="137" t="str">
        <f t="shared" si="111"/>
        <v/>
      </c>
      <c r="G2171" s="138" t="e">
        <f>IF(A2171&lt;&gt;"",IF(AND(#REF!="Padrão",$H$4=#REF!),BDI!$B$17,IF(AND(#REF!="Padrão",$H$4=#REF!),BDI!#REF!,IF(AND(#REF!="Diferenciado",$H$4=#REF!),BDI!$E$17,IF(AND(#REF!="Diferenciado",$H$4=#REF!),BDI!#REF!,IF(#REF!="ZERO",0))))),"")</f>
        <v>#REF!</v>
      </c>
      <c r="H2171" s="139" t="str">
        <f t="shared" si="112"/>
        <v/>
      </c>
      <c r="I2171" s="137" t="str">
        <f t="shared" si="113"/>
        <v/>
      </c>
      <c r="J2171" s="117"/>
    </row>
    <row r="2172" spans="1:10" hidden="1" x14ac:dyDescent="0.25">
      <c r="A2172" s="114" t="s">
        <v>4956</v>
      </c>
      <c r="B2172" s="115" t="s">
        <v>3782</v>
      </c>
      <c r="C2172" s="116" t="s">
        <v>16</v>
      </c>
      <c r="D2172" s="116">
        <v>0</v>
      </c>
      <c r="E2172" s="136" t="s">
        <v>416</v>
      </c>
      <c r="F2172" s="137" t="str">
        <f t="shared" si="111"/>
        <v/>
      </c>
      <c r="G2172" s="138" t="e">
        <f>IF(A2172&lt;&gt;"",IF(AND(#REF!="Padrão",$H$4=#REF!),BDI!$B$17,IF(AND(#REF!="Padrão",$H$4=#REF!),BDI!#REF!,IF(AND(#REF!="Diferenciado",$H$4=#REF!),BDI!$E$17,IF(AND(#REF!="Diferenciado",$H$4=#REF!),BDI!#REF!,IF(#REF!="ZERO",0))))),"")</f>
        <v>#REF!</v>
      </c>
      <c r="H2172" s="139" t="str">
        <f t="shared" si="112"/>
        <v/>
      </c>
      <c r="I2172" s="137" t="str">
        <f t="shared" si="113"/>
        <v/>
      </c>
      <c r="J2172" s="117"/>
    </row>
    <row r="2173" spans="1:10" hidden="1" x14ac:dyDescent="0.25">
      <c r="A2173" s="114" t="s">
        <v>4957</v>
      </c>
      <c r="B2173" s="115" t="s">
        <v>3783</v>
      </c>
      <c r="C2173" s="116" t="s">
        <v>16</v>
      </c>
      <c r="D2173" s="116">
        <v>0</v>
      </c>
      <c r="E2173" s="136" t="s">
        <v>416</v>
      </c>
      <c r="F2173" s="137" t="str">
        <f t="shared" si="111"/>
        <v/>
      </c>
      <c r="G2173" s="138" t="e">
        <f>IF(A2173&lt;&gt;"",IF(AND(#REF!="Padrão",$H$4=#REF!),BDI!$B$17,IF(AND(#REF!="Padrão",$H$4=#REF!),BDI!#REF!,IF(AND(#REF!="Diferenciado",$H$4=#REF!),BDI!$E$17,IF(AND(#REF!="Diferenciado",$H$4=#REF!),BDI!#REF!,IF(#REF!="ZERO",0))))),"")</f>
        <v>#REF!</v>
      </c>
      <c r="H2173" s="139" t="str">
        <f t="shared" si="112"/>
        <v/>
      </c>
      <c r="I2173" s="137" t="str">
        <f t="shared" si="113"/>
        <v/>
      </c>
      <c r="J2173" s="117"/>
    </row>
    <row r="2174" spans="1:10" hidden="1" x14ac:dyDescent="0.25">
      <c r="A2174" s="114" t="s">
        <v>4958</v>
      </c>
      <c r="B2174" s="115" t="s">
        <v>3784</v>
      </c>
      <c r="C2174" s="116" t="s">
        <v>16</v>
      </c>
      <c r="D2174" s="116">
        <v>0</v>
      </c>
      <c r="E2174" s="136" t="s">
        <v>416</v>
      </c>
      <c r="F2174" s="137" t="str">
        <f t="shared" si="111"/>
        <v/>
      </c>
      <c r="G2174" s="138" t="e">
        <f>IF(A2174&lt;&gt;"",IF(AND(#REF!="Padrão",$H$4=#REF!),BDI!$B$17,IF(AND(#REF!="Padrão",$H$4=#REF!),BDI!#REF!,IF(AND(#REF!="Diferenciado",$H$4=#REF!),BDI!$E$17,IF(AND(#REF!="Diferenciado",$H$4=#REF!),BDI!#REF!,IF(#REF!="ZERO",0))))),"")</f>
        <v>#REF!</v>
      </c>
      <c r="H2174" s="139" t="str">
        <f t="shared" si="112"/>
        <v/>
      </c>
      <c r="I2174" s="137" t="str">
        <f t="shared" si="113"/>
        <v/>
      </c>
      <c r="J2174" s="117"/>
    </row>
    <row r="2175" spans="1:10" hidden="1" x14ac:dyDescent="0.25">
      <c r="A2175" s="114" t="s">
        <v>4959</v>
      </c>
      <c r="B2175" s="115" t="s">
        <v>3785</v>
      </c>
      <c r="C2175" s="116" t="s">
        <v>16</v>
      </c>
      <c r="D2175" s="116">
        <v>0</v>
      </c>
      <c r="E2175" s="136" t="s">
        <v>416</v>
      </c>
      <c r="F2175" s="137" t="str">
        <f t="shared" si="111"/>
        <v/>
      </c>
      <c r="G2175" s="138" t="e">
        <f>IF(A2175&lt;&gt;"",IF(AND(#REF!="Padrão",$H$4=#REF!),BDI!$B$17,IF(AND(#REF!="Padrão",$H$4=#REF!),BDI!#REF!,IF(AND(#REF!="Diferenciado",$H$4=#REF!),BDI!$E$17,IF(AND(#REF!="Diferenciado",$H$4=#REF!),BDI!#REF!,IF(#REF!="ZERO",0))))),"")</f>
        <v>#REF!</v>
      </c>
      <c r="H2175" s="139" t="str">
        <f t="shared" si="112"/>
        <v/>
      </c>
      <c r="I2175" s="137" t="str">
        <f t="shared" si="113"/>
        <v/>
      </c>
      <c r="J2175" s="117"/>
    </row>
    <row r="2176" spans="1:10" hidden="1" x14ac:dyDescent="0.25">
      <c r="A2176" s="114" t="s">
        <v>4960</v>
      </c>
      <c r="B2176" s="115" t="s">
        <v>3786</v>
      </c>
      <c r="C2176" s="116" t="s">
        <v>16</v>
      </c>
      <c r="D2176" s="116">
        <v>0</v>
      </c>
      <c r="E2176" s="136" t="s">
        <v>416</v>
      </c>
      <c r="F2176" s="137" t="str">
        <f t="shared" si="111"/>
        <v/>
      </c>
      <c r="G2176" s="138" t="e">
        <f>IF(A2176&lt;&gt;"",IF(AND(#REF!="Padrão",$H$4=#REF!),BDI!$B$17,IF(AND(#REF!="Padrão",$H$4=#REF!),BDI!#REF!,IF(AND(#REF!="Diferenciado",$H$4=#REF!),BDI!$E$17,IF(AND(#REF!="Diferenciado",$H$4=#REF!),BDI!#REF!,IF(#REF!="ZERO",0))))),"")</f>
        <v>#REF!</v>
      </c>
      <c r="H2176" s="139" t="str">
        <f t="shared" si="112"/>
        <v/>
      </c>
      <c r="I2176" s="137" t="str">
        <f t="shared" si="113"/>
        <v/>
      </c>
      <c r="J2176" s="117"/>
    </row>
    <row r="2177" spans="1:10" hidden="1" x14ac:dyDescent="0.25">
      <c r="A2177" s="114" t="s">
        <v>4961</v>
      </c>
      <c r="B2177" s="115" t="s">
        <v>3787</v>
      </c>
      <c r="C2177" s="116" t="s">
        <v>16</v>
      </c>
      <c r="D2177" s="116">
        <v>0</v>
      </c>
      <c r="E2177" s="136" t="s">
        <v>416</v>
      </c>
      <c r="F2177" s="137" t="str">
        <f t="shared" si="111"/>
        <v/>
      </c>
      <c r="G2177" s="138" t="e">
        <f>IF(A2177&lt;&gt;"",IF(AND(#REF!="Padrão",$H$4=#REF!),BDI!$B$17,IF(AND(#REF!="Padrão",$H$4=#REF!),BDI!#REF!,IF(AND(#REF!="Diferenciado",$H$4=#REF!),BDI!$E$17,IF(AND(#REF!="Diferenciado",$H$4=#REF!),BDI!#REF!,IF(#REF!="ZERO",0))))),"")</f>
        <v>#REF!</v>
      </c>
      <c r="H2177" s="139" t="str">
        <f t="shared" si="112"/>
        <v/>
      </c>
      <c r="I2177" s="137" t="str">
        <f t="shared" si="113"/>
        <v/>
      </c>
      <c r="J2177" s="117"/>
    </row>
    <row r="2178" spans="1:10" hidden="1" x14ac:dyDescent="0.25">
      <c r="A2178" s="114" t="s">
        <v>4962</v>
      </c>
      <c r="B2178" s="115" t="s">
        <v>3788</v>
      </c>
      <c r="C2178" s="116" t="s">
        <v>16</v>
      </c>
      <c r="D2178" s="116">
        <v>0</v>
      </c>
      <c r="E2178" s="136" t="s">
        <v>416</v>
      </c>
      <c r="F2178" s="137" t="str">
        <f t="shared" si="111"/>
        <v/>
      </c>
      <c r="G2178" s="138" t="e">
        <f>IF(A2178&lt;&gt;"",IF(AND(#REF!="Padrão",$H$4=#REF!),BDI!$B$17,IF(AND(#REF!="Padrão",$H$4=#REF!),BDI!#REF!,IF(AND(#REF!="Diferenciado",$H$4=#REF!),BDI!$E$17,IF(AND(#REF!="Diferenciado",$H$4=#REF!),BDI!#REF!,IF(#REF!="ZERO",0))))),"")</f>
        <v>#REF!</v>
      </c>
      <c r="H2178" s="139" t="str">
        <f t="shared" si="112"/>
        <v/>
      </c>
      <c r="I2178" s="137" t="str">
        <f t="shared" si="113"/>
        <v/>
      </c>
      <c r="J2178" s="117"/>
    </row>
    <row r="2179" spans="1:10" hidden="1" x14ac:dyDescent="0.25">
      <c r="A2179" s="114" t="s">
        <v>4963</v>
      </c>
      <c r="B2179" s="115" t="s">
        <v>7440</v>
      </c>
      <c r="C2179" s="116" t="s">
        <v>16</v>
      </c>
      <c r="D2179" s="116">
        <v>0</v>
      </c>
      <c r="E2179" s="136" t="s">
        <v>416</v>
      </c>
      <c r="F2179" s="137" t="str">
        <f t="shared" si="111"/>
        <v/>
      </c>
      <c r="G2179" s="138" t="e">
        <f>IF(A2179&lt;&gt;"",IF(AND(#REF!="Padrão",$H$4=#REF!),BDI!$B$17,IF(AND(#REF!="Padrão",$H$4=#REF!),BDI!#REF!,IF(AND(#REF!="Diferenciado",$H$4=#REF!),BDI!$E$17,IF(AND(#REF!="Diferenciado",$H$4=#REF!),BDI!#REF!,IF(#REF!="ZERO",0))))),"")</f>
        <v>#REF!</v>
      </c>
      <c r="H2179" s="139" t="str">
        <f t="shared" si="112"/>
        <v/>
      </c>
      <c r="I2179" s="137" t="str">
        <f t="shared" si="113"/>
        <v/>
      </c>
      <c r="J2179" s="117"/>
    </row>
    <row r="2180" spans="1:10" hidden="1" x14ac:dyDescent="0.25">
      <c r="A2180" s="114" t="s">
        <v>4964</v>
      </c>
      <c r="B2180" s="115" t="s">
        <v>7441</v>
      </c>
      <c r="C2180" s="116" t="s">
        <v>16</v>
      </c>
      <c r="D2180" s="116">
        <v>0</v>
      </c>
      <c r="E2180" s="136" t="s">
        <v>416</v>
      </c>
      <c r="F2180" s="137" t="str">
        <f t="shared" si="111"/>
        <v/>
      </c>
      <c r="G2180" s="138" t="e">
        <f>IF(A2180&lt;&gt;"",IF(AND(#REF!="Padrão",$H$4=#REF!),BDI!$B$17,IF(AND(#REF!="Padrão",$H$4=#REF!),BDI!#REF!,IF(AND(#REF!="Diferenciado",$H$4=#REF!),BDI!$E$17,IF(AND(#REF!="Diferenciado",$H$4=#REF!),BDI!#REF!,IF(#REF!="ZERO",0))))),"")</f>
        <v>#REF!</v>
      </c>
      <c r="H2180" s="139" t="str">
        <f t="shared" si="112"/>
        <v/>
      </c>
      <c r="I2180" s="137" t="str">
        <f t="shared" si="113"/>
        <v/>
      </c>
      <c r="J2180" s="117"/>
    </row>
    <row r="2181" spans="1:10" hidden="1" x14ac:dyDescent="0.25">
      <c r="A2181" s="114" t="s">
        <v>4965</v>
      </c>
      <c r="B2181" s="115" t="s">
        <v>3789</v>
      </c>
      <c r="C2181" s="116" t="s">
        <v>16</v>
      </c>
      <c r="D2181" s="116">
        <v>0</v>
      </c>
      <c r="E2181" s="136" t="s">
        <v>416</v>
      </c>
      <c r="F2181" s="137" t="str">
        <f t="shared" si="111"/>
        <v/>
      </c>
      <c r="G2181" s="138" t="e">
        <f>IF(A2181&lt;&gt;"",IF(AND(#REF!="Padrão",$H$4=#REF!),BDI!$B$17,IF(AND(#REF!="Padrão",$H$4=#REF!),BDI!#REF!,IF(AND(#REF!="Diferenciado",$H$4=#REF!),BDI!$E$17,IF(AND(#REF!="Diferenciado",$H$4=#REF!),BDI!#REF!,IF(#REF!="ZERO",0))))),"")</f>
        <v>#REF!</v>
      </c>
      <c r="H2181" s="139" t="str">
        <f t="shared" si="112"/>
        <v/>
      </c>
      <c r="I2181" s="137" t="str">
        <f t="shared" si="113"/>
        <v/>
      </c>
      <c r="J2181" s="117"/>
    </row>
    <row r="2182" spans="1:10" hidden="1" x14ac:dyDescent="0.25">
      <c r="A2182" s="114" t="s">
        <v>4966</v>
      </c>
      <c r="B2182" s="115" t="s">
        <v>3790</v>
      </c>
      <c r="C2182" s="116" t="s">
        <v>16</v>
      </c>
      <c r="D2182" s="116">
        <v>0</v>
      </c>
      <c r="E2182" s="136" t="s">
        <v>416</v>
      </c>
      <c r="F2182" s="137" t="str">
        <f t="shared" si="111"/>
        <v/>
      </c>
      <c r="G2182" s="138" t="e">
        <f>IF(A2182&lt;&gt;"",IF(AND(#REF!="Padrão",$H$4=#REF!),BDI!$B$17,IF(AND(#REF!="Padrão",$H$4=#REF!),BDI!#REF!,IF(AND(#REF!="Diferenciado",$H$4=#REF!),BDI!$E$17,IF(AND(#REF!="Diferenciado",$H$4=#REF!),BDI!#REF!,IF(#REF!="ZERO",0))))),"")</f>
        <v>#REF!</v>
      </c>
      <c r="H2182" s="139" t="str">
        <f t="shared" si="112"/>
        <v/>
      </c>
      <c r="I2182" s="137" t="str">
        <f t="shared" si="113"/>
        <v/>
      </c>
      <c r="J2182" s="117"/>
    </row>
    <row r="2183" spans="1:10" hidden="1" x14ac:dyDescent="0.25">
      <c r="A2183" s="114" t="s">
        <v>4967</v>
      </c>
      <c r="B2183" s="115" t="s">
        <v>3791</v>
      </c>
      <c r="C2183" s="116" t="s">
        <v>16</v>
      </c>
      <c r="D2183" s="116">
        <v>0</v>
      </c>
      <c r="E2183" s="136" t="s">
        <v>416</v>
      </c>
      <c r="F2183" s="137" t="str">
        <f t="shared" si="111"/>
        <v/>
      </c>
      <c r="G2183" s="138" t="e">
        <f>IF(A2183&lt;&gt;"",IF(AND(#REF!="Padrão",$H$4=#REF!),BDI!$B$17,IF(AND(#REF!="Padrão",$H$4=#REF!),BDI!#REF!,IF(AND(#REF!="Diferenciado",$H$4=#REF!),BDI!$E$17,IF(AND(#REF!="Diferenciado",$H$4=#REF!),BDI!#REF!,IF(#REF!="ZERO",0))))),"")</f>
        <v>#REF!</v>
      </c>
      <c r="H2183" s="139" t="str">
        <f t="shared" si="112"/>
        <v/>
      </c>
      <c r="I2183" s="137" t="str">
        <f t="shared" si="113"/>
        <v/>
      </c>
      <c r="J2183" s="117"/>
    </row>
    <row r="2184" spans="1:10" hidden="1" x14ac:dyDescent="0.25">
      <c r="A2184" s="114" t="s">
        <v>4968</v>
      </c>
      <c r="B2184" s="115" t="s">
        <v>3792</v>
      </c>
      <c r="C2184" s="116" t="s">
        <v>16</v>
      </c>
      <c r="D2184" s="116">
        <v>0</v>
      </c>
      <c r="E2184" s="136" t="s">
        <v>416</v>
      </c>
      <c r="F2184" s="137" t="str">
        <f t="shared" si="111"/>
        <v/>
      </c>
      <c r="G2184" s="138" t="e">
        <f>IF(A2184&lt;&gt;"",IF(AND(#REF!="Padrão",$H$4=#REF!),BDI!$B$17,IF(AND(#REF!="Padrão",$H$4=#REF!),BDI!#REF!,IF(AND(#REF!="Diferenciado",$H$4=#REF!),BDI!$E$17,IF(AND(#REF!="Diferenciado",$H$4=#REF!),BDI!#REF!,IF(#REF!="ZERO",0))))),"")</f>
        <v>#REF!</v>
      </c>
      <c r="H2184" s="139" t="str">
        <f t="shared" si="112"/>
        <v/>
      </c>
      <c r="I2184" s="137" t="str">
        <f t="shared" si="113"/>
        <v/>
      </c>
      <c r="J2184" s="117"/>
    </row>
    <row r="2185" spans="1:10" hidden="1" x14ac:dyDescent="0.25">
      <c r="A2185" s="114" t="s">
        <v>4969</v>
      </c>
      <c r="B2185" s="115" t="s">
        <v>3793</v>
      </c>
      <c r="C2185" s="116" t="s">
        <v>16</v>
      </c>
      <c r="D2185" s="116">
        <v>0</v>
      </c>
      <c r="E2185" s="136" t="s">
        <v>416</v>
      </c>
      <c r="F2185" s="137" t="str">
        <f t="shared" si="111"/>
        <v/>
      </c>
      <c r="G2185" s="138" t="e">
        <f>IF(A2185&lt;&gt;"",IF(AND(#REF!="Padrão",$H$4=#REF!),BDI!$B$17,IF(AND(#REF!="Padrão",$H$4=#REF!),BDI!#REF!,IF(AND(#REF!="Diferenciado",$H$4=#REF!),BDI!$E$17,IF(AND(#REF!="Diferenciado",$H$4=#REF!),BDI!#REF!,IF(#REF!="ZERO",0))))),"")</f>
        <v>#REF!</v>
      </c>
      <c r="H2185" s="139" t="str">
        <f t="shared" si="112"/>
        <v/>
      </c>
      <c r="I2185" s="137" t="str">
        <f t="shared" si="113"/>
        <v/>
      </c>
      <c r="J2185" s="117"/>
    </row>
    <row r="2186" spans="1:10" hidden="1" x14ac:dyDescent="0.25">
      <c r="A2186" s="114" t="s">
        <v>4970</v>
      </c>
      <c r="B2186" s="115" t="s">
        <v>3794</v>
      </c>
      <c r="C2186" s="116" t="s">
        <v>16</v>
      </c>
      <c r="D2186" s="116">
        <v>0</v>
      </c>
      <c r="E2186" s="136" t="s">
        <v>416</v>
      </c>
      <c r="F2186" s="137" t="str">
        <f t="shared" si="111"/>
        <v/>
      </c>
      <c r="G2186" s="138" t="e">
        <f>IF(A2186&lt;&gt;"",IF(AND(#REF!="Padrão",$H$4=#REF!),BDI!$B$17,IF(AND(#REF!="Padrão",$H$4=#REF!),BDI!#REF!,IF(AND(#REF!="Diferenciado",$H$4=#REF!),BDI!$E$17,IF(AND(#REF!="Diferenciado",$H$4=#REF!),BDI!#REF!,IF(#REF!="ZERO",0))))),"")</f>
        <v>#REF!</v>
      </c>
      <c r="H2186" s="139" t="str">
        <f t="shared" si="112"/>
        <v/>
      </c>
      <c r="I2186" s="137" t="str">
        <f t="shared" si="113"/>
        <v/>
      </c>
      <c r="J2186" s="117"/>
    </row>
    <row r="2187" spans="1:10" hidden="1" x14ac:dyDescent="0.25">
      <c r="A2187" s="114" t="s">
        <v>4971</v>
      </c>
      <c r="B2187" s="115" t="s">
        <v>3795</v>
      </c>
      <c r="C2187" s="116" t="s">
        <v>16</v>
      </c>
      <c r="D2187" s="116">
        <v>0</v>
      </c>
      <c r="E2187" s="136" t="s">
        <v>416</v>
      </c>
      <c r="F2187" s="137" t="str">
        <f t="shared" si="111"/>
        <v/>
      </c>
      <c r="G2187" s="138" t="e">
        <f>IF(A2187&lt;&gt;"",IF(AND(#REF!="Padrão",$H$4=#REF!),BDI!$B$17,IF(AND(#REF!="Padrão",$H$4=#REF!),BDI!#REF!,IF(AND(#REF!="Diferenciado",$H$4=#REF!),BDI!$E$17,IF(AND(#REF!="Diferenciado",$H$4=#REF!),BDI!#REF!,IF(#REF!="ZERO",0))))),"")</f>
        <v>#REF!</v>
      </c>
      <c r="H2187" s="139" t="str">
        <f t="shared" si="112"/>
        <v/>
      </c>
      <c r="I2187" s="137" t="str">
        <f t="shared" si="113"/>
        <v/>
      </c>
      <c r="J2187" s="117"/>
    </row>
    <row r="2188" spans="1:10" hidden="1" x14ac:dyDescent="0.25">
      <c r="A2188" s="114" t="s">
        <v>4972</v>
      </c>
      <c r="B2188" s="115" t="s">
        <v>3796</v>
      </c>
      <c r="C2188" s="116" t="s">
        <v>69</v>
      </c>
      <c r="D2188" s="116">
        <v>0</v>
      </c>
      <c r="E2188" s="136" t="s">
        <v>416</v>
      </c>
      <c r="F2188" s="137" t="str">
        <f t="shared" si="111"/>
        <v/>
      </c>
      <c r="G2188" s="138" t="e">
        <f>IF(A2188&lt;&gt;"",IF(AND(#REF!="Padrão",$H$4=#REF!),BDI!$B$17,IF(AND(#REF!="Padrão",$H$4=#REF!),BDI!#REF!,IF(AND(#REF!="Diferenciado",$H$4=#REF!),BDI!$E$17,IF(AND(#REF!="Diferenciado",$H$4=#REF!),BDI!#REF!,IF(#REF!="ZERO",0))))),"")</f>
        <v>#REF!</v>
      </c>
      <c r="H2188" s="139" t="str">
        <f t="shared" si="112"/>
        <v/>
      </c>
      <c r="I2188" s="137" t="str">
        <f t="shared" si="113"/>
        <v/>
      </c>
      <c r="J2188" s="117"/>
    </row>
    <row r="2189" spans="1:10" hidden="1" x14ac:dyDescent="0.25">
      <c r="A2189" s="114" t="s">
        <v>4973</v>
      </c>
      <c r="B2189" s="115" t="s">
        <v>3797</v>
      </c>
      <c r="C2189" s="116" t="s">
        <v>16</v>
      </c>
      <c r="D2189" s="116">
        <v>0</v>
      </c>
      <c r="E2189" s="136" t="s">
        <v>416</v>
      </c>
      <c r="F2189" s="137" t="str">
        <f t="shared" si="111"/>
        <v/>
      </c>
      <c r="G2189" s="138" t="e">
        <f>IF(A2189&lt;&gt;"",IF(AND(#REF!="Padrão",$H$4=#REF!),BDI!$B$17,IF(AND(#REF!="Padrão",$H$4=#REF!),BDI!#REF!,IF(AND(#REF!="Diferenciado",$H$4=#REF!),BDI!$E$17,IF(AND(#REF!="Diferenciado",$H$4=#REF!),BDI!#REF!,IF(#REF!="ZERO",0))))),"")</f>
        <v>#REF!</v>
      </c>
      <c r="H2189" s="139" t="str">
        <f t="shared" si="112"/>
        <v/>
      </c>
      <c r="I2189" s="137" t="str">
        <f t="shared" si="113"/>
        <v/>
      </c>
      <c r="J2189" s="117"/>
    </row>
    <row r="2190" spans="1:10" hidden="1" x14ac:dyDescent="0.25">
      <c r="A2190" s="114" t="s">
        <v>4974</v>
      </c>
      <c r="B2190" s="115" t="s">
        <v>3798</v>
      </c>
      <c r="C2190" s="116" t="s">
        <v>16</v>
      </c>
      <c r="D2190" s="116">
        <v>0</v>
      </c>
      <c r="E2190" s="136" t="s">
        <v>416</v>
      </c>
      <c r="F2190" s="137" t="str">
        <f t="shared" si="111"/>
        <v/>
      </c>
      <c r="G2190" s="138" t="e">
        <f>IF(A2190&lt;&gt;"",IF(AND(#REF!="Padrão",$H$4=#REF!),BDI!$B$17,IF(AND(#REF!="Padrão",$H$4=#REF!),BDI!#REF!,IF(AND(#REF!="Diferenciado",$H$4=#REF!),BDI!$E$17,IF(AND(#REF!="Diferenciado",$H$4=#REF!),BDI!#REF!,IF(#REF!="ZERO",0))))),"")</f>
        <v>#REF!</v>
      </c>
      <c r="H2190" s="139" t="str">
        <f t="shared" si="112"/>
        <v/>
      </c>
      <c r="I2190" s="137" t="str">
        <f t="shared" si="113"/>
        <v/>
      </c>
      <c r="J2190" s="117"/>
    </row>
    <row r="2191" spans="1:10" hidden="1" x14ac:dyDescent="0.25">
      <c r="A2191" s="114" t="s">
        <v>4975</v>
      </c>
      <c r="B2191" s="115" t="s">
        <v>3799</v>
      </c>
      <c r="C2191" s="116" t="s">
        <v>16</v>
      </c>
      <c r="D2191" s="116">
        <v>0</v>
      </c>
      <c r="E2191" s="136" t="s">
        <v>416</v>
      </c>
      <c r="F2191" s="137" t="str">
        <f t="shared" si="111"/>
        <v/>
      </c>
      <c r="G2191" s="138" t="e">
        <f>IF(A2191&lt;&gt;"",IF(AND(#REF!="Padrão",$H$4=#REF!),BDI!$B$17,IF(AND(#REF!="Padrão",$H$4=#REF!),BDI!#REF!,IF(AND(#REF!="Diferenciado",$H$4=#REF!),BDI!$E$17,IF(AND(#REF!="Diferenciado",$H$4=#REF!),BDI!#REF!,IF(#REF!="ZERO",0))))),"")</f>
        <v>#REF!</v>
      </c>
      <c r="H2191" s="139" t="str">
        <f t="shared" si="112"/>
        <v/>
      </c>
      <c r="I2191" s="137" t="str">
        <f t="shared" si="113"/>
        <v/>
      </c>
      <c r="J2191" s="117"/>
    </row>
    <row r="2192" spans="1:10" hidden="1" x14ac:dyDescent="0.25">
      <c r="A2192" s="114" t="s">
        <v>4976</v>
      </c>
      <c r="B2192" s="115" t="s">
        <v>3800</v>
      </c>
      <c r="C2192" s="116" t="s">
        <v>16</v>
      </c>
      <c r="D2192" s="116">
        <v>0</v>
      </c>
      <c r="E2192" s="136" t="s">
        <v>416</v>
      </c>
      <c r="F2192" s="137" t="str">
        <f t="shared" si="111"/>
        <v/>
      </c>
      <c r="G2192" s="138" t="e">
        <f>IF(A2192&lt;&gt;"",IF(AND(#REF!="Padrão",$H$4=#REF!),BDI!$B$17,IF(AND(#REF!="Padrão",$H$4=#REF!),BDI!#REF!,IF(AND(#REF!="Diferenciado",$H$4=#REF!),BDI!$E$17,IF(AND(#REF!="Diferenciado",$H$4=#REF!),BDI!#REF!,IF(#REF!="ZERO",0))))),"")</f>
        <v>#REF!</v>
      </c>
      <c r="H2192" s="139" t="str">
        <f t="shared" si="112"/>
        <v/>
      </c>
      <c r="I2192" s="137" t="str">
        <f t="shared" si="113"/>
        <v/>
      </c>
      <c r="J2192" s="117"/>
    </row>
    <row r="2193" spans="1:10" hidden="1" x14ac:dyDescent="0.25">
      <c r="A2193" s="114" t="s">
        <v>4977</v>
      </c>
      <c r="B2193" s="115" t="s">
        <v>3801</v>
      </c>
      <c r="C2193" s="116" t="s">
        <v>16</v>
      </c>
      <c r="D2193" s="116">
        <v>0</v>
      </c>
      <c r="E2193" s="136" t="s">
        <v>416</v>
      </c>
      <c r="F2193" s="137" t="str">
        <f t="shared" si="111"/>
        <v/>
      </c>
      <c r="G2193" s="138" t="e">
        <f>IF(A2193&lt;&gt;"",IF(AND(#REF!="Padrão",$H$4=#REF!),BDI!$B$17,IF(AND(#REF!="Padrão",$H$4=#REF!),BDI!#REF!,IF(AND(#REF!="Diferenciado",$H$4=#REF!),BDI!$E$17,IF(AND(#REF!="Diferenciado",$H$4=#REF!),BDI!#REF!,IF(#REF!="ZERO",0))))),"")</f>
        <v>#REF!</v>
      </c>
      <c r="H2193" s="139" t="str">
        <f t="shared" si="112"/>
        <v/>
      </c>
      <c r="I2193" s="137" t="str">
        <f t="shared" si="113"/>
        <v/>
      </c>
      <c r="J2193" s="117"/>
    </row>
    <row r="2194" spans="1:10" hidden="1" x14ac:dyDescent="0.25">
      <c r="A2194" s="114" t="s">
        <v>4978</v>
      </c>
      <c r="B2194" s="115" t="s">
        <v>3802</v>
      </c>
      <c r="C2194" s="116" t="s">
        <v>16</v>
      </c>
      <c r="D2194" s="116">
        <v>0</v>
      </c>
      <c r="E2194" s="136" t="s">
        <v>416</v>
      </c>
      <c r="F2194" s="137" t="str">
        <f t="shared" si="111"/>
        <v/>
      </c>
      <c r="G2194" s="138" t="e">
        <f>IF(A2194&lt;&gt;"",IF(AND(#REF!="Padrão",$H$4=#REF!),BDI!$B$17,IF(AND(#REF!="Padrão",$H$4=#REF!),BDI!#REF!,IF(AND(#REF!="Diferenciado",$H$4=#REF!),BDI!$E$17,IF(AND(#REF!="Diferenciado",$H$4=#REF!),BDI!#REF!,IF(#REF!="ZERO",0))))),"")</f>
        <v>#REF!</v>
      </c>
      <c r="H2194" s="139" t="str">
        <f t="shared" si="112"/>
        <v/>
      </c>
      <c r="I2194" s="137" t="str">
        <f t="shared" si="113"/>
        <v/>
      </c>
      <c r="J2194" s="117"/>
    </row>
    <row r="2195" spans="1:10" hidden="1" x14ac:dyDescent="0.25">
      <c r="A2195" s="114" t="s">
        <v>4979</v>
      </c>
      <c r="B2195" s="115" t="s">
        <v>3803</v>
      </c>
      <c r="C2195" s="116" t="s">
        <v>16</v>
      </c>
      <c r="D2195" s="116">
        <v>0</v>
      </c>
      <c r="E2195" s="136" t="s">
        <v>416</v>
      </c>
      <c r="F2195" s="137" t="str">
        <f t="shared" si="111"/>
        <v/>
      </c>
      <c r="G2195" s="138" t="e">
        <f>IF(A2195&lt;&gt;"",IF(AND(#REF!="Padrão",$H$4=#REF!),BDI!$B$17,IF(AND(#REF!="Padrão",$H$4=#REF!),BDI!#REF!,IF(AND(#REF!="Diferenciado",$H$4=#REF!),BDI!$E$17,IF(AND(#REF!="Diferenciado",$H$4=#REF!),BDI!#REF!,IF(#REF!="ZERO",0))))),"")</f>
        <v>#REF!</v>
      </c>
      <c r="H2195" s="139" t="str">
        <f t="shared" si="112"/>
        <v/>
      </c>
      <c r="I2195" s="137" t="str">
        <f t="shared" si="113"/>
        <v/>
      </c>
      <c r="J2195" s="117"/>
    </row>
    <row r="2196" spans="1:10" hidden="1" x14ac:dyDescent="0.25">
      <c r="A2196" s="114" t="s">
        <v>4980</v>
      </c>
      <c r="B2196" s="115" t="s">
        <v>3804</v>
      </c>
      <c r="C2196" s="116" t="s">
        <v>16</v>
      </c>
      <c r="D2196" s="116">
        <v>0</v>
      </c>
      <c r="E2196" s="136" t="s">
        <v>416</v>
      </c>
      <c r="F2196" s="137" t="str">
        <f t="shared" si="111"/>
        <v/>
      </c>
      <c r="G2196" s="138" t="e">
        <f>IF(A2196&lt;&gt;"",IF(AND(#REF!="Padrão",$H$4=#REF!),BDI!$B$17,IF(AND(#REF!="Padrão",$H$4=#REF!),BDI!#REF!,IF(AND(#REF!="Diferenciado",$H$4=#REF!),BDI!$E$17,IF(AND(#REF!="Diferenciado",$H$4=#REF!),BDI!#REF!,IF(#REF!="ZERO",0))))),"")</f>
        <v>#REF!</v>
      </c>
      <c r="H2196" s="139" t="str">
        <f t="shared" si="112"/>
        <v/>
      </c>
      <c r="I2196" s="137" t="str">
        <f t="shared" si="113"/>
        <v/>
      </c>
      <c r="J2196" s="117"/>
    </row>
    <row r="2197" spans="1:10" hidden="1" x14ac:dyDescent="0.25">
      <c r="A2197" s="114" t="s">
        <v>4981</v>
      </c>
      <c r="B2197" s="115" t="s">
        <v>3805</v>
      </c>
      <c r="C2197" s="116" t="s">
        <v>16</v>
      </c>
      <c r="D2197" s="116">
        <v>0</v>
      </c>
      <c r="E2197" s="136" t="s">
        <v>416</v>
      </c>
      <c r="F2197" s="137" t="str">
        <f t="shared" si="111"/>
        <v/>
      </c>
      <c r="G2197" s="138" t="e">
        <f>IF(A2197&lt;&gt;"",IF(AND(#REF!="Padrão",$H$4=#REF!),BDI!$B$17,IF(AND(#REF!="Padrão",$H$4=#REF!),BDI!#REF!,IF(AND(#REF!="Diferenciado",$H$4=#REF!),BDI!$E$17,IF(AND(#REF!="Diferenciado",$H$4=#REF!),BDI!#REF!,IF(#REF!="ZERO",0))))),"")</f>
        <v>#REF!</v>
      </c>
      <c r="H2197" s="139" t="str">
        <f t="shared" si="112"/>
        <v/>
      </c>
      <c r="I2197" s="137" t="str">
        <f t="shared" si="113"/>
        <v/>
      </c>
      <c r="J2197" s="117"/>
    </row>
    <row r="2198" spans="1:10" hidden="1" x14ac:dyDescent="0.25">
      <c r="A2198" s="114" t="s">
        <v>4982</v>
      </c>
      <c r="B2198" s="115" t="s">
        <v>7417</v>
      </c>
      <c r="C2198" s="116" t="s">
        <v>16</v>
      </c>
      <c r="D2198" s="116">
        <v>0</v>
      </c>
      <c r="E2198" s="136" t="s">
        <v>416</v>
      </c>
      <c r="F2198" s="137" t="str">
        <f t="shared" si="111"/>
        <v/>
      </c>
      <c r="G2198" s="138" t="e">
        <f>IF(A2198&lt;&gt;"",IF(AND(#REF!="Padrão",$H$4=#REF!),BDI!$B$17,IF(AND(#REF!="Padrão",$H$4=#REF!),BDI!#REF!,IF(AND(#REF!="Diferenciado",$H$4=#REF!),BDI!$E$17,IF(AND(#REF!="Diferenciado",$H$4=#REF!),BDI!#REF!,IF(#REF!="ZERO",0))))),"")</f>
        <v>#REF!</v>
      </c>
      <c r="H2198" s="139" t="str">
        <f t="shared" si="112"/>
        <v/>
      </c>
      <c r="I2198" s="137" t="str">
        <f t="shared" si="113"/>
        <v/>
      </c>
      <c r="J2198" s="117"/>
    </row>
    <row r="2199" spans="1:10" hidden="1" x14ac:dyDescent="0.25">
      <c r="A2199" s="114" t="s">
        <v>4983</v>
      </c>
      <c r="B2199" s="115" t="s">
        <v>7418</v>
      </c>
      <c r="C2199" s="116" t="s">
        <v>16</v>
      </c>
      <c r="D2199" s="116">
        <v>0</v>
      </c>
      <c r="E2199" s="136" t="s">
        <v>416</v>
      </c>
      <c r="F2199" s="137" t="str">
        <f t="shared" si="111"/>
        <v/>
      </c>
      <c r="G2199" s="138" t="e">
        <f>IF(A2199&lt;&gt;"",IF(AND(#REF!="Padrão",$H$4=#REF!),BDI!$B$17,IF(AND(#REF!="Padrão",$H$4=#REF!),BDI!#REF!,IF(AND(#REF!="Diferenciado",$H$4=#REF!),BDI!$E$17,IF(AND(#REF!="Diferenciado",$H$4=#REF!),BDI!#REF!,IF(#REF!="ZERO",0))))),"")</f>
        <v>#REF!</v>
      </c>
      <c r="H2199" s="139" t="str">
        <f t="shared" si="112"/>
        <v/>
      </c>
      <c r="I2199" s="137" t="str">
        <f t="shared" si="113"/>
        <v/>
      </c>
      <c r="J2199" s="117"/>
    </row>
    <row r="2200" spans="1:10" hidden="1" x14ac:dyDescent="0.25">
      <c r="A2200" s="114" t="s">
        <v>4984</v>
      </c>
      <c r="B2200" s="115" t="s">
        <v>7419</v>
      </c>
      <c r="C2200" s="116" t="s">
        <v>16</v>
      </c>
      <c r="D2200" s="116">
        <v>0</v>
      </c>
      <c r="E2200" s="136" t="s">
        <v>416</v>
      </c>
      <c r="F2200" s="137" t="str">
        <f t="shared" si="111"/>
        <v/>
      </c>
      <c r="G2200" s="138" t="e">
        <f>IF(A2200&lt;&gt;"",IF(AND(#REF!="Padrão",$H$4=#REF!),BDI!$B$17,IF(AND(#REF!="Padrão",$H$4=#REF!),BDI!#REF!,IF(AND(#REF!="Diferenciado",$H$4=#REF!),BDI!$E$17,IF(AND(#REF!="Diferenciado",$H$4=#REF!),BDI!#REF!,IF(#REF!="ZERO",0))))),"")</f>
        <v>#REF!</v>
      </c>
      <c r="H2200" s="139" t="str">
        <f t="shared" si="112"/>
        <v/>
      </c>
      <c r="I2200" s="137" t="str">
        <f t="shared" si="113"/>
        <v/>
      </c>
      <c r="J2200" s="117"/>
    </row>
    <row r="2201" spans="1:10" hidden="1" x14ac:dyDescent="0.25">
      <c r="A2201" s="114" t="s">
        <v>4985</v>
      </c>
      <c r="B2201" s="115" t="s">
        <v>7420</v>
      </c>
      <c r="C2201" s="116" t="s">
        <v>16</v>
      </c>
      <c r="D2201" s="116">
        <v>0</v>
      </c>
      <c r="E2201" s="136" t="s">
        <v>416</v>
      </c>
      <c r="F2201" s="137" t="str">
        <f t="shared" si="111"/>
        <v/>
      </c>
      <c r="G2201" s="138" t="e">
        <f>IF(A2201&lt;&gt;"",IF(AND(#REF!="Padrão",$H$4=#REF!),BDI!$B$17,IF(AND(#REF!="Padrão",$H$4=#REF!),BDI!#REF!,IF(AND(#REF!="Diferenciado",$H$4=#REF!),BDI!$E$17,IF(AND(#REF!="Diferenciado",$H$4=#REF!),BDI!#REF!,IF(#REF!="ZERO",0))))),"")</f>
        <v>#REF!</v>
      </c>
      <c r="H2201" s="139" t="str">
        <f t="shared" si="112"/>
        <v/>
      </c>
      <c r="I2201" s="137" t="str">
        <f t="shared" si="113"/>
        <v/>
      </c>
      <c r="J2201" s="117"/>
    </row>
    <row r="2202" spans="1:10" hidden="1" x14ac:dyDescent="0.25">
      <c r="A2202" s="114" t="s">
        <v>4986</v>
      </c>
      <c r="B2202" s="115" t="s">
        <v>7421</v>
      </c>
      <c r="C2202" s="116" t="s">
        <v>16</v>
      </c>
      <c r="D2202" s="116">
        <v>0</v>
      </c>
      <c r="E2202" s="136" t="s">
        <v>416</v>
      </c>
      <c r="F2202" s="137" t="str">
        <f t="shared" si="111"/>
        <v/>
      </c>
      <c r="G2202" s="138" t="e">
        <f>IF(A2202&lt;&gt;"",IF(AND(#REF!="Padrão",$H$4=#REF!),BDI!$B$17,IF(AND(#REF!="Padrão",$H$4=#REF!),BDI!#REF!,IF(AND(#REF!="Diferenciado",$H$4=#REF!),BDI!$E$17,IF(AND(#REF!="Diferenciado",$H$4=#REF!),BDI!#REF!,IF(#REF!="ZERO",0))))),"")</f>
        <v>#REF!</v>
      </c>
      <c r="H2202" s="139" t="str">
        <f t="shared" si="112"/>
        <v/>
      </c>
      <c r="I2202" s="137" t="str">
        <f t="shared" si="113"/>
        <v/>
      </c>
      <c r="J2202" s="117"/>
    </row>
    <row r="2203" spans="1:10" hidden="1" x14ac:dyDescent="0.25">
      <c r="A2203" s="114" t="s">
        <v>4987</v>
      </c>
      <c r="B2203" s="115" t="s">
        <v>7422</v>
      </c>
      <c r="C2203" s="116" t="s">
        <v>16</v>
      </c>
      <c r="D2203" s="116">
        <v>0</v>
      </c>
      <c r="E2203" s="136" t="s">
        <v>416</v>
      </c>
      <c r="F2203" s="137" t="str">
        <f t="shared" si="111"/>
        <v/>
      </c>
      <c r="G2203" s="138" t="e">
        <f>IF(A2203&lt;&gt;"",IF(AND(#REF!="Padrão",$H$4=#REF!),BDI!$B$17,IF(AND(#REF!="Padrão",$H$4=#REF!),BDI!#REF!,IF(AND(#REF!="Diferenciado",$H$4=#REF!),BDI!$E$17,IF(AND(#REF!="Diferenciado",$H$4=#REF!),BDI!#REF!,IF(#REF!="ZERO",0))))),"")</f>
        <v>#REF!</v>
      </c>
      <c r="H2203" s="139" t="str">
        <f t="shared" si="112"/>
        <v/>
      </c>
      <c r="I2203" s="137" t="str">
        <f t="shared" si="113"/>
        <v/>
      </c>
      <c r="J2203" s="117"/>
    </row>
    <row r="2204" spans="1:10" hidden="1" x14ac:dyDescent="0.25">
      <c r="A2204" s="114" t="s">
        <v>4988</v>
      </c>
      <c r="B2204" s="115" t="s">
        <v>7423</v>
      </c>
      <c r="C2204" s="116" t="s">
        <v>16</v>
      </c>
      <c r="D2204" s="116">
        <v>0</v>
      </c>
      <c r="E2204" s="136" t="s">
        <v>416</v>
      </c>
      <c r="F2204" s="137" t="str">
        <f t="shared" si="111"/>
        <v/>
      </c>
      <c r="G2204" s="138" t="e">
        <f>IF(A2204&lt;&gt;"",IF(AND(#REF!="Padrão",$H$4=#REF!),BDI!$B$17,IF(AND(#REF!="Padrão",$H$4=#REF!),BDI!#REF!,IF(AND(#REF!="Diferenciado",$H$4=#REF!),BDI!$E$17,IF(AND(#REF!="Diferenciado",$H$4=#REF!),BDI!#REF!,IF(#REF!="ZERO",0))))),"")</f>
        <v>#REF!</v>
      </c>
      <c r="H2204" s="139" t="str">
        <f t="shared" si="112"/>
        <v/>
      </c>
      <c r="I2204" s="137" t="str">
        <f t="shared" si="113"/>
        <v/>
      </c>
      <c r="J2204" s="117"/>
    </row>
    <row r="2205" spans="1:10" hidden="1" x14ac:dyDescent="0.25">
      <c r="A2205" s="114" t="s">
        <v>4989</v>
      </c>
      <c r="B2205" s="115" t="s">
        <v>7424</v>
      </c>
      <c r="C2205" s="116" t="s">
        <v>16</v>
      </c>
      <c r="D2205" s="116">
        <v>0</v>
      </c>
      <c r="E2205" s="136" t="s">
        <v>416</v>
      </c>
      <c r="F2205" s="137" t="str">
        <f t="shared" si="111"/>
        <v/>
      </c>
      <c r="G2205" s="138" t="e">
        <f>IF(A2205&lt;&gt;"",IF(AND(#REF!="Padrão",$H$4=#REF!),BDI!$B$17,IF(AND(#REF!="Padrão",$H$4=#REF!),BDI!#REF!,IF(AND(#REF!="Diferenciado",$H$4=#REF!),BDI!$E$17,IF(AND(#REF!="Diferenciado",$H$4=#REF!),BDI!#REF!,IF(#REF!="ZERO",0))))),"")</f>
        <v>#REF!</v>
      </c>
      <c r="H2205" s="139" t="str">
        <f t="shared" si="112"/>
        <v/>
      </c>
      <c r="I2205" s="137" t="str">
        <f t="shared" si="113"/>
        <v/>
      </c>
      <c r="J2205" s="117"/>
    </row>
    <row r="2206" spans="1:10" hidden="1" x14ac:dyDescent="0.25">
      <c r="A2206" s="114" t="s">
        <v>4990</v>
      </c>
      <c r="B2206" s="115" t="s">
        <v>7425</v>
      </c>
      <c r="C2206" s="116" t="s">
        <v>16</v>
      </c>
      <c r="D2206" s="116">
        <v>0</v>
      </c>
      <c r="E2206" s="136" t="s">
        <v>416</v>
      </c>
      <c r="F2206" s="137" t="str">
        <f t="shared" si="111"/>
        <v/>
      </c>
      <c r="G2206" s="138" t="e">
        <f>IF(A2206&lt;&gt;"",IF(AND(#REF!="Padrão",$H$4=#REF!),BDI!$B$17,IF(AND(#REF!="Padrão",$H$4=#REF!),BDI!#REF!,IF(AND(#REF!="Diferenciado",$H$4=#REF!),BDI!$E$17,IF(AND(#REF!="Diferenciado",$H$4=#REF!),BDI!#REF!,IF(#REF!="ZERO",0))))),"")</f>
        <v>#REF!</v>
      </c>
      <c r="H2206" s="139" t="str">
        <f t="shared" si="112"/>
        <v/>
      </c>
      <c r="I2206" s="137" t="str">
        <f t="shared" si="113"/>
        <v/>
      </c>
      <c r="J2206" s="117"/>
    </row>
    <row r="2207" spans="1:10" hidden="1" x14ac:dyDescent="0.25">
      <c r="A2207" s="114" t="s">
        <v>4991</v>
      </c>
      <c r="B2207" s="115" t="s">
        <v>7426</v>
      </c>
      <c r="C2207" s="116" t="s">
        <v>16</v>
      </c>
      <c r="D2207" s="116">
        <v>0</v>
      </c>
      <c r="E2207" s="136" t="s">
        <v>416</v>
      </c>
      <c r="F2207" s="137" t="str">
        <f t="shared" si="111"/>
        <v/>
      </c>
      <c r="G2207" s="138" t="e">
        <f>IF(A2207&lt;&gt;"",IF(AND(#REF!="Padrão",$H$4=#REF!),BDI!$B$17,IF(AND(#REF!="Padrão",$H$4=#REF!),BDI!#REF!,IF(AND(#REF!="Diferenciado",$H$4=#REF!),BDI!$E$17,IF(AND(#REF!="Diferenciado",$H$4=#REF!),BDI!#REF!,IF(#REF!="ZERO",0))))),"")</f>
        <v>#REF!</v>
      </c>
      <c r="H2207" s="139" t="str">
        <f t="shared" si="112"/>
        <v/>
      </c>
      <c r="I2207" s="137" t="str">
        <f t="shared" si="113"/>
        <v/>
      </c>
      <c r="J2207" s="117"/>
    </row>
    <row r="2208" spans="1:10" hidden="1" x14ac:dyDescent="0.25">
      <c r="A2208" s="114" t="s">
        <v>4992</v>
      </c>
      <c r="B2208" s="115" t="s">
        <v>7427</v>
      </c>
      <c r="C2208" s="116" t="s">
        <v>16</v>
      </c>
      <c r="D2208" s="116">
        <v>0</v>
      </c>
      <c r="E2208" s="136" t="s">
        <v>416</v>
      </c>
      <c r="F2208" s="137" t="str">
        <f t="shared" si="111"/>
        <v/>
      </c>
      <c r="G2208" s="138" t="e">
        <f>IF(A2208&lt;&gt;"",IF(AND(#REF!="Padrão",$H$4=#REF!),BDI!$B$17,IF(AND(#REF!="Padrão",$H$4=#REF!),BDI!#REF!,IF(AND(#REF!="Diferenciado",$H$4=#REF!),BDI!$E$17,IF(AND(#REF!="Diferenciado",$H$4=#REF!),BDI!#REF!,IF(#REF!="ZERO",0))))),"")</f>
        <v>#REF!</v>
      </c>
      <c r="H2208" s="139" t="str">
        <f t="shared" si="112"/>
        <v/>
      </c>
      <c r="I2208" s="137" t="str">
        <f t="shared" si="113"/>
        <v/>
      </c>
      <c r="J2208" s="117"/>
    </row>
    <row r="2209" spans="1:10" hidden="1" x14ac:dyDescent="0.25">
      <c r="A2209" s="114" t="s">
        <v>4993</v>
      </c>
      <c r="B2209" s="115" t="s">
        <v>7428</v>
      </c>
      <c r="C2209" s="116" t="s">
        <v>16</v>
      </c>
      <c r="D2209" s="116">
        <v>0</v>
      </c>
      <c r="E2209" s="136" t="s">
        <v>416</v>
      </c>
      <c r="F2209" s="137" t="str">
        <f t="shared" si="111"/>
        <v/>
      </c>
      <c r="G2209" s="138" t="e">
        <f>IF(A2209&lt;&gt;"",IF(AND(#REF!="Padrão",$H$4=#REF!),BDI!$B$17,IF(AND(#REF!="Padrão",$H$4=#REF!),BDI!#REF!,IF(AND(#REF!="Diferenciado",$H$4=#REF!),BDI!$E$17,IF(AND(#REF!="Diferenciado",$H$4=#REF!),BDI!#REF!,IF(#REF!="ZERO",0))))),"")</f>
        <v>#REF!</v>
      </c>
      <c r="H2209" s="139" t="str">
        <f t="shared" si="112"/>
        <v/>
      </c>
      <c r="I2209" s="137" t="str">
        <f t="shared" si="113"/>
        <v/>
      </c>
      <c r="J2209" s="117"/>
    </row>
    <row r="2210" spans="1:10" hidden="1" x14ac:dyDescent="0.25">
      <c r="A2210" s="114" t="s">
        <v>4994</v>
      </c>
      <c r="B2210" s="115" t="s">
        <v>7429</v>
      </c>
      <c r="C2210" s="116" t="s">
        <v>16</v>
      </c>
      <c r="D2210" s="116">
        <v>0</v>
      </c>
      <c r="E2210" s="136" t="s">
        <v>416</v>
      </c>
      <c r="F2210" s="137" t="str">
        <f t="shared" si="111"/>
        <v/>
      </c>
      <c r="G2210" s="138" t="e">
        <f>IF(A2210&lt;&gt;"",IF(AND(#REF!="Padrão",$H$4=#REF!),BDI!$B$17,IF(AND(#REF!="Padrão",$H$4=#REF!),BDI!#REF!,IF(AND(#REF!="Diferenciado",$H$4=#REF!),BDI!$E$17,IF(AND(#REF!="Diferenciado",$H$4=#REF!),BDI!#REF!,IF(#REF!="ZERO",0))))),"")</f>
        <v>#REF!</v>
      </c>
      <c r="H2210" s="139" t="str">
        <f t="shared" si="112"/>
        <v/>
      </c>
      <c r="I2210" s="137" t="str">
        <f t="shared" si="113"/>
        <v/>
      </c>
      <c r="J2210" s="117"/>
    </row>
    <row r="2211" spans="1:10" hidden="1" x14ac:dyDescent="0.25">
      <c r="A2211" s="114" t="s">
        <v>4995</v>
      </c>
      <c r="B2211" s="115" t="s">
        <v>7430</v>
      </c>
      <c r="C2211" s="116" t="s">
        <v>16</v>
      </c>
      <c r="D2211" s="116">
        <v>0</v>
      </c>
      <c r="E2211" s="136" t="s">
        <v>416</v>
      </c>
      <c r="F2211" s="137" t="str">
        <f t="shared" si="111"/>
        <v/>
      </c>
      <c r="G2211" s="138" t="e">
        <f>IF(A2211&lt;&gt;"",IF(AND(#REF!="Padrão",$H$4=#REF!),BDI!$B$17,IF(AND(#REF!="Padrão",$H$4=#REF!),BDI!#REF!,IF(AND(#REF!="Diferenciado",$H$4=#REF!),BDI!$E$17,IF(AND(#REF!="Diferenciado",$H$4=#REF!),BDI!#REF!,IF(#REF!="ZERO",0))))),"")</f>
        <v>#REF!</v>
      </c>
      <c r="H2211" s="139" t="str">
        <f t="shared" si="112"/>
        <v/>
      </c>
      <c r="I2211" s="137" t="str">
        <f t="shared" si="113"/>
        <v/>
      </c>
      <c r="J2211" s="117"/>
    </row>
    <row r="2212" spans="1:10" hidden="1" x14ac:dyDescent="0.25">
      <c r="A2212" s="114" t="s">
        <v>4996</v>
      </c>
      <c r="B2212" s="115" t="s">
        <v>7431</v>
      </c>
      <c r="C2212" s="116" t="s">
        <v>16</v>
      </c>
      <c r="D2212" s="116">
        <v>0</v>
      </c>
      <c r="E2212" s="136" t="s">
        <v>416</v>
      </c>
      <c r="F2212" s="137" t="str">
        <f t="shared" si="111"/>
        <v/>
      </c>
      <c r="G2212" s="138" t="e">
        <f>IF(A2212&lt;&gt;"",IF(AND(#REF!="Padrão",$H$4=#REF!),BDI!$B$17,IF(AND(#REF!="Padrão",$H$4=#REF!),BDI!#REF!,IF(AND(#REF!="Diferenciado",$H$4=#REF!),BDI!$E$17,IF(AND(#REF!="Diferenciado",$H$4=#REF!),BDI!#REF!,IF(#REF!="ZERO",0))))),"")</f>
        <v>#REF!</v>
      </c>
      <c r="H2212" s="139" t="str">
        <f t="shared" si="112"/>
        <v/>
      </c>
      <c r="I2212" s="137" t="str">
        <f t="shared" si="113"/>
        <v/>
      </c>
      <c r="J2212" s="117"/>
    </row>
    <row r="2213" spans="1:10" hidden="1" x14ac:dyDescent="0.25">
      <c r="A2213" s="114" t="s">
        <v>4997</v>
      </c>
      <c r="B2213" s="115" t="s">
        <v>7432</v>
      </c>
      <c r="C2213" s="116" t="s">
        <v>16</v>
      </c>
      <c r="D2213" s="116">
        <v>0</v>
      </c>
      <c r="E2213" s="136" t="s">
        <v>416</v>
      </c>
      <c r="F2213" s="137" t="str">
        <f t="shared" si="111"/>
        <v/>
      </c>
      <c r="G2213" s="138" t="e">
        <f>IF(A2213&lt;&gt;"",IF(AND(#REF!="Padrão",$H$4=#REF!),BDI!$B$17,IF(AND(#REF!="Padrão",$H$4=#REF!),BDI!#REF!,IF(AND(#REF!="Diferenciado",$H$4=#REF!),BDI!$E$17,IF(AND(#REF!="Diferenciado",$H$4=#REF!),BDI!#REF!,IF(#REF!="ZERO",0))))),"")</f>
        <v>#REF!</v>
      </c>
      <c r="H2213" s="139" t="str">
        <f t="shared" si="112"/>
        <v/>
      </c>
      <c r="I2213" s="137" t="str">
        <f t="shared" si="113"/>
        <v/>
      </c>
      <c r="J2213" s="117"/>
    </row>
    <row r="2214" spans="1:10" hidden="1" x14ac:dyDescent="0.25">
      <c r="A2214" s="114" t="s">
        <v>4998</v>
      </c>
      <c r="B2214" s="115" t="s">
        <v>7433</v>
      </c>
      <c r="C2214" s="116" t="s">
        <v>16</v>
      </c>
      <c r="D2214" s="116">
        <v>0</v>
      </c>
      <c r="E2214" s="136" t="s">
        <v>416</v>
      </c>
      <c r="F2214" s="137" t="str">
        <f t="shared" si="111"/>
        <v/>
      </c>
      <c r="G2214" s="138" t="e">
        <f>IF(A2214&lt;&gt;"",IF(AND(#REF!="Padrão",$H$4=#REF!),BDI!$B$17,IF(AND(#REF!="Padrão",$H$4=#REF!),BDI!#REF!,IF(AND(#REF!="Diferenciado",$H$4=#REF!),BDI!$E$17,IF(AND(#REF!="Diferenciado",$H$4=#REF!),BDI!#REF!,IF(#REF!="ZERO",0))))),"")</f>
        <v>#REF!</v>
      </c>
      <c r="H2214" s="139" t="str">
        <f t="shared" si="112"/>
        <v/>
      </c>
      <c r="I2214" s="137" t="str">
        <f t="shared" si="113"/>
        <v/>
      </c>
      <c r="J2214" s="117"/>
    </row>
    <row r="2215" spans="1:10" hidden="1" x14ac:dyDescent="0.25">
      <c r="A2215" s="114" t="s">
        <v>4999</v>
      </c>
      <c r="B2215" s="115" t="s">
        <v>7434</v>
      </c>
      <c r="C2215" s="116" t="s">
        <v>16</v>
      </c>
      <c r="D2215" s="116">
        <v>0</v>
      </c>
      <c r="E2215" s="136" t="s">
        <v>416</v>
      </c>
      <c r="F2215" s="137" t="str">
        <f t="shared" si="111"/>
        <v/>
      </c>
      <c r="G2215" s="138" t="e">
        <f>IF(A2215&lt;&gt;"",IF(AND(#REF!="Padrão",$H$4=#REF!),BDI!$B$17,IF(AND(#REF!="Padrão",$H$4=#REF!),BDI!#REF!,IF(AND(#REF!="Diferenciado",$H$4=#REF!),BDI!$E$17,IF(AND(#REF!="Diferenciado",$H$4=#REF!),BDI!#REF!,IF(#REF!="ZERO",0))))),"")</f>
        <v>#REF!</v>
      </c>
      <c r="H2215" s="139" t="str">
        <f t="shared" si="112"/>
        <v/>
      </c>
      <c r="I2215" s="137" t="str">
        <f t="shared" si="113"/>
        <v/>
      </c>
      <c r="J2215" s="117"/>
    </row>
    <row r="2216" spans="1:10" hidden="1" x14ac:dyDescent="0.25">
      <c r="A2216" s="114" t="s">
        <v>5000</v>
      </c>
      <c r="B2216" s="115" t="s">
        <v>7435</v>
      </c>
      <c r="C2216" s="116" t="s">
        <v>16</v>
      </c>
      <c r="D2216" s="116">
        <v>0</v>
      </c>
      <c r="E2216" s="136" t="s">
        <v>416</v>
      </c>
      <c r="F2216" s="137" t="str">
        <f t="shared" si="111"/>
        <v/>
      </c>
      <c r="G2216" s="138" t="e">
        <f>IF(A2216&lt;&gt;"",IF(AND(#REF!="Padrão",$H$4=#REF!),BDI!$B$17,IF(AND(#REF!="Padrão",$H$4=#REF!),BDI!#REF!,IF(AND(#REF!="Diferenciado",$H$4=#REF!),BDI!$E$17,IF(AND(#REF!="Diferenciado",$H$4=#REF!),BDI!#REF!,IF(#REF!="ZERO",0))))),"")</f>
        <v>#REF!</v>
      </c>
      <c r="H2216" s="139" t="str">
        <f t="shared" si="112"/>
        <v/>
      </c>
      <c r="I2216" s="137" t="str">
        <f t="shared" si="113"/>
        <v/>
      </c>
      <c r="J2216" s="117"/>
    </row>
    <row r="2217" spans="1:10" hidden="1" x14ac:dyDescent="0.25">
      <c r="A2217" s="114" t="s">
        <v>5001</v>
      </c>
      <c r="B2217" s="115" t="s">
        <v>3806</v>
      </c>
      <c r="C2217" s="116" t="s">
        <v>16</v>
      </c>
      <c r="D2217" s="116">
        <v>0</v>
      </c>
      <c r="E2217" s="136">
        <f ca="1">OFFSET(INDEX(Composições!A:J,MATCH(Orçamentária!A2217,Composições!A:A,0),8),2,0)</f>
        <v>193.54349999999999</v>
      </c>
      <c r="F2217" s="137">
        <f t="shared" ca="1" si="111"/>
        <v>0</v>
      </c>
      <c r="G2217" s="138" t="e">
        <f>IF(A2217&lt;&gt;"",IF(AND(#REF!="Padrão",$H$4=#REF!),BDI!$B$17,IF(AND(#REF!="Padrão",$H$4=#REF!),BDI!#REF!,IF(AND(#REF!="Diferenciado",$H$4=#REF!),BDI!$E$17,IF(AND(#REF!="Diferenciado",$H$4=#REF!),BDI!#REF!,IF(#REF!="ZERO",0))))),"")</f>
        <v>#REF!</v>
      </c>
      <c r="H2217" s="139" t="e">
        <f t="shared" ca="1" si="112"/>
        <v>#REF!</v>
      </c>
      <c r="I2217" s="137" t="e">
        <f t="shared" ca="1" si="113"/>
        <v>#REF!</v>
      </c>
      <c r="J2217" s="117"/>
    </row>
    <row r="2218" spans="1:10" hidden="1" x14ac:dyDescent="0.25">
      <c r="A2218" s="114" t="s">
        <v>5002</v>
      </c>
      <c r="B2218" s="115" t="s">
        <v>3807</v>
      </c>
      <c r="C2218" s="116" t="s">
        <v>16</v>
      </c>
      <c r="D2218" s="116">
        <v>0</v>
      </c>
      <c r="E2218" s="136">
        <f ca="1">OFFSET(INDEX(Composições!A:J,MATCH(Orçamentária!A2218,Composições!A:A,0),8),2,0)</f>
        <v>358.58699999999999</v>
      </c>
      <c r="F2218" s="137">
        <f t="shared" ca="1" si="111"/>
        <v>0</v>
      </c>
      <c r="G2218" s="138" t="e">
        <f>IF(A2218&lt;&gt;"",IF(AND(#REF!="Padrão",$H$4=#REF!),BDI!$B$17,IF(AND(#REF!="Padrão",$H$4=#REF!),BDI!#REF!,IF(AND(#REF!="Diferenciado",$H$4=#REF!),BDI!$E$17,IF(AND(#REF!="Diferenciado",$H$4=#REF!),BDI!#REF!,IF(#REF!="ZERO",0))))),"")</f>
        <v>#REF!</v>
      </c>
      <c r="H2218" s="139" t="e">
        <f t="shared" ca="1" si="112"/>
        <v>#REF!</v>
      </c>
      <c r="I2218" s="137" t="e">
        <f t="shared" ca="1" si="113"/>
        <v>#REF!</v>
      </c>
      <c r="J2218" s="117"/>
    </row>
    <row r="2219" spans="1:10" hidden="1" x14ac:dyDescent="0.25">
      <c r="A2219" s="114" t="s">
        <v>5003</v>
      </c>
      <c r="B2219" s="115" t="s">
        <v>3808</v>
      </c>
      <c r="C2219" s="116" t="s">
        <v>16</v>
      </c>
      <c r="D2219" s="116">
        <v>0</v>
      </c>
      <c r="E2219" s="136">
        <f ca="1">OFFSET(INDEX(Composições!A:J,MATCH(Orçamentária!A2219,Composições!A:A,0),8),2,0)</f>
        <v>777.14749999999992</v>
      </c>
      <c r="F2219" s="137">
        <f t="shared" ca="1" si="111"/>
        <v>0</v>
      </c>
      <c r="G2219" s="138" t="e">
        <f>IF(A2219&lt;&gt;"",IF(AND(#REF!="Padrão",$H$4=#REF!),BDI!$B$17,IF(AND(#REF!="Padrão",$H$4=#REF!),BDI!#REF!,IF(AND(#REF!="Diferenciado",$H$4=#REF!),BDI!$E$17,IF(AND(#REF!="Diferenciado",$H$4=#REF!),BDI!#REF!,IF(#REF!="ZERO",0))))),"")</f>
        <v>#REF!</v>
      </c>
      <c r="H2219" s="139" t="e">
        <f t="shared" ca="1" si="112"/>
        <v>#REF!</v>
      </c>
      <c r="I2219" s="137" t="e">
        <f t="shared" ca="1" si="113"/>
        <v>#REF!</v>
      </c>
      <c r="J2219" s="117"/>
    </row>
    <row r="2220" spans="1:10" hidden="1" x14ac:dyDescent="0.25">
      <c r="A2220" s="114" t="s">
        <v>5004</v>
      </c>
      <c r="B2220" s="115" t="s">
        <v>7436</v>
      </c>
      <c r="C2220" s="116" t="s">
        <v>16</v>
      </c>
      <c r="D2220" s="116">
        <v>0</v>
      </c>
      <c r="E2220" s="136" t="s">
        <v>416</v>
      </c>
      <c r="F2220" s="137" t="str">
        <f t="shared" si="111"/>
        <v/>
      </c>
      <c r="G2220" s="138" t="e">
        <f>IF(A2220&lt;&gt;"",IF(AND(#REF!="Padrão",$H$4=#REF!),BDI!$B$17,IF(AND(#REF!="Padrão",$H$4=#REF!),BDI!#REF!,IF(AND(#REF!="Diferenciado",$H$4=#REF!),BDI!$E$17,IF(AND(#REF!="Diferenciado",$H$4=#REF!),BDI!#REF!,IF(#REF!="ZERO",0))))),"")</f>
        <v>#REF!</v>
      </c>
      <c r="H2220" s="139" t="str">
        <f t="shared" si="112"/>
        <v/>
      </c>
      <c r="I2220" s="137" t="str">
        <f t="shared" si="113"/>
        <v/>
      </c>
      <c r="J2220" s="117"/>
    </row>
    <row r="2221" spans="1:10" hidden="1" x14ac:dyDescent="0.25">
      <c r="A2221" s="114" t="s">
        <v>5005</v>
      </c>
      <c r="B2221" s="115" t="s">
        <v>7437</v>
      </c>
      <c r="C2221" s="116" t="s">
        <v>16</v>
      </c>
      <c r="D2221" s="116">
        <v>0</v>
      </c>
      <c r="E2221" s="136" t="s">
        <v>416</v>
      </c>
      <c r="F2221" s="137" t="str">
        <f t="shared" ref="F2221:F2284" si="114">IF(ISNUMBER(E2221),D2221*E2221,"")</f>
        <v/>
      </c>
      <c r="G2221" s="138" t="e">
        <f>IF(A2221&lt;&gt;"",IF(AND(#REF!="Padrão",$H$4=#REF!),BDI!$B$17,IF(AND(#REF!="Padrão",$H$4=#REF!),BDI!#REF!,IF(AND(#REF!="Diferenciado",$H$4=#REF!),BDI!$E$17,IF(AND(#REF!="Diferenciado",$H$4=#REF!),BDI!#REF!,IF(#REF!="ZERO",0))))),"")</f>
        <v>#REF!</v>
      </c>
      <c r="H2221" s="139" t="str">
        <f t="shared" ref="H2221:H2284" si="115">IF(ISNUMBER(E2221),ROUND(E2221*(1+G2221),2),"")</f>
        <v/>
      </c>
      <c r="I2221" s="137" t="str">
        <f t="shared" ref="I2221:I2284" si="116">IF(ISNUMBER(E2221),ROUND(H2221*D2221,2),"")</f>
        <v/>
      </c>
      <c r="J2221" s="117"/>
    </row>
    <row r="2222" spans="1:10" hidden="1" x14ac:dyDescent="0.25">
      <c r="A2222" s="114" t="s">
        <v>5006</v>
      </c>
      <c r="B2222" s="115" t="s">
        <v>7438</v>
      </c>
      <c r="C2222" s="116" t="s">
        <v>16</v>
      </c>
      <c r="D2222" s="116">
        <v>0</v>
      </c>
      <c r="E2222" s="136" t="s">
        <v>416</v>
      </c>
      <c r="F2222" s="137" t="str">
        <f t="shared" si="114"/>
        <v/>
      </c>
      <c r="G2222" s="138" t="e">
        <f>IF(A2222&lt;&gt;"",IF(AND(#REF!="Padrão",$H$4=#REF!),BDI!$B$17,IF(AND(#REF!="Padrão",$H$4=#REF!),BDI!#REF!,IF(AND(#REF!="Diferenciado",$H$4=#REF!),BDI!$E$17,IF(AND(#REF!="Diferenciado",$H$4=#REF!),BDI!#REF!,IF(#REF!="ZERO",0))))),"")</f>
        <v>#REF!</v>
      </c>
      <c r="H2222" s="139" t="str">
        <f t="shared" si="115"/>
        <v/>
      </c>
      <c r="I2222" s="137" t="str">
        <f t="shared" si="116"/>
        <v/>
      </c>
      <c r="J2222" s="117"/>
    </row>
    <row r="2223" spans="1:10" hidden="1" x14ac:dyDescent="0.25">
      <c r="A2223" s="114" t="s">
        <v>5007</v>
      </c>
      <c r="B2223" s="115" t="s">
        <v>7439</v>
      </c>
      <c r="C2223" s="116" t="s">
        <v>16</v>
      </c>
      <c r="D2223" s="116">
        <v>0</v>
      </c>
      <c r="E2223" s="136" t="s">
        <v>416</v>
      </c>
      <c r="F2223" s="137" t="str">
        <f t="shared" si="114"/>
        <v/>
      </c>
      <c r="G2223" s="138" t="e">
        <f>IF(A2223&lt;&gt;"",IF(AND(#REF!="Padrão",$H$4=#REF!),BDI!$B$17,IF(AND(#REF!="Padrão",$H$4=#REF!),BDI!#REF!,IF(AND(#REF!="Diferenciado",$H$4=#REF!),BDI!$E$17,IF(AND(#REF!="Diferenciado",$H$4=#REF!),BDI!#REF!,IF(#REF!="ZERO",0))))),"")</f>
        <v>#REF!</v>
      </c>
      <c r="H2223" s="139" t="str">
        <f t="shared" si="115"/>
        <v/>
      </c>
      <c r="I2223" s="137" t="str">
        <f t="shared" si="116"/>
        <v/>
      </c>
      <c r="J2223" s="117"/>
    </row>
    <row r="2224" spans="1:10" hidden="1" x14ac:dyDescent="0.25">
      <c r="A2224" s="114" t="s">
        <v>5008</v>
      </c>
      <c r="B2224" s="115" t="s">
        <v>3809</v>
      </c>
      <c r="C2224" s="116" t="s">
        <v>16</v>
      </c>
      <c r="D2224" s="116">
        <v>0</v>
      </c>
      <c r="E2224" s="136" t="s">
        <v>416</v>
      </c>
      <c r="F2224" s="137" t="str">
        <f t="shared" si="114"/>
        <v/>
      </c>
      <c r="G2224" s="138" t="e">
        <f>IF(A2224&lt;&gt;"",IF(AND(#REF!="Padrão",$H$4=#REF!),BDI!$B$17,IF(AND(#REF!="Padrão",$H$4=#REF!),BDI!#REF!,IF(AND(#REF!="Diferenciado",$H$4=#REF!),BDI!$E$17,IF(AND(#REF!="Diferenciado",$H$4=#REF!),BDI!#REF!,IF(#REF!="ZERO",0))))),"")</f>
        <v>#REF!</v>
      </c>
      <c r="H2224" s="139" t="str">
        <f t="shared" si="115"/>
        <v/>
      </c>
      <c r="I2224" s="137" t="str">
        <f t="shared" si="116"/>
        <v/>
      </c>
      <c r="J2224" s="117"/>
    </row>
    <row r="2225" spans="1:10" hidden="1" x14ac:dyDescent="0.25">
      <c r="A2225" s="114" t="s">
        <v>5009</v>
      </c>
      <c r="B2225" s="115" t="s">
        <v>3810</v>
      </c>
      <c r="C2225" s="116" t="s">
        <v>16</v>
      </c>
      <c r="D2225" s="116">
        <v>0</v>
      </c>
      <c r="E2225" s="136" t="s">
        <v>416</v>
      </c>
      <c r="F2225" s="137" t="str">
        <f t="shared" si="114"/>
        <v/>
      </c>
      <c r="G2225" s="138" t="e">
        <f>IF(A2225&lt;&gt;"",IF(AND(#REF!="Padrão",$H$4=#REF!),BDI!$B$17,IF(AND(#REF!="Padrão",$H$4=#REF!),BDI!#REF!,IF(AND(#REF!="Diferenciado",$H$4=#REF!),BDI!$E$17,IF(AND(#REF!="Diferenciado",$H$4=#REF!),BDI!#REF!,IF(#REF!="ZERO",0))))),"")</f>
        <v>#REF!</v>
      </c>
      <c r="H2225" s="139" t="str">
        <f t="shared" si="115"/>
        <v/>
      </c>
      <c r="I2225" s="137" t="str">
        <f t="shared" si="116"/>
        <v/>
      </c>
      <c r="J2225" s="117"/>
    </row>
    <row r="2226" spans="1:10" hidden="1" x14ac:dyDescent="0.25">
      <c r="A2226" s="114" t="s">
        <v>5010</v>
      </c>
      <c r="B2226" s="115" t="s">
        <v>3811</v>
      </c>
      <c r="C2226" s="116" t="s">
        <v>16</v>
      </c>
      <c r="D2226" s="116">
        <v>0</v>
      </c>
      <c r="E2226" s="136" t="s">
        <v>416</v>
      </c>
      <c r="F2226" s="137" t="str">
        <f t="shared" si="114"/>
        <v/>
      </c>
      <c r="G2226" s="138" t="e">
        <f>IF(A2226&lt;&gt;"",IF(AND(#REF!="Padrão",$H$4=#REF!),BDI!$B$17,IF(AND(#REF!="Padrão",$H$4=#REF!),BDI!#REF!,IF(AND(#REF!="Diferenciado",$H$4=#REF!),BDI!$E$17,IF(AND(#REF!="Diferenciado",$H$4=#REF!),BDI!#REF!,IF(#REF!="ZERO",0))))),"")</f>
        <v>#REF!</v>
      </c>
      <c r="H2226" s="139" t="str">
        <f t="shared" si="115"/>
        <v/>
      </c>
      <c r="I2226" s="137" t="str">
        <f t="shared" si="116"/>
        <v/>
      </c>
      <c r="J2226" s="117"/>
    </row>
    <row r="2227" spans="1:10" hidden="1" x14ac:dyDescent="0.25">
      <c r="A2227" s="114" t="s">
        <v>5011</v>
      </c>
      <c r="B2227" s="115" t="s">
        <v>3812</v>
      </c>
      <c r="C2227" s="116" t="s">
        <v>16</v>
      </c>
      <c r="D2227" s="116">
        <v>0</v>
      </c>
      <c r="E2227" s="136" t="s">
        <v>416</v>
      </c>
      <c r="F2227" s="137" t="str">
        <f t="shared" si="114"/>
        <v/>
      </c>
      <c r="G2227" s="138" t="e">
        <f>IF(A2227&lt;&gt;"",IF(AND(#REF!="Padrão",$H$4=#REF!),BDI!$B$17,IF(AND(#REF!="Padrão",$H$4=#REF!),BDI!#REF!,IF(AND(#REF!="Diferenciado",$H$4=#REF!),BDI!$E$17,IF(AND(#REF!="Diferenciado",$H$4=#REF!),BDI!#REF!,IF(#REF!="ZERO",0))))),"")</f>
        <v>#REF!</v>
      </c>
      <c r="H2227" s="139" t="str">
        <f t="shared" si="115"/>
        <v/>
      </c>
      <c r="I2227" s="137" t="str">
        <f t="shared" si="116"/>
        <v/>
      </c>
      <c r="J2227" s="117"/>
    </row>
    <row r="2228" spans="1:10" hidden="1" x14ac:dyDescent="0.25">
      <c r="A2228" s="114" t="s">
        <v>5012</v>
      </c>
      <c r="B2228" s="115" t="s">
        <v>3813</v>
      </c>
      <c r="C2228" s="116" t="s">
        <v>16</v>
      </c>
      <c r="D2228" s="116">
        <v>0</v>
      </c>
      <c r="E2228" s="136" t="s">
        <v>416</v>
      </c>
      <c r="F2228" s="137" t="str">
        <f t="shared" si="114"/>
        <v/>
      </c>
      <c r="G2228" s="138" t="e">
        <f>IF(A2228&lt;&gt;"",IF(AND(#REF!="Padrão",$H$4=#REF!),BDI!$B$17,IF(AND(#REF!="Padrão",$H$4=#REF!),BDI!#REF!,IF(AND(#REF!="Diferenciado",$H$4=#REF!),BDI!$E$17,IF(AND(#REF!="Diferenciado",$H$4=#REF!),BDI!#REF!,IF(#REF!="ZERO",0))))),"")</f>
        <v>#REF!</v>
      </c>
      <c r="H2228" s="139" t="str">
        <f t="shared" si="115"/>
        <v/>
      </c>
      <c r="I2228" s="137" t="str">
        <f t="shared" si="116"/>
        <v/>
      </c>
      <c r="J2228" s="117"/>
    </row>
    <row r="2229" spans="1:10" hidden="1" x14ac:dyDescent="0.25">
      <c r="A2229" s="114" t="s">
        <v>5013</v>
      </c>
      <c r="B2229" s="115" t="s">
        <v>3814</v>
      </c>
      <c r="C2229" s="116" t="s">
        <v>16</v>
      </c>
      <c r="D2229" s="116">
        <v>0</v>
      </c>
      <c r="E2229" s="136" t="s">
        <v>416</v>
      </c>
      <c r="F2229" s="137" t="str">
        <f t="shared" si="114"/>
        <v/>
      </c>
      <c r="G2229" s="138" t="e">
        <f>IF(A2229&lt;&gt;"",IF(AND(#REF!="Padrão",$H$4=#REF!),BDI!$B$17,IF(AND(#REF!="Padrão",$H$4=#REF!),BDI!#REF!,IF(AND(#REF!="Diferenciado",$H$4=#REF!),BDI!$E$17,IF(AND(#REF!="Diferenciado",$H$4=#REF!),BDI!#REF!,IF(#REF!="ZERO",0))))),"")</f>
        <v>#REF!</v>
      </c>
      <c r="H2229" s="139" t="str">
        <f t="shared" si="115"/>
        <v/>
      </c>
      <c r="I2229" s="137" t="str">
        <f t="shared" si="116"/>
        <v/>
      </c>
      <c r="J2229" s="117"/>
    </row>
    <row r="2230" spans="1:10" hidden="1" x14ac:dyDescent="0.25">
      <c r="A2230" s="114" t="s">
        <v>5014</v>
      </c>
      <c r="B2230" s="115" t="s">
        <v>3815</v>
      </c>
      <c r="C2230" s="116" t="s">
        <v>16</v>
      </c>
      <c r="D2230" s="116">
        <v>0</v>
      </c>
      <c r="E2230" s="136" t="s">
        <v>416</v>
      </c>
      <c r="F2230" s="137" t="str">
        <f t="shared" si="114"/>
        <v/>
      </c>
      <c r="G2230" s="138" t="e">
        <f>IF(A2230&lt;&gt;"",IF(AND(#REF!="Padrão",$H$4=#REF!),BDI!$B$17,IF(AND(#REF!="Padrão",$H$4=#REF!),BDI!#REF!,IF(AND(#REF!="Diferenciado",$H$4=#REF!),BDI!$E$17,IF(AND(#REF!="Diferenciado",$H$4=#REF!),BDI!#REF!,IF(#REF!="ZERO",0))))),"")</f>
        <v>#REF!</v>
      </c>
      <c r="H2230" s="139" t="str">
        <f t="shared" si="115"/>
        <v/>
      </c>
      <c r="I2230" s="137" t="str">
        <f t="shared" si="116"/>
        <v/>
      </c>
      <c r="J2230" s="117"/>
    </row>
    <row r="2231" spans="1:10" hidden="1" x14ac:dyDescent="0.25">
      <c r="A2231" s="114" t="s">
        <v>5015</v>
      </c>
      <c r="B2231" s="115" t="s">
        <v>3816</v>
      </c>
      <c r="C2231" s="116" t="s">
        <v>16</v>
      </c>
      <c r="D2231" s="116">
        <v>0</v>
      </c>
      <c r="E2231" s="136" t="s">
        <v>416</v>
      </c>
      <c r="F2231" s="137" t="str">
        <f t="shared" si="114"/>
        <v/>
      </c>
      <c r="G2231" s="138" t="e">
        <f>IF(A2231&lt;&gt;"",IF(AND(#REF!="Padrão",$H$4=#REF!),BDI!$B$17,IF(AND(#REF!="Padrão",$H$4=#REF!),BDI!#REF!,IF(AND(#REF!="Diferenciado",$H$4=#REF!),BDI!$E$17,IF(AND(#REF!="Diferenciado",$H$4=#REF!),BDI!#REF!,IF(#REF!="ZERO",0))))),"")</f>
        <v>#REF!</v>
      </c>
      <c r="H2231" s="139" t="str">
        <f t="shared" si="115"/>
        <v/>
      </c>
      <c r="I2231" s="137" t="str">
        <f t="shared" si="116"/>
        <v/>
      </c>
      <c r="J2231" s="117"/>
    </row>
    <row r="2232" spans="1:10" hidden="1" x14ac:dyDescent="0.25">
      <c r="A2232" s="114" t="s">
        <v>5016</v>
      </c>
      <c r="B2232" s="115" t="s">
        <v>3817</v>
      </c>
      <c r="C2232" s="116" t="s">
        <v>16</v>
      </c>
      <c r="D2232" s="116">
        <v>0</v>
      </c>
      <c r="E2232" s="136" t="s">
        <v>416</v>
      </c>
      <c r="F2232" s="137" t="str">
        <f t="shared" si="114"/>
        <v/>
      </c>
      <c r="G2232" s="138" t="e">
        <f>IF(A2232&lt;&gt;"",IF(AND(#REF!="Padrão",$H$4=#REF!),BDI!$B$17,IF(AND(#REF!="Padrão",$H$4=#REF!),BDI!#REF!,IF(AND(#REF!="Diferenciado",$H$4=#REF!),BDI!$E$17,IF(AND(#REF!="Diferenciado",$H$4=#REF!),BDI!#REF!,IF(#REF!="ZERO",0))))),"")</f>
        <v>#REF!</v>
      </c>
      <c r="H2232" s="139" t="str">
        <f t="shared" si="115"/>
        <v/>
      </c>
      <c r="I2232" s="137" t="str">
        <f t="shared" si="116"/>
        <v/>
      </c>
      <c r="J2232" s="117"/>
    </row>
    <row r="2233" spans="1:10" hidden="1" x14ac:dyDescent="0.25">
      <c r="A2233" s="114" t="s">
        <v>5017</v>
      </c>
      <c r="B2233" s="115" t="s">
        <v>3818</v>
      </c>
      <c r="C2233" s="116" t="s">
        <v>16</v>
      </c>
      <c r="D2233" s="116">
        <v>0</v>
      </c>
      <c r="E2233" s="136" t="s">
        <v>416</v>
      </c>
      <c r="F2233" s="137" t="str">
        <f t="shared" si="114"/>
        <v/>
      </c>
      <c r="G2233" s="138" t="e">
        <f>IF(A2233&lt;&gt;"",IF(AND(#REF!="Padrão",$H$4=#REF!),BDI!$B$17,IF(AND(#REF!="Padrão",$H$4=#REF!),BDI!#REF!,IF(AND(#REF!="Diferenciado",$H$4=#REF!),BDI!$E$17,IF(AND(#REF!="Diferenciado",$H$4=#REF!),BDI!#REF!,IF(#REF!="ZERO",0))))),"")</f>
        <v>#REF!</v>
      </c>
      <c r="H2233" s="139" t="str">
        <f t="shared" si="115"/>
        <v/>
      </c>
      <c r="I2233" s="137" t="str">
        <f t="shared" si="116"/>
        <v/>
      </c>
      <c r="J2233" s="117"/>
    </row>
    <row r="2234" spans="1:10" hidden="1" x14ac:dyDescent="0.25">
      <c r="A2234" s="114" t="s">
        <v>5018</v>
      </c>
      <c r="B2234" s="115" t="s">
        <v>3819</v>
      </c>
      <c r="C2234" s="116" t="s">
        <v>16</v>
      </c>
      <c r="D2234" s="116">
        <v>0</v>
      </c>
      <c r="E2234" s="136" t="s">
        <v>416</v>
      </c>
      <c r="F2234" s="137" t="str">
        <f t="shared" si="114"/>
        <v/>
      </c>
      <c r="G2234" s="138" t="e">
        <f>IF(A2234&lt;&gt;"",IF(AND(#REF!="Padrão",$H$4=#REF!),BDI!$B$17,IF(AND(#REF!="Padrão",$H$4=#REF!),BDI!#REF!,IF(AND(#REF!="Diferenciado",$H$4=#REF!),BDI!$E$17,IF(AND(#REF!="Diferenciado",$H$4=#REF!),BDI!#REF!,IF(#REF!="ZERO",0))))),"")</f>
        <v>#REF!</v>
      </c>
      <c r="H2234" s="139" t="str">
        <f t="shared" si="115"/>
        <v/>
      </c>
      <c r="I2234" s="137" t="str">
        <f t="shared" si="116"/>
        <v/>
      </c>
      <c r="J2234" s="117"/>
    </row>
    <row r="2235" spans="1:10" hidden="1" x14ac:dyDescent="0.25">
      <c r="A2235" s="114" t="s">
        <v>5019</v>
      </c>
      <c r="B2235" s="115" t="s">
        <v>3820</v>
      </c>
      <c r="C2235" s="116" t="s">
        <v>16</v>
      </c>
      <c r="D2235" s="116">
        <v>0</v>
      </c>
      <c r="E2235" s="136" t="s">
        <v>416</v>
      </c>
      <c r="F2235" s="137" t="str">
        <f t="shared" si="114"/>
        <v/>
      </c>
      <c r="G2235" s="138" t="e">
        <f>IF(A2235&lt;&gt;"",IF(AND(#REF!="Padrão",$H$4=#REF!),BDI!$B$17,IF(AND(#REF!="Padrão",$H$4=#REF!),BDI!#REF!,IF(AND(#REF!="Diferenciado",$H$4=#REF!),BDI!$E$17,IF(AND(#REF!="Diferenciado",$H$4=#REF!),BDI!#REF!,IF(#REF!="ZERO",0))))),"")</f>
        <v>#REF!</v>
      </c>
      <c r="H2235" s="139" t="str">
        <f t="shared" si="115"/>
        <v/>
      </c>
      <c r="I2235" s="137" t="str">
        <f t="shared" si="116"/>
        <v/>
      </c>
      <c r="J2235" s="117"/>
    </row>
    <row r="2236" spans="1:10" hidden="1" x14ac:dyDescent="0.25">
      <c r="A2236" s="114" t="s">
        <v>5020</v>
      </c>
      <c r="B2236" s="115" t="s">
        <v>3821</v>
      </c>
      <c r="C2236" s="116" t="s">
        <v>16</v>
      </c>
      <c r="D2236" s="116">
        <v>0</v>
      </c>
      <c r="E2236" s="136" t="s">
        <v>416</v>
      </c>
      <c r="F2236" s="137" t="str">
        <f t="shared" si="114"/>
        <v/>
      </c>
      <c r="G2236" s="138" t="e">
        <f>IF(A2236&lt;&gt;"",IF(AND(#REF!="Padrão",$H$4=#REF!),BDI!$B$17,IF(AND(#REF!="Padrão",$H$4=#REF!),BDI!#REF!,IF(AND(#REF!="Diferenciado",$H$4=#REF!),BDI!$E$17,IF(AND(#REF!="Diferenciado",$H$4=#REF!),BDI!#REF!,IF(#REF!="ZERO",0))))),"")</f>
        <v>#REF!</v>
      </c>
      <c r="H2236" s="139" t="str">
        <f t="shared" si="115"/>
        <v/>
      </c>
      <c r="I2236" s="137" t="str">
        <f t="shared" si="116"/>
        <v/>
      </c>
      <c r="J2236" s="117"/>
    </row>
    <row r="2237" spans="1:10" hidden="1" x14ac:dyDescent="0.25">
      <c r="A2237" s="114" t="s">
        <v>5021</v>
      </c>
      <c r="B2237" s="115" t="s">
        <v>3822</v>
      </c>
      <c r="C2237" s="116" t="s">
        <v>16</v>
      </c>
      <c r="D2237" s="116">
        <v>0</v>
      </c>
      <c r="E2237" s="136" t="s">
        <v>416</v>
      </c>
      <c r="F2237" s="137" t="str">
        <f t="shared" si="114"/>
        <v/>
      </c>
      <c r="G2237" s="138" t="e">
        <f>IF(A2237&lt;&gt;"",IF(AND(#REF!="Padrão",$H$4=#REF!),BDI!$B$17,IF(AND(#REF!="Padrão",$H$4=#REF!),BDI!#REF!,IF(AND(#REF!="Diferenciado",$H$4=#REF!),BDI!$E$17,IF(AND(#REF!="Diferenciado",$H$4=#REF!),BDI!#REF!,IF(#REF!="ZERO",0))))),"")</f>
        <v>#REF!</v>
      </c>
      <c r="H2237" s="139" t="str">
        <f t="shared" si="115"/>
        <v/>
      </c>
      <c r="I2237" s="137" t="str">
        <f t="shared" si="116"/>
        <v/>
      </c>
      <c r="J2237" s="117"/>
    </row>
    <row r="2238" spans="1:10" hidden="1" x14ac:dyDescent="0.25">
      <c r="A2238" s="114" t="s">
        <v>5022</v>
      </c>
      <c r="B2238" s="115" t="s">
        <v>3823</v>
      </c>
      <c r="C2238" s="116" t="s">
        <v>16</v>
      </c>
      <c r="D2238" s="116">
        <v>0</v>
      </c>
      <c r="E2238" s="136" t="s">
        <v>416</v>
      </c>
      <c r="F2238" s="137" t="str">
        <f t="shared" si="114"/>
        <v/>
      </c>
      <c r="G2238" s="138" t="e">
        <f>IF(A2238&lt;&gt;"",IF(AND(#REF!="Padrão",$H$4=#REF!),BDI!$B$17,IF(AND(#REF!="Padrão",$H$4=#REF!),BDI!#REF!,IF(AND(#REF!="Diferenciado",$H$4=#REF!),BDI!$E$17,IF(AND(#REF!="Diferenciado",$H$4=#REF!),BDI!#REF!,IF(#REF!="ZERO",0))))),"")</f>
        <v>#REF!</v>
      </c>
      <c r="H2238" s="139" t="str">
        <f t="shared" si="115"/>
        <v/>
      </c>
      <c r="I2238" s="137" t="str">
        <f t="shared" si="116"/>
        <v/>
      </c>
      <c r="J2238" s="117"/>
    </row>
    <row r="2239" spans="1:10" hidden="1" x14ac:dyDescent="0.25">
      <c r="A2239" s="114" t="s">
        <v>5023</v>
      </c>
      <c r="B2239" s="115" t="s">
        <v>3824</v>
      </c>
      <c r="C2239" s="116" t="s">
        <v>16</v>
      </c>
      <c r="D2239" s="116">
        <v>0</v>
      </c>
      <c r="E2239" s="136" t="s">
        <v>416</v>
      </c>
      <c r="F2239" s="137" t="str">
        <f t="shared" si="114"/>
        <v/>
      </c>
      <c r="G2239" s="138" t="e">
        <f>IF(A2239&lt;&gt;"",IF(AND(#REF!="Padrão",$H$4=#REF!),BDI!$B$17,IF(AND(#REF!="Padrão",$H$4=#REF!),BDI!#REF!,IF(AND(#REF!="Diferenciado",$H$4=#REF!),BDI!$E$17,IF(AND(#REF!="Diferenciado",$H$4=#REF!),BDI!#REF!,IF(#REF!="ZERO",0))))),"")</f>
        <v>#REF!</v>
      </c>
      <c r="H2239" s="139" t="str">
        <f t="shared" si="115"/>
        <v/>
      </c>
      <c r="I2239" s="137" t="str">
        <f t="shared" si="116"/>
        <v/>
      </c>
      <c r="J2239" s="117"/>
    </row>
    <row r="2240" spans="1:10" hidden="1" x14ac:dyDescent="0.25">
      <c r="A2240" s="114" t="s">
        <v>5024</v>
      </c>
      <c r="B2240" s="115" t="s">
        <v>3825</v>
      </c>
      <c r="C2240" s="116" t="s">
        <v>16</v>
      </c>
      <c r="D2240" s="116">
        <v>0</v>
      </c>
      <c r="E2240" s="136" t="s">
        <v>416</v>
      </c>
      <c r="F2240" s="137" t="str">
        <f t="shared" si="114"/>
        <v/>
      </c>
      <c r="G2240" s="138" t="e">
        <f>IF(A2240&lt;&gt;"",IF(AND(#REF!="Padrão",$H$4=#REF!),BDI!$B$17,IF(AND(#REF!="Padrão",$H$4=#REF!),BDI!#REF!,IF(AND(#REF!="Diferenciado",$H$4=#REF!),BDI!$E$17,IF(AND(#REF!="Diferenciado",$H$4=#REF!),BDI!#REF!,IF(#REF!="ZERO",0))))),"")</f>
        <v>#REF!</v>
      </c>
      <c r="H2240" s="139" t="str">
        <f t="shared" si="115"/>
        <v/>
      </c>
      <c r="I2240" s="137" t="str">
        <f t="shared" si="116"/>
        <v/>
      </c>
      <c r="J2240" s="117"/>
    </row>
    <row r="2241" spans="1:10" hidden="1" x14ac:dyDescent="0.25">
      <c r="A2241" s="114" t="s">
        <v>5025</v>
      </c>
      <c r="B2241" s="115" t="s">
        <v>3826</v>
      </c>
      <c r="C2241" s="116" t="s">
        <v>16</v>
      </c>
      <c r="D2241" s="116">
        <v>0</v>
      </c>
      <c r="E2241" s="136" t="s">
        <v>416</v>
      </c>
      <c r="F2241" s="137" t="str">
        <f t="shared" si="114"/>
        <v/>
      </c>
      <c r="G2241" s="138" t="e">
        <f>IF(A2241&lt;&gt;"",IF(AND(#REF!="Padrão",$H$4=#REF!),BDI!$B$17,IF(AND(#REF!="Padrão",$H$4=#REF!),BDI!#REF!,IF(AND(#REF!="Diferenciado",$H$4=#REF!),BDI!$E$17,IF(AND(#REF!="Diferenciado",$H$4=#REF!),BDI!#REF!,IF(#REF!="ZERO",0))))),"")</f>
        <v>#REF!</v>
      </c>
      <c r="H2241" s="139" t="str">
        <f t="shared" si="115"/>
        <v/>
      </c>
      <c r="I2241" s="137" t="str">
        <f t="shared" si="116"/>
        <v/>
      </c>
      <c r="J2241" s="117"/>
    </row>
    <row r="2242" spans="1:10" hidden="1" x14ac:dyDescent="0.25">
      <c r="A2242" s="114" t="s">
        <v>5026</v>
      </c>
      <c r="B2242" s="115" t="s">
        <v>3827</v>
      </c>
      <c r="C2242" s="116" t="s">
        <v>16</v>
      </c>
      <c r="D2242" s="116">
        <v>0</v>
      </c>
      <c r="E2242" s="136" t="s">
        <v>416</v>
      </c>
      <c r="F2242" s="137" t="str">
        <f t="shared" si="114"/>
        <v/>
      </c>
      <c r="G2242" s="138" t="e">
        <f>IF(A2242&lt;&gt;"",IF(AND(#REF!="Padrão",$H$4=#REF!),BDI!$B$17,IF(AND(#REF!="Padrão",$H$4=#REF!),BDI!#REF!,IF(AND(#REF!="Diferenciado",$H$4=#REF!),BDI!$E$17,IF(AND(#REF!="Diferenciado",$H$4=#REF!),BDI!#REF!,IF(#REF!="ZERO",0))))),"")</f>
        <v>#REF!</v>
      </c>
      <c r="H2242" s="139" t="str">
        <f t="shared" si="115"/>
        <v/>
      </c>
      <c r="I2242" s="137" t="str">
        <f t="shared" si="116"/>
        <v/>
      </c>
      <c r="J2242" s="117"/>
    </row>
    <row r="2243" spans="1:10" hidden="1" x14ac:dyDescent="0.25">
      <c r="A2243" s="114" t="s">
        <v>5027</v>
      </c>
      <c r="B2243" s="115" t="s">
        <v>3828</v>
      </c>
      <c r="C2243" s="116" t="s">
        <v>16</v>
      </c>
      <c r="D2243" s="116">
        <v>0</v>
      </c>
      <c r="E2243" s="136" t="s">
        <v>416</v>
      </c>
      <c r="F2243" s="137" t="str">
        <f t="shared" si="114"/>
        <v/>
      </c>
      <c r="G2243" s="138" t="e">
        <f>IF(A2243&lt;&gt;"",IF(AND(#REF!="Padrão",$H$4=#REF!),BDI!$B$17,IF(AND(#REF!="Padrão",$H$4=#REF!),BDI!#REF!,IF(AND(#REF!="Diferenciado",$H$4=#REF!),BDI!$E$17,IF(AND(#REF!="Diferenciado",$H$4=#REF!),BDI!#REF!,IF(#REF!="ZERO",0))))),"")</f>
        <v>#REF!</v>
      </c>
      <c r="H2243" s="139" t="str">
        <f t="shared" si="115"/>
        <v/>
      </c>
      <c r="I2243" s="137" t="str">
        <f t="shared" si="116"/>
        <v/>
      </c>
      <c r="J2243" s="117"/>
    </row>
    <row r="2244" spans="1:10" hidden="1" x14ac:dyDescent="0.25">
      <c r="A2244" s="114" t="s">
        <v>5028</v>
      </c>
      <c r="B2244" s="115" t="s">
        <v>3829</v>
      </c>
      <c r="C2244" s="116" t="s">
        <v>16</v>
      </c>
      <c r="D2244" s="116">
        <v>0</v>
      </c>
      <c r="E2244" s="136" t="s">
        <v>416</v>
      </c>
      <c r="F2244" s="137" t="str">
        <f t="shared" si="114"/>
        <v/>
      </c>
      <c r="G2244" s="138" t="e">
        <f>IF(A2244&lt;&gt;"",IF(AND(#REF!="Padrão",$H$4=#REF!),BDI!$B$17,IF(AND(#REF!="Padrão",$H$4=#REF!),BDI!#REF!,IF(AND(#REF!="Diferenciado",$H$4=#REF!),BDI!$E$17,IF(AND(#REF!="Diferenciado",$H$4=#REF!),BDI!#REF!,IF(#REF!="ZERO",0))))),"")</f>
        <v>#REF!</v>
      </c>
      <c r="H2244" s="139" t="str">
        <f t="shared" si="115"/>
        <v/>
      </c>
      <c r="I2244" s="137" t="str">
        <f t="shared" si="116"/>
        <v/>
      </c>
      <c r="J2244" s="117"/>
    </row>
    <row r="2245" spans="1:10" hidden="1" x14ac:dyDescent="0.25">
      <c r="A2245" s="114" t="s">
        <v>5029</v>
      </c>
      <c r="B2245" s="115" t="s">
        <v>3830</v>
      </c>
      <c r="C2245" s="116" t="s">
        <v>16</v>
      </c>
      <c r="D2245" s="116">
        <v>0</v>
      </c>
      <c r="E2245" s="136" t="s">
        <v>416</v>
      </c>
      <c r="F2245" s="137" t="str">
        <f t="shared" si="114"/>
        <v/>
      </c>
      <c r="G2245" s="138" t="e">
        <f>IF(A2245&lt;&gt;"",IF(AND(#REF!="Padrão",$H$4=#REF!),BDI!$B$17,IF(AND(#REF!="Padrão",$H$4=#REF!),BDI!#REF!,IF(AND(#REF!="Diferenciado",$H$4=#REF!),BDI!$E$17,IF(AND(#REF!="Diferenciado",$H$4=#REF!),BDI!#REF!,IF(#REF!="ZERO",0))))),"")</f>
        <v>#REF!</v>
      </c>
      <c r="H2245" s="139" t="str">
        <f t="shared" si="115"/>
        <v/>
      </c>
      <c r="I2245" s="137" t="str">
        <f t="shared" si="116"/>
        <v/>
      </c>
      <c r="J2245" s="117"/>
    </row>
    <row r="2246" spans="1:10" hidden="1" x14ac:dyDescent="0.25">
      <c r="A2246" s="114" t="s">
        <v>5030</v>
      </c>
      <c r="B2246" s="115" t="s">
        <v>3831</v>
      </c>
      <c r="C2246" s="116" t="s">
        <v>16</v>
      </c>
      <c r="D2246" s="116">
        <v>0</v>
      </c>
      <c r="E2246" s="136" t="s">
        <v>416</v>
      </c>
      <c r="F2246" s="137" t="str">
        <f t="shared" si="114"/>
        <v/>
      </c>
      <c r="G2246" s="138" t="e">
        <f>IF(A2246&lt;&gt;"",IF(AND(#REF!="Padrão",$H$4=#REF!),BDI!$B$17,IF(AND(#REF!="Padrão",$H$4=#REF!),BDI!#REF!,IF(AND(#REF!="Diferenciado",$H$4=#REF!),BDI!$E$17,IF(AND(#REF!="Diferenciado",$H$4=#REF!),BDI!#REF!,IF(#REF!="ZERO",0))))),"")</f>
        <v>#REF!</v>
      </c>
      <c r="H2246" s="139" t="str">
        <f t="shared" si="115"/>
        <v/>
      </c>
      <c r="I2246" s="137" t="str">
        <f t="shared" si="116"/>
        <v/>
      </c>
      <c r="J2246" s="117"/>
    </row>
    <row r="2247" spans="1:10" hidden="1" x14ac:dyDescent="0.25">
      <c r="A2247" s="114" t="s">
        <v>5031</v>
      </c>
      <c r="B2247" s="115" t="s">
        <v>3832</v>
      </c>
      <c r="C2247" s="116" t="s">
        <v>70</v>
      </c>
      <c r="D2247" s="116">
        <v>0</v>
      </c>
      <c r="E2247" s="136" t="s">
        <v>416</v>
      </c>
      <c r="F2247" s="137" t="str">
        <f t="shared" si="114"/>
        <v/>
      </c>
      <c r="G2247" s="138" t="e">
        <f>IF(A2247&lt;&gt;"",IF(AND(#REF!="Padrão",$H$4=#REF!),BDI!$B$17,IF(AND(#REF!="Padrão",$H$4=#REF!),BDI!#REF!,IF(AND(#REF!="Diferenciado",$H$4=#REF!),BDI!$E$17,IF(AND(#REF!="Diferenciado",$H$4=#REF!),BDI!#REF!,IF(#REF!="ZERO",0))))),"")</f>
        <v>#REF!</v>
      </c>
      <c r="H2247" s="139" t="str">
        <f t="shared" si="115"/>
        <v/>
      </c>
      <c r="I2247" s="137" t="str">
        <f t="shared" si="116"/>
        <v/>
      </c>
      <c r="J2247" s="117"/>
    </row>
    <row r="2248" spans="1:10" hidden="1" x14ac:dyDescent="0.25">
      <c r="A2248" s="114" t="s">
        <v>5032</v>
      </c>
      <c r="B2248" s="115" t="s">
        <v>3833</v>
      </c>
      <c r="C2248" s="116" t="s">
        <v>70</v>
      </c>
      <c r="D2248" s="116">
        <v>0</v>
      </c>
      <c r="E2248" s="136" t="s">
        <v>416</v>
      </c>
      <c r="F2248" s="137" t="str">
        <f t="shared" si="114"/>
        <v/>
      </c>
      <c r="G2248" s="138" t="e">
        <f>IF(A2248&lt;&gt;"",IF(AND(#REF!="Padrão",$H$4=#REF!),BDI!$B$17,IF(AND(#REF!="Padrão",$H$4=#REF!),BDI!#REF!,IF(AND(#REF!="Diferenciado",$H$4=#REF!),BDI!$E$17,IF(AND(#REF!="Diferenciado",$H$4=#REF!),BDI!#REF!,IF(#REF!="ZERO",0))))),"")</f>
        <v>#REF!</v>
      </c>
      <c r="H2248" s="139" t="str">
        <f t="shared" si="115"/>
        <v/>
      </c>
      <c r="I2248" s="137" t="str">
        <f t="shared" si="116"/>
        <v/>
      </c>
      <c r="J2248" s="117"/>
    </row>
    <row r="2249" spans="1:10" hidden="1" x14ac:dyDescent="0.25">
      <c r="A2249" s="114" t="s">
        <v>5033</v>
      </c>
      <c r="B2249" s="115" t="s">
        <v>3834</v>
      </c>
      <c r="C2249" s="116" t="s">
        <v>16</v>
      </c>
      <c r="D2249" s="116">
        <v>0</v>
      </c>
      <c r="E2249" s="136" t="s">
        <v>416</v>
      </c>
      <c r="F2249" s="137" t="str">
        <f t="shared" si="114"/>
        <v/>
      </c>
      <c r="G2249" s="138" t="e">
        <f>IF(A2249&lt;&gt;"",IF(AND(#REF!="Padrão",$H$4=#REF!),BDI!$B$17,IF(AND(#REF!="Padrão",$H$4=#REF!),BDI!#REF!,IF(AND(#REF!="Diferenciado",$H$4=#REF!),BDI!$E$17,IF(AND(#REF!="Diferenciado",$H$4=#REF!),BDI!#REF!,IF(#REF!="ZERO",0))))),"")</f>
        <v>#REF!</v>
      </c>
      <c r="H2249" s="139" t="str">
        <f t="shared" si="115"/>
        <v/>
      </c>
      <c r="I2249" s="137" t="str">
        <f t="shared" si="116"/>
        <v/>
      </c>
      <c r="J2249" s="117"/>
    </row>
    <row r="2250" spans="1:10" hidden="1" x14ac:dyDescent="0.25">
      <c r="A2250" s="114" t="s">
        <v>5034</v>
      </c>
      <c r="B2250" s="115" t="s">
        <v>3835</v>
      </c>
      <c r="C2250" s="116" t="s">
        <v>16</v>
      </c>
      <c r="D2250" s="116">
        <v>0</v>
      </c>
      <c r="E2250" s="136" t="s">
        <v>416</v>
      </c>
      <c r="F2250" s="137" t="str">
        <f t="shared" si="114"/>
        <v/>
      </c>
      <c r="G2250" s="138" t="e">
        <f>IF(A2250&lt;&gt;"",IF(AND(#REF!="Padrão",$H$4=#REF!),BDI!$B$17,IF(AND(#REF!="Padrão",$H$4=#REF!),BDI!#REF!,IF(AND(#REF!="Diferenciado",$H$4=#REF!),BDI!$E$17,IF(AND(#REF!="Diferenciado",$H$4=#REF!),BDI!#REF!,IF(#REF!="ZERO",0))))),"")</f>
        <v>#REF!</v>
      </c>
      <c r="H2250" s="139" t="str">
        <f t="shared" si="115"/>
        <v/>
      </c>
      <c r="I2250" s="137" t="str">
        <f t="shared" si="116"/>
        <v/>
      </c>
      <c r="J2250" s="117"/>
    </row>
    <row r="2251" spans="1:10" hidden="1" x14ac:dyDescent="0.25">
      <c r="A2251" s="114" t="s">
        <v>5035</v>
      </c>
      <c r="B2251" s="115" t="s">
        <v>3836</v>
      </c>
      <c r="C2251" s="116" t="s">
        <v>16</v>
      </c>
      <c r="D2251" s="116">
        <v>0</v>
      </c>
      <c r="E2251" s="136" t="s">
        <v>416</v>
      </c>
      <c r="F2251" s="137" t="str">
        <f t="shared" si="114"/>
        <v/>
      </c>
      <c r="G2251" s="138" t="e">
        <f>IF(A2251&lt;&gt;"",IF(AND(#REF!="Padrão",$H$4=#REF!),BDI!$B$17,IF(AND(#REF!="Padrão",$H$4=#REF!),BDI!#REF!,IF(AND(#REF!="Diferenciado",$H$4=#REF!),BDI!$E$17,IF(AND(#REF!="Diferenciado",$H$4=#REF!),BDI!#REF!,IF(#REF!="ZERO",0))))),"")</f>
        <v>#REF!</v>
      </c>
      <c r="H2251" s="139" t="str">
        <f t="shared" si="115"/>
        <v/>
      </c>
      <c r="I2251" s="137" t="str">
        <f t="shared" si="116"/>
        <v/>
      </c>
      <c r="J2251" s="117"/>
    </row>
    <row r="2252" spans="1:10" hidden="1" x14ac:dyDescent="0.25">
      <c r="A2252" s="114" t="s">
        <v>5036</v>
      </c>
      <c r="B2252" s="115" t="s">
        <v>3837</v>
      </c>
      <c r="C2252" s="116" t="s">
        <v>16</v>
      </c>
      <c r="D2252" s="116">
        <v>0</v>
      </c>
      <c r="E2252" s="136" t="s">
        <v>416</v>
      </c>
      <c r="F2252" s="137" t="str">
        <f t="shared" si="114"/>
        <v/>
      </c>
      <c r="G2252" s="138" t="e">
        <f>IF(A2252&lt;&gt;"",IF(AND(#REF!="Padrão",$H$4=#REF!),BDI!$B$17,IF(AND(#REF!="Padrão",$H$4=#REF!),BDI!#REF!,IF(AND(#REF!="Diferenciado",$H$4=#REF!),BDI!$E$17,IF(AND(#REF!="Diferenciado",$H$4=#REF!),BDI!#REF!,IF(#REF!="ZERO",0))))),"")</f>
        <v>#REF!</v>
      </c>
      <c r="H2252" s="139" t="str">
        <f t="shared" si="115"/>
        <v/>
      </c>
      <c r="I2252" s="137" t="str">
        <f t="shared" si="116"/>
        <v/>
      </c>
      <c r="J2252" s="117"/>
    </row>
    <row r="2253" spans="1:10" hidden="1" x14ac:dyDescent="0.25">
      <c r="A2253" s="114" t="s">
        <v>5037</v>
      </c>
      <c r="B2253" s="115" t="s">
        <v>3838</v>
      </c>
      <c r="C2253" s="116" t="s">
        <v>16</v>
      </c>
      <c r="D2253" s="116">
        <v>0</v>
      </c>
      <c r="E2253" s="136" t="s">
        <v>416</v>
      </c>
      <c r="F2253" s="137" t="str">
        <f t="shared" si="114"/>
        <v/>
      </c>
      <c r="G2253" s="138" t="e">
        <f>IF(A2253&lt;&gt;"",IF(AND(#REF!="Padrão",$H$4=#REF!),BDI!$B$17,IF(AND(#REF!="Padrão",$H$4=#REF!),BDI!#REF!,IF(AND(#REF!="Diferenciado",$H$4=#REF!),BDI!$E$17,IF(AND(#REF!="Diferenciado",$H$4=#REF!),BDI!#REF!,IF(#REF!="ZERO",0))))),"")</f>
        <v>#REF!</v>
      </c>
      <c r="H2253" s="139" t="str">
        <f t="shared" si="115"/>
        <v/>
      </c>
      <c r="I2253" s="137" t="str">
        <f t="shared" si="116"/>
        <v/>
      </c>
      <c r="J2253" s="117"/>
    </row>
    <row r="2254" spans="1:10" hidden="1" x14ac:dyDescent="0.25">
      <c r="A2254" s="114" t="s">
        <v>5038</v>
      </c>
      <c r="B2254" s="115" t="s">
        <v>3839</v>
      </c>
      <c r="C2254" s="116" t="s">
        <v>16</v>
      </c>
      <c r="D2254" s="116">
        <v>0</v>
      </c>
      <c r="E2254" s="136" t="s">
        <v>416</v>
      </c>
      <c r="F2254" s="137" t="str">
        <f t="shared" si="114"/>
        <v/>
      </c>
      <c r="G2254" s="138" t="e">
        <f>IF(A2254&lt;&gt;"",IF(AND(#REF!="Padrão",$H$4=#REF!),BDI!$B$17,IF(AND(#REF!="Padrão",$H$4=#REF!),BDI!#REF!,IF(AND(#REF!="Diferenciado",$H$4=#REF!),BDI!$E$17,IF(AND(#REF!="Diferenciado",$H$4=#REF!),BDI!#REF!,IF(#REF!="ZERO",0))))),"")</f>
        <v>#REF!</v>
      </c>
      <c r="H2254" s="139" t="str">
        <f t="shared" si="115"/>
        <v/>
      </c>
      <c r="I2254" s="137" t="str">
        <f t="shared" si="116"/>
        <v/>
      </c>
      <c r="J2254" s="117"/>
    </row>
    <row r="2255" spans="1:10" hidden="1" x14ac:dyDescent="0.25">
      <c r="A2255" s="114" t="s">
        <v>5039</v>
      </c>
      <c r="B2255" s="115" t="s">
        <v>3840</v>
      </c>
      <c r="C2255" s="116" t="s">
        <v>16</v>
      </c>
      <c r="D2255" s="116">
        <v>0</v>
      </c>
      <c r="E2255" s="136">
        <f ca="1">OFFSET(INDEX(Composições!A:J,MATCH(Orçamentária!A2255,Composições!A:A,0),8),2,0)</f>
        <v>68.523499999999999</v>
      </c>
      <c r="F2255" s="137">
        <f t="shared" ca="1" si="114"/>
        <v>0</v>
      </c>
      <c r="G2255" s="138" t="e">
        <f>IF(A2255&lt;&gt;"",IF(AND(#REF!="Padrão",$H$4=#REF!),BDI!$B$17,IF(AND(#REF!="Padrão",$H$4=#REF!),BDI!#REF!,IF(AND(#REF!="Diferenciado",$H$4=#REF!),BDI!$E$17,IF(AND(#REF!="Diferenciado",$H$4=#REF!),BDI!#REF!,IF(#REF!="ZERO",0))))),"")</f>
        <v>#REF!</v>
      </c>
      <c r="H2255" s="139" t="e">
        <f t="shared" ca="1" si="115"/>
        <v>#REF!</v>
      </c>
      <c r="I2255" s="137" t="e">
        <f t="shared" ca="1" si="116"/>
        <v>#REF!</v>
      </c>
      <c r="J2255" s="117"/>
    </row>
    <row r="2256" spans="1:10" hidden="1" x14ac:dyDescent="0.25">
      <c r="A2256" s="114" t="s">
        <v>5040</v>
      </c>
      <c r="B2256" s="115" t="s">
        <v>3841</v>
      </c>
      <c r="C2256" s="116" t="s">
        <v>16</v>
      </c>
      <c r="D2256" s="116">
        <v>0</v>
      </c>
      <c r="E2256" s="136" t="s">
        <v>416</v>
      </c>
      <c r="F2256" s="137" t="str">
        <f t="shared" si="114"/>
        <v/>
      </c>
      <c r="G2256" s="138" t="e">
        <f>IF(A2256&lt;&gt;"",IF(AND(#REF!="Padrão",$H$4=#REF!),BDI!$B$17,IF(AND(#REF!="Padrão",$H$4=#REF!),BDI!#REF!,IF(AND(#REF!="Diferenciado",$H$4=#REF!),BDI!$E$17,IF(AND(#REF!="Diferenciado",$H$4=#REF!),BDI!#REF!,IF(#REF!="ZERO",0))))),"")</f>
        <v>#REF!</v>
      </c>
      <c r="H2256" s="139" t="str">
        <f t="shared" si="115"/>
        <v/>
      </c>
      <c r="I2256" s="137" t="str">
        <f t="shared" si="116"/>
        <v/>
      </c>
      <c r="J2256" s="117"/>
    </row>
    <row r="2257" spans="1:10" hidden="1" x14ac:dyDescent="0.25">
      <c r="A2257" s="114" t="s">
        <v>5041</v>
      </c>
      <c r="B2257" s="115" t="s">
        <v>3842</v>
      </c>
      <c r="C2257" s="116" t="s">
        <v>16</v>
      </c>
      <c r="D2257" s="116">
        <v>0</v>
      </c>
      <c r="E2257" s="136" t="s">
        <v>416</v>
      </c>
      <c r="F2257" s="137" t="str">
        <f t="shared" si="114"/>
        <v/>
      </c>
      <c r="G2257" s="138" t="e">
        <f>IF(A2257&lt;&gt;"",IF(AND(#REF!="Padrão",$H$4=#REF!),BDI!$B$17,IF(AND(#REF!="Padrão",$H$4=#REF!),BDI!#REF!,IF(AND(#REF!="Diferenciado",$H$4=#REF!),BDI!$E$17,IF(AND(#REF!="Diferenciado",$H$4=#REF!),BDI!#REF!,IF(#REF!="ZERO",0))))),"")</f>
        <v>#REF!</v>
      </c>
      <c r="H2257" s="139" t="str">
        <f t="shared" si="115"/>
        <v/>
      </c>
      <c r="I2257" s="137" t="str">
        <f t="shared" si="116"/>
        <v/>
      </c>
      <c r="J2257" s="117"/>
    </row>
    <row r="2258" spans="1:10" hidden="1" x14ac:dyDescent="0.25">
      <c r="A2258" s="114" t="s">
        <v>5042</v>
      </c>
      <c r="B2258" s="115" t="s">
        <v>3843</v>
      </c>
      <c r="C2258" s="116" t="s">
        <v>16</v>
      </c>
      <c r="D2258" s="116">
        <v>0</v>
      </c>
      <c r="E2258" s="136" t="s">
        <v>416</v>
      </c>
      <c r="F2258" s="137" t="str">
        <f t="shared" si="114"/>
        <v/>
      </c>
      <c r="G2258" s="138" t="e">
        <f>IF(A2258&lt;&gt;"",IF(AND(#REF!="Padrão",$H$4=#REF!),BDI!$B$17,IF(AND(#REF!="Padrão",$H$4=#REF!),BDI!#REF!,IF(AND(#REF!="Diferenciado",$H$4=#REF!),BDI!$E$17,IF(AND(#REF!="Diferenciado",$H$4=#REF!),BDI!#REF!,IF(#REF!="ZERO",0))))),"")</f>
        <v>#REF!</v>
      </c>
      <c r="H2258" s="139" t="str">
        <f t="shared" si="115"/>
        <v/>
      </c>
      <c r="I2258" s="137" t="str">
        <f t="shared" si="116"/>
        <v/>
      </c>
      <c r="J2258" s="117"/>
    </row>
    <row r="2259" spans="1:10" hidden="1" x14ac:dyDescent="0.25">
      <c r="A2259" s="114" t="s">
        <v>5043</v>
      </c>
      <c r="B2259" s="115" t="s">
        <v>3844</v>
      </c>
      <c r="C2259" s="116" t="s">
        <v>16</v>
      </c>
      <c r="D2259" s="116">
        <v>0</v>
      </c>
      <c r="E2259" s="136" t="s">
        <v>416</v>
      </c>
      <c r="F2259" s="137" t="str">
        <f t="shared" si="114"/>
        <v/>
      </c>
      <c r="G2259" s="138" t="e">
        <f>IF(A2259&lt;&gt;"",IF(AND(#REF!="Padrão",$H$4=#REF!),BDI!$B$17,IF(AND(#REF!="Padrão",$H$4=#REF!),BDI!#REF!,IF(AND(#REF!="Diferenciado",$H$4=#REF!),BDI!$E$17,IF(AND(#REF!="Diferenciado",$H$4=#REF!),BDI!#REF!,IF(#REF!="ZERO",0))))),"")</f>
        <v>#REF!</v>
      </c>
      <c r="H2259" s="139" t="str">
        <f t="shared" si="115"/>
        <v/>
      </c>
      <c r="I2259" s="137" t="str">
        <f t="shared" si="116"/>
        <v/>
      </c>
      <c r="J2259" s="117"/>
    </row>
    <row r="2260" spans="1:10" hidden="1" x14ac:dyDescent="0.25">
      <c r="A2260" s="114" t="s">
        <v>5044</v>
      </c>
      <c r="B2260" s="115" t="s">
        <v>3845</v>
      </c>
      <c r="C2260" s="116" t="s">
        <v>16</v>
      </c>
      <c r="D2260" s="116">
        <v>0</v>
      </c>
      <c r="E2260" s="136" t="s">
        <v>416</v>
      </c>
      <c r="F2260" s="137" t="str">
        <f t="shared" si="114"/>
        <v/>
      </c>
      <c r="G2260" s="138" t="e">
        <f>IF(A2260&lt;&gt;"",IF(AND(#REF!="Padrão",$H$4=#REF!),BDI!$B$17,IF(AND(#REF!="Padrão",$H$4=#REF!),BDI!#REF!,IF(AND(#REF!="Diferenciado",$H$4=#REF!),BDI!$E$17,IF(AND(#REF!="Diferenciado",$H$4=#REF!),BDI!#REF!,IF(#REF!="ZERO",0))))),"")</f>
        <v>#REF!</v>
      </c>
      <c r="H2260" s="139" t="str">
        <f t="shared" si="115"/>
        <v/>
      </c>
      <c r="I2260" s="137" t="str">
        <f t="shared" si="116"/>
        <v/>
      </c>
      <c r="J2260" s="117"/>
    </row>
    <row r="2261" spans="1:10" hidden="1" x14ac:dyDescent="0.25">
      <c r="A2261" s="114" t="s">
        <v>5045</v>
      </c>
      <c r="B2261" s="115" t="s">
        <v>3846</v>
      </c>
      <c r="C2261" s="116" t="s">
        <v>16</v>
      </c>
      <c r="D2261" s="116">
        <v>0</v>
      </c>
      <c r="E2261" s="136" t="s">
        <v>416</v>
      </c>
      <c r="F2261" s="137" t="str">
        <f t="shared" si="114"/>
        <v/>
      </c>
      <c r="G2261" s="138" t="e">
        <f>IF(A2261&lt;&gt;"",IF(AND(#REF!="Padrão",$H$4=#REF!),BDI!$B$17,IF(AND(#REF!="Padrão",$H$4=#REF!),BDI!#REF!,IF(AND(#REF!="Diferenciado",$H$4=#REF!),BDI!$E$17,IF(AND(#REF!="Diferenciado",$H$4=#REF!),BDI!#REF!,IF(#REF!="ZERO",0))))),"")</f>
        <v>#REF!</v>
      </c>
      <c r="H2261" s="139" t="str">
        <f t="shared" si="115"/>
        <v/>
      </c>
      <c r="I2261" s="137" t="str">
        <f t="shared" si="116"/>
        <v/>
      </c>
      <c r="J2261" s="117"/>
    </row>
    <row r="2262" spans="1:10" hidden="1" x14ac:dyDescent="0.25">
      <c r="A2262" s="114" t="s">
        <v>5046</v>
      </c>
      <c r="B2262" s="115" t="s">
        <v>3847</v>
      </c>
      <c r="C2262" s="116" t="s">
        <v>16</v>
      </c>
      <c r="D2262" s="116">
        <v>0</v>
      </c>
      <c r="E2262" s="136" t="s">
        <v>416</v>
      </c>
      <c r="F2262" s="137" t="str">
        <f t="shared" si="114"/>
        <v/>
      </c>
      <c r="G2262" s="138" t="e">
        <f>IF(A2262&lt;&gt;"",IF(AND(#REF!="Padrão",$H$4=#REF!),BDI!$B$17,IF(AND(#REF!="Padrão",$H$4=#REF!),BDI!#REF!,IF(AND(#REF!="Diferenciado",$H$4=#REF!),BDI!$E$17,IF(AND(#REF!="Diferenciado",$H$4=#REF!),BDI!#REF!,IF(#REF!="ZERO",0))))),"")</f>
        <v>#REF!</v>
      </c>
      <c r="H2262" s="139" t="str">
        <f t="shared" si="115"/>
        <v/>
      </c>
      <c r="I2262" s="137" t="str">
        <f t="shared" si="116"/>
        <v/>
      </c>
      <c r="J2262" s="117"/>
    </row>
    <row r="2263" spans="1:10" hidden="1" x14ac:dyDescent="0.25">
      <c r="A2263" s="114" t="s">
        <v>5047</v>
      </c>
      <c r="B2263" s="115" t="s">
        <v>3848</v>
      </c>
      <c r="C2263" s="116" t="s">
        <v>16</v>
      </c>
      <c r="D2263" s="116">
        <v>0</v>
      </c>
      <c r="E2263" s="136" t="s">
        <v>416</v>
      </c>
      <c r="F2263" s="137" t="str">
        <f t="shared" si="114"/>
        <v/>
      </c>
      <c r="G2263" s="138" t="e">
        <f>IF(A2263&lt;&gt;"",IF(AND(#REF!="Padrão",$H$4=#REF!),BDI!$B$17,IF(AND(#REF!="Padrão",$H$4=#REF!),BDI!#REF!,IF(AND(#REF!="Diferenciado",$H$4=#REF!),BDI!$E$17,IF(AND(#REF!="Diferenciado",$H$4=#REF!),BDI!#REF!,IF(#REF!="ZERO",0))))),"")</f>
        <v>#REF!</v>
      </c>
      <c r="H2263" s="139" t="str">
        <f t="shared" si="115"/>
        <v/>
      </c>
      <c r="I2263" s="137" t="str">
        <f t="shared" si="116"/>
        <v/>
      </c>
      <c r="J2263" s="117"/>
    </row>
    <row r="2264" spans="1:10" hidden="1" x14ac:dyDescent="0.25">
      <c r="A2264" s="114" t="s">
        <v>5048</v>
      </c>
      <c r="B2264" s="115" t="s">
        <v>3849</v>
      </c>
      <c r="C2264" s="116" t="s">
        <v>16</v>
      </c>
      <c r="D2264" s="116">
        <v>0</v>
      </c>
      <c r="E2264" s="136" t="s">
        <v>416</v>
      </c>
      <c r="F2264" s="137" t="str">
        <f t="shared" si="114"/>
        <v/>
      </c>
      <c r="G2264" s="138" t="e">
        <f>IF(A2264&lt;&gt;"",IF(AND(#REF!="Padrão",$H$4=#REF!),BDI!$B$17,IF(AND(#REF!="Padrão",$H$4=#REF!),BDI!#REF!,IF(AND(#REF!="Diferenciado",$H$4=#REF!),BDI!$E$17,IF(AND(#REF!="Diferenciado",$H$4=#REF!),BDI!#REF!,IF(#REF!="ZERO",0))))),"")</f>
        <v>#REF!</v>
      </c>
      <c r="H2264" s="139" t="str">
        <f t="shared" si="115"/>
        <v/>
      </c>
      <c r="I2264" s="137" t="str">
        <f t="shared" si="116"/>
        <v/>
      </c>
      <c r="J2264" s="117"/>
    </row>
    <row r="2265" spans="1:10" hidden="1" x14ac:dyDescent="0.25">
      <c r="A2265" s="114" t="s">
        <v>5049</v>
      </c>
      <c r="B2265" s="115" t="s">
        <v>3850</v>
      </c>
      <c r="C2265" s="116" t="s">
        <v>16</v>
      </c>
      <c r="D2265" s="116">
        <v>0</v>
      </c>
      <c r="E2265" s="136" t="s">
        <v>416</v>
      </c>
      <c r="F2265" s="137" t="str">
        <f t="shared" si="114"/>
        <v/>
      </c>
      <c r="G2265" s="138" t="e">
        <f>IF(A2265&lt;&gt;"",IF(AND(#REF!="Padrão",$H$4=#REF!),BDI!$B$17,IF(AND(#REF!="Padrão",$H$4=#REF!),BDI!#REF!,IF(AND(#REF!="Diferenciado",$H$4=#REF!),BDI!$E$17,IF(AND(#REF!="Diferenciado",$H$4=#REF!),BDI!#REF!,IF(#REF!="ZERO",0))))),"")</f>
        <v>#REF!</v>
      </c>
      <c r="H2265" s="139" t="str">
        <f t="shared" si="115"/>
        <v/>
      </c>
      <c r="I2265" s="137" t="str">
        <f t="shared" si="116"/>
        <v/>
      </c>
      <c r="J2265" s="117"/>
    </row>
    <row r="2266" spans="1:10" hidden="1" x14ac:dyDescent="0.25">
      <c r="A2266" s="114" t="s">
        <v>5050</v>
      </c>
      <c r="B2266" s="115" t="s">
        <v>3851</v>
      </c>
      <c r="C2266" s="116" t="s">
        <v>16</v>
      </c>
      <c r="D2266" s="116">
        <v>0</v>
      </c>
      <c r="E2266" s="136" t="s">
        <v>416</v>
      </c>
      <c r="F2266" s="137" t="str">
        <f t="shared" si="114"/>
        <v/>
      </c>
      <c r="G2266" s="138" t="e">
        <f>IF(A2266&lt;&gt;"",IF(AND(#REF!="Padrão",$H$4=#REF!),BDI!$B$17,IF(AND(#REF!="Padrão",$H$4=#REF!),BDI!#REF!,IF(AND(#REF!="Diferenciado",$H$4=#REF!),BDI!$E$17,IF(AND(#REF!="Diferenciado",$H$4=#REF!),BDI!#REF!,IF(#REF!="ZERO",0))))),"")</f>
        <v>#REF!</v>
      </c>
      <c r="H2266" s="139" t="str">
        <f t="shared" si="115"/>
        <v/>
      </c>
      <c r="I2266" s="137" t="str">
        <f t="shared" si="116"/>
        <v/>
      </c>
      <c r="J2266" s="117"/>
    </row>
    <row r="2267" spans="1:10" hidden="1" x14ac:dyDescent="0.25">
      <c r="A2267" s="114" t="s">
        <v>5051</v>
      </c>
      <c r="B2267" s="115" t="s">
        <v>3852</v>
      </c>
      <c r="C2267" s="116" t="s">
        <v>16</v>
      </c>
      <c r="D2267" s="116">
        <v>0</v>
      </c>
      <c r="E2267" s="136" t="s">
        <v>416</v>
      </c>
      <c r="F2267" s="137" t="str">
        <f t="shared" si="114"/>
        <v/>
      </c>
      <c r="G2267" s="138" t="e">
        <f>IF(A2267&lt;&gt;"",IF(AND(#REF!="Padrão",$H$4=#REF!),BDI!$B$17,IF(AND(#REF!="Padrão",$H$4=#REF!),BDI!#REF!,IF(AND(#REF!="Diferenciado",$H$4=#REF!),BDI!$E$17,IF(AND(#REF!="Diferenciado",$H$4=#REF!),BDI!#REF!,IF(#REF!="ZERO",0))))),"")</f>
        <v>#REF!</v>
      </c>
      <c r="H2267" s="139" t="str">
        <f t="shared" si="115"/>
        <v/>
      </c>
      <c r="I2267" s="137" t="str">
        <f t="shared" si="116"/>
        <v/>
      </c>
      <c r="J2267" s="117"/>
    </row>
    <row r="2268" spans="1:10" hidden="1" x14ac:dyDescent="0.25">
      <c r="A2268" s="114" t="s">
        <v>5052</v>
      </c>
      <c r="B2268" s="115" t="s">
        <v>3853</v>
      </c>
      <c r="C2268" s="116" t="s">
        <v>16</v>
      </c>
      <c r="D2268" s="116">
        <v>0</v>
      </c>
      <c r="E2268" s="136" t="s">
        <v>416</v>
      </c>
      <c r="F2268" s="137" t="str">
        <f t="shared" si="114"/>
        <v/>
      </c>
      <c r="G2268" s="138" t="e">
        <f>IF(A2268&lt;&gt;"",IF(AND(#REF!="Padrão",$H$4=#REF!),BDI!$B$17,IF(AND(#REF!="Padrão",$H$4=#REF!),BDI!#REF!,IF(AND(#REF!="Diferenciado",$H$4=#REF!),BDI!$E$17,IF(AND(#REF!="Diferenciado",$H$4=#REF!),BDI!#REF!,IF(#REF!="ZERO",0))))),"")</f>
        <v>#REF!</v>
      </c>
      <c r="H2268" s="139" t="str">
        <f t="shared" si="115"/>
        <v/>
      </c>
      <c r="I2268" s="137" t="str">
        <f t="shared" si="116"/>
        <v/>
      </c>
      <c r="J2268" s="117"/>
    </row>
    <row r="2269" spans="1:10" hidden="1" x14ac:dyDescent="0.25">
      <c r="A2269" s="114" t="s">
        <v>5053</v>
      </c>
      <c r="B2269" s="115" t="s">
        <v>3854</v>
      </c>
      <c r="C2269" s="116" t="s">
        <v>16</v>
      </c>
      <c r="D2269" s="116">
        <v>0</v>
      </c>
      <c r="E2269" s="136" t="s">
        <v>416</v>
      </c>
      <c r="F2269" s="137" t="str">
        <f t="shared" si="114"/>
        <v/>
      </c>
      <c r="G2269" s="138" t="e">
        <f>IF(A2269&lt;&gt;"",IF(AND(#REF!="Padrão",$H$4=#REF!),BDI!$B$17,IF(AND(#REF!="Padrão",$H$4=#REF!),BDI!#REF!,IF(AND(#REF!="Diferenciado",$H$4=#REF!),BDI!$E$17,IF(AND(#REF!="Diferenciado",$H$4=#REF!),BDI!#REF!,IF(#REF!="ZERO",0))))),"")</f>
        <v>#REF!</v>
      </c>
      <c r="H2269" s="139" t="str">
        <f t="shared" si="115"/>
        <v/>
      </c>
      <c r="I2269" s="137" t="str">
        <f t="shared" si="116"/>
        <v/>
      </c>
      <c r="J2269" s="117"/>
    </row>
    <row r="2270" spans="1:10" hidden="1" x14ac:dyDescent="0.25">
      <c r="A2270" s="114" t="s">
        <v>5054</v>
      </c>
      <c r="B2270" s="115" t="s">
        <v>3855</v>
      </c>
      <c r="C2270" s="116" t="s">
        <v>16</v>
      </c>
      <c r="D2270" s="116">
        <v>0</v>
      </c>
      <c r="E2270" s="136" t="s">
        <v>416</v>
      </c>
      <c r="F2270" s="137" t="str">
        <f t="shared" si="114"/>
        <v/>
      </c>
      <c r="G2270" s="138" t="e">
        <f>IF(A2270&lt;&gt;"",IF(AND(#REF!="Padrão",$H$4=#REF!),BDI!$B$17,IF(AND(#REF!="Padrão",$H$4=#REF!),BDI!#REF!,IF(AND(#REF!="Diferenciado",$H$4=#REF!),BDI!$E$17,IF(AND(#REF!="Diferenciado",$H$4=#REF!),BDI!#REF!,IF(#REF!="ZERO",0))))),"")</f>
        <v>#REF!</v>
      </c>
      <c r="H2270" s="139" t="str">
        <f t="shared" si="115"/>
        <v/>
      </c>
      <c r="I2270" s="137" t="str">
        <f t="shared" si="116"/>
        <v/>
      </c>
      <c r="J2270" s="117"/>
    </row>
    <row r="2271" spans="1:10" hidden="1" x14ac:dyDescent="0.25">
      <c r="A2271" s="114" t="s">
        <v>5055</v>
      </c>
      <c r="B2271" s="115" t="s">
        <v>3856</v>
      </c>
      <c r="C2271" s="116" t="s">
        <v>16</v>
      </c>
      <c r="D2271" s="116">
        <v>0</v>
      </c>
      <c r="E2271" s="136" t="s">
        <v>416</v>
      </c>
      <c r="F2271" s="137" t="str">
        <f t="shared" si="114"/>
        <v/>
      </c>
      <c r="G2271" s="138" t="e">
        <f>IF(A2271&lt;&gt;"",IF(AND(#REF!="Padrão",$H$4=#REF!),BDI!$B$17,IF(AND(#REF!="Padrão",$H$4=#REF!),BDI!#REF!,IF(AND(#REF!="Diferenciado",$H$4=#REF!),BDI!$E$17,IF(AND(#REF!="Diferenciado",$H$4=#REF!),BDI!#REF!,IF(#REF!="ZERO",0))))),"")</f>
        <v>#REF!</v>
      </c>
      <c r="H2271" s="139" t="str">
        <f t="shared" si="115"/>
        <v/>
      </c>
      <c r="I2271" s="137" t="str">
        <f t="shared" si="116"/>
        <v/>
      </c>
      <c r="J2271" s="117"/>
    </row>
    <row r="2272" spans="1:10" hidden="1" x14ac:dyDescent="0.25">
      <c r="A2272" s="114" t="s">
        <v>5056</v>
      </c>
      <c r="B2272" s="115" t="s">
        <v>3857</v>
      </c>
      <c r="C2272" s="116" t="s">
        <v>16</v>
      </c>
      <c r="D2272" s="116">
        <v>0</v>
      </c>
      <c r="E2272" s="136" t="s">
        <v>416</v>
      </c>
      <c r="F2272" s="137" t="str">
        <f t="shared" si="114"/>
        <v/>
      </c>
      <c r="G2272" s="138" t="e">
        <f>IF(A2272&lt;&gt;"",IF(AND(#REF!="Padrão",$H$4=#REF!),BDI!$B$17,IF(AND(#REF!="Padrão",$H$4=#REF!),BDI!#REF!,IF(AND(#REF!="Diferenciado",$H$4=#REF!),BDI!$E$17,IF(AND(#REF!="Diferenciado",$H$4=#REF!),BDI!#REF!,IF(#REF!="ZERO",0))))),"")</f>
        <v>#REF!</v>
      </c>
      <c r="H2272" s="139" t="str">
        <f t="shared" si="115"/>
        <v/>
      </c>
      <c r="I2272" s="137" t="str">
        <f t="shared" si="116"/>
        <v/>
      </c>
      <c r="J2272" s="117"/>
    </row>
    <row r="2273" spans="1:10" hidden="1" x14ac:dyDescent="0.25">
      <c r="A2273" s="114" t="s">
        <v>5057</v>
      </c>
      <c r="B2273" s="115" t="s">
        <v>3858</v>
      </c>
      <c r="C2273" s="116" t="s">
        <v>16</v>
      </c>
      <c r="D2273" s="116">
        <v>0</v>
      </c>
      <c r="E2273" s="136" t="s">
        <v>416</v>
      </c>
      <c r="F2273" s="137" t="str">
        <f t="shared" si="114"/>
        <v/>
      </c>
      <c r="G2273" s="138" t="e">
        <f>IF(A2273&lt;&gt;"",IF(AND(#REF!="Padrão",$H$4=#REF!),BDI!$B$17,IF(AND(#REF!="Padrão",$H$4=#REF!),BDI!#REF!,IF(AND(#REF!="Diferenciado",$H$4=#REF!),BDI!$E$17,IF(AND(#REF!="Diferenciado",$H$4=#REF!),BDI!#REF!,IF(#REF!="ZERO",0))))),"")</f>
        <v>#REF!</v>
      </c>
      <c r="H2273" s="139" t="str">
        <f t="shared" si="115"/>
        <v/>
      </c>
      <c r="I2273" s="137" t="str">
        <f t="shared" si="116"/>
        <v/>
      </c>
      <c r="J2273" s="117"/>
    </row>
    <row r="2274" spans="1:10" hidden="1" x14ac:dyDescent="0.25">
      <c r="A2274" s="114" t="s">
        <v>5058</v>
      </c>
      <c r="B2274" s="115" t="s">
        <v>3859</v>
      </c>
      <c r="C2274" s="116" t="s">
        <v>16</v>
      </c>
      <c r="D2274" s="116">
        <v>0</v>
      </c>
      <c r="E2274" s="136" t="s">
        <v>416</v>
      </c>
      <c r="F2274" s="137" t="str">
        <f t="shared" si="114"/>
        <v/>
      </c>
      <c r="G2274" s="138" t="e">
        <f>IF(A2274&lt;&gt;"",IF(AND(#REF!="Padrão",$H$4=#REF!),BDI!$B$17,IF(AND(#REF!="Padrão",$H$4=#REF!),BDI!#REF!,IF(AND(#REF!="Diferenciado",$H$4=#REF!),BDI!$E$17,IF(AND(#REF!="Diferenciado",$H$4=#REF!),BDI!#REF!,IF(#REF!="ZERO",0))))),"")</f>
        <v>#REF!</v>
      </c>
      <c r="H2274" s="139" t="str">
        <f t="shared" si="115"/>
        <v/>
      </c>
      <c r="I2274" s="137" t="str">
        <f t="shared" si="116"/>
        <v/>
      </c>
      <c r="J2274" s="117"/>
    </row>
    <row r="2275" spans="1:10" hidden="1" x14ac:dyDescent="0.25">
      <c r="A2275" s="114" t="s">
        <v>5059</v>
      </c>
      <c r="B2275" s="115" t="s">
        <v>3860</v>
      </c>
      <c r="C2275" s="116" t="s">
        <v>16</v>
      </c>
      <c r="D2275" s="116">
        <v>0</v>
      </c>
      <c r="E2275" s="136" t="s">
        <v>416</v>
      </c>
      <c r="F2275" s="137" t="str">
        <f t="shared" si="114"/>
        <v/>
      </c>
      <c r="G2275" s="138" t="e">
        <f>IF(A2275&lt;&gt;"",IF(AND(#REF!="Padrão",$H$4=#REF!),BDI!$B$17,IF(AND(#REF!="Padrão",$H$4=#REF!),BDI!#REF!,IF(AND(#REF!="Diferenciado",$H$4=#REF!),BDI!$E$17,IF(AND(#REF!="Diferenciado",$H$4=#REF!),BDI!#REF!,IF(#REF!="ZERO",0))))),"")</f>
        <v>#REF!</v>
      </c>
      <c r="H2275" s="139" t="str">
        <f t="shared" si="115"/>
        <v/>
      </c>
      <c r="I2275" s="137" t="str">
        <f t="shared" si="116"/>
        <v/>
      </c>
      <c r="J2275" s="117"/>
    </row>
    <row r="2276" spans="1:10" hidden="1" x14ac:dyDescent="0.25">
      <c r="A2276" s="114" t="s">
        <v>5060</v>
      </c>
      <c r="B2276" s="115" t="s">
        <v>3861</v>
      </c>
      <c r="C2276" s="116" t="s">
        <v>16</v>
      </c>
      <c r="D2276" s="116">
        <v>0</v>
      </c>
      <c r="E2276" s="136" t="s">
        <v>416</v>
      </c>
      <c r="F2276" s="137" t="str">
        <f t="shared" si="114"/>
        <v/>
      </c>
      <c r="G2276" s="138" t="e">
        <f>IF(A2276&lt;&gt;"",IF(AND(#REF!="Padrão",$H$4=#REF!),BDI!$B$17,IF(AND(#REF!="Padrão",$H$4=#REF!),BDI!#REF!,IF(AND(#REF!="Diferenciado",$H$4=#REF!),BDI!$E$17,IF(AND(#REF!="Diferenciado",$H$4=#REF!),BDI!#REF!,IF(#REF!="ZERO",0))))),"")</f>
        <v>#REF!</v>
      </c>
      <c r="H2276" s="139" t="str">
        <f t="shared" si="115"/>
        <v/>
      </c>
      <c r="I2276" s="137" t="str">
        <f t="shared" si="116"/>
        <v/>
      </c>
      <c r="J2276" s="117"/>
    </row>
    <row r="2277" spans="1:10" hidden="1" x14ac:dyDescent="0.25">
      <c r="A2277" s="114" t="s">
        <v>5061</v>
      </c>
      <c r="B2277" s="115" t="s">
        <v>3862</v>
      </c>
      <c r="C2277" s="116" t="s">
        <v>16</v>
      </c>
      <c r="D2277" s="116">
        <v>0</v>
      </c>
      <c r="E2277" s="136" t="s">
        <v>416</v>
      </c>
      <c r="F2277" s="137" t="str">
        <f t="shared" si="114"/>
        <v/>
      </c>
      <c r="G2277" s="138" t="e">
        <f>IF(A2277&lt;&gt;"",IF(AND(#REF!="Padrão",$H$4=#REF!),BDI!$B$17,IF(AND(#REF!="Padrão",$H$4=#REF!),BDI!#REF!,IF(AND(#REF!="Diferenciado",$H$4=#REF!),BDI!$E$17,IF(AND(#REF!="Diferenciado",$H$4=#REF!),BDI!#REF!,IF(#REF!="ZERO",0))))),"")</f>
        <v>#REF!</v>
      </c>
      <c r="H2277" s="139" t="str">
        <f t="shared" si="115"/>
        <v/>
      </c>
      <c r="I2277" s="137" t="str">
        <f t="shared" si="116"/>
        <v/>
      </c>
      <c r="J2277" s="117"/>
    </row>
    <row r="2278" spans="1:10" hidden="1" x14ac:dyDescent="0.25">
      <c r="A2278" s="114" t="s">
        <v>5062</v>
      </c>
      <c r="B2278" s="115" t="s">
        <v>3863</v>
      </c>
      <c r="C2278" s="116" t="s">
        <v>16</v>
      </c>
      <c r="D2278" s="116">
        <v>0</v>
      </c>
      <c r="E2278" s="136" t="s">
        <v>416</v>
      </c>
      <c r="F2278" s="137" t="str">
        <f t="shared" si="114"/>
        <v/>
      </c>
      <c r="G2278" s="138" t="e">
        <f>IF(A2278&lt;&gt;"",IF(AND(#REF!="Padrão",$H$4=#REF!),BDI!$B$17,IF(AND(#REF!="Padrão",$H$4=#REF!),BDI!#REF!,IF(AND(#REF!="Diferenciado",$H$4=#REF!),BDI!$E$17,IF(AND(#REF!="Diferenciado",$H$4=#REF!),BDI!#REF!,IF(#REF!="ZERO",0))))),"")</f>
        <v>#REF!</v>
      </c>
      <c r="H2278" s="139" t="str">
        <f t="shared" si="115"/>
        <v/>
      </c>
      <c r="I2278" s="137" t="str">
        <f t="shared" si="116"/>
        <v/>
      </c>
      <c r="J2278" s="117"/>
    </row>
    <row r="2279" spans="1:10" hidden="1" x14ac:dyDescent="0.25">
      <c r="A2279" s="114" t="s">
        <v>5063</v>
      </c>
      <c r="B2279" s="115" t="s">
        <v>3864</v>
      </c>
      <c r="C2279" s="116" t="s">
        <v>16</v>
      </c>
      <c r="D2279" s="116">
        <v>0</v>
      </c>
      <c r="E2279" s="136" t="s">
        <v>416</v>
      </c>
      <c r="F2279" s="137" t="str">
        <f t="shared" si="114"/>
        <v/>
      </c>
      <c r="G2279" s="138" t="e">
        <f>IF(A2279&lt;&gt;"",IF(AND(#REF!="Padrão",$H$4=#REF!),BDI!$B$17,IF(AND(#REF!="Padrão",$H$4=#REF!),BDI!#REF!,IF(AND(#REF!="Diferenciado",$H$4=#REF!),BDI!$E$17,IF(AND(#REF!="Diferenciado",$H$4=#REF!),BDI!#REF!,IF(#REF!="ZERO",0))))),"")</f>
        <v>#REF!</v>
      </c>
      <c r="H2279" s="139" t="str">
        <f t="shared" si="115"/>
        <v/>
      </c>
      <c r="I2279" s="137" t="str">
        <f t="shared" si="116"/>
        <v/>
      </c>
      <c r="J2279" s="117"/>
    </row>
    <row r="2280" spans="1:10" hidden="1" x14ac:dyDescent="0.25">
      <c r="A2280" s="114" t="s">
        <v>5064</v>
      </c>
      <c r="B2280" s="115" t="s">
        <v>3865</v>
      </c>
      <c r="C2280" s="116" t="s">
        <v>16</v>
      </c>
      <c r="D2280" s="116">
        <v>0</v>
      </c>
      <c r="E2280" s="136" t="s">
        <v>416</v>
      </c>
      <c r="F2280" s="137" t="str">
        <f t="shared" si="114"/>
        <v/>
      </c>
      <c r="G2280" s="138" t="e">
        <f>IF(A2280&lt;&gt;"",IF(AND(#REF!="Padrão",$H$4=#REF!),BDI!$B$17,IF(AND(#REF!="Padrão",$H$4=#REF!),BDI!#REF!,IF(AND(#REF!="Diferenciado",$H$4=#REF!),BDI!$E$17,IF(AND(#REF!="Diferenciado",$H$4=#REF!),BDI!#REF!,IF(#REF!="ZERO",0))))),"")</f>
        <v>#REF!</v>
      </c>
      <c r="H2280" s="139" t="str">
        <f t="shared" si="115"/>
        <v/>
      </c>
      <c r="I2280" s="137" t="str">
        <f t="shared" si="116"/>
        <v/>
      </c>
      <c r="J2280" s="117"/>
    </row>
    <row r="2281" spans="1:10" hidden="1" x14ac:dyDescent="0.25">
      <c r="A2281" s="114" t="s">
        <v>5065</v>
      </c>
      <c r="B2281" s="115" t="s">
        <v>3866</v>
      </c>
      <c r="C2281" s="116" t="s">
        <v>16</v>
      </c>
      <c r="D2281" s="116">
        <v>0</v>
      </c>
      <c r="E2281" s="136" t="s">
        <v>416</v>
      </c>
      <c r="F2281" s="137" t="str">
        <f t="shared" si="114"/>
        <v/>
      </c>
      <c r="G2281" s="138" t="e">
        <f>IF(A2281&lt;&gt;"",IF(AND(#REF!="Padrão",$H$4=#REF!),BDI!$B$17,IF(AND(#REF!="Padrão",$H$4=#REF!),BDI!#REF!,IF(AND(#REF!="Diferenciado",$H$4=#REF!),BDI!$E$17,IF(AND(#REF!="Diferenciado",$H$4=#REF!),BDI!#REF!,IF(#REF!="ZERO",0))))),"")</f>
        <v>#REF!</v>
      </c>
      <c r="H2281" s="139" t="str">
        <f t="shared" si="115"/>
        <v/>
      </c>
      <c r="I2281" s="137" t="str">
        <f t="shared" si="116"/>
        <v/>
      </c>
      <c r="J2281" s="117"/>
    </row>
    <row r="2282" spans="1:10" hidden="1" x14ac:dyDescent="0.25">
      <c r="A2282" s="114" t="s">
        <v>5066</v>
      </c>
      <c r="B2282" s="115" t="s">
        <v>3867</v>
      </c>
      <c r="C2282" s="116" t="s">
        <v>16</v>
      </c>
      <c r="D2282" s="116">
        <v>0</v>
      </c>
      <c r="E2282" s="136" t="s">
        <v>416</v>
      </c>
      <c r="F2282" s="137" t="str">
        <f t="shared" si="114"/>
        <v/>
      </c>
      <c r="G2282" s="138" t="e">
        <f>IF(A2282&lt;&gt;"",IF(AND(#REF!="Padrão",$H$4=#REF!),BDI!$B$17,IF(AND(#REF!="Padrão",$H$4=#REF!),BDI!#REF!,IF(AND(#REF!="Diferenciado",$H$4=#REF!),BDI!$E$17,IF(AND(#REF!="Diferenciado",$H$4=#REF!),BDI!#REF!,IF(#REF!="ZERO",0))))),"")</f>
        <v>#REF!</v>
      </c>
      <c r="H2282" s="139" t="str">
        <f t="shared" si="115"/>
        <v/>
      </c>
      <c r="I2282" s="137" t="str">
        <f t="shared" si="116"/>
        <v/>
      </c>
      <c r="J2282" s="117"/>
    </row>
    <row r="2283" spans="1:10" hidden="1" x14ac:dyDescent="0.25">
      <c r="A2283" s="114" t="s">
        <v>5067</v>
      </c>
      <c r="B2283" s="115" t="s">
        <v>3868</v>
      </c>
      <c r="C2283" s="116" t="s">
        <v>16</v>
      </c>
      <c r="D2283" s="116">
        <v>0</v>
      </c>
      <c r="E2283" s="136" t="s">
        <v>416</v>
      </c>
      <c r="F2283" s="137" t="str">
        <f t="shared" si="114"/>
        <v/>
      </c>
      <c r="G2283" s="138" t="e">
        <f>IF(A2283&lt;&gt;"",IF(AND(#REF!="Padrão",$H$4=#REF!),BDI!$B$17,IF(AND(#REF!="Padrão",$H$4=#REF!),BDI!#REF!,IF(AND(#REF!="Diferenciado",$H$4=#REF!),BDI!$E$17,IF(AND(#REF!="Diferenciado",$H$4=#REF!),BDI!#REF!,IF(#REF!="ZERO",0))))),"")</f>
        <v>#REF!</v>
      </c>
      <c r="H2283" s="139" t="str">
        <f t="shared" si="115"/>
        <v/>
      </c>
      <c r="I2283" s="137" t="str">
        <f t="shared" si="116"/>
        <v/>
      </c>
      <c r="J2283" s="117"/>
    </row>
    <row r="2284" spans="1:10" hidden="1" x14ac:dyDescent="0.25">
      <c r="A2284" s="114" t="s">
        <v>5068</v>
      </c>
      <c r="B2284" s="115" t="s">
        <v>3869</v>
      </c>
      <c r="C2284" s="116" t="s">
        <v>5416</v>
      </c>
      <c r="D2284" s="116">
        <v>0</v>
      </c>
      <c r="E2284" s="136" t="s">
        <v>416</v>
      </c>
      <c r="F2284" s="137" t="str">
        <f t="shared" si="114"/>
        <v/>
      </c>
      <c r="G2284" s="138" t="e">
        <f>IF(A2284&lt;&gt;"",IF(AND(#REF!="Padrão",$H$4=#REF!),BDI!$B$17,IF(AND(#REF!="Padrão",$H$4=#REF!),BDI!#REF!,IF(AND(#REF!="Diferenciado",$H$4=#REF!),BDI!$E$17,IF(AND(#REF!="Diferenciado",$H$4=#REF!),BDI!#REF!,IF(#REF!="ZERO",0))))),"")</f>
        <v>#REF!</v>
      </c>
      <c r="H2284" s="139" t="str">
        <f t="shared" si="115"/>
        <v/>
      </c>
      <c r="I2284" s="137" t="str">
        <f t="shared" si="116"/>
        <v/>
      </c>
      <c r="J2284" s="117"/>
    </row>
    <row r="2285" spans="1:10" hidden="1" x14ac:dyDescent="0.25">
      <c r="A2285" s="114" t="s">
        <v>5069</v>
      </c>
      <c r="B2285" s="115" t="s">
        <v>7413</v>
      </c>
      <c r="C2285" s="116" t="s">
        <v>16</v>
      </c>
      <c r="D2285" s="116">
        <v>0</v>
      </c>
      <c r="E2285" s="136" t="s">
        <v>416</v>
      </c>
      <c r="F2285" s="137" t="str">
        <f t="shared" ref="F2285:F2348" si="117">IF(ISNUMBER(E2285),D2285*E2285,"")</f>
        <v/>
      </c>
      <c r="G2285" s="138" t="e">
        <f>IF(A2285&lt;&gt;"",IF(AND(#REF!="Padrão",$H$4=#REF!),BDI!$B$17,IF(AND(#REF!="Padrão",$H$4=#REF!),BDI!#REF!,IF(AND(#REF!="Diferenciado",$H$4=#REF!),BDI!$E$17,IF(AND(#REF!="Diferenciado",$H$4=#REF!),BDI!#REF!,IF(#REF!="ZERO",0))))),"")</f>
        <v>#REF!</v>
      </c>
      <c r="H2285" s="139" t="str">
        <f t="shared" ref="H2285:H2348" si="118">IF(ISNUMBER(E2285),ROUND(E2285*(1+G2285),2),"")</f>
        <v/>
      </c>
      <c r="I2285" s="137" t="str">
        <f t="shared" ref="I2285:I2348" si="119">IF(ISNUMBER(E2285),ROUND(H2285*D2285,2),"")</f>
        <v/>
      </c>
      <c r="J2285" s="117"/>
    </row>
    <row r="2286" spans="1:10" hidden="1" x14ac:dyDescent="0.25">
      <c r="A2286" s="114" t="s">
        <v>5070</v>
      </c>
      <c r="B2286" s="115" t="s">
        <v>7414</v>
      </c>
      <c r="C2286" s="116" t="s">
        <v>16</v>
      </c>
      <c r="D2286" s="116">
        <v>0</v>
      </c>
      <c r="E2286" s="136" t="s">
        <v>416</v>
      </c>
      <c r="F2286" s="137" t="str">
        <f t="shared" si="117"/>
        <v/>
      </c>
      <c r="G2286" s="138" t="e">
        <f>IF(A2286&lt;&gt;"",IF(AND(#REF!="Padrão",$H$4=#REF!),BDI!$B$17,IF(AND(#REF!="Padrão",$H$4=#REF!),BDI!#REF!,IF(AND(#REF!="Diferenciado",$H$4=#REF!),BDI!$E$17,IF(AND(#REF!="Diferenciado",$H$4=#REF!),BDI!#REF!,IF(#REF!="ZERO",0))))),"")</f>
        <v>#REF!</v>
      </c>
      <c r="H2286" s="139" t="str">
        <f t="shared" si="118"/>
        <v/>
      </c>
      <c r="I2286" s="137" t="str">
        <f t="shared" si="119"/>
        <v/>
      </c>
      <c r="J2286" s="117"/>
    </row>
    <row r="2287" spans="1:10" hidden="1" x14ac:dyDescent="0.25">
      <c r="A2287" s="114" t="s">
        <v>5071</v>
      </c>
      <c r="B2287" s="115" t="s">
        <v>7415</v>
      </c>
      <c r="C2287" s="116" t="s">
        <v>16</v>
      </c>
      <c r="D2287" s="116">
        <v>0</v>
      </c>
      <c r="E2287" s="136" t="s">
        <v>416</v>
      </c>
      <c r="F2287" s="137" t="str">
        <f t="shared" si="117"/>
        <v/>
      </c>
      <c r="G2287" s="138" t="e">
        <f>IF(A2287&lt;&gt;"",IF(AND(#REF!="Padrão",$H$4=#REF!),BDI!$B$17,IF(AND(#REF!="Padrão",$H$4=#REF!),BDI!#REF!,IF(AND(#REF!="Diferenciado",$H$4=#REF!),BDI!$E$17,IF(AND(#REF!="Diferenciado",$H$4=#REF!),BDI!#REF!,IF(#REF!="ZERO",0))))),"")</f>
        <v>#REF!</v>
      </c>
      <c r="H2287" s="139" t="str">
        <f t="shared" si="118"/>
        <v/>
      </c>
      <c r="I2287" s="137" t="str">
        <f t="shared" si="119"/>
        <v/>
      </c>
      <c r="J2287" s="117"/>
    </row>
    <row r="2288" spans="1:10" hidden="1" x14ac:dyDescent="0.25">
      <c r="A2288" s="114" t="s">
        <v>5072</v>
      </c>
      <c r="B2288" s="115" t="s">
        <v>7416</v>
      </c>
      <c r="C2288" s="116" t="s">
        <v>16</v>
      </c>
      <c r="D2288" s="116">
        <v>0</v>
      </c>
      <c r="E2288" s="136" t="s">
        <v>416</v>
      </c>
      <c r="F2288" s="137" t="str">
        <f t="shared" si="117"/>
        <v/>
      </c>
      <c r="G2288" s="138" t="e">
        <f>IF(A2288&lt;&gt;"",IF(AND(#REF!="Padrão",$H$4=#REF!),BDI!$B$17,IF(AND(#REF!="Padrão",$H$4=#REF!),BDI!#REF!,IF(AND(#REF!="Diferenciado",$H$4=#REF!),BDI!$E$17,IF(AND(#REF!="Diferenciado",$H$4=#REF!),BDI!#REF!,IF(#REF!="ZERO",0))))),"")</f>
        <v>#REF!</v>
      </c>
      <c r="H2288" s="139" t="str">
        <f t="shared" si="118"/>
        <v/>
      </c>
      <c r="I2288" s="137" t="str">
        <f t="shared" si="119"/>
        <v/>
      </c>
      <c r="J2288" s="117"/>
    </row>
    <row r="2289" spans="1:10" hidden="1" x14ac:dyDescent="0.25">
      <c r="A2289" s="114" t="s">
        <v>5073</v>
      </c>
      <c r="B2289" s="115" t="s">
        <v>3870</v>
      </c>
      <c r="C2289" s="116" t="s">
        <v>16</v>
      </c>
      <c r="D2289" s="116">
        <v>0</v>
      </c>
      <c r="E2289" s="136" t="s">
        <v>416</v>
      </c>
      <c r="F2289" s="137" t="str">
        <f t="shared" si="117"/>
        <v/>
      </c>
      <c r="G2289" s="138" t="e">
        <f>IF(A2289&lt;&gt;"",IF(AND(#REF!="Padrão",$H$4=#REF!),BDI!$B$17,IF(AND(#REF!="Padrão",$H$4=#REF!),BDI!#REF!,IF(AND(#REF!="Diferenciado",$H$4=#REF!),BDI!$E$17,IF(AND(#REF!="Diferenciado",$H$4=#REF!),BDI!#REF!,IF(#REF!="ZERO",0))))),"")</f>
        <v>#REF!</v>
      </c>
      <c r="H2289" s="139" t="str">
        <f t="shared" si="118"/>
        <v/>
      </c>
      <c r="I2289" s="137" t="str">
        <f t="shared" si="119"/>
        <v/>
      </c>
      <c r="J2289" s="117"/>
    </row>
    <row r="2290" spans="1:10" hidden="1" x14ac:dyDescent="0.25">
      <c r="A2290" s="114" t="s">
        <v>5074</v>
      </c>
      <c r="B2290" s="115" t="s">
        <v>3871</v>
      </c>
      <c r="C2290" s="116" t="s">
        <v>16</v>
      </c>
      <c r="D2290" s="116">
        <v>0</v>
      </c>
      <c r="E2290" s="136">
        <f ca="1">OFFSET(INDEX(Composições!A:J,MATCH(Orçamentária!A2290,Composições!A:A,0),8),2,0)</f>
        <v>54.406500000000001</v>
      </c>
      <c r="F2290" s="137">
        <f t="shared" ca="1" si="117"/>
        <v>0</v>
      </c>
      <c r="G2290" s="138" t="e">
        <f>IF(A2290&lt;&gt;"",IF(AND(#REF!="Padrão",$H$4=#REF!),BDI!$B$17,IF(AND(#REF!="Padrão",$H$4=#REF!),BDI!#REF!,IF(AND(#REF!="Diferenciado",$H$4=#REF!),BDI!$E$17,IF(AND(#REF!="Diferenciado",$H$4=#REF!),BDI!#REF!,IF(#REF!="ZERO",0))))),"")</f>
        <v>#REF!</v>
      </c>
      <c r="H2290" s="139" t="e">
        <f t="shared" ca="1" si="118"/>
        <v>#REF!</v>
      </c>
      <c r="I2290" s="137" t="e">
        <f t="shared" ca="1" si="119"/>
        <v>#REF!</v>
      </c>
      <c r="J2290" s="117"/>
    </row>
    <row r="2291" spans="1:10" hidden="1" x14ac:dyDescent="0.25">
      <c r="A2291" s="114" t="s">
        <v>5075</v>
      </c>
      <c r="B2291" s="115" t="s">
        <v>3872</v>
      </c>
      <c r="C2291" s="116" t="s">
        <v>16</v>
      </c>
      <c r="D2291" s="116">
        <v>0</v>
      </c>
      <c r="E2291" s="136" t="s">
        <v>416</v>
      </c>
      <c r="F2291" s="137" t="str">
        <f t="shared" si="117"/>
        <v/>
      </c>
      <c r="G2291" s="138" t="e">
        <f>IF(A2291&lt;&gt;"",IF(AND(#REF!="Padrão",$H$4=#REF!),BDI!$B$17,IF(AND(#REF!="Padrão",$H$4=#REF!),BDI!#REF!,IF(AND(#REF!="Diferenciado",$H$4=#REF!),BDI!$E$17,IF(AND(#REF!="Diferenciado",$H$4=#REF!),BDI!#REF!,IF(#REF!="ZERO",0))))),"")</f>
        <v>#REF!</v>
      </c>
      <c r="H2291" s="139" t="str">
        <f t="shared" si="118"/>
        <v/>
      </c>
      <c r="I2291" s="137" t="str">
        <f t="shared" si="119"/>
        <v/>
      </c>
      <c r="J2291" s="117"/>
    </row>
    <row r="2292" spans="1:10" hidden="1" x14ac:dyDescent="0.25">
      <c r="A2292" s="114" t="s">
        <v>5076</v>
      </c>
      <c r="B2292" s="115" t="s">
        <v>3873</v>
      </c>
      <c r="C2292" s="116" t="s">
        <v>16</v>
      </c>
      <c r="D2292" s="116">
        <v>0</v>
      </c>
      <c r="E2292" s="136" t="s">
        <v>416</v>
      </c>
      <c r="F2292" s="137" t="str">
        <f t="shared" si="117"/>
        <v/>
      </c>
      <c r="G2292" s="138" t="e">
        <f>IF(A2292&lt;&gt;"",IF(AND(#REF!="Padrão",$H$4=#REF!),BDI!$B$17,IF(AND(#REF!="Padrão",$H$4=#REF!),BDI!#REF!,IF(AND(#REF!="Diferenciado",$H$4=#REF!),BDI!$E$17,IF(AND(#REF!="Diferenciado",$H$4=#REF!),BDI!#REF!,IF(#REF!="ZERO",0))))),"")</f>
        <v>#REF!</v>
      </c>
      <c r="H2292" s="139" t="str">
        <f t="shared" si="118"/>
        <v/>
      </c>
      <c r="I2292" s="137" t="str">
        <f t="shared" si="119"/>
        <v/>
      </c>
      <c r="J2292" s="117"/>
    </row>
    <row r="2293" spans="1:10" hidden="1" x14ac:dyDescent="0.25">
      <c r="A2293" s="114" t="s">
        <v>5077</v>
      </c>
      <c r="B2293" s="115" t="s">
        <v>3874</v>
      </c>
      <c r="C2293" s="116" t="s">
        <v>16</v>
      </c>
      <c r="D2293" s="116">
        <v>0</v>
      </c>
      <c r="E2293" s="136" t="s">
        <v>416</v>
      </c>
      <c r="F2293" s="137" t="str">
        <f t="shared" si="117"/>
        <v/>
      </c>
      <c r="G2293" s="138" t="e">
        <f>IF(A2293&lt;&gt;"",IF(AND(#REF!="Padrão",$H$4=#REF!),BDI!$B$17,IF(AND(#REF!="Padrão",$H$4=#REF!),BDI!#REF!,IF(AND(#REF!="Diferenciado",$H$4=#REF!),BDI!$E$17,IF(AND(#REF!="Diferenciado",$H$4=#REF!),BDI!#REF!,IF(#REF!="ZERO",0))))),"")</f>
        <v>#REF!</v>
      </c>
      <c r="H2293" s="139" t="str">
        <f t="shared" si="118"/>
        <v/>
      </c>
      <c r="I2293" s="137" t="str">
        <f t="shared" si="119"/>
        <v/>
      </c>
      <c r="J2293" s="117"/>
    </row>
    <row r="2294" spans="1:10" hidden="1" x14ac:dyDescent="0.25">
      <c r="A2294" s="114" t="s">
        <v>5078</v>
      </c>
      <c r="B2294" s="115" t="s">
        <v>3875</v>
      </c>
      <c r="C2294" s="116" t="s">
        <v>69</v>
      </c>
      <c r="D2294" s="116">
        <v>0</v>
      </c>
      <c r="E2294" s="136" t="s">
        <v>416</v>
      </c>
      <c r="F2294" s="137" t="str">
        <f t="shared" si="117"/>
        <v/>
      </c>
      <c r="G2294" s="138" t="e">
        <f>IF(A2294&lt;&gt;"",IF(AND(#REF!="Padrão",$H$4=#REF!),BDI!$B$17,IF(AND(#REF!="Padrão",$H$4=#REF!),BDI!#REF!,IF(AND(#REF!="Diferenciado",$H$4=#REF!),BDI!$E$17,IF(AND(#REF!="Diferenciado",$H$4=#REF!),BDI!#REF!,IF(#REF!="ZERO",0))))),"")</f>
        <v>#REF!</v>
      </c>
      <c r="H2294" s="139" t="str">
        <f t="shared" si="118"/>
        <v/>
      </c>
      <c r="I2294" s="137" t="str">
        <f t="shared" si="119"/>
        <v/>
      </c>
      <c r="J2294" s="117"/>
    </row>
    <row r="2295" spans="1:10" hidden="1" x14ac:dyDescent="0.25">
      <c r="A2295" s="114" t="s">
        <v>5079</v>
      </c>
      <c r="B2295" s="115" t="s">
        <v>3876</v>
      </c>
      <c r="C2295" s="116" t="s">
        <v>16</v>
      </c>
      <c r="D2295" s="116">
        <v>0</v>
      </c>
      <c r="E2295" s="136">
        <f ca="1">OFFSET(INDEX(Composições!A:J,MATCH(Orçamentária!A2295,Composições!A:A,0),8),2,0)</f>
        <v>118.05649999999999</v>
      </c>
      <c r="F2295" s="137">
        <f t="shared" ca="1" si="117"/>
        <v>0</v>
      </c>
      <c r="G2295" s="138" t="e">
        <f>IF(A2295&lt;&gt;"",IF(AND(#REF!="Padrão",$H$4=#REF!),BDI!$B$17,IF(AND(#REF!="Padrão",$H$4=#REF!),BDI!#REF!,IF(AND(#REF!="Diferenciado",$H$4=#REF!),BDI!$E$17,IF(AND(#REF!="Diferenciado",$H$4=#REF!),BDI!#REF!,IF(#REF!="ZERO",0))))),"")</f>
        <v>#REF!</v>
      </c>
      <c r="H2295" s="139" t="e">
        <f t="shared" ca="1" si="118"/>
        <v>#REF!</v>
      </c>
      <c r="I2295" s="137" t="e">
        <f t="shared" ca="1" si="119"/>
        <v>#REF!</v>
      </c>
      <c r="J2295" s="117"/>
    </row>
    <row r="2296" spans="1:10" hidden="1" x14ac:dyDescent="0.25">
      <c r="A2296" s="114" t="s">
        <v>5080</v>
      </c>
      <c r="B2296" s="115" t="s">
        <v>3877</v>
      </c>
      <c r="C2296" s="116" t="s">
        <v>16</v>
      </c>
      <c r="D2296" s="116">
        <v>0</v>
      </c>
      <c r="E2296" s="136" t="s">
        <v>416</v>
      </c>
      <c r="F2296" s="137" t="str">
        <f t="shared" si="117"/>
        <v/>
      </c>
      <c r="G2296" s="138" t="e">
        <f>IF(A2296&lt;&gt;"",IF(AND(#REF!="Padrão",$H$4=#REF!),BDI!$B$17,IF(AND(#REF!="Padrão",$H$4=#REF!),BDI!#REF!,IF(AND(#REF!="Diferenciado",$H$4=#REF!),BDI!$E$17,IF(AND(#REF!="Diferenciado",$H$4=#REF!),BDI!#REF!,IF(#REF!="ZERO",0))))),"")</f>
        <v>#REF!</v>
      </c>
      <c r="H2296" s="139" t="str">
        <f t="shared" si="118"/>
        <v/>
      </c>
      <c r="I2296" s="137" t="str">
        <f t="shared" si="119"/>
        <v/>
      </c>
      <c r="J2296" s="117"/>
    </row>
    <row r="2297" spans="1:10" hidden="1" x14ac:dyDescent="0.25">
      <c r="A2297" s="114" t="s">
        <v>5081</v>
      </c>
      <c r="B2297" s="115" t="s">
        <v>3878</v>
      </c>
      <c r="C2297" s="116" t="s">
        <v>16</v>
      </c>
      <c r="D2297" s="116">
        <v>0</v>
      </c>
      <c r="E2297" s="136" t="s">
        <v>416</v>
      </c>
      <c r="F2297" s="137" t="str">
        <f t="shared" si="117"/>
        <v/>
      </c>
      <c r="G2297" s="138" t="e">
        <f>IF(A2297&lt;&gt;"",IF(AND(#REF!="Padrão",$H$4=#REF!),BDI!$B$17,IF(AND(#REF!="Padrão",$H$4=#REF!),BDI!#REF!,IF(AND(#REF!="Diferenciado",$H$4=#REF!),BDI!$E$17,IF(AND(#REF!="Diferenciado",$H$4=#REF!),BDI!#REF!,IF(#REF!="ZERO",0))))),"")</f>
        <v>#REF!</v>
      </c>
      <c r="H2297" s="139" t="str">
        <f t="shared" si="118"/>
        <v/>
      </c>
      <c r="I2297" s="137" t="str">
        <f t="shared" si="119"/>
        <v/>
      </c>
      <c r="J2297" s="117"/>
    </row>
    <row r="2298" spans="1:10" hidden="1" x14ac:dyDescent="0.25">
      <c r="A2298" s="114" t="s">
        <v>5082</v>
      </c>
      <c r="B2298" s="115" t="s">
        <v>7406</v>
      </c>
      <c r="C2298" s="116" t="s">
        <v>16</v>
      </c>
      <c r="D2298" s="116">
        <v>0</v>
      </c>
      <c r="E2298" s="136" t="s">
        <v>416</v>
      </c>
      <c r="F2298" s="137" t="str">
        <f t="shared" si="117"/>
        <v/>
      </c>
      <c r="G2298" s="138" t="e">
        <f>IF(A2298&lt;&gt;"",IF(AND(#REF!="Padrão",$H$4=#REF!),BDI!$B$17,IF(AND(#REF!="Padrão",$H$4=#REF!),BDI!#REF!,IF(AND(#REF!="Diferenciado",$H$4=#REF!),BDI!$E$17,IF(AND(#REF!="Diferenciado",$H$4=#REF!),BDI!#REF!,IF(#REF!="ZERO",0))))),"")</f>
        <v>#REF!</v>
      </c>
      <c r="H2298" s="139" t="str">
        <f t="shared" si="118"/>
        <v/>
      </c>
      <c r="I2298" s="137" t="str">
        <f t="shared" si="119"/>
        <v/>
      </c>
      <c r="J2298" s="117"/>
    </row>
    <row r="2299" spans="1:10" hidden="1" x14ac:dyDescent="0.25">
      <c r="A2299" s="114" t="s">
        <v>5083</v>
      </c>
      <c r="B2299" s="115" t="s">
        <v>7407</v>
      </c>
      <c r="C2299" s="116" t="s">
        <v>16</v>
      </c>
      <c r="D2299" s="116">
        <v>0</v>
      </c>
      <c r="E2299" s="136">
        <f ca="1">OFFSET(INDEX(Composições!A:J,MATCH(Orçamentária!A2299,Composições!A:A,0),8),2,0)</f>
        <v>168.86249999999998</v>
      </c>
      <c r="F2299" s="137">
        <f t="shared" ca="1" si="117"/>
        <v>0</v>
      </c>
      <c r="G2299" s="138" t="e">
        <f>IF(A2299&lt;&gt;"",IF(AND(#REF!="Padrão",$H$4=#REF!),BDI!$B$17,IF(AND(#REF!="Padrão",$H$4=#REF!),BDI!#REF!,IF(AND(#REF!="Diferenciado",$H$4=#REF!),BDI!$E$17,IF(AND(#REF!="Diferenciado",$H$4=#REF!),BDI!#REF!,IF(#REF!="ZERO",0))))),"")</f>
        <v>#REF!</v>
      </c>
      <c r="H2299" s="139" t="e">
        <f t="shared" ca="1" si="118"/>
        <v>#REF!</v>
      </c>
      <c r="I2299" s="137" t="e">
        <f t="shared" ca="1" si="119"/>
        <v>#REF!</v>
      </c>
      <c r="J2299" s="117"/>
    </row>
    <row r="2300" spans="1:10" hidden="1" x14ac:dyDescent="0.25">
      <c r="A2300" s="114" t="s">
        <v>5084</v>
      </c>
      <c r="B2300" s="115" t="s">
        <v>7408</v>
      </c>
      <c r="C2300" s="116" t="s">
        <v>16</v>
      </c>
      <c r="D2300" s="116">
        <v>0</v>
      </c>
      <c r="E2300" s="136" t="s">
        <v>416</v>
      </c>
      <c r="F2300" s="137" t="str">
        <f t="shared" si="117"/>
        <v/>
      </c>
      <c r="G2300" s="138" t="e">
        <f>IF(A2300&lt;&gt;"",IF(AND(#REF!="Padrão",$H$4=#REF!),BDI!$B$17,IF(AND(#REF!="Padrão",$H$4=#REF!),BDI!#REF!,IF(AND(#REF!="Diferenciado",$H$4=#REF!),BDI!$E$17,IF(AND(#REF!="Diferenciado",$H$4=#REF!),BDI!#REF!,IF(#REF!="ZERO",0))))),"")</f>
        <v>#REF!</v>
      </c>
      <c r="H2300" s="139" t="str">
        <f t="shared" si="118"/>
        <v/>
      </c>
      <c r="I2300" s="137" t="str">
        <f t="shared" si="119"/>
        <v/>
      </c>
      <c r="J2300" s="117"/>
    </row>
    <row r="2301" spans="1:10" hidden="1" x14ac:dyDescent="0.25">
      <c r="A2301" s="114" t="s">
        <v>5085</v>
      </c>
      <c r="B2301" s="115" t="s">
        <v>7409</v>
      </c>
      <c r="C2301" s="116" t="s">
        <v>16</v>
      </c>
      <c r="D2301" s="116">
        <v>0</v>
      </c>
      <c r="E2301" s="136" t="s">
        <v>416</v>
      </c>
      <c r="F2301" s="137" t="str">
        <f t="shared" si="117"/>
        <v/>
      </c>
      <c r="G2301" s="138" t="e">
        <f>IF(A2301&lt;&gt;"",IF(AND(#REF!="Padrão",$H$4=#REF!),BDI!$B$17,IF(AND(#REF!="Padrão",$H$4=#REF!),BDI!#REF!,IF(AND(#REF!="Diferenciado",$H$4=#REF!),BDI!$E$17,IF(AND(#REF!="Diferenciado",$H$4=#REF!),BDI!#REF!,IF(#REF!="ZERO",0))))),"")</f>
        <v>#REF!</v>
      </c>
      <c r="H2301" s="139" t="str">
        <f t="shared" si="118"/>
        <v/>
      </c>
      <c r="I2301" s="137" t="str">
        <f t="shared" si="119"/>
        <v/>
      </c>
      <c r="J2301" s="117"/>
    </row>
    <row r="2302" spans="1:10" hidden="1" x14ac:dyDescent="0.25">
      <c r="A2302" s="114" t="s">
        <v>5086</v>
      </c>
      <c r="B2302" s="115" t="s">
        <v>3879</v>
      </c>
      <c r="C2302" s="116" t="s">
        <v>16</v>
      </c>
      <c r="D2302" s="116">
        <v>0</v>
      </c>
      <c r="E2302" s="136" t="s">
        <v>416</v>
      </c>
      <c r="F2302" s="137" t="str">
        <f t="shared" si="117"/>
        <v/>
      </c>
      <c r="G2302" s="138" t="e">
        <f>IF(A2302&lt;&gt;"",IF(AND(#REF!="Padrão",$H$4=#REF!),BDI!$B$17,IF(AND(#REF!="Padrão",$H$4=#REF!),BDI!#REF!,IF(AND(#REF!="Diferenciado",$H$4=#REF!),BDI!$E$17,IF(AND(#REF!="Diferenciado",$H$4=#REF!),BDI!#REF!,IF(#REF!="ZERO",0))))),"")</f>
        <v>#REF!</v>
      </c>
      <c r="H2302" s="139" t="str">
        <f t="shared" si="118"/>
        <v/>
      </c>
      <c r="I2302" s="137" t="str">
        <f t="shared" si="119"/>
        <v/>
      </c>
      <c r="J2302" s="117"/>
    </row>
    <row r="2303" spans="1:10" hidden="1" x14ac:dyDescent="0.25">
      <c r="A2303" s="114" t="s">
        <v>5087</v>
      </c>
      <c r="B2303" s="115" t="s">
        <v>7410</v>
      </c>
      <c r="C2303" s="116" t="s">
        <v>16</v>
      </c>
      <c r="D2303" s="116">
        <v>0</v>
      </c>
      <c r="E2303" s="136" t="s">
        <v>416</v>
      </c>
      <c r="F2303" s="137" t="str">
        <f t="shared" si="117"/>
        <v/>
      </c>
      <c r="G2303" s="138" t="e">
        <f>IF(A2303&lt;&gt;"",IF(AND(#REF!="Padrão",$H$4=#REF!),BDI!$B$17,IF(AND(#REF!="Padrão",$H$4=#REF!),BDI!#REF!,IF(AND(#REF!="Diferenciado",$H$4=#REF!),BDI!$E$17,IF(AND(#REF!="Diferenciado",$H$4=#REF!),BDI!#REF!,IF(#REF!="ZERO",0))))),"")</f>
        <v>#REF!</v>
      </c>
      <c r="H2303" s="139" t="str">
        <f t="shared" si="118"/>
        <v/>
      </c>
      <c r="I2303" s="137" t="str">
        <f t="shared" si="119"/>
        <v/>
      </c>
      <c r="J2303" s="117"/>
    </row>
    <row r="2304" spans="1:10" hidden="1" x14ac:dyDescent="0.25">
      <c r="A2304" s="114" t="s">
        <v>5088</v>
      </c>
      <c r="B2304" s="115" t="s">
        <v>7411</v>
      </c>
      <c r="C2304" s="116" t="s">
        <v>16</v>
      </c>
      <c r="D2304" s="116">
        <v>0</v>
      </c>
      <c r="E2304" s="136" t="s">
        <v>416</v>
      </c>
      <c r="F2304" s="137" t="str">
        <f t="shared" si="117"/>
        <v/>
      </c>
      <c r="G2304" s="138" t="e">
        <f>IF(A2304&lt;&gt;"",IF(AND(#REF!="Padrão",$H$4=#REF!),BDI!$B$17,IF(AND(#REF!="Padrão",$H$4=#REF!),BDI!#REF!,IF(AND(#REF!="Diferenciado",$H$4=#REF!),BDI!$E$17,IF(AND(#REF!="Diferenciado",$H$4=#REF!),BDI!#REF!,IF(#REF!="ZERO",0))))),"")</f>
        <v>#REF!</v>
      </c>
      <c r="H2304" s="139" t="str">
        <f t="shared" si="118"/>
        <v/>
      </c>
      <c r="I2304" s="137" t="str">
        <f t="shared" si="119"/>
        <v/>
      </c>
      <c r="J2304" s="117"/>
    </row>
    <row r="2305" spans="1:10" hidden="1" x14ac:dyDescent="0.25">
      <c r="A2305" s="114" t="s">
        <v>5089</v>
      </c>
      <c r="B2305" s="115" t="s">
        <v>7412</v>
      </c>
      <c r="C2305" s="116" t="s">
        <v>16</v>
      </c>
      <c r="D2305" s="116">
        <v>0</v>
      </c>
      <c r="E2305" s="136" t="s">
        <v>416</v>
      </c>
      <c r="F2305" s="137" t="str">
        <f t="shared" si="117"/>
        <v/>
      </c>
      <c r="G2305" s="138" t="e">
        <f>IF(A2305&lt;&gt;"",IF(AND(#REF!="Padrão",$H$4=#REF!),BDI!$B$17,IF(AND(#REF!="Padrão",$H$4=#REF!),BDI!#REF!,IF(AND(#REF!="Diferenciado",$H$4=#REF!),BDI!$E$17,IF(AND(#REF!="Diferenciado",$H$4=#REF!),BDI!#REF!,IF(#REF!="ZERO",0))))),"")</f>
        <v>#REF!</v>
      </c>
      <c r="H2305" s="139" t="str">
        <f t="shared" si="118"/>
        <v/>
      </c>
      <c r="I2305" s="137" t="str">
        <f t="shared" si="119"/>
        <v/>
      </c>
      <c r="J2305" s="117"/>
    </row>
    <row r="2306" spans="1:10" hidden="1" x14ac:dyDescent="0.25">
      <c r="A2306" s="114" t="s">
        <v>5090</v>
      </c>
      <c r="B2306" s="115" t="s">
        <v>3880</v>
      </c>
      <c r="C2306" s="116" t="s">
        <v>16</v>
      </c>
      <c r="D2306" s="116">
        <v>0</v>
      </c>
      <c r="E2306" s="136" t="s">
        <v>416</v>
      </c>
      <c r="F2306" s="137" t="str">
        <f t="shared" si="117"/>
        <v/>
      </c>
      <c r="G2306" s="138" t="e">
        <f>IF(A2306&lt;&gt;"",IF(AND(#REF!="Padrão",$H$4=#REF!),BDI!$B$17,IF(AND(#REF!="Padrão",$H$4=#REF!),BDI!#REF!,IF(AND(#REF!="Diferenciado",$H$4=#REF!),BDI!$E$17,IF(AND(#REF!="Diferenciado",$H$4=#REF!),BDI!#REF!,IF(#REF!="ZERO",0))))),"")</f>
        <v>#REF!</v>
      </c>
      <c r="H2306" s="139" t="str">
        <f t="shared" si="118"/>
        <v/>
      </c>
      <c r="I2306" s="137" t="str">
        <f t="shared" si="119"/>
        <v/>
      </c>
      <c r="J2306" s="117"/>
    </row>
    <row r="2307" spans="1:10" hidden="1" x14ac:dyDescent="0.25">
      <c r="A2307" s="114" t="s">
        <v>5091</v>
      </c>
      <c r="B2307" s="115" t="s">
        <v>3881</v>
      </c>
      <c r="C2307" s="116" t="s">
        <v>16</v>
      </c>
      <c r="D2307" s="116">
        <v>0</v>
      </c>
      <c r="E2307" s="136" t="s">
        <v>416</v>
      </c>
      <c r="F2307" s="137" t="str">
        <f t="shared" si="117"/>
        <v/>
      </c>
      <c r="G2307" s="138" t="e">
        <f>IF(A2307&lt;&gt;"",IF(AND(#REF!="Padrão",$H$4=#REF!),BDI!$B$17,IF(AND(#REF!="Padrão",$H$4=#REF!),BDI!#REF!,IF(AND(#REF!="Diferenciado",$H$4=#REF!),BDI!$E$17,IF(AND(#REF!="Diferenciado",$H$4=#REF!),BDI!#REF!,IF(#REF!="ZERO",0))))),"")</f>
        <v>#REF!</v>
      </c>
      <c r="H2307" s="139" t="str">
        <f t="shared" si="118"/>
        <v/>
      </c>
      <c r="I2307" s="137" t="str">
        <f t="shared" si="119"/>
        <v/>
      </c>
      <c r="J2307" s="117"/>
    </row>
    <row r="2308" spans="1:10" hidden="1" x14ac:dyDescent="0.25">
      <c r="A2308" s="114" t="s">
        <v>5092</v>
      </c>
      <c r="B2308" s="115" t="s">
        <v>3882</v>
      </c>
      <c r="C2308" s="116" t="s">
        <v>16</v>
      </c>
      <c r="D2308" s="116">
        <v>0</v>
      </c>
      <c r="E2308" s="136" t="s">
        <v>416</v>
      </c>
      <c r="F2308" s="137" t="str">
        <f t="shared" si="117"/>
        <v/>
      </c>
      <c r="G2308" s="138" t="e">
        <f>IF(A2308&lt;&gt;"",IF(AND(#REF!="Padrão",$H$4=#REF!),BDI!$B$17,IF(AND(#REF!="Padrão",$H$4=#REF!),BDI!#REF!,IF(AND(#REF!="Diferenciado",$H$4=#REF!),BDI!$E$17,IF(AND(#REF!="Diferenciado",$H$4=#REF!),BDI!#REF!,IF(#REF!="ZERO",0))))),"")</f>
        <v>#REF!</v>
      </c>
      <c r="H2308" s="139" t="str">
        <f t="shared" si="118"/>
        <v/>
      </c>
      <c r="I2308" s="137" t="str">
        <f t="shared" si="119"/>
        <v/>
      </c>
      <c r="J2308" s="117"/>
    </row>
    <row r="2309" spans="1:10" hidden="1" x14ac:dyDescent="0.25">
      <c r="A2309" s="114" t="s">
        <v>5093</v>
      </c>
      <c r="B2309" s="115" t="s">
        <v>3883</v>
      </c>
      <c r="C2309" s="116" t="s">
        <v>16</v>
      </c>
      <c r="D2309" s="116">
        <v>0</v>
      </c>
      <c r="E2309" s="136" t="s">
        <v>416</v>
      </c>
      <c r="F2309" s="137" t="str">
        <f t="shared" si="117"/>
        <v/>
      </c>
      <c r="G2309" s="138" t="e">
        <f>IF(A2309&lt;&gt;"",IF(AND(#REF!="Padrão",$H$4=#REF!),BDI!$B$17,IF(AND(#REF!="Padrão",$H$4=#REF!),BDI!#REF!,IF(AND(#REF!="Diferenciado",$H$4=#REF!),BDI!$E$17,IF(AND(#REF!="Diferenciado",$H$4=#REF!),BDI!#REF!,IF(#REF!="ZERO",0))))),"")</f>
        <v>#REF!</v>
      </c>
      <c r="H2309" s="139" t="str">
        <f t="shared" si="118"/>
        <v/>
      </c>
      <c r="I2309" s="137" t="str">
        <f t="shared" si="119"/>
        <v/>
      </c>
      <c r="J2309" s="117"/>
    </row>
    <row r="2310" spans="1:10" hidden="1" x14ac:dyDescent="0.25">
      <c r="A2310" s="114" t="s">
        <v>5094</v>
      </c>
      <c r="B2310" s="115" t="s">
        <v>3884</v>
      </c>
      <c r="C2310" s="116" t="s">
        <v>16</v>
      </c>
      <c r="D2310" s="116">
        <v>0</v>
      </c>
      <c r="E2310" s="136" t="s">
        <v>416</v>
      </c>
      <c r="F2310" s="137" t="str">
        <f t="shared" si="117"/>
        <v/>
      </c>
      <c r="G2310" s="138" t="e">
        <f>IF(A2310&lt;&gt;"",IF(AND(#REF!="Padrão",$H$4=#REF!),BDI!$B$17,IF(AND(#REF!="Padrão",$H$4=#REF!),BDI!#REF!,IF(AND(#REF!="Diferenciado",$H$4=#REF!),BDI!$E$17,IF(AND(#REF!="Diferenciado",$H$4=#REF!),BDI!#REF!,IF(#REF!="ZERO",0))))),"")</f>
        <v>#REF!</v>
      </c>
      <c r="H2310" s="139" t="str">
        <f t="shared" si="118"/>
        <v/>
      </c>
      <c r="I2310" s="137" t="str">
        <f t="shared" si="119"/>
        <v/>
      </c>
      <c r="J2310" s="117"/>
    </row>
    <row r="2311" spans="1:10" hidden="1" x14ac:dyDescent="0.25">
      <c r="A2311" s="114" t="s">
        <v>5095</v>
      </c>
      <c r="B2311" s="115" t="s">
        <v>3885</v>
      </c>
      <c r="C2311" s="116" t="s">
        <v>16</v>
      </c>
      <c r="D2311" s="116">
        <v>0</v>
      </c>
      <c r="E2311" s="136" t="s">
        <v>416</v>
      </c>
      <c r="F2311" s="137" t="str">
        <f t="shared" si="117"/>
        <v/>
      </c>
      <c r="G2311" s="138" t="e">
        <f>IF(A2311&lt;&gt;"",IF(AND(#REF!="Padrão",$H$4=#REF!),BDI!$B$17,IF(AND(#REF!="Padrão",$H$4=#REF!),BDI!#REF!,IF(AND(#REF!="Diferenciado",$H$4=#REF!),BDI!$E$17,IF(AND(#REF!="Diferenciado",$H$4=#REF!),BDI!#REF!,IF(#REF!="ZERO",0))))),"")</f>
        <v>#REF!</v>
      </c>
      <c r="H2311" s="139" t="str">
        <f t="shared" si="118"/>
        <v/>
      </c>
      <c r="I2311" s="137" t="str">
        <f t="shared" si="119"/>
        <v/>
      </c>
      <c r="J2311" s="117"/>
    </row>
    <row r="2312" spans="1:10" hidden="1" x14ac:dyDescent="0.25">
      <c r="A2312" s="114" t="s">
        <v>5096</v>
      </c>
      <c r="B2312" s="115" t="s">
        <v>3886</v>
      </c>
      <c r="C2312" s="116" t="s">
        <v>16</v>
      </c>
      <c r="D2312" s="116">
        <v>0</v>
      </c>
      <c r="E2312" s="136" t="s">
        <v>416</v>
      </c>
      <c r="F2312" s="137" t="str">
        <f t="shared" si="117"/>
        <v/>
      </c>
      <c r="G2312" s="138" t="e">
        <f>IF(A2312&lt;&gt;"",IF(AND(#REF!="Padrão",$H$4=#REF!),BDI!$B$17,IF(AND(#REF!="Padrão",$H$4=#REF!),BDI!#REF!,IF(AND(#REF!="Diferenciado",$H$4=#REF!),BDI!$E$17,IF(AND(#REF!="Diferenciado",$H$4=#REF!),BDI!#REF!,IF(#REF!="ZERO",0))))),"")</f>
        <v>#REF!</v>
      </c>
      <c r="H2312" s="139" t="str">
        <f t="shared" si="118"/>
        <v/>
      </c>
      <c r="I2312" s="137" t="str">
        <f t="shared" si="119"/>
        <v/>
      </c>
      <c r="J2312" s="117"/>
    </row>
    <row r="2313" spans="1:10" hidden="1" x14ac:dyDescent="0.25">
      <c r="A2313" s="114" t="s">
        <v>5097</v>
      </c>
      <c r="B2313" s="115" t="s">
        <v>3887</v>
      </c>
      <c r="C2313" s="116" t="s">
        <v>16</v>
      </c>
      <c r="D2313" s="116">
        <v>0</v>
      </c>
      <c r="E2313" s="136" t="s">
        <v>416</v>
      </c>
      <c r="F2313" s="137" t="str">
        <f t="shared" si="117"/>
        <v/>
      </c>
      <c r="G2313" s="138" t="e">
        <f>IF(A2313&lt;&gt;"",IF(AND(#REF!="Padrão",$H$4=#REF!),BDI!$B$17,IF(AND(#REF!="Padrão",$H$4=#REF!),BDI!#REF!,IF(AND(#REF!="Diferenciado",$H$4=#REF!),BDI!$E$17,IF(AND(#REF!="Diferenciado",$H$4=#REF!),BDI!#REF!,IF(#REF!="ZERO",0))))),"")</f>
        <v>#REF!</v>
      </c>
      <c r="H2313" s="139" t="str">
        <f t="shared" si="118"/>
        <v/>
      </c>
      <c r="I2313" s="137" t="str">
        <f t="shared" si="119"/>
        <v/>
      </c>
      <c r="J2313" s="117"/>
    </row>
    <row r="2314" spans="1:10" hidden="1" x14ac:dyDescent="0.25">
      <c r="A2314" s="114" t="s">
        <v>5098</v>
      </c>
      <c r="B2314" s="115" t="s">
        <v>3888</v>
      </c>
      <c r="C2314" s="116" t="s">
        <v>16</v>
      </c>
      <c r="D2314" s="116">
        <v>0</v>
      </c>
      <c r="E2314" s="136" t="s">
        <v>416</v>
      </c>
      <c r="F2314" s="137" t="str">
        <f t="shared" si="117"/>
        <v/>
      </c>
      <c r="G2314" s="138" t="e">
        <f>IF(A2314&lt;&gt;"",IF(AND(#REF!="Padrão",$H$4=#REF!),BDI!$B$17,IF(AND(#REF!="Padrão",$H$4=#REF!),BDI!#REF!,IF(AND(#REF!="Diferenciado",$H$4=#REF!),BDI!$E$17,IF(AND(#REF!="Diferenciado",$H$4=#REF!),BDI!#REF!,IF(#REF!="ZERO",0))))),"")</f>
        <v>#REF!</v>
      </c>
      <c r="H2314" s="139" t="str">
        <f t="shared" si="118"/>
        <v/>
      </c>
      <c r="I2314" s="137" t="str">
        <f t="shared" si="119"/>
        <v/>
      </c>
      <c r="J2314" s="117"/>
    </row>
    <row r="2315" spans="1:10" hidden="1" x14ac:dyDescent="0.25">
      <c r="A2315" s="114" t="s">
        <v>5099</v>
      </c>
      <c r="B2315" s="115" t="s">
        <v>3889</v>
      </c>
      <c r="C2315" s="116" t="s">
        <v>4171</v>
      </c>
      <c r="D2315" s="116">
        <v>0</v>
      </c>
      <c r="E2315" s="136">
        <f ca="1">OFFSET(INDEX(Composições!A:J,MATCH(Orçamentária!A2315,Composições!A:A,0),8),2,0)</f>
        <v>52.259499999999996</v>
      </c>
      <c r="F2315" s="137">
        <f t="shared" ca="1" si="117"/>
        <v>0</v>
      </c>
      <c r="G2315" s="138" t="e">
        <f>IF(A2315&lt;&gt;"",IF(AND(#REF!="Padrão",$H$4=#REF!),BDI!$B$17,IF(AND(#REF!="Padrão",$H$4=#REF!),BDI!#REF!,IF(AND(#REF!="Diferenciado",$H$4=#REF!),BDI!$E$17,IF(AND(#REF!="Diferenciado",$H$4=#REF!),BDI!#REF!,IF(#REF!="ZERO",0))))),"")</f>
        <v>#REF!</v>
      </c>
      <c r="H2315" s="139" t="e">
        <f t="shared" ca="1" si="118"/>
        <v>#REF!</v>
      </c>
      <c r="I2315" s="137" t="e">
        <f t="shared" ca="1" si="119"/>
        <v>#REF!</v>
      </c>
      <c r="J2315" s="117"/>
    </row>
    <row r="2316" spans="1:10" hidden="1" x14ac:dyDescent="0.25">
      <c r="A2316" s="114" t="s">
        <v>5100</v>
      </c>
      <c r="B2316" s="115" t="s">
        <v>3890</v>
      </c>
      <c r="C2316" s="116" t="s">
        <v>16</v>
      </c>
      <c r="D2316" s="116">
        <v>0</v>
      </c>
      <c r="E2316" s="136" t="s">
        <v>416</v>
      </c>
      <c r="F2316" s="137" t="str">
        <f t="shared" si="117"/>
        <v/>
      </c>
      <c r="G2316" s="138" t="e">
        <f>IF(A2316&lt;&gt;"",IF(AND(#REF!="Padrão",$H$4=#REF!),BDI!$B$17,IF(AND(#REF!="Padrão",$H$4=#REF!),BDI!#REF!,IF(AND(#REF!="Diferenciado",$H$4=#REF!),BDI!$E$17,IF(AND(#REF!="Diferenciado",$H$4=#REF!),BDI!#REF!,IF(#REF!="ZERO",0))))),"")</f>
        <v>#REF!</v>
      </c>
      <c r="H2316" s="139" t="str">
        <f t="shared" si="118"/>
        <v/>
      </c>
      <c r="I2316" s="137" t="str">
        <f t="shared" si="119"/>
        <v/>
      </c>
      <c r="J2316" s="117"/>
    </row>
    <row r="2317" spans="1:10" hidden="1" x14ac:dyDescent="0.25">
      <c r="A2317" s="114" t="s">
        <v>5101</v>
      </c>
      <c r="B2317" s="115" t="s">
        <v>3891</v>
      </c>
      <c r="C2317" s="116" t="s">
        <v>16</v>
      </c>
      <c r="D2317" s="116">
        <v>0</v>
      </c>
      <c r="E2317" s="136" t="s">
        <v>416</v>
      </c>
      <c r="F2317" s="137" t="str">
        <f t="shared" si="117"/>
        <v/>
      </c>
      <c r="G2317" s="138" t="e">
        <f>IF(A2317&lt;&gt;"",IF(AND(#REF!="Padrão",$H$4=#REF!),BDI!$B$17,IF(AND(#REF!="Padrão",$H$4=#REF!),BDI!#REF!,IF(AND(#REF!="Diferenciado",$H$4=#REF!),BDI!$E$17,IF(AND(#REF!="Diferenciado",$H$4=#REF!),BDI!#REF!,IF(#REF!="ZERO",0))))),"")</f>
        <v>#REF!</v>
      </c>
      <c r="H2317" s="139" t="str">
        <f t="shared" si="118"/>
        <v/>
      </c>
      <c r="I2317" s="137" t="str">
        <f t="shared" si="119"/>
        <v/>
      </c>
      <c r="J2317" s="117"/>
    </row>
    <row r="2318" spans="1:10" hidden="1" x14ac:dyDescent="0.25">
      <c r="A2318" s="114" t="s">
        <v>5102</v>
      </c>
      <c r="B2318" s="115" t="s">
        <v>3892</v>
      </c>
      <c r="C2318" s="116" t="s">
        <v>16</v>
      </c>
      <c r="D2318" s="116">
        <v>0</v>
      </c>
      <c r="E2318" s="136" t="s">
        <v>416</v>
      </c>
      <c r="F2318" s="137" t="str">
        <f t="shared" si="117"/>
        <v/>
      </c>
      <c r="G2318" s="138" t="e">
        <f>IF(A2318&lt;&gt;"",IF(AND(#REF!="Padrão",$H$4=#REF!),BDI!$B$17,IF(AND(#REF!="Padrão",$H$4=#REF!),BDI!#REF!,IF(AND(#REF!="Diferenciado",$H$4=#REF!),BDI!$E$17,IF(AND(#REF!="Diferenciado",$H$4=#REF!),BDI!#REF!,IF(#REF!="ZERO",0))))),"")</f>
        <v>#REF!</v>
      </c>
      <c r="H2318" s="139" t="str">
        <f t="shared" si="118"/>
        <v/>
      </c>
      <c r="I2318" s="137" t="str">
        <f t="shared" si="119"/>
        <v/>
      </c>
      <c r="J2318" s="117"/>
    </row>
    <row r="2319" spans="1:10" hidden="1" x14ac:dyDescent="0.25">
      <c r="A2319" s="114" t="s">
        <v>5103</v>
      </c>
      <c r="B2319" s="115" t="s">
        <v>3893</v>
      </c>
      <c r="C2319" s="116" t="s">
        <v>16</v>
      </c>
      <c r="D2319" s="116">
        <v>0</v>
      </c>
      <c r="E2319" s="136" t="s">
        <v>416</v>
      </c>
      <c r="F2319" s="137" t="str">
        <f t="shared" si="117"/>
        <v/>
      </c>
      <c r="G2319" s="138" t="e">
        <f>IF(A2319&lt;&gt;"",IF(AND(#REF!="Padrão",$H$4=#REF!),BDI!$B$17,IF(AND(#REF!="Padrão",$H$4=#REF!),BDI!#REF!,IF(AND(#REF!="Diferenciado",$H$4=#REF!),BDI!$E$17,IF(AND(#REF!="Diferenciado",$H$4=#REF!),BDI!#REF!,IF(#REF!="ZERO",0))))),"")</f>
        <v>#REF!</v>
      </c>
      <c r="H2319" s="139" t="str">
        <f t="shared" si="118"/>
        <v/>
      </c>
      <c r="I2319" s="137" t="str">
        <f t="shared" si="119"/>
        <v/>
      </c>
      <c r="J2319" s="117"/>
    </row>
    <row r="2320" spans="1:10" hidden="1" x14ac:dyDescent="0.25">
      <c r="A2320" s="114" t="s">
        <v>5104</v>
      </c>
      <c r="B2320" s="115" t="s">
        <v>3894</v>
      </c>
      <c r="C2320" s="116" t="s">
        <v>16</v>
      </c>
      <c r="D2320" s="116">
        <v>0</v>
      </c>
      <c r="E2320" s="136" t="s">
        <v>416</v>
      </c>
      <c r="F2320" s="137" t="str">
        <f t="shared" si="117"/>
        <v/>
      </c>
      <c r="G2320" s="138" t="e">
        <f>IF(A2320&lt;&gt;"",IF(AND(#REF!="Padrão",$H$4=#REF!),BDI!$B$17,IF(AND(#REF!="Padrão",$H$4=#REF!),BDI!#REF!,IF(AND(#REF!="Diferenciado",$H$4=#REF!),BDI!$E$17,IF(AND(#REF!="Diferenciado",$H$4=#REF!),BDI!#REF!,IF(#REF!="ZERO",0))))),"")</f>
        <v>#REF!</v>
      </c>
      <c r="H2320" s="139" t="str">
        <f t="shared" si="118"/>
        <v/>
      </c>
      <c r="I2320" s="137" t="str">
        <f t="shared" si="119"/>
        <v/>
      </c>
      <c r="J2320" s="117"/>
    </row>
    <row r="2321" spans="1:10" hidden="1" x14ac:dyDescent="0.25">
      <c r="A2321" s="114" t="s">
        <v>5105</v>
      </c>
      <c r="B2321" s="115" t="s">
        <v>3895</v>
      </c>
      <c r="C2321" s="116" t="s">
        <v>16</v>
      </c>
      <c r="D2321" s="116">
        <v>0</v>
      </c>
      <c r="E2321" s="136" t="s">
        <v>416</v>
      </c>
      <c r="F2321" s="137" t="str">
        <f t="shared" si="117"/>
        <v/>
      </c>
      <c r="G2321" s="138" t="e">
        <f>IF(A2321&lt;&gt;"",IF(AND(#REF!="Padrão",$H$4=#REF!),BDI!$B$17,IF(AND(#REF!="Padrão",$H$4=#REF!),BDI!#REF!,IF(AND(#REF!="Diferenciado",$H$4=#REF!),BDI!$E$17,IF(AND(#REF!="Diferenciado",$H$4=#REF!),BDI!#REF!,IF(#REF!="ZERO",0))))),"")</f>
        <v>#REF!</v>
      </c>
      <c r="H2321" s="139" t="str">
        <f t="shared" si="118"/>
        <v/>
      </c>
      <c r="I2321" s="137" t="str">
        <f t="shared" si="119"/>
        <v/>
      </c>
      <c r="J2321" s="117"/>
    </row>
    <row r="2322" spans="1:10" hidden="1" x14ac:dyDescent="0.25">
      <c r="A2322" s="114" t="s">
        <v>5106</v>
      </c>
      <c r="B2322" s="115" t="s">
        <v>3896</v>
      </c>
      <c r="C2322" s="116" t="s">
        <v>16</v>
      </c>
      <c r="D2322" s="116">
        <v>0</v>
      </c>
      <c r="E2322" s="136" t="s">
        <v>416</v>
      </c>
      <c r="F2322" s="137" t="str">
        <f t="shared" si="117"/>
        <v/>
      </c>
      <c r="G2322" s="138" t="e">
        <f>IF(A2322&lt;&gt;"",IF(AND(#REF!="Padrão",$H$4=#REF!),BDI!$B$17,IF(AND(#REF!="Padrão",$H$4=#REF!),BDI!#REF!,IF(AND(#REF!="Diferenciado",$H$4=#REF!),BDI!$E$17,IF(AND(#REF!="Diferenciado",$H$4=#REF!),BDI!#REF!,IF(#REF!="ZERO",0))))),"")</f>
        <v>#REF!</v>
      </c>
      <c r="H2322" s="139" t="str">
        <f t="shared" si="118"/>
        <v/>
      </c>
      <c r="I2322" s="137" t="str">
        <f t="shared" si="119"/>
        <v/>
      </c>
      <c r="J2322" s="117"/>
    </row>
    <row r="2323" spans="1:10" hidden="1" x14ac:dyDescent="0.25">
      <c r="A2323" s="114" t="s">
        <v>5107</v>
      </c>
      <c r="B2323" s="115" t="s">
        <v>3897</v>
      </c>
      <c r="C2323" s="116" t="s">
        <v>16</v>
      </c>
      <c r="D2323" s="116">
        <v>0</v>
      </c>
      <c r="E2323" s="136" t="s">
        <v>416</v>
      </c>
      <c r="F2323" s="137" t="str">
        <f t="shared" si="117"/>
        <v/>
      </c>
      <c r="G2323" s="138" t="e">
        <f>IF(A2323&lt;&gt;"",IF(AND(#REF!="Padrão",$H$4=#REF!),BDI!$B$17,IF(AND(#REF!="Padrão",$H$4=#REF!),BDI!#REF!,IF(AND(#REF!="Diferenciado",$H$4=#REF!),BDI!$E$17,IF(AND(#REF!="Diferenciado",$H$4=#REF!),BDI!#REF!,IF(#REF!="ZERO",0))))),"")</f>
        <v>#REF!</v>
      </c>
      <c r="H2323" s="139" t="str">
        <f t="shared" si="118"/>
        <v/>
      </c>
      <c r="I2323" s="137" t="str">
        <f t="shared" si="119"/>
        <v/>
      </c>
      <c r="J2323" s="117"/>
    </row>
    <row r="2324" spans="1:10" hidden="1" x14ac:dyDescent="0.25">
      <c r="A2324" s="114" t="s">
        <v>5108</v>
      </c>
      <c r="B2324" s="115" t="s">
        <v>3898</v>
      </c>
      <c r="C2324" s="116" t="s">
        <v>16</v>
      </c>
      <c r="D2324" s="116">
        <v>0</v>
      </c>
      <c r="E2324" s="136" t="s">
        <v>416</v>
      </c>
      <c r="F2324" s="137" t="str">
        <f t="shared" si="117"/>
        <v/>
      </c>
      <c r="G2324" s="138" t="e">
        <f>IF(A2324&lt;&gt;"",IF(AND(#REF!="Padrão",$H$4=#REF!),BDI!$B$17,IF(AND(#REF!="Padrão",$H$4=#REF!),BDI!#REF!,IF(AND(#REF!="Diferenciado",$H$4=#REF!),BDI!$E$17,IF(AND(#REF!="Diferenciado",$H$4=#REF!),BDI!#REF!,IF(#REF!="ZERO",0))))),"")</f>
        <v>#REF!</v>
      </c>
      <c r="H2324" s="139" t="str">
        <f t="shared" si="118"/>
        <v/>
      </c>
      <c r="I2324" s="137" t="str">
        <f t="shared" si="119"/>
        <v/>
      </c>
      <c r="J2324" s="117"/>
    </row>
    <row r="2325" spans="1:10" hidden="1" x14ac:dyDescent="0.25">
      <c r="A2325" s="114" t="s">
        <v>5109</v>
      </c>
      <c r="B2325" s="115" t="s">
        <v>3899</v>
      </c>
      <c r="C2325" s="116" t="s">
        <v>69</v>
      </c>
      <c r="D2325" s="116">
        <v>0</v>
      </c>
      <c r="E2325" s="136" t="s">
        <v>416</v>
      </c>
      <c r="F2325" s="137" t="str">
        <f t="shared" si="117"/>
        <v/>
      </c>
      <c r="G2325" s="138" t="e">
        <f>IF(A2325&lt;&gt;"",IF(AND(#REF!="Padrão",$H$4=#REF!),BDI!$B$17,IF(AND(#REF!="Padrão",$H$4=#REF!),BDI!#REF!,IF(AND(#REF!="Diferenciado",$H$4=#REF!),BDI!$E$17,IF(AND(#REF!="Diferenciado",$H$4=#REF!),BDI!#REF!,IF(#REF!="ZERO",0))))),"")</f>
        <v>#REF!</v>
      </c>
      <c r="H2325" s="139" t="str">
        <f t="shared" si="118"/>
        <v/>
      </c>
      <c r="I2325" s="137" t="str">
        <f t="shared" si="119"/>
        <v/>
      </c>
      <c r="J2325" s="117"/>
    </row>
    <row r="2326" spans="1:10" hidden="1" x14ac:dyDescent="0.25">
      <c r="A2326" s="114" t="s">
        <v>5110</v>
      </c>
      <c r="B2326" s="115" t="s">
        <v>3900</v>
      </c>
      <c r="C2326" s="116" t="s">
        <v>16</v>
      </c>
      <c r="D2326" s="116">
        <v>0</v>
      </c>
      <c r="E2326" s="136" t="s">
        <v>416</v>
      </c>
      <c r="F2326" s="137" t="str">
        <f t="shared" si="117"/>
        <v/>
      </c>
      <c r="G2326" s="138" t="e">
        <f>IF(A2326&lt;&gt;"",IF(AND(#REF!="Padrão",$H$4=#REF!),BDI!$B$17,IF(AND(#REF!="Padrão",$H$4=#REF!),BDI!#REF!,IF(AND(#REF!="Diferenciado",$H$4=#REF!),BDI!$E$17,IF(AND(#REF!="Diferenciado",$H$4=#REF!),BDI!#REF!,IF(#REF!="ZERO",0))))),"")</f>
        <v>#REF!</v>
      </c>
      <c r="H2326" s="139" t="str">
        <f t="shared" si="118"/>
        <v/>
      </c>
      <c r="I2326" s="137" t="str">
        <f t="shared" si="119"/>
        <v/>
      </c>
      <c r="J2326" s="117"/>
    </row>
    <row r="2327" spans="1:10" hidden="1" x14ac:dyDescent="0.25">
      <c r="A2327" s="114" t="s">
        <v>5111</v>
      </c>
      <c r="B2327" s="115" t="s">
        <v>3901</v>
      </c>
      <c r="C2327" s="116" t="s">
        <v>16</v>
      </c>
      <c r="D2327" s="116">
        <v>0</v>
      </c>
      <c r="E2327" s="136" t="s">
        <v>416</v>
      </c>
      <c r="F2327" s="137" t="str">
        <f t="shared" si="117"/>
        <v/>
      </c>
      <c r="G2327" s="138" t="e">
        <f>IF(A2327&lt;&gt;"",IF(AND(#REF!="Padrão",$H$4=#REF!),BDI!$B$17,IF(AND(#REF!="Padrão",$H$4=#REF!),BDI!#REF!,IF(AND(#REF!="Diferenciado",$H$4=#REF!),BDI!$E$17,IF(AND(#REF!="Diferenciado",$H$4=#REF!),BDI!#REF!,IF(#REF!="ZERO",0))))),"")</f>
        <v>#REF!</v>
      </c>
      <c r="H2327" s="139" t="str">
        <f t="shared" si="118"/>
        <v/>
      </c>
      <c r="I2327" s="137" t="str">
        <f t="shared" si="119"/>
        <v/>
      </c>
      <c r="J2327" s="117"/>
    </row>
    <row r="2328" spans="1:10" hidden="1" x14ac:dyDescent="0.25">
      <c r="A2328" s="114" t="s">
        <v>5112</v>
      </c>
      <c r="B2328" s="115" t="s">
        <v>3902</v>
      </c>
      <c r="C2328" s="116" t="s">
        <v>16</v>
      </c>
      <c r="D2328" s="116">
        <v>0</v>
      </c>
      <c r="E2328" s="136" t="s">
        <v>416</v>
      </c>
      <c r="F2328" s="137" t="str">
        <f t="shared" si="117"/>
        <v/>
      </c>
      <c r="G2328" s="138" t="e">
        <f>IF(A2328&lt;&gt;"",IF(AND(#REF!="Padrão",$H$4=#REF!),BDI!$B$17,IF(AND(#REF!="Padrão",$H$4=#REF!),BDI!#REF!,IF(AND(#REF!="Diferenciado",$H$4=#REF!),BDI!$E$17,IF(AND(#REF!="Diferenciado",$H$4=#REF!),BDI!#REF!,IF(#REF!="ZERO",0))))),"")</f>
        <v>#REF!</v>
      </c>
      <c r="H2328" s="139" t="str">
        <f t="shared" si="118"/>
        <v/>
      </c>
      <c r="I2328" s="137" t="str">
        <f t="shared" si="119"/>
        <v/>
      </c>
      <c r="J2328" s="117"/>
    </row>
    <row r="2329" spans="1:10" hidden="1" x14ac:dyDescent="0.25">
      <c r="A2329" s="114" t="s">
        <v>5113</v>
      </c>
      <c r="B2329" s="115" t="s">
        <v>3903</v>
      </c>
      <c r="C2329" s="116" t="s">
        <v>16</v>
      </c>
      <c r="D2329" s="116">
        <v>0</v>
      </c>
      <c r="E2329" s="136" t="s">
        <v>416</v>
      </c>
      <c r="F2329" s="137" t="str">
        <f t="shared" si="117"/>
        <v/>
      </c>
      <c r="G2329" s="138" t="e">
        <f>IF(A2329&lt;&gt;"",IF(AND(#REF!="Padrão",$H$4=#REF!),BDI!$B$17,IF(AND(#REF!="Padrão",$H$4=#REF!),BDI!#REF!,IF(AND(#REF!="Diferenciado",$H$4=#REF!),BDI!$E$17,IF(AND(#REF!="Diferenciado",$H$4=#REF!),BDI!#REF!,IF(#REF!="ZERO",0))))),"")</f>
        <v>#REF!</v>
      </c>
      <c r="H2329" s="139" t="str">
        <f t="shared" si="118"/>
        <v/>
      </c>
      <c r="I2329" s="137" t="str">
        <f t="shared" si="119"/>
        <v/>
      </c>
      <c r="J2329" s="117"/>
    </row>
    <row r="2330" spans="1:10" hidden="1" x14ac:dyDescent="0.25">
      <c r="A2330" s="114" t="s">
        <v>5114</v>
      </c>
      <c r="B2330" s="115" t="s">
        <v>3904</v>
      </c>
      <c r="C2330" s="116" t="s">
        <v>16</v>
      </c>
      <c r="D2330" s="116">
        <v>0</v>
      </c>
      <c r="E2330" s="136" t="s">
        <v>416</v>
      </c>
      <c r="F2330" s="137" t="str">
        <f t="shared" si="117"/>
        <v/>
      </c>
      <c r="G2330" s="138" t="e">
        <f>IF(A2330&lt;&gt;"",IF(AND(#REF!="Padrão",$H$4=#REF!),BDI!$B$17,IF(AND(#REF!="Padrão",$H$4=#REF!),BDI!#REF!,IF(AND(#REF!="Diferenciado",$H$4=#REF!),BDI!$E$17,IF(AND(#REF!="Diferenciado",$H$4=#REF!),BDI!#REF!,IF(#REF!="ZERO",0))))),"")</f>
        <v>#REF!</v>
      </c>
      <c r="H2330" s="139" t="str">
        <f t="shared" si="118"/>
        <v/>
      </c>
      <c r="I2330" s="137" t="str">
        <f t="shared" si="119"/>
        <v/>
      </c>
      <c r="J2330" s="117"/>
    </row>
    <row r="2331" spans="1:10" hidden="1" x14ac:dyDescent="0.25">
      <c r="A2331" s="114" t="s">
        <v>5115</v>
      </c>
      <c r="B2331" s="115" t="s">
        <v>3905</v>
      </c>
      <c r="C2331" s="116" t="s">
        <v>16</v>
      </c>
      <c r="D2331" s="116">
        <v>0</v>
      </c>
      <c r="E2331" s="136" t="s">
        <v>416</v>
      </c>
      <c r="F2331" s="137" t="str">
        <f t="shared" si="117"/>
        <v/>
      </c>
      <c r="G2331" s="138" t="e">
        <f>IF(A2331&lt;&gt;"",IF(AND(#REF!="Padrão",$H$4=#REF!),BDI!$B$17,IF(AND(#REF!="Padrão",$H$4=#REF!),BDI!#REF!,IF(AND(#REF!="Diferenciado",$H$4=#REF!),BDI!$E$17,IF(AND(#REF!="Diferenciado",$H$4=#REF!),BDI!#REF!,IF(#REF!="ZERO",0))))),"")</f>
        <v>#REF!</v>
      </c>
      <c r="H2331" s="139" t="str">
        <f t="shared" si="118"/>
        <v/>
      </c>
      <c r="I2331" s="137" t="str">
        <f t="shared" si="119"/>
        <v/>
      </c>
      <c r="J2331" s="117"/>
    </row>
    <row r="2332" spans="1:10" hidden="1" x14ac:dyDescent="0.25">
      <c r="A2332" s="114" t="s">
        <v>5116</v>
      </c>
      <c r="B2332" s="115" t="s">
        <v>3906</v>
      </c>
      <c r="C2332" s="116" t="s">
        <v>16</v>
      </c>
      <c r="D2332" s="116">
        <v>0</v>
      </c>
      <c r="E2332" s="136" t="s">
        <v>416</v>
      </c>
      <c r="F2332" s="137" t="str">
        <f t="shared" si="117"/>
        <v/>
      </c>
      <c r="G2332" s="138" t="e">
        <f>IF(A2332&lt;&gt;"",IF(AND(#REF!="Padrão",$H$4=#REF!),BDI!$B$17,IF(AND(#REF!="Padrão",$H$4=#REF!),BDI!#REF!,IF(AND(#REF!="Diferenciado",$H$4=#REF!),BDI!$E$17,IF(AND(#REF!="Diferenciado",$H$4=#REF!),BDI!#REF!,IF(#REF!="ZERO",0))))),"")</f>
        <v>#REF!</v>
      </c>
      <c r="H2332" s="139" t="str">
        <f t="shared" si="118"/>
        <v/>
      </c>
      <c r="I2332" s="137" t="str">
        <f t="shared" si="119"/>
        <v/>
      </c>
      <c r="J2332" s="117"/>
    </row>
    <row r="2333" spans="1:10" hidden="1" x14ac:dyDescent="0.25">
      <c r="A2333" s="114" t="s">
        <v>5117</v>
      </c>
      <c r="B2333" s="115" t="s">
        <v>3907</v>
      </c>
      <c r="C2333" s="116" t="s">
        <v>16</v>
      </c>
      <c r="D2333" s="116">
        <v>0</v>
      </c>
      <c r="E2333" s="136">
        <f ca="1">OFFSET(INDEX(Composições!A:J,MATCH(Orçamentária!A2333,Composições!A:A,0),8),2,0)</f>
        <v>736.80100000000004</v>
      </c>
      <c r="F2333" s="137">
        <f t="shared" ca="1" si="117"/>
        <v>0</v>
      </c>
      <c r="G2333" s="138" t="e">
        <f>IF(A2333&lt;&gt;"",IF(AND(#REF!="Padrão",$H$4=#REF!),BDI!$B$17,IF(AND(#REF!="Padrão",$H$4=#REF!),BDI!#REF!,IF(AND(#REF!="Diferenciado",$H$4=#REF!),BDI!$E$17,IF(AND(#REF!="Diferenciado",$H$4=#REF!),BDI!#REF!,IF(#REF!="ZERO",0))))),"")</f>
        <v>#REF!</v>
      </c>
      <c r="H2333" s="139" t="e">
        <f t="shared" ca="1" si="118"/>
        <v>#REF!</v>
      </c>
      <c r="I2333" s="137" t="e">
        <f t="shared" ca="1" si="119"/>
        <v>#REF!</v>
      </c>
      <c r="J2333" s="117"/>
    </row>
    <row r="2334" spans="1:10" hidden="1" x14ac:dyDescent="0.25">
      <c r="A2334" s="114" t="s">
        <v>5118</v>
      </c>
      <c r="B2334" s="115" t="s">
        <v>3908</v>
      </c>
      <c r="C2334" s="116" t="s">
        <v>16</v>
      </c>
      <c r="D2334" s="116">
        <v>0</v>
      </c>
      <c r="E2334" s="136">
        <f ca="1">OFFSET(INDEX(Composições!A:J,MATCH(Orçamentária!A2334,Composições!A:A,0),8),2,0)</f>
        <v>601.29300000000001</v>
      </c>
      <c r="F2334" s="137">
        <f t="shared" ca="1" si="117"/>
        <v>0</v>
      </c>
      <c r="G2334" s="138" t="e">
        <f>IF(A2334&lt;&gt;"",IF(AND(#REF!="Padrão",$H$4=#REF!),BDI!$B$17,IF(AND(#REF!="Padrão",$H$4=#REF!),BDI!#REF!,IF(AND(#REF!="Diferenciado",$H$4=#REF!),BDI!$E$17,IF(AND(#REF!="Diferenciado",$H$4=#REF!),BDI!#REF!,IF(#REF!="ZERO",0))))),"")</f>
        <v>#REF!</v>
      </c>
      <c r="H2334" s="139" t="e">
        <f t="shared" ca="1" si="118"/>
        <v>#REF!</v>
      </c>
      <c r="I2334" s="137" t="e">
        <f t="shared" ca="1" si="119"/>
        <v>#REF!</v>
      </c>
      <c r="J2334" s="117"/>
    </row>
    <row r="2335" spans="1:10" hidden="1" x14ac:dyDescent="0.25">
      <c r="A2335" s="114" t="s">
        <v>5119</v>
      </c>
      <c r="B2335" s="115" t="s">
        <v>3909</v>
      </c>
      <c r="C2335" s="116" t="s">
        <v>16</v>
      </c>
      <c r="D2335" s="116">
        <v>0</v>
      </c>
      <c r="E2335" s="136">
        <f ca="1">OFFSET(INDEX(Composições!A:J,MATCH(Orçamentária!A2335,Composições!A:A,0),8),2,0)</f>
        <v>307.42</v>
      </c>
      <c r="F2335" s="137">
        <f t="shared" ca="1" si="117"/>
        <v>0</v>
      </c>
      <c r="G2335" s="138" t="e">
        <f>IF(A2335&lt;&gt;"",IF(AND(#REF!="Padrão",$H$4=#REF!),BDI!$B$17,IF(AND(#REF!="Padrão",$H$4=#REF!),BDI!#REF!,IF(AND(#REF!="Diferenciado",$H$4=#REF!),BDI!$E$17,IF(AND(#REF!="Diferenciado",$H$4=#REF!),BDI!#REF!,IF(#REF!="ZERO",0))))),"")</f>
        <v>#REF!</v>
      </c>
      <c r="H2335" s="139" t="e">
        <f t="shared" ca="1" si="118"/>
        <v>#REF!</v>
      </c>
      <c r="I2335" s="137" t="e">
        <f t="shared" ca="1" si="119"/>
        <v>#REF!</v>
      </c>
      <c r="J2335" s="117"/>
    </row>
    <row r="2336" spans="1:10" hidden="1" x14ac:dyDescent="0.25">
      <c r="A2336" s="114" t="s">
        <v>5120</v>
      </c>
      <c r="B2336" s="115" t="s">
        <v>3910</v>
      </c>
      <c r="C2336" s="116" t="s">
        <v>16</v>
      </c>
      <c r="D2336" s="116">
        <v>0</v>
      </c>
      <c r="E2336" s="136" t="s">
        <v>416</v>
      </c>
      <c r="F2336" s="137" t="str">
        <f t="shared" si="117"/>
        <v/>
      </c>
      <c r="G2336" s="138" t="e">
        <f>IF(A2336&lt;&gt;"",IF(AND(#REF!="Padrão",$H$4=#REF!),BDI!$B$17,IF(AND(#REF!="Padrão",$H$4=#REF!),BDI!#REF!,IF(AND(#REF!="Diferenciado",$H$4=#REF!),BDI!$E$17,IF(AND(#REF!="Diferenciado",$H$4=#REF!),BDI!#REF!,IF(#REF!="ZERO",0))))),"")</f>
        <v>#REF!</v>
      </c>
      <c r="H2336" s="139" t="str">
        <f t="shared" si="118"/>
        <v/>
      </c>
      <c r="I2336" s="137" t="str">
        <f t="shared" si="119"/>
        <v/>
      </c>
      <c r="J2336" s="117"/>
    </row>
    <row r="2337" spans="1:10" hidden="1" x14ac:dyDescent="0.25">
      <c r="A2337" s="114" t="s">
        <v>5121</v>
      </c>
      <c r="B2337" s="115" t="s">
        <v>3911</v>
      </c>
      <c r="C2337" s="116" t="s">
        <v>16</v>
      </c>
      <c r="D2337" s="116">
        <v>0</v>
      </c>
      <c r="E2337" s="136" t="s">
        <v>416</v>
      </c>
      <c r="F2337" s="137" t="str">
        <f t="shared" si="117"/>
        <v/>
      </c>
      <c r="G2337" s="138" t="e">
        <f>IF(A2337&lt;&gt;"",IF(AND(#REF!="Padrão",$H$4=#REF!),BDI!$B$17,IF(AND(#REF!="Padrão",$H$4=#REF!),BDI!#REF!,IF(AND(#REF!="Diferenciado",$H$4=#REF!),BDI!$E$17,IF(AND(#REF!="Diferenciado",$H$4=#REF!),BDI!#REF!,IF(#REF!="ZERO",0))))),"")</f>
        <v>#REF!</v>
      </c>
      <c r="H2337" s="139" t="str">
        <f t="shared" si="118"/>
        <v/>
      </c>
      <c r="I2337" s="137" t="str">
        <f t="shared" si="119"/>
        <v/>
      </c>
      <c r="J2337" s="117"/>
    </row>
    <row r="2338" spans="1:10" hidden="1" x14ac:dyDescent="0.25">
      <c r="A2338" s="114" t="s">
        <v>5122</v>
      </c>
      <c r="B2338" s="115" t="s">
        <v>3912</v>
      </c>
      <c r="C2338" s="116" t="s">
        <v>16</v>
      </c>
      <c r="D2338" s="116">
        <v>0</v>
      </c>
      <c r="E2338" s="136" t="s">
        <v>416</v>
      </c>
      <c r="F2338" s="137" t="str">
        <f t="shared" si="117"/>
        <v/>
      </c>
      <c r="G2338" s="138" t="e">
        <f>IF(A2338&lt;&gt;"",IF(AND(#REF!="Padrão",$H$4=#REF!),BDI!$B$17,IF(AND(#REF!="Padrão",$H$4=#REF!),BDI!#REF!,IF(AND(#REF!="Diferenciado",$H$4=#REF!),BDI!$E$17,IF(AND(#REF!="Diferenciado",$H$4=#REF!),BDI!#REF!,IF(#REF!="ZERO",0))))),"")</f>
        <v>#REF!</v>
      </c>
      <c r="H2338" s="139" t="str">
        <f t="shared" si="118"/>
        <v/>
      </c>
      <c r="I2338" s="137" t="str">
        <f t="shared" si="119"/>
        <v/>
      </c>
      <c r="J2338" s="117"/>
    </row>
    <row r="2339" spans="1:10" hidden="1" x14ac:dyDescent="0.25">
      <c r="A2339" s="114" t="s">
        <v>5123</v>
      </c>
      <c r="B2339" s="115" t="s">
        <v>3913</v>
      </c>
      <c r="C2339" s="116" t="s">
        <v>16</v>
      </c>
      <c r="D2339" s="116">
        <v>0</v>
      </c>
      <c r="E2339" s="136" t="s">
        <v>416</v>
      </c>
      <c r="F2339" s="137" t="str">
        <f t="shared" si="117"/>
        <v/>
      </c>
      <c r="G2339" s="138" t="e">
        <f>IF(A2339&lt;&gt;"",IF(AND(#REF!="Padrão",$H$4=#REF!),BDI!$B$17,IF(AND(#REF!="Padrão",$H$4=#REF!),BDI!#REF!,IF(AND(#REF!="Diferenciado",$H$4=#REF!),BDI!$E$17,IF(AND(#REF!="Diferenciado",$H$4=#REF!),BDI!#REF!,IF(#REF!="ZERO",0))))),"")</f>
        <v>#REF!</v>
      </c>
      <c r="H2339" s="139" t="str">
        <f t="shared" si="118"/>
        <v/>
      </c>
      <c r="I2339" s="137" t="str">
        <f t="shared" si="119"/>
        <v/>
      </c>
      <c r="J2339" s="117"/>
    </row>
    <row r="2340" spans="1:10" hidden="1" x14ac:dyDescent="0.25">
      <c r="A2340" s="114" t="s">
        <v>5124</v>
      </c>
      <c r="B2340" s="115" t="s">
        <v>3914</v>
      </c>
      <c r="C2340" s="116" t="s">
        <v>16</v>
      </c>
      <c r="D2340" s="116">
        <v>0</v>
      </c>
      <c r="E2340" s="136" t="s">
        <v>416</v>
      </c>
      <c r="F2340" s="137" t="str">
        <f t="shared" si="117"/>
        <v/>
      </c>
      <c r="G2340" s="138" t="e">
        <f>IF(A2340&lt;&gt;"",IF(AND(#REF!="Padrão",$H$4=#REF!),BDI!$B$17,IF(AND(#REF!="Padrão",$H$4=#REF!),BDI!#REF!,IF(AND(#REF!="Diferenciado",$H$4=#REF!),BDI!$E$17,IF(AND(#REF!="Diferenciado",$H$4=#REF!),BDI!#REF!,IF(#REF!="ZERO",0))))),"")</f>
        <v>#REF!</v>
      </c>
      <c r="H2340" s="139" t="str">
        <f t="shared" si="118"/>
        <v/>
      </c>
      <c r="I2340" s="137" t="str">
        <f t="shared" si="119"/>
        <v/>
      </c>
      <c r="J2340" s="117"/>
    </row>
    <row r="2341" spans="1:10" hidden="1" x14ac:dyDescent="0.25">
      <c r="A2341" s="114" t="s">
        <v>5125</v>
      </c>
      <c r="B2341" s="115" t="s">
        <v>3915</v>
      </c>
      <c r="C2341" s="116" t="s">
        <v>16</v>
      </c>
      <c r="D2341" s="116">
        <v>0</v>
      </c>
      <c r="E2341" s="136" t="s">
        <v>416</v>
      </c>
      <c r="F2341" s="137" t="str">
        <f t="shared" si="117"/>
        <v/>
      </c>
      <c r="G2341" s="138" t="e">
        <f>IF(A2341&lt;&gt;"",IF(AND(#REF!="Padrão",$H$4=#REF!),BDI!$B$17,IF(AND(#REF!="Padrão",$H$4=#REF!),BDI!#REF!,IF(AND(#REF!="Diferenciado",$H$4=#REF!),BDI!$E$17,IF(AND(#REF!="Diferenciado",$H$4=#REF!),BDI!#REF!,IF(#REF!="ZERO",0))))),"")</f>
        <v>#REF!</v>
      </c>
      <c r="H2341" s="139" t="str">
        <f t="shared" si="118"/>
        <v/>
      </c>
      <c r="I2341" s="137" t="str">
        <f t="shared" si="119"/>
        <v/>
      </c>
      <c r="J2341" s="117"/>
    </row>
    <row r="2342" spans="1:10" hidden="1" x14ac:dyDescent="0.25">
      <c r="A2342" s="114" t="s">
        <v>5126</v>
      </c>
      <c r="B2342" s="115" t="s">
        <v>3916</v>
      </c>
      <c r="C2342" s="116" t="s">
        <v>16</v>
      </c>
      <c r="D2342" s="116">
        <v>0</v>
      </c>
      <c r="E2342" s="136" t="s">
        <v>416</v>
      </c>
      <c r="F2342" s="137" t="str">
        <f t="shared" si="117"/>
        <v/>
      </c>
      <c r="G2342" s="138" t="e">
        <f>IF(A2342&lt;&gt;"",IF(AND(#REF!="Padrão",$H$4=#REF!),BDI!$B$17,IF(AND(#REF!="Padrão",$H$4=#REF!),BDI!#REF!,IF(AND(#REF!="Diferenciado",$H$4=#REF!),BDI!$E$17,IF(AND(#REF!="Diferenciado",$H$4=#REF!),BDI!#REF!,IF(#REF!="ZERO",0))))),"")</f>
        <v>#REF!</v>
      </c>
      <c r="H2342" s="139" t="str">
        <f t="shared" si="118"/>
        <v/>
      </c>
      <c r="I2342" s="137" t="str">
        <f t="shared" si="119"/>
        <v/>
      </c>
      <c r="J2342" s="117"/>
    </row>
    <row r="2343" spans="1:10" hidden="1" x14ac:dyDescent="0.25">
      <c r="A2343" s="114" t="s">
        <v>5127</v>
      </c>
      <c r="B2343" s="115" t="s">
        <v>3917</v>
      </c>
      <c r="C2343" s="116" t="s">
        <v>16</v>
      </c>
      <c r="D2343" s="116">
        <v>0</v>
      </c>
      <c r="E2343" s="136" t="s">
        <v>416</v>
      </c>
      <c r="F2343" s="137" t="str">
        <f t="shared" si="117"/>
        <v/>
      </c>
      <c r="G2343" s="138" t="e">
        <f>IF(A2343&lt;&gt;"",IF(AND(#REF!="Padrão",$H$4=#REF!),BDI!$B$17,IF(AND(#REF!="Padrão",$H$4=#REF!),BDI!#REF!,IF(AND(#REF!="Diferenciado",$H$4=#REF!),BDI!$E$17,IF(AND(#REF!="Diferenciado",$H$4=#REF!),BDI!#REF!,IF(#REF!="ZERO",0))))),"")</f>
        <v>#REF!</v>
      </c>
      <c r="H2343" s="139" t="str">
        <f t="shared" si="118"/>
        <v/>
      </c>
      <c r="I2343" s="137" t="str">
        <f t="shared" si="119"/>
        <v/>
      </c>
      <c r="J2343" s="117"/>
    </row>
    <row r="2344" spans="1:10" hidden="1" x14ac:dyDescent="0.25">
      <c r="A2344" s="114" t="s">
        <v>5128</v>
      </c>
      <c r="B2344" s="115" t="s">
        <v>3918</v>
      </c>
      <c r="C2344" s="116" t="s">
        <v>16</v>
      </c>
      <c r="D2344" s="116">
        <v>0</v>
      </c>
      <c r="E2344" s="136" t="s">
        <v>416</v>
      </c>
      <c r="F2344" s="137" t="str">
        <f t="shared" si="117"/>
        <v/>
      </c>
      <c r="G2344" s="138" t="e">
        <f>IF(A2344&lt;&gt;"",IF(AND(#REF!="Padrão",$H$4=#REF!),BDI!$B$17,IF(AND(#REF!="Padrão",$H$4=#REF!),BDI!#REF!,IF(AND(#REF!="Diferenciado",$H$4=#REF!),BDI!$E$17,IF(AND(#REF!="Diferenciado",$H$4=#REF!),BDI!#REF!,IF(#REF!="ZERO",0))))),"")</f>
        <v>#REF!</v>
      </c>
      <c r="H2344" s="139" t="str">
        <f t="shared" si="118"/>
        <v/>
      </c>
      <c r="I2344" s="137" t="str">
        <f t="shared" si="119"/>
        <v/>
      </c>
      <c r="J2344" s="117"/>
    </row>
    <row r="2345" spans="1:10" hidden="1" x14ac:dyDescent="0.25">
      <c r="A2345" s="114" t="s">
        <v>5129</v>
      </c>
      <c r="B2345" s="115" t="s">
        <v>3919</v>
      </c>
      <c r="C2345" s="116" t="s">
        <v>16</v>
      </c>
      <c r="D2345" s="116">
        <v>0</v>
      </c>
      <c r="E2345" s="136" t="s">
        <v>416</v>
      </c>
      <c r="F2345" s="137" t="str">
        <f t="shared" si="117"/>
        <v/>
      </c>
      <c r="G2345" s="138" t="e">
        <f>IF(A2345&lt;&gt;"",IF(AND(#REF!="Padrão",$H$4=#REF!),BDI!$B$17,IF(AND(#REF!="Padrão",$H$4=#REF!),BDI!#REF!,IF(AND(#REF!="Diferenciado",$H$4=#REF!),BDI!$E$17,IF(AND(#REF!="Diferenciado",$H$4=#REF!),BDI!#REF!,IF(#REF!="ZERO",0))))),"")</f>
        <v>#REF!</v>
      </c>
      <c r="H2345" s="139" t="str">
        <f t="shared" si="118"/>
        <v/>
      </c>
      <c r="I2345" s="137" t="str">
        <f t="shared" si="119"/>
        <v/>
      </c>
      <c r="J2345" s="117"/>
    </row>
    <row r="2346" spans="1:10" hidden="1" x14ac:dyDescent="0.25">
      <c r="A2346" s="114" t="s">
        <v>5130</v>
      </c>
      <c r="B2346" s="115" t="s">
        <v>3920</v>
      </c>
      <c r="C2346" s="116" t="s">
        <v>16</v>
      </c>
      <c r="D2346" s="116">
        <v>0</v>
      </c>
      <c r="E2346" s="136" t="s">
        <v>416</v>
      </c>
      <c r="F2346" s="137" t="str">
        <f t="shared" si="117"/>
        <v/>
      </c>
      <c r="G2346" s="138" t="e">
        <f>IF(A2346&lt;&gt;"",IF(AND(#REF!="Padrão",$H$4=#REF!),BDI!$B$17,IF(AND(#REF!="Padrão",$H$4=#REF!),BDI!#REF!,IF(AND(#REF!="Diferenciado",$H$4=#REF!),BDI!$E$17,IF(AND(#REF!="Diferenciado",$H$4=#REF!),BDI!#REF!,IF(#REF!="ZERO",0))))),"")</f>
        <v>#REF!</v>
      </c>
      <c r="H2346" s="139" t="str">
        <f t="shared" si="118"/>
        <v/>
      </c>
      <c r="I2346" s="137" t="str">
        <f t="shared" si="119"/>
        <v/>
      </c>
      <c r="J2346" s="117"/>
    </row>
    <row r="2347" spans="1:10" hidden="1" x14ac:dyDescent="0.25">
      <c r="A2347" s="114" t="s">
        <v>5131</v>
      </c>
      <c r="B2347" s="115" t="s">
        <v>3921</v>
      </c>
      <c r="C2347" s="116" t="s">
        <v>16</v>
      </c>
      <c r="D2347" s="116">
        <v>0</v>
      </c>
      <c r="E2347" s="136" t="s">
        <v>416</v>
      </c>
      <c r="F2347" s="137" t="str">
        <f t="shared" si="117"/>
        <v/>
      </c>
      <c r="G2347" s="138" t="e">
        <f>IF(A2347&lt;&gt;"",IF(AND(#REF!="Padrão",$H$4=#REF!),BDI!$B$17,IF(AND(#REF!="Padrão",$H$4=#REF!),BDI!#REF!,IF(AND(#REF!="Diferenciado",$H$4=#REF!),BDI!$E$17,IF(AND(#REF!="Diferenciado",$H$4=#REF!),BDI!#REF!,IF(#REF!="ZERO",0))))),"")</f>
        <v>#REF!</v>
      </c>
      <c r="H2347" s="139" t="str">
        <f t="shared" si="118"/>
        <v/>
      </c>
      <c r="I2347" s="137" t="str">
        <f t="shared" si="119"/>
        <v/>
      </c>
      <c r="J2347" s="117"/>
    </row>
    <row r="2348" spans="1:10" hidden="1" x14ac:dyDescent="0.25">
      <c r="A2348" s="114" t="s">
        <v>5132</v>
      </c>
      <c r="B2348" s="115" t="s">
        <v>3922</v>
      </c>
      <c r="C2348" s="116" t="s">
        <v>16</v>
      </c>
      <c r="D2348" s="116">
        <v>0</v>
      </c>
      <c r="E2348" s="136" t="s">
        <v>416</v>
      </c>
      <c r="F2348" s="137" t="str">
        <f t="shared" si="117"/>
        <v/>
      </c>
      <c r="G2348" s="138" t="e">
        <f>IF(A2348&lt;&gt;"",IF(AND(#REF!="Padrão",$H$4=#REF!),BDI!$B$17,IF(AND(#REF!="Padrão",$H$4=#REF!),BDI!#REF!,IF(AND(#REF!="Diferenciado",$H$4=#REF!),BDI!$E$17,IF(AND(#REF!="Diferenciado",$H$4=#REF!),BDI!#REF!,IF(#REF!="ZERO",0))))),"")</f>
        <v>#REF!</v>
      </c>
      <c r="H2348" s="139" t="str">
        <f t="shared" si="118"/>
        <v/>
      </c>
      <c r="I2348" s="137" t="str">
        <f t="shared" si="119"/>
        <v/>
      </c>
      <c r="J2348" s="117"/>
    </row>
    <row r="2349" spans="1:10" hidden="1" x14ac:dyDescent="0.25">
      <c r="A2349" s="114" t="s">
        <v>5133</v>
      </c>
      <c r="B2349" s="115" t="s">
        <v>3923</v>
      </c>
      <c r="C2349" s="116" t="s">
        <v>16</v>
      </c>
      <c r="D2349" s="116">
        <v>0</v>
      </c>
      <c r="E2349" s="136" t="s">
        <v>416</v>
      </c>
      <c r="F2349" s="137" t="str">
        <f t="shared" ref="F2349:F2412" si="120">IF(ISNUMBER(E2349),D2349*E2349,"")</f>
        <v/>
      </c>
      <c r="G2349" s="138" t="e">
        <f>IF(A2349&lt;&gt;"",IF(AND(#REF!="Padrão",$H$4=#REF!),BDI!$B$17,IF(AND(#REF!="Padrão",$H$4=#REF!),BDI!#REF!,IF(AND(#REF!="Diferenciado",$H$4=#REF!),BDI!$E$17,IF(AND(#REF!="Diferenciado",$H$4=#REF!),BDI!#REF!,IF(#REF!="ZERO",0))))),"")</f>
        <v>#REF!</v>
      </c>
      <c r="H2349" s="139" t="str">
        <f t="shared" ref="H2349:H2412" si="121">IF(ISNUMBER(E2349),ROUND(E2349*(1+G2349),2),"")</f>
        <v/>
      </c>
      <c r="I2349" s="137" t="str">
        <f t="shared" ref="I2349:I2412" si="122">IF(ISNUMBER(E2349),ROUND(H2349*D2349,2),"")</f>
        <v/>
      </c>
      <c r="J2349" s="117"/>
    </row>
    <row r="2350" spans="1:10" hidden="1" x14ac:dyDescent="0.25">
      <c r="A2350" s="114" t="s">
        <v>5134</v>
      </c>
      <c r="B2350" s="115" t="s">
        <v>3924</v>
      </c>
      <c r="C2350" s="116" t="s">
        <v>16</v>
      </c>
      <c r="D2350" s="116">
        <v>0</v>
      </c>
      <c r="E2350" s="136" t="s">
        <v>416</v>
      </c>
      <c r="F2350" s="137" t="str">
        <f t="shared" si="120"/>
        <v/>
      </c>
      <c r="G2350" s="138" t="e">
        <f>IF(A2350&lt;&gt;"",IF(AND(#REF!="Padrão",$H$4=#REF!),BDI!$B$17,IF(AND(#REF!="Padrão",$H$4=#REF!),BDI!#REF!,IF(AND(#REF!="Diferenciado",$H$4=#REF!),BDI!$E$17,IF(AND(#REF!="Diferenciado",$H$4=#REF!),BDI!#REF!,IF(#REF!="ZERO",0))))),"")</f>
        <v>#REF!</v>
      </c>
      <c r="H2350" s="139" t="str">
        <f t="shared" si="121"/>
        <v/>
      </c>
      <c r="I2350" s="137" t="str">
        <f t="shared" si="122"/>
        <v/>
      </c>
      <c r="J2350" s="117"/>
    </row>
    <row r="2351" spans="1:10" hidden="1" x14ac:dyDescent="0.25">
      <c r="A2351" s="114" t="s">
        <v>5135</v>
      </c>
      <c r="B2351" s="115" t="s">
        <v>3925</v>
      </c>
      <c r="C2351" s="116" t="s">
        <v>16</v>
      </c>
      <c r="D2351" s="116">
        <v>0</v>
      </c>
      <c r="E2351" s="136" t="s">
        <v>416</v>
      </c>
      <c r="F2351" s="137" t="str">
        <f t="shared" si="120"/>
        <v/>
      </c>
      <c r="G2351" s="138" t="e">
        <f>IF(A2351&lt;&gt;"",IF(AND(#REF!="Padrão",$H$4=#REF!),BDI!$B$17,IF(AND(#REF!="Padrão",$H$4=#REF!),BDI!#REF!,IF(AND(#REF!="Diferenciado",$H$4=#REF!),BDI!$E$17,IF(AND(#REF!="Diferenciado",$H$4=#REF!),BDI!#REF!,IF(#REF!="ZERO",0))))),"")</f>
        <v>#REF!</v>
      </c>
      <c r="H2351" s="139" t="str">
        <f t="shared" si="121"/>
        <v/>
      </c>
      <c r="I2351" s="137" t="str">
        <f t="shared" si="122"/>
        <v/>
      </c>
      <c r="J2351" s="117"/>
    </row>
    <row r="2352" spans="1:10" hidden="1" x14ac:dyDescent="0.25">
      <c r="A2352" s="114" t="s">
        <v>5136</v>
      </c>
      <c r="B2352" s="115" t="s">
        <v>3926</v>
      </c>
      <c r="C2352" s="116" t="s">
        <v>16</v>
      </c>
      <c r="D2352" s="116">
        <v>0</v>
      </c>
      <c r="E2352" s="136" t="s">
        <v>416</v>
      </c>
      <c r="F2352" s="137" t="str">
        <f t="shared" si="120"/>
        <v/>
      </c>
      <c r="G2352" s="138" t="e">
        <f>IF(A2352&lt;&gt;"",IF(AND(#REF!="Padrão",$H$4=#REF!),BDI!$B$17,IF(AND(#REF!="Padrão",$H$4=#REF!),BDI!#REF!,IF(AND(#REF!="Diferenciado",$H$4=#REF!),BDI!$E$17,IF(AND(#REF!="Diferenciado",$H$4=#REF!),BDI!#REF!,IF(#REF!="ZERO",0))))),"")</f>
        <v>#REF!</v>
      </c>
      <c r="H2352" s="139" t="str">
        <f t="shared" si="121"/>
        <v/>
      </c>
      <c r="I2352" s="137" t="str">
        <f t="shared" si="122"/>
        <v/>
      </c>
      <c r="J2352" s="117"/>
    </row>
    <row r="2353" spans="1:10" hidden="1" x14ac:dyDescent="0.25">
      <c r="A2353" s="114" t="s">
        <v>5137</v>
      </c>
      <c r="B2353" s="115" t="s">
        <v>3927</v>
      </c>
      <c r="C2353" s="116" t="s">
        <v>16</v>
      </c>
      <c r="D2353" s="116">
        <v>0</v>
      </c>
      <c r="E2353" s="136" t="s">
        <v>416</v>
      </c>
      <c r="F2353" s="137" t="str">
        <f t="shared" si="120"/>
        <v/>
      </c>
      <c r="G2353" s="138" t="e">
        <f>IF(A2353&lt;&gt;"",IF(AND(#REF!="Padrão",$H$4=#REF!),BDI!$B$17,IF(AND(#REF!="Padrão",$H$4=#REF!),BDI!#REF!,IF(AND(#REF!="Diferenciado",$H$4=#REF!),BDI!$E$17,IF(AND(#REF!="Diferenciado",$H$4=#REF!),BDI!#REF!,IF(#REF!="ZERO",0))))),"")</f>
        <v>#REF!</v>
      </c>
      <c r="H2353" s="139" t="str">
        <f t="shared" si="121"/>
        <v/>
      </c>
      <c r="I2353" s="137" t="str">
        <f t="shared" si="122"/>
        <v/>
      </c>
      <c r="J2353" s="117"/>
    </row>
    <row r="2354" spans="1:10" hidden="1" x14ac:dyDescent="0.25">
      <c r="A2354" s="114" t="s">
        <v>5138</v>
      </c>
      <c r="B2354" s="115" t="s">
        <v>3928</v>
      </c>
      <c r="C2354" s="116" t="s">
        <v>16</v>
      </c>
      <c r="D2354" s="116">
        <v>0</v>
      </c>
      <c r="E2354" s="136" t="s">
        <v>416</v>
      </c>
      <c r="F2354" s="137" t="str">
        <f t="shared" si="120"/>
        <v/>
      </c>
      <c r="G2354" s="138" t="e">
        <f>IF(A2354&lt;&gt;"",IF(AND(#REF!="Padrão",$H$4=#REF!),BDI!$B$17,IF(AND(#REF!="Padrão",$H$4=#REF!),BDI!#REF!,IF(AND(#REF!="Diferenciado",$H$4=#REF!),BDI!$E$17,IF(AND(#REF!="Diferenciado",$H$4=#REF!),BDI!#REF!,IF(#REF!="ZERO",0))))),"")</f>
        <v>#REF!</v>
      </c>
      <c r="H2354" s="139" t="str">
        <f t="shared" si="121"/>
        <v/>
      </c>
      <c r="I2354" s="137" t="str">
        <f t="shared" si="122"/>
        <v/>
      </c>
      <c r="J2354" s="117"/>
    </row>
    <row r="2355" spans="1:10" hidden="1" x14ac:dyDescent="0.25">
      <c r="A2355" s="114" t="s">
        <v>5139</v>
      </c>
      <c r="B2355" s="115" t="s">
        <v>3929</v>
      </c>
      <c r="C2355" s="116" t="s">
        <v>16</v>
      </c>
      <c r="D2355" s="116">
        <v>0</v>
      </c>
      <c r="E2355" s="136" t="s">
        <v>416</v>
      </c>
      <c r="F2355" s="137" t="str">
        <f t="shared" si="120"/>
        <v/>
      </c>
      <c r="G2355" s="138" t="e">
        <f>IF(A2355&lt;&gt;"",IF(AND(#REF!="Padrão",$H$4=#REF!),BDI!$B$17,IF(AND(#REF!="Padrão",$H$4=#REF!),BDI!#REF!,IF(AND(#REF!="Diferenciado",$H$4=#REF!),BDI!$E$17,IF(AND(#REF!="Diferenciado",$H$4=#REF!),BDI!#REF!,IF(#REF!="ZERO",0))))),"")</f>
        <v>#REF!</v>
      </c>
      <c r="H2355" s="139" t="str">
        <f t="shared" si="121"/>
        <v/>
      </c>
      <c r="I2355" s="137" t="str">
        <f t="shared" si="122"/>
        <v/>
      </c>
      <c r="J2355" s="117"/>
    </row>
    <row r="2356" spans="1:10" hidden="1" x14ac:dyDescent="0.25">
      <c r="A2356" s="114" t="s">
        <v>5140</v>
      </c>
      <c r="B2356" s="115" t="s">
        <v>3930</v>
      </c>
      <c r="C2356" s="116" t="s">
        <v>16</v>
      </c>
      <c r="D2356" s="116">
        <v>0</v>
      </c>
      <c r="E2356" s="136" t="s">
        <v>416</v>
      </c>
      <c r="F2356" s="137" t="str">
        <f t="shared" si="120"/>
        <v/>
      </c>
      <c r="G2356" s="138" t="e">
        <f>IF(A2356&lt;&gt;"",IF(AND(#REF!="Padrão",$H$4=#REF!),BDI!$B$17,IF(AND(#REF!="Padrão",$H$4=#REF!),BDI!#REF!,IF(AND(#REF!="Diferenciado",$H$4=#REF!),BDI!$E$17,IF(AND(#REF!="Diferenciado",$H$4=#REF!),BDI!#REF!,IF(#REF!="ZERO",0))))),"")</f>
        <v>#REF!</v>
      </c>
      <c r="H2356" s="139" t="str">
        <f t="shared" si="121"/>
        <v/>
      </c>
      <c r="I2356" s="137" t="str">
        <f t="shared" si="122"/>
        <v/>
      </c>
      <c r="J2356" s="117"/>
    </row>
    <row r="2357" spans="1:10" hidden="1" x14ac:dyDescent="0.25">
      <c r="A2357" s="114" t="s">
        <v>5141</v>
      </c>
      <c r="B2357" s="115" t="s">
        <v>3931</v>
      </c>
      <c r="C2357" s="116" t="s">
        <v>16</v>
      </c>
      <c r="D2357" s="116">
        <v>0</v>
      </c>
      <c r="E2357" s="136" t="s">
        <v>416</v>
      </c>
      <c r="F2357" s="137" t="str">
        <f t="shared" si="120"/>
        <v/>
      </c>
      <c r="G2357" s="138" t="e">
        <f>IF(A2357&lt;&gt;"",IF(AND(#REF!="Padrão",$H$4=#REF!),BDI!$B$17,IF(AND(#REF!="Padrão",$H$4=#REF!),BDI!#REF!,IF(AND(#REF!="Diferenciado",$H$4=#REF!),BDI!$E$17,IF(AND(#REF!="Diferenciado",$H$4=#REF!),BDI!#REF!,IF(#REF!="ZERO",0))))),"")</f>
        <v>#REF!</v>
      </c>
      <c r="H2357" s="139" t="str">
        <f t="shared" si="121"/>
        <v/>
      </c>
      <c r="I2357" s="137" t="str">
        <f t="shared" si="122"/>
        <v/>
      </c>
      <c r="J2357" s="117"/>
    </row>
    <row r="2358" spans="1:10" hidden="1" x14ac:dyDescent="0.25">
      <c r="A2358" s="114" t="s">
        <v>5142</v>
      </c>
      <c r="B2358" s="115" t="s">
        <v>3932</v>
      </c>
      <c r="C2358" s="116" t="s">
        <v>16</v>
      </c>
      <c r="D2358" s="116">
        <v>0</v>
      </c>
      <c r="E2358" s="136" t="s">
        <v>416</v>
      </c>
      <c r="F2358" s="137" t="str">
        <f t="shared" si="120"/>
        <v/>
      </c>
      <c r="G2358" s="138" t="e">
        <f>IF(A2358&lt;&gt;"",IF(AND(#REF!="Padrão",$H$4=#REF!),BDI!$B$17,IF(AND(#REF!="Padrão",$H$4=#REF!),BDI!#REF!,IF(AND(#REF!="Diferenciado",$H$4=#REF!),BDI!$E$17,IF(AND(#REF!="Diferenciado",$H$4=#REF!),BDI!#REF!,IF(#REF!="ZERO",0))))),"")</f>
        <v>#REF!</v>
      </c>
      <c r="H2358" s="139" t="str">
        <f t="shared" si="121"/>
        <v/>
      </c>
      <c r="I2358" s="137" t="str">
        <f t="shared" si="122"/>
        <v/>
      </c>
      <c r="J2358" s="117"/>
    </row>
    <row r="2359" spans="1:10" hidden="1" x14ac:dyDescent="0.25">
      <c r="A2359" s="114" t="s">
        <v>5143</v>
      </c>
      <c r="B2359" s="115" t="s">
        <v>3933</v>
      </c>
      <c r="C2359" s="116" t="s">
        <v>16</v>
      </c>
      <c r="D2359" s="116">
        <v>0</v>
      </c>
      <c r="E2359" s="136" t="s">
        <v>416</v>
      </c>
      <c r="F2359" s="137" t="str">
        <f t="shared" si="120"/>
        <v/>
      </c>
      <c r="G2359" s="138" t="e">
        <f>IF(A2359&lt;&gt;"",IF(AND(#REF!="Padrão",$H$4=#REF!),BDI!$B$17,IF(AND(#REF!="Padrão",$H$4=#REF!),BDI!#REF!,IF(AND(#REF!="Diferenciado",$H$4=#REF!),BDI!$E$17,IF(AND(#REF!="Diferenciado",$H$4=#REF!),BDI!#REF!,IF(#REF!="ZERO",0))))),"")</f>
        <v>#REF!</v>
      </c>
      <c r="H2359" s="139" t="str">
        <f t="shared" si="121"/>
        <v/>
      </c>
      <c r="I2359" s="137" t="str">
        <f t="shared" si="122"/>
        <v/>
      </c>
      <c r="J2359" s="117"/>
    </row>
    <row r="2360" spans="1:10" hidden="1" x14ac:dyDescent="0.25">
      <c r="A2360" s="114" t="s">
        <v>5144</v>
      </c>
      <c r="B2360" s="115" t="s">
        <v>3934</v>
      </c>
      <c r="C2360" s="116" t="s">
        <v>16</v>
      </c>
      <c r="D2360" s="116">
        <v>0</v>
      </c>
      <c r="E2360" s="136" t="s">
        <v>416</v>
      </c>
      <c r="F2360" s="137" t="str">
        <f t="shared" si="120"/>
        <v/>
      </c>
      <c r="G2360" s="138" t="e">
        <f>IF(A2360&lt;&gt;"",IF(AND(#REF!="Padrão",$H$4=#REF!),BDI!$B$17,IF(AND(#REF!="Padrão",$H$4=#REF!),BDI!#REF!,IF(AND(#REF!="Diferenciado",$H$4=#REF!),BDI!$E$17,IF(AND(#REF!="Diferenciado",$H$4=#REF!),BDI!#REF!,IF(#REF!="ZERO",0))))),"")</f>
        <v>#REF!</v>
      </c>
      <c r="H2360" s="139" t="str">
        <f t="shared" si="121"/>
        <v/>
      </c>
      <c r="I2360" s="137" t="str">
        <f t="shared" si="122"/>
        <v/>
      </c>
      <c r="J2360" s="117"/>
    </row>
    <row r="2361" spans="1:10" hidden="1" x14ac:dyDescent="0.25">
      <c r="A2361" s="114" t="s">
        <v>5145</v>
      </c>
      <c r="B2361" s="115" t="s">
        <v>3935</v>
      </c>
      <c r="C2361" s="116" t="s">
        <v>16</v>
      </c>
      <c r="D2361" s="116">
        <v>0</v>
      </c>
      <c r="E2361" s="136" t="s">
        <v>416</v>
      </c>
      <c r="F2361" s="137" t="str">
        <f t="shared" si="120"/>
        <v/>
      </c>
      <c r="G2361" s="138" t="e">
        <f>IF(A2361&lt;&gt;"",IF(AND(#REF!="Padrão",$H$4=#REF!),BDI!$B$17,IF(AND(#REF!="Padrão",$H$4=#REF!),BDI!#REF!,IF(AND(#REF!="Diferenciado",$H$4=#REF!),BDI!$E$17,IF(AND(#REF!="Diferenciado",$H$4=#REF!),BDI!#REF!,IF(#REF!="ZERO",0))))),"")</f>
        <v>#REF!</v>
      </c>
      <c r="H2361" s="139" t="str">
        <f t="shared" si="121"/>
        <v/>
      </c>
      <c r="I2361" s="137" t="str">
        <f t="shared" si="122"/>
        <v/>
      </c>
      <c r="J2361" s="117"/>
    </row>
    <row r="2362" spans="1:10" hidden="1" x14ac:dyDescent="0.25">
      <c r="A2362" s="114" t="s">
        <v>5146</v>
      </c>
      <c r="B2362" s="115" t="s">
        <v>3936</v>
      </c>
      <c r="C2362" s="116" t="s">
        <v>16</v>
      </c>
      <c r="D2362" s="116">
        <v>0</v>
      </c>
      <c r="E2362" s="136" t="s">
        <v>416</v>
      </c>
      <c r="F2362" s="137" t="str">
        <f t="shared" si="120"/>
        <v/>
      </c>
      <c r="G2362" s="138" t="e">
        <f>IF(A2362&lt;&gt;"",IF(AND(#REF!="Padrão",$H$4=#REF!),BDI!$B$17,IF(AND(#REF!="Padrão",$H$4=#REF!),BDI!#REF!,IF(AND(#REF!="Diferenciado",$H$4=#REF!),BDI!$E$17,IF(AND(#REF!="Diferenciado",$H$4=#REF!),BDI!#REF!,IF(#REF!="ZERO",0))))),"")</f>
        <v>#REF!</v>
      </c>
      <c r="H2362" s="139" t="str">
        <f t="shared" si="121"/>
        <v/>
      </c>
      <c r="I2362" s="137" t="str">
        <f t="shared" si="122"/>
        <v/>
      </c>
      <c r="J2362" s="117"/>
    </row>
    <row r="2363" spans="1:10" hidden="1" x14ac:dyDescent="0.25">
      <c r="A2363" s="114" t="s">
        <v>5147</v>
      </c>
      <c r="B2363" s="115" t="s">
        <v>3937</v>
      </c>
      <c r="C2363" s="116" t="s">
        <v>16</v>
      </c>
      <c r="D2363" s="116">
        <v>0</v>
      </c>
      <c r="E2363" s="136" t="s">
        <v>416</v>
      </c>
      <c r="F2363" s="137" t="str">
        <f t="shared" si="120"/>
        <v/>
      </c>
      <c r="G2363" s="138" t="e">
        <f>IF(A2363&lt;&gt;"",IF(AND(#REF!="Padrão",$H$4=#REF!),BDI!$B$17,IF(AND(#REF!="Padrão",$H$4=#REF!),BDI!#REF!,IF(AND(#REF!="Diferenciado",$H$4=#REF!),BDI!$E$17,IF(AND(#REF!="Diferenciado",$H$4=#REF!),BDI!#REF!,IF(#REF!="ZERO",0))))),"")</f>
        <v>#REF!</v>
      </c>
      <c r="H2363" s="139" t="str">
        <f t="shared" si="121"/>
        <v/>
      </c>
      <c r="I2363" s="137" t="str">
        <f t="shared" si="122"/>
        <v/>
      </c>
      <c r="J2363" s="117"/>
    </row>
    <row r="2364" spans="1:10" hidden="1" x14ac:dyDescent="0.25">
      <c r="A2364" s="114" t="s">
        <v>5148</v>
      </c>
      <c r="B2364" s="115" t="s">
        <v>3938</v>
      </c>
      <c r="C2364" s="116" t="s">
        <v>16</v>
      </c>
      <c r="D2364" s="116">
        <v>0</v>
      </c>
      <c r="E2364" s="136" t="s">
        <v>416</v>
      </c>
      <c r="F2364" s="137" t="str">
        <f t="shared" si="120"/>
        <v/>
      </c>
      <c r="G2364" s="138" t="e">
        <f>IF(A2364&lt;&gt;"",IF(AND(#REF!="Padrão",$H$4=#REF!),BDI!$B$17,IF(AND(#REF!="Padrão",$H$4=#REF!),BDI!#REF!,IF(AND(#REF!="Diferenciado",$H$4=#REF!),BDI!$E$17,IF(AND(#REF!="Diferenciado",$H$4=#REF!),BDI!#REF!,IF(#REF!="ZERO",0))))),"")</f>
        <v>#REF!</v>
      </c>
      <c r="H2364" s="139" t="str">
        <f t="shared" si="121"/>
        <v/>
      </c>
      <c r="I2364" s="137" t="str">
        <f t="shared" si="122"/>
        <v/>
      </c>
      <c r="J2364" s="117"/>
    </row>
    <row r="2365" spans="1:10" hidden="1" x14ac:dyDescent="0.25">
      <c r="A2365" s="114" t="s">
        <v>5149</v>
      </c>
      <c r="B2365" s="115" t="s">
        <v>3939</v>
      </c>
      <c r="C2365" s="116" t="s">
        <v>16</v>
      </c>
      <c r="D2365" s="116">
        <v>0</v>
      </c>
      <c r="E2365" s="136" t="s">
        <v>416</v>
      </c>
      <c r="F2365" s="137" t="str">
        <f t="shared" si="120"/>
        <v/>
      </c>
      <c r="G2365" s="138" t="e">
        <f>IF(A2365&lt;&gt;"",IF(AND(#REF!="Padrão",$H$4=#REF!),BDI!$B$17,IF(AND(#REF!="Padrão",$H$4=#REF!),BDI!#REF!,IF(AND(#REF!="Diferenciado",$H$4=#REF!),BDI!$E$17,IF(AND(#REF!="Diferenciado",$H$4=#REF!),BDI!#REF!,IF(#REF!="ZERO",0))))),"")</f>
        <v>#REF!</v>
      </c>
      <c r="H2365" s="139" t="str">
        <f t="shared" si="121"/>
        <v/>
      </c>
      <c r="I2365" s="137" t="str">
        <f t="shared" si="122"/>
        <v/>
      </c>
      <c r="J2365" s="117"/>
    </row>
    <row r="2366" spans="1:10" hidden="1" x14ac:dyDescent="0.25">
      <c r="A2366" s="114" t="s">
        <v>5150</v>
      </c>
      <c r="B2366" s="115" t="s">
        <v>3940</v>
      </c>
      <c r="C2366" s="116" t="s">
        <v>16</v>
      </c>
      <c r="D2366" s="116">
        <v>0</v>
      </c>
      <c r="E2366" s="136" t="s">
        <v>416</v>
      </c>
      <c r="F2366" s="137" t="str">
        <f t="shared" si="120"/>
        <v/>
      </c>
      <c r="G2366" s="138" t="e">
        <f>IF(A2366&lt;&gt;"",IF(AND(#REF!="Padrão",$H$4=#REF!),BDI!$B$17,IF(AND(#REF!="Padrão",$H$4=#REF!),BDI!#REF!,IF(AND(#REF!="Diferenciado",$H$4=#REF!),BDI!$E$17,IF(AND(#REF!="Diferenciado",$H$4=#REF!),BDI!#REF!,IF(#REF!="ZERO",0))))),"")</f>
        <v>#REF!</v>
      </c>
      <c r="H2366" s="139" t="str">
        <f t="shared" si="121"/>
        <v/>
      </c>
      <c r="I2366" s="137" t="str">
        <f t="shared" si="122"/>
        <v/>
      </c>
      <c r="J2366" s="117"/>
    </row>
    <row r="2367" spans="1:10" hidden="1" x14ac:dyDescent="0.25">
      <c r="A2367" s="114" t="s">
        <v>5151</v>
      </c>
      <c r="B2367" s="115" t="s">
        <v>3941</v>
      </c>
      <c r="C2367" s="116" t="s">
        <v>16</v>
      </c>
      <c r="D2367" s="116">
        <v>0</v>
      </c>
      <c r="E2367" s="136" t="s">
        <v>416</v>
      </c>
      <c r="F2367" s="137" t="str">
        <f t="shared" si="120"/>
        <v/>
      </c>
      <c r="G2367" s="138" t="e">
        <f>IF(A2367&lt;&gt;"",IF(AND(#REF!="Padrão",$H$4=#REF!),BDI!$B$17,IF(AND(#REF!="Padrão",$H$4=#REF!),BDI!#REF!,IF(AND(#REF!="Diferenciado",$H$4=#REF!),BDI!$E$17,IF(AND(#REF!="Diferenciado",$H$4=#REF!),BDI!#REF!,IF(#REF!="ZERO",0))))),"")</f>
        <v>#REF!</v>
      </c>
      <c r="H2367" s="139" t="str">
        <f t="shared" si="121"/>
        <v/>
      </c>
      <c r="I2367" s="137" t="str">
        <f t="shared" si="122"/>
        <v/>
      </c>
      <c r="J2367" s="117"/>
    </row>
    <row r="2368" spans="1:10" hidden="1" x14ac:dyDescent="0.25">
      <c r="A2368" s="114" t="s">
        <v>5152</v>
      </c>
      <c r="B2368" s="115" t="s">
        <v>7405</v>
      </c>
      <c r="C2368" s="116" t="s">
        <v>70</v>
      </c>
      <c r="D2368" s="116">
        <v>0</v>
      </c>
      <c r="E2368" s="136">
        <f ca="1">OFFSET(INDEX(Composições!A:J,MATCH(Orçamentária!A2368,Composições!A:A,0),8),2,0)</f>
        <v>562.13017751479288</v>
      </c>
      <c r="F2368" s="137">
        <f t="shared" ca="1" si="120"/>
        <v>0</v>
      </c>
      <c r="G2368" s="138" t="e">
        <f>IF(A2368&lt;&gt;"",IF(AND(#REF!="Padrão",$H$4=#REF!),BDI!$B$17,IF(AND(#REF!="Padrão",$H$4=#REF!),BDI!#REF!,IF(AND(#REF!="Diferenciado",$H$4=#REF!),BDI!$E$17,IF(AND(#REF!="Diferenciado",$H$4=#REF!),BDI!#REF!,IF(#REF!="ZERO",0))))),"")</f>
        <v>#REF!</v>
      </c>
      <c r="H2368" s="139" t="e">
        <f t="shared" ca="1" si="121"/>
        <v>#REF!</v>
      </c>
      <c r="I2368" s="137" t="e">
        <f t="shared" ca="1" si="122"/>
        <v>#REF!</v>
      </c>
      <c r="J2368" s="117"/>
    </row>
    <row r="2369" spans="1:10" hidden="1" x14ac:dyDescent="0.25">
      <c r="A2369" s="114" t="s">
        <v>5153</v>
      </c>
      <c r="B2369" s="115" t="s">
        <v>3942</v>
      </c>
      <c r="C2369" s="116" t="s">
        <v>16</v>
      </c>
      <c r="D2369" s="116">
        <v>0</v>
      </c>
      <c r="E2369" s="136" t="s">
        <v>416</v>
      </c>
      <c r="F2369" s="137" t="str">
        <f t="shared" si="120"/>
        <v/>
      </c>
      <c r="G2369" s="138" t="e">
        <f>IF(A2369&lt;&gt;"",IF(AND(#REF!="Padrão",$H$4=#REF!),BDI!$B$17,IF(AND(#REF!="Padrão",$H$4=#REF!),BDI!#REF!,IF(AND(#REF!="Diferenciado",$H$4=#REF!),BDI!$E$17,IF(AND(#REF!="Diferenciado",$H$4=#REF!),BDI!#REF!,IF(#REF!="ZERO",0))))),"")</f>
        <v>#REF!</v>
      </c>
      <c r="H2369" s="139" t="str">
        <f t="shared" si="121"/>
        <v/>
      </c>
      <c r="I2369" s="137" t="str">
        <f t="shared" si="122"/>
        <v/>
      </c>
      <c r="J2369" s="117"/>
    </row>
    <row r="2370" spans="1:10" hidden="1" x14ac:dyDescent="0.25">
      <c r="A2370" s="114" t="s">
        <v>5154</v>
      </c>
      <c r="B2370" s="115" t="s">
        <v>7402</v>
      </c>
      <c r="C2370" s="116" t="s">
        <v>16</v>
      </c>
      <c r="D2370" s="116">
        <v>0</v>
      </c>
      <c r="E2370" s="136" t="s">
        <v>416</v>
      </c>
      <c r="F2370" s="137" t="str">
        <f t="shared" si="120"/>
        <v/>
      </c>
      <c r="G2370" s="138" t="e">
        <f>IF(A2370&lt;&gt;"",IF(AND(#REF!="Padrão",$H$4=#REF!),BDI!$B$17,IF(AND(#REF!="Padrão",$H$4=#REF!),BDI!#REF!,IF(AND(#REF!="Diferenciado",$H$4=#REF!),BDI!$E$17,IF(AND(#REF!="Diferenciado",$H$4=#REF!),BDI!#REF!,IF(#REF!="ZERO",0))))),"")</f>
        <v>#REF!</v>
      </c>
      <c r="H2370" s="139" t="str">
        <f t="shared" si="121"/>
        <v/>
      </c>
      <c r="I2370" s="137" t="str">
        <f t="shared" si="122"/>
        <v/>
      </c>
      <c r="J2370" s="117"/>
    </row>
    <row r="2371" spans="1:10" hidden="1" x14ac:dyDescent="0.25">
      <c r="A2371" s="114" t="s">
        <v>5155</v>
      </c>
      <c r="B2371" s="115" t="s">
        <v>7403</v>
      </c>
      <c r="C2371" s="116" t="s">
        <v>16</v>
      </c>
      <c r="D2371" s="116">
        <v>0</v>
      </c>
      <c r="E2371" s="136" t="s">
        <v>416</v>
      </c>
      <c r="F2371" s="137" t="str">
        <f t="shared" si="120"/>
        <v/>
      </c>
      <c r="G2371" s="138" t="e">
        <f>IF(A2371&lt;&gt;"",IF(AND(#REF!="Padrão",$H$4=#REF!),BDI!$B$17,IF(AND(#REF!="Padrão",$H$4=#REF!),BDI!#REF!,IF(AND(#REF!="Diferenciado",$H$4=#REF!),BDI!$E$17,IF(AND(#REF!="Diferenciado",$H$4=#REF!),BDI!#REF!,IF(#REF!="ZERO",0))))),"")</f>
        <v>#REF!</v>
      </c>
      <c r="H2371" s="139" t="str">
        <f t="shared" si="121"/>
        <v/>
      </c>
      <c r="I2371" s="137" t="str">
        <f t="shared" si="122"/>
        <v/>
      </c>
      <c r="J2371" s="117"/>
    </row>
    <row r="2372" spans="1:10" hidden="1" x14ac:dyDescent="0.25">
      <c r="A2372" s="114" t="s">
        <v>5156</v>
      </c>
      <c r="B2372" s="115" t="s">
        <v>7404</v>
      </c>
      <c r="C2372" s="116" t="s">
        <v>16</v>
      </c>
      <c r="D2372" s="116">
        <v>0</v>
      </c>
      <c r="E2372" s="136" t="s">
        <v>416</v>
      </c>
      <c r="F2372" s="137" t="str">
        <f t="shared" si="120"/>
        <v/>
      </c>
      <c r="G2372" s="138" t="e">
        <f>IF(A2372&lt;&gt;"",IF(AND(#REF!="Padrão",$H$4=#REF!),BDI!$B$17,IF(AND(#REF!="Padrão",$H$4=#REF!),BDI!#REF!,IF(AND(#REF!="Diferenciado",$H$4=#REF!),BDI!$E$17,IF(AND(#REF!="Diferenciado",$H$4=#REF!),BDI!#REF!,IF(#REF!="ZERO",0))))),"")</f>
        <v>#REF!</v>
      </c>
      <c r="H2372" s="139" t="str">
        <f t="shared" si="121"/>
        <v/>
      </c>
      <c r="I2372" s="137" t="str">
        <f t="shared" si="122"/>
        <v/>
      </c>
      <c r="J2372" s="117"/>
    </row>
    <row r="2373" spans="1:10" hidden="1" x14ac:dyDescent="0.25">
      <c r="A2373" s="114" t="s">
        <v>5157</v>
      </c>
      <c r="B2373" s="115" t="s">
        <v>3943</v>
      </c>
      <c r="C2373" s="116" t="s">
        <v>16</v>
      </c>
      <c r="D2373" s="116">
        <v>0</v>
      </c>
      <c r="E2373" s="136" t="s">
        <v>416</v>
      </c>
      <c r="F2373" s="137" t="str">
        <f t="shared" si="120"/>
        <v/>
      </c>
      <c r="G2373" s="138" t="e">
        <f>IF(A2373&lt;&gt;"",IF(AND(#REF!="Padrão",$H$4=#REF!),BDI!$B$17,IF(AND(#REF!="Padrão",$H$4=#REF!),BDI!#REF!,IF(AND(#REF!="Diferenciado",$H$4=#REF!),BDI!$E$17,IF(AND(#REF!="Diferenciado",$H$4=#REF!),BDI!#REF!,IF(#REF!="ZERO",0))))),"")</f>
        <v>#REF!</v>
      </c>
      <c r="H2373" s="139" t="str">
        <f t="shared" si="121"/>
        <v/>
      </c>
      <c r="I2373" s="137" t="str">
        <f t="shared" si="122"/>
        <v/>
      </c>
      <c r="J2373" s="117"/>
    </row>
    <row r="2374" spans="1:10" hidden="1" x14ac:dyDescent="0.25">
      <c r="A2374" s="114" t="s">
        <v>5158</v>
      </c>
      <c r="B2374" s="115" t="s">
        <v>3944</v>
      </c>
      <c r="C2374" s="116" t="s">
        <v>16</v>
      </c>
      <c r="D2374" s="116">
        <v>0</v>
      </c>
      <c r="E2374" s="136" t="s">
        <v>416</v>
      </c>
      <c r="F2374" s="137" t="str">
        <f t="shared" si="120"/>
        <v/>
      </c>
      <c r="G2374" s="138" t="e">
        <f>IF(A2374&lt;&gt;"",IF(AND(#REF!="Padrão",$H$4=#REF!),BDI!$B$17,IF(AND(#REF!="Padrão",$H$4=#REF!),BDI!#REF!,IF(AND(#REF!="Diferenciado",$H$4=#REF!),BDI!$E$17,IF(AND(#REF!="Diferenciado",$H$4=#REF!),BDI!#REF!,IF(#REF!="ZERO",0))))),"")</f>
        <v>#REF!</v>
      </c>
      <c r="H2374" s="139" t="str">
        <f t="shared" si="121"/>
        <v/>
      </c>
      <c r="I2374" s="137" t="str">
        <f t="shared" si="122"/>
        <v/>
      </c>
      <c r="J2374" s="117"/>
    </row>
    <row r="2375" spans="1:10" hidden="1" x14ac:dyDescent="0.25">
      <c r="A2375" s="114" t="s">
        <v>5159</v>
      </c>
      <c r="B2375" s="115" t="s">
        <v>3945</v>
      </c>
      <c r="C2375" s="116" t="s">
        <v>16</v>
      </c>
      <c r="D2375" s="116">
        <v>0</v>
      </c>
      <c r="E2375" s="136" t="s">
        <v>416</v>
      </c>
      <c r="F2375" s="137" t="str">
        <f t="shared" si="120"/>
        <v/>
      </c>
      <c r="G2375" s="138" t="e">
        <f>IF(A2375&lt;&gt;"",IF(AND(#REF!="Padrão",$H$4=#REF!),BDI!$B$17,IF(AND(#REF!="Padrão",$H$4=#REF!),BDI!#REF!,IF(AND(#REF!="Diferenciado",$H$4=#REF!),BDI!$E$17,IF(AND(#REF!="Diferenciado",$H$4=#REF!),BDI!#REF!,IF(#REF!="ZERO",0))))),"")</f>
        <v>#REF!</v>
      </c>
      <c r="H2375" s="139" t="str">
        <f t="shared" si="121"/>
        <v/>
      </c>
      <c r="I2375" s="137" t="str">
        <f t="shared" si="122"/>
        <v/>
      </c>
      <c r="J2375" s="117"/>
    </row>
    <row r="2376" spans="1:10" hidden="1" x14ac:dyDescent="0.25">
      <c r="A2376" s="114" t="s">
        <v>5160</v>
      </c>
      <c r="B2376" s="115" t="s">
        <v>3946</v>
      </c>
      <c r="C2376" s="116" t="s">
        <v>16</v>
      </c>
      <c r="D2376" s="116">
        <v>0</v>
      </c>
      <c r="E2376" s="136" t="s">
        <v>416</v>
      </c>
      <c r="F2376" s="137" t="str">
        <f t="shared" si="120"/>
        <v/>
      </c>
      <c r="G2376" s="138" t="e">
        <f>IF(A2376&lt;&gt;"",IF(AND(#REF!="Padrão",$H$4=#REF!),BDI!$B$17,IF(AND(#REF!="Padrão",$H$4=#REF!),BDI!#REF!,IF(AND(#REF!="Diferenciado",$H$4=#REF!),BDI!$E$17,IF(AND(#REF!="Diferenciado",$H$4=#REF!),BDI!#REF!,IF(#REF!="ZERO",0))))),"")</f>
        <v>#REF!</v>
      </c>
      <c r="H2376" s="139" t="str">
        <f t="shared" si="121"/>
        <v/>
      </c>
      <c r="I2376" s="137" t="str">
        <f t="shared" si="122"/>
        <v/>
      </c>
      <c r="J2376" s="117"/>
    </row>
    <row r="2377" spans="1:10" hidden="1" x14ac:dyDescent="0.25">
      <c r="A2377" s="114" t="s">
        <v>5161</v>
      </c>
      <c r="B2377" s="115" t="s">
        <v>3947</v>
      </c>
      <c r="C2377" s="116" t="s">
        <v>28</v>
      </c>
      <c r="D2377" s="116">
        <v>0</v>
      </c>
      <c r="E2377" s="136" t="s">
        <v>416</v>
      </c>
      <c r="F2377" s="137" t="str">
        <f t="shared" si="120"/>
        <v/>
      </c>
      <c r="G2377" s="138" t="e">
        <f>IF(A2377&lt;&gt;"",IF(AND(#REF!="Padrão",$H$4=#REF!),BDI!$B$17,IF(AND(#REF!="Padrão",$H$4=#REF!),BDI!#REF!,IF(AND(#REF!="Diferenciado",$H$4=#REF!),BDI!$E$17,IF(AND(#REF!="Diferenciado",$H$4=#REF!),BDI!#REF!,IF(#REF!="ZERO",0))))),"")</f>
        <v>#REF!</v>
      </c>
      <c r="H2377" s="139" t="str">
        <f t="shared" si="121"/>
        <v/>
      </c>
      <c r="I2377" s="137" t="str">
        <f t="shared" si="122"/>
        <v/>
      </c>
      <c r="J2377" s="117"/>
    </row>
    <row r="2378" spans="1:10" hidden="1" x14ac:dyDescent="0.25">
      <c r="A2378" s="114" t="s">
        <v>5162</v>
      </c>
      <c r="B2378" s="115" t="s">
        <v>3948</v>
      </c>
      <c r="C2378" s="116" t="s">
        <v>2373</v>
      </c>
      <c r="D2378" s="116">
        <v>0</v>
      </c>
      <c r="E2378" s="136" t="s">
        <v>416</v>
      </c>
      <c r="F2378" s="137" t="str">
        <f t="shared" si="120"/>
        <v/>
      </c>
      <c r="G2378" s="138" t="e">
        <f>IF(A2378&lt;&gt;"",IF(AND(#REF!="Padrão",$H$4=#REF!),BDI!$B$17,IF(AND(#REF!="Padrão",$H$4=#REF!),BDI!#REF!,IF(AND(#REF!="Diferenciado",$H$4=#REF!),BDI!$E$17,IF(AND(#REF!="Diferenciado",$H$4=#REF!),BDI!#REF!,IF(#REF!="ZERO",0))))),"")</f>
        <v>#REF!</v>
      </c>
      <c r="H2378" s="139" t="str">
        <f t="shared" si="121"/>
        <v/>
      </c>
      <c r="I2378" s="137" t="str">
        <f t="shared" si="122"/>
        <v/>
      </c>
      <c r="J2378" s="117"/>
    </row>
    <row r="2379" spans="1:10" hidden="1" x14ac:dyDescent="0.25">
      <c r="A2379" s="114" t="s">
        <v>5163</v>
      </c>
      <c r="B2379" s="115" t="s">
        <v>3949</v>
      </c>
      <c r="C2379" s="116" t="s">
        <v>2373</v>
      </c>
      <c r="D2379" s="116">
        <v>0</v>
      </c>
      <c r="E2379" s="136" t="s">
        <v>416</v>
      </c>
      <c r="F2379" s="137" t="str">
        <f t="shared" si="120"/>
        <v/>
      </c>
      <c r="G2379" s="138" t="e">
        <f>IF(A2379&lt;&gt;"",IF(AND(#REF!="Padrão",$H$4=#REF!),BDI!$B$17,IF(AND(#REF!="Padrão",$H$4=#REF!),BDI!#REF!,IF(AND(#REF!="Diferenciado",$H$4=#REF!),BDI!$E$17,IF(AND(#REF!="Diferenciado",$H$4=#REF!),BDI!#REF!,IF(#REF!="ZERO",0))))),"")</f>
        <v>#REF!</v>
      </c>
      <c r="H2379" s="139" t="str">
        <f t="shared" si="121"/>
        <v/>
      </c>
      <c r="I2379" s="137" t="str">
        <f t="shared" si="122"/>
        <v/>
      </c>
      <c r="J2379" s="117"/>
    </row>
    <row r="2380" spans="1:10" hidden="1" x14ac:dyDescent="0.25">
      <c r="A2380" s="114" t="s">
        <v>5164</v>
      </c>
      <c r="B2380" s="115" t="s">
        <v>3950</v>
      </c>
      <c r="C2380" s="116" t="s">
        <v>2373</v>
      </c>
      <c r="D2380" s="116">
        <v>0</v>
      </c>
      <c r="E2380" s="136" t="s">
        <v>416</v>
      </c>
      <c r="F2380" s="137" t="str">
        <f t="shared" si="120"/>
        <v/>
      </c>
      <c r="G2380" s="138" t="e">
        <f>IF(A2380&lt;&gt;"",IF(AND(#REF!="Padrão",$H$4=#REF!),BDI!$B$17,IF(AND(#REF!="Padrão",$H$4=#REF!),BDI!#REF!,IF(AND(#REF!="Diferenciado",$H$4=#REF!),BDI!$E$17,IF(AND(#REF!="Diferenciado",$H$4=#REF!),BDI!#REF!,IF(#REF!="ZERO",0))))),"")</f>
        <v>#REF!</v>
      </c>
      <c r="H2380" s="139" t="str">
        <f t="shared" si="121"/>
        <v/>
      </c>
      <c r="I2380" s="137" t="str">
        <f t="shared" si="122"/>
        <v/>
      </c>
      <c r="J2380" s="117"/>
    </row>
    <row r="2381" spans="1:10" hidden="1" x14ac:dyDescent="0.25">
      <c r="A2381" s="114" t="s">
        <v>5165</v>
      </c>
      <c r="B2381" s="115" t="s">
        <v>3951</v>
      </c>
      <c r="C2381" s="116" t="s">
        <v>2373</v>
      </c>
      <c r="D2381" s="116">
        <v>0</v>
      </c>
      <c r="E2381" s="136" t="s">
        <v>416</v>
      </c>
      <c r="F2381" s="137" t="str">
        <f t="shared" si="120"/>
        <v/>
      </c>
      <c r="G2381" s="138" t="e">
        <f>IF(A2381&lt;&gt;"",IF(AND(#REF!="Padrão",$H$4=#REF!),BDI!$B$17,IF(AND(#REF!="Padrão",$H$4=#REF!),BDI!#REF!,IF(AND(#REF!="Diferenciado",$H$4=#REF!),BDI!$E$17,IF(AND(#REF!="Diferenciado",$H$4=#REF!),BDI!#REF!,IF(#REF!="ZERO",0))))),"")</f>
        <v>#REF!</v>
      </c>
      <c r="H2381" s="139" t="str">
        <f t="shared" si="121"/>
        <v/>
      </c>
      <c r="I2381" s="137" t="str">
        <f t="shared" si="122"/>
        <v/>
      </c>
      <c r="J2381" s="117"/>
    </row>
    <row r="2382" spans="1:10" hidden="1" x14ac:dyDescent="0.25">
      <c r="A2382" s="114" t="s">
        <v>5166</v>
      </c>
      <c r="B2382" s="115" t="s">
        <v>3952</v>
      </c>
      <c r="C2382" s="116" t="s">
        <v>2373</v>
      </c>
      <c r="D2382" s="116">
        <v>0</v>
      </c>
      <c r="E2382" s="136" t="s">
        <v>416</v>
      </c>
      <c r="F2382" s="137" t="str">
        <f t="shared" si="120"/>
        <v/>
      </c>
      <c r="G2382" s="138" t="e">
        <f>IF(A2382&lt;&gt;"",IF(AND(#REF!="Padrão",$H$4=#REF!),BDI!$B$17,IF(AND(#REF!="Padrão",$H$4=#REF!),BDI!#REF!,IF(AND(#REF!="Diferenciado",$H$4=#REF!),BDI!$E$17,IF(AND(#REF!="Diferenciado",$H$4=#REF!),BDI!#REF!,IF(#REF!="ZERO",0))))),"")</f>
        <v>#REF!</v>
      </c>
      <c r="H2382" s="139" t="str">
        <f t="shared" si="121"/>
        <v/>
      </c>
      <c r="I2382" s="137" t="str">
        <f t="shared" si="122"/>
        <v/>
      </c>
      <c r="J2382" s="117"/>
    </row>
    <row r="2383" spans="1:10" hidden="1" x14ac:dyDescent="0.25">
      <c r="A2383" s="114" t="s">
        <v>5167</v>
      </c>
      <c r="B2383" s="115" t="s">
        <v>3953</v>
      </c>
      <c r="C2383" s="116" t="s">
        <v>11</v>
      </c>
      <c r="D2383" s="116">
        <v>0</v>
      </c>
      <c r="E2383" s="136" t="s">
        <v>416</v>
      </c>
      <c r="F2383" s="137" t="str">
        <f t="shared" si="120"/>
        <v/>
      </c>
      <c r="G2383" s="138" t="e">
        <f>IF(A2383&lt;&gt;"",IF(AND(#REF!="Padrão",$H$4=#REF!),BDI!$B$17,IF(AND(#REF!="Padrão",$H$4=#REF!),BDI!#REF!,IF(AND(#REF!="Diferenciado",$H$4=#REF!),BDI!$E$17,IF(AND(#REF!="Diferenciado",$H$4=#REF!),BDI!#REF!,IF(#REF!="ZERO",0))))),"")</f>
        <v>#REF!</v>
      </c>
      <c r="H2383" s="139" t="str">
        <f t="shared" si="121"/>
        <v/>
      </c>
      <c r="I2383" s="137" t="str">
        <f t="shared" si="122"/>
        <v/>
      </c>
      <c r="J2383" s="117"/>
    </row>
    <row r="2384" spans="1:10" hidden="1" x14ac:dyDescent="0.25">
      <c r="A2384" s="114" t="s">
        <v>5168</v>
      </c>
      <c r="B2384" s="115" t="s">
        <v>3954</v>
      </c>
      <c r="C2384" s="116" t="s">
        <v>16</v>
      </c>
      <c r="D2384" s="116">
        <v>0</v>
      </c>
      <c r="E2384" s="136">
        <f ca="1">OFFSET(INDEX(Composições!A:J,MATCH(Orçamentária!A2384,Composições!A:A,0),8),2,0)</f>
        <v>3.84484</v>
      </c>
      <c r="F2384" s="137">
        <f t="shared" ca="1" si="120"/>
        <v>0</v>
      </c>
      <c r="G2384" s="138" t="e">
        <f>IF(A2384&lt;&gt;"",IF(AND(#REF!="Padrão",$H$4=#REF!),BDI!$B$17,IF(AND(#REF!="Padrão",$H$4=#REF!),BDI!#REF!,IF(AND(#REF!="Diferenciado",$H$4=#REF!),BDI!$E$17,IF(AND(#REF!="Diferenciado",$H$4=#REF!),BDI!#REF!,IF(#REF!="ZERO",0))))),"")</f>
        <v>#REF!</v>
      </c>
      <c r="H2384" s="139" t="e">
        <f t="shared" ca="1" si="121"/>
        <v>#REF!</v>
      </c>
      <c r="I2384" s="137" t="e">
        <f t="shared" ca="1" si="122"/>
        <v>#REF!</v>
      </c>
      <c r="J2384" s="117"/>
    </row>
    <row r="2385" spans="1:10" hidden="1" x14ac:dyDescent="0.25">
      <c r="A2385" s="114" t="s">
        <v>5169</v>
      </c>
      <c r="B2385" s="115" t="s">
        <v>3955</v>
      </c>
      <c r="C2385" s="116" t="s">
        <v>16</v>
      </c>
      <c r="D2385" s="116">
        <v>0</v>
      </c>
      <c r="E2385" s="136" t="s">
        <v>416</v>
      </c>
      <c r="F2385" s="137" t="str">
        <f t="shared" si="120"/>
        <v/>
      </c>
      <c r="G2385" s="138" t="e">
        <f>IF(A2385&lt;&gt;"",IF(AND(#REF!="Padrão",$H$4=#REF!),BDI!$B$17,IF(AND(#REF!="Padrão",$H$4=#REF!),BDI!#REF!,IF(AND(#REF!="Diferenciado",$H$4=#REF!),BDI!$E$17,IF(AND(#REF!="Diferenciado",$H$4=#REF!),BDI!#REF!,IF(#REF!="ZERO",0))))),"")</f>
        <v>#REF!</v>
      </c>
      <c r="H2385" s="139" t="str">
        <f t="shared" si="121"/>
        <v/>
      </c>
      <c r="I2385" s="137" t="str">
        <f t="shared" si="122"/>
        <v/>
      </c>
      <c r="J2385" s="117"/>
    </row>
    <row r="2386" spans="1:10" hidden="1" x14ac:dyDescent="0.25">
      <c r="A2386" s="114" t="s">
        <v>5170</v>
      </c>
      <c r="B2386" s="115" t="s">
        <v>3956</v>
      </c>
      <c r="C2386" s="116" t="s">
        <v>16</v>
      </c>
      <c r="D2386" s="116">
        <v>0</v>
      </c>
      <c r="E2386" s="136" t="s">
        <v>416</v>
      </c>
      <c r="F2386" s="137" t="str">
        <f t="shared" si="120"/>
        <v/>
      </c>
      <c r="G2386" s="138" t="e">
        <f>IF(A2386&lt;&gt;"",IF(AND(#REF!="Padrão",$H$4=#REF!),BDI!$B$17,IF(AND(#REF!="Padrão",$H$4=#REF!),BDI!#REF!,IF(AND(#REF!="Diferenciado",$H$4=#REF!),BDI!$E$17,IF(AND(#REF!="Diferenciado",$H$4=#REF!),BDI!#REF!,IF(#REF!="ZERO",0))))),"")</f>
        <v>#REF!</v>
      </c>
      <c r="H2386" s="139" t="str">
        <f t="shared" si="121"/>
        <v/>
      </c>
      <c r="I2386" s="137" t="str">
        <f t="shared" si="122"/>
        <v/>
      </c>
      <c r="J2386" s="117"/>
    </row>
    <row r="2387" spans="1:10" hidden="1" x14ac:dyDescent="0.25">
      <c r="A2387" s="114" t="s">
        <v>5171</v>
      </c>
      <c r="B2387" s="115" t="s">
        <v>3957</v>
      </c>
      <c r="C2387" s="116" t="s">
        <v>16</v>
      </c>
      <c r="D2387" s="116">
        <v>0</v>
      </c>
      <c r="E2387" s="136" t="s">
        <v>416</v>
      </c>
      <c r="F2387" s="137" t="str">
        <f t="shared" si="120"/>
        <v/>
      </c>
      <c r="G2387" s="138" t="e">
        <f>IF(A2387&lt;&gt;"",IF(AND(#REF!="Padrão",$H$4=#REF!),BDI!$B$17,IF(AND(#REF!="Padrão",$H$4=#REF!),BDI!#REF!,IF(AND(#REF!="Diferenciado",$H$4=#REF!),BDI!$E$17,IF(AND(#REF!="Diferenciado",$H$4=#REF!),BDI!#REF!,IF(#REF!="ZERO",0))))),"")</f>
        <v>#REF!</v>
      </c>
      <c r="H2387" s="139" t="str">
        <f t="shared" si="121"/>
        <v/>
      </c>
      <c r="I2387" s="137" t="str">
        <f t="shared" si="122"/>
        <v/>
      </c>
      <c r="J2387" s="117"/>
    </row>
    <row r="2388" spans="1:10" hidden="1" x14ac:dyDescent="0.25">
      <c r="A2388" s="114" t="s">
        <v>5172</v>
      </c>
      <c r="B2388" s="115" t="s">
        <v>3958</v>
      </c>
      <c r="C2388" s="116" t="s">
        <v>16</v>
      </c>
      <c r="D2388" s="116">
        <v>0</v>
      </c>
      <c r="E2388" s="136" t="s">
        <v>416</v>
      </c>
      <c r="F2388" s="137" t="str">
        <f t="shared" si="120"/>
        <v/>
      </c>
      <c r="G2388" s="138" t="e">
        <f>IF(A2388&lt;&gt;"",IF(AND(#REF!="Padrão",$H$4=#REF!),BDI!$B$17,IF(AND(#REF!="Padrão",$H$4=#REF!),BDI!#REF!,IF(AND(#REF!="Diferenciado",$H$4=#REF!),BDI!$E$17,IF(AND(#REF!="Diferenciado",$H$4=#REF!),BDI!#REF!,IF(#REF!="ZERO",0))))),"")</f>
        <v>#REF!</v>
      </c>
      <c r="H2388" s="139" t="str">
        <f t="shared" si="121"/>
        <v/>
      </c>
      <c r="I2388" s="137" t="str">
        <f t="shared" si="122"/>
        <v/>
      </c>
      <c r="J2388" s="117"/>
    </row>
    <row r="2389" spans="1:10" hidden="1" x14ac:dyDescent="0.25">
      <c r="A2389" s="114" t="s">
        <v>5173</v>
      </c>
      <c r="B2389" s="115" t="s">
        <v>3959</v>
      </c>
      <c r="C2389" s="116" t="s">
        <v>16</v>
      </c>
      <c r="D2389" s="116">
        <v>0</v>
      </c>
      <c r="E2389" s="136" t="s">
        <v>416</v>
      </c>
      <c r="F2389" s="137" t="str">
        <f t="shared" si="120"/>
        <v/>
      </c>
      <c r="G2389" s="138" t="e">
        <f>IF(A2389&lt;&gt;"",IF(AND(#REF!="Padrão",$H$4=#REF!),BDI!$B$17,IF(AND(#REF!="Padrão",$H$4=#REF!),BDI!#REF!,IF(AND(#REF!="Diferenciado",$H$4=#REF!),BDI!$E$17,IF(AND(#REF!="Diferenciado",$H$4=#REF!),BDI!#REF!,IF(#REF!="ZERO",0))))),"")</f>
        <v>#REF!</v>
      </c>
      <c r="H2389" s="139" t="str">
        <f t="shared" si="121"/>
        <v/>
      </c>
      <c r="I2389" s="137" t="str">
        <f t="shared" si="122"/>
        <v/>
      </c>
      <c r="J2389" s="117"/>
    </row>
    <row r="2390" spans="1:10" hidden="1" x14ac:dyDescent="0.25">
      <c r="A2390" s="114" t="s">
        <v>5174</v>
      </c>
      <c r="B2390" s="115" t="s">
        <v>3960</v>
      </c>
      <c r="C2390" s="116" t="s">
        <v>16</v>
      </c>
      <c r="D2390" s="116">
        <v>0</v>
      </c>
      <c r="E2390" s="136" t="s">
        <v>416</v>
      </c>
      <c r="F2390" s="137" t="str">
        <f t="shared" si="120"/>
        <v/>
      </c>
      <c r="G2390" s="138" t="e">
        <f>IF(A2390&lt;&gt;"",IF(AND(#REF!="Padrão",$H$4=#REF!),BDI!$B$17,IF(AND(#REF!="Padrão",$H$4=#REF!),BDI!#REF!,IF(AND(#REF!="Diferenciado",$H$4=#REF!),BDI!$E$17,IF(AND(#REF!="Diferenciado",$H$4=#REF!),BDI!#REF!,IF(#REF!="ZERO",0))))),"")</f>
        <v>#REF!</v>
      </c>
      <c r="H2390" s="139" t="str">
        <f t="shared" si="121"/>
        <v/>
      </c>
      <c r="I2390" s="137" t="str">
        <f t="shared" si="122"/>
        <v/>
      </c>
      <c r="J2390" s="117"/>
    </row>
    <row r="2391" spans="1:10" hidden="1" x14ac:dyDescent="0.25">
      <c r="A2391" s="114" t="s">
        <v>5175</v>
      </c>
      <c r="B2391" s="115" t="s">
        <v>3961</v>
      </c>
      <c r="C2391" s="116" t="s">
        <v>16</v>
      </c>
      <c r="D2391" s="116">
        <v>0</v>
      </c>
      <c r="E2391" s="136" t="s">
        <v>416</v>
      </c>
      <c r="F2391" s="137" t="str">
        <f t="shared" si="120"/>
        <v/>
      </c>
      <c r="G2391" s="138" t="e">
        <f>IF(A2391&lt;&gt;"",IF(AND(#REF!="Padrão",$H$4=#REF!),BDI!$B$17,IF(AND(#REF!="Padrão",$H$4=#REF!),BDI!#REF!,IF(AND(#REF!="Diferenciado",$H$4=#REF!),BDI!$E$17,IF(AND(#REF!="Diferenciado",$H$4=#REF!),BDI!#REF!,IF(#REF!="ZERO",0))))),"")</f>
        <v>#REF!</v>
      </c>
      <c r="H2391" s="139" t="str">
        <f t="shared" si="121"/>
        <v/>
      </c>
      <c r="I2391" s="137" t="str">
        <f t="shared" si="122"/>
        <v/>
      </c>
      <c r="J2391" s="117"/>
    </row>
    <row r="2392" spans="1:10" hidden="1" x14ac:dyDescent="0.25">
      <c r="A2392" s="114" t="s">
        <v>5176</v>
      </c>
      <c r="B2392" s="115" t="s">
        <v>3962</v>
      </c>
      <c r="C2392" s="116" t="s">
        <v>16</v>
      </c>
      <c r="D2392" s="116">
        <v>0</v>
      </c>
      <c r="E2392" s="136" t="s">
        <v>416</v>
      </c>
      <c r="F2392" s="137" t="str">
        <f t="shared" si="120"/>
        <v/>
      </c>
      <c r="G2392" s="138" t="e">
        <f>IF(A2392&lt;&gt;"",IF(AND(#REF!="Padrão",$H$4=#REF!),BDI!$B$17,IF(AND(#REF!="Padrão",$H$4=#REF!),BDI!#REF!,IF(AND(#REF!="Diferenciado",$H$4=#REF!),BDI!$E$17,IF(AND(#REF!="Diferenciado",$H$4=#REF!),BDI!#REF!,IF(#REF!="ZERO",0))))),"")</f>
        <v>#REF!</v>
      </c>
      <c r="H2392" s="139" t="str">
        <f t="shared" si="121"/>
        <v/>
      </c>
      <c r="I2392" s="137" t="str">
        <f t="shared" si="122"/>
        <v/>
      </c>
      <c r="J2392" s="117"/>
    </row>
    <row r="2393" spans="1:10" hidden="1" x14ac:dyDescent="0.25">
      <c r="A2393" s="114" t="s">
        <v>5177</v>
      </c>
      <c r="B2393" s="115" t="s">
        <v>3963</v>
      </c>
      <c r="C2393" s="116" t="s">
        <v>16</v>
      </c>
      <c r="D2393" s="116">
        <v>0</v>
      </c>
      <c r="E2393" s="136" t="s">
        <v>416</v>
      </c>
      <c r="F2393" s="137" t="str">
        <f t="shared" si="120"/>
        <v/>
      </c>
      <c r="G2393" s="138" t="e">
        <f>IF(A2393&lt;&gt;"",IF(AND(#REF!="Padrão",$H$4=#REF!),BDI!$B$17,IF(AND(#REF!="Padrão",$H$4=#REF!),BDI!#REF!,IF(AND(#REF!="Diferenciado",$H$4=#REF!),BDI!$E$17,IF(AND(#REF!="Diferenciado",$H$4=#REF!),BDI!#REF!,IF(#REF!="ZERO",0))))),"")</f>
        <v>#REF!</v>
      </c>
      <c r="H2393" s="139" t="str">
        <f t="shared" si="121"/>
        <v/>
      </c>
      <c r="I2393" s="137" t="str">
        <f t="shared" si="122"/>
        <v/>
      </c>
      <c r="J2393" s="117"/>
    </row>
    <row r="2394" spans="1:10" hidden="1" x14ac:dyDescent="0.25">
      <c r="A2394" s="114" t="s">
        <v>5178</v>
      </c>
      <c r="B2394" s="115" t="s">
        <v>3964</v>
      </c>
      <c r="C2394" s="116" t="s">
        <v>16</v>
      </c>
      <c r="D2394" s="116">
        <v>0</v>
      </c>
      <c r="E2394" s="136">
        <f ca="1">OFFSET(INDEX(Composições!A:J,MATCH(Orçamentária!A2394,Composições!A:A,0),8),2,0)</f>
        <v>39.9</v>
      </c>
      <c r="F2394" s="137">
        <f t="shared" ca="1" si="120"/>
        <v>0</v>
      </c>
      <c r="G2394" s="138" t="e">
        <f>IF(A2394&lt;&gt;"",IF(AND(#REF!="Padrão",$H$4=#REF!),BDI!$B$17,IF(AND(#REF!="Padrão",$H$4=#REF!),BDI!#REF!,IF(AND(#REF!="Diferenciado",$H$4=#REF!),BDI!$E$17,IF(AND(#REF!="Diferenciado",$H$4=#REF!),BDI!#REF!,IF(#REF!="ZERO",0))))),"")</f>
        <v>#REF!</v>
      </c>
      <c r="H2394" s="139" t="e">
        <f t="shared" ca="1" si="121"/>
        <v>#REF!</v>
      </c>
      <c r="I2394" s="137" t="e">
        <f t="shared" ca="1" si="122"/>
        <v>#REF!</v>
      </c>
      <c r="J2394" s="117"/>
    </row>
    <row r="2395" spans="1:10" hidden="1" x14ac:dyDescent="0.25">
      <c r="A2395" s="114" t="s">
        <v>5179</v>
      </c>
      <c r="B2395" s="115" t="s">
        <v>3965</v>
      </c>
      <c r="C2395" s="116" t="s">
        <v>16</v>
      </c>
      <c r="D2395" s="116">
        <v>0</v>
      </c>
      <c r="E2395" s="136" t="s">
        <v>416</v>
      </c>
      <c r="F2395" s="137" t="str">
        <f t="shared" si="120"/>
        <v/>
      </c>
      <c r="G2395" s="138" t="e">
        <f>IF(A2395&lt;&gt;"",IF(AND(#REF!="Padrão",$H$4=#REF!),BDI!$B$17,IF(AND(#REF!="Padrão",$H$4=#REF!),BDI!#REF!,IF(AND(#REF!="Diferenciado",$H$4=#REF!),BDI!$E$17,IF(AND(#REF!="Diferenciado",$H$4=#REF!),BDI!#REF!,IF(#REF!="ZERO",0))))),"")</f>
        <v>#REF!</v>
      </c>
      <c r="H2395" s="139" t="str">
        <f t="shared" si="121"/>
        <v/>
      </c>
      <c r="I2395" s="137" t="str">
        <f t="shared" si="122"/>
        <v/>
      </c>
      <c r="J2395" s="117"/>
    </row>
    <row r="2396" spans="1:10" hidden="1" x14ac:dyDescent="0.25">
      <c r="A2396" s="114" t="s">
        <v>5180</v>
      </c>
      <c r="B2396" s="115" t="s">
        <v>3966</v>
      </c>
      <c r="C2396" s="116" t="s">
        <v>16</v>
      </c>
      <c r="D2396" s="116">
        <v>0</v>
      </c>
      <c r="E2396" s="136" t="s">
        <v>416</v>
      </c>
      <c r="F2396" s="137" t="str">
        <f t="shared" si="120"/>
        <v/>
      </c>
      <c r="G2396" s="138" t="e">
        <f>IF(A2396&lt;&gt;"",IF(AND(#REF!="Padrão",$H$4=#REF!),BDI!$B$17,IF(AND(#REF!="Padrão",$H$4=#REF!),BDI!#REF!,IF(AND(#REF!="Diferenciado",$H$4=#REF!),BDI!$E$17,IF(AND(#REF!="Diferenciado",$H$4=#REF!),BDI!#REF!,IF(#REF!="ZERO",0))))),"")</f>
        <v>#REF!</v>
      </c>
      <c r="H2396" s="139" t="str">
        <f t="shared" si="121"/>
        <v/>
      </c>
      <c r="I2396" s="137" t="str">
        <f t="shared" si="122"/>
        <v/>
      </c>
      <c r="J2396" s="117"/>
    </row>
    <row r="2397" spans="1:10" hidden="1" x14ac:dyDescent="0.25">
      <c r="A2397" s="114" t="s">
        <v>5181</v>
      </c>
      <c r="B2397" s="115" t="s">
        <v>3967</v>
      </c>
      <c r="C2397" s="116" t="s">
        <v>16</v>
      </c>
      <c r="D2397" s="116">
        <v>0</v>
      </c>
      <c r="E2397" s="136" t="s">
        <v>416</v>
      </c>
      <c r="F2397" s="137" t="str">
        <f t="shared" si="120"/>
        <v/>
      </c>
      <c r="G2397" s="138" t="e">
        <f>IF(A2397&lt;&gt;"",IF(AND(#REF!="Padrão",$H$4=#REF!),BDI!$B$17,IF(AND(#REF!="Padrão",$H$4=#REF!),BDI!#REF!,IF(AND(#REF!="Diferenciado",$H$4=#REF!),BDI!$E$17,IF(AND(#REF!="Diferenciado",$H$4=#REF!),BDI!#REF!,IF(#REF!="ZERO",0))))),"")</f>
        <v>#REF!</v>
      </c>
      <c r="H2397" s="139" t="str">
        <f t="shared" si="121"/>
        <v/>
      </c>
      <c r="I2397" s="137" t="str">
        <f t="shared" si="122"/>
        <v/>
      </c>
      <c r="J2397" s="117"/>
    </row>
    <row r="2398" spans="1:10" hidden="1" x14ac:dyDescent="0.25">
      <c r="A2398" s="114" t="s">
        <v>5182</v>
      </c>
      <c r="B2398" s="115" t="s">
        <v>3968</v>
      </c>
      <c r="C2398" s="116" t="s">
        <v>16</v>
      </c>
      <c r="D2398" s="116">
        <v>0</v>
      </c>
      <c r="E2398" s="136" t="s">
        <v>416</v>
      </c>
      <c r="F2398" s="137" t="str">
        <f t="shared" si="120"/>
        <v/>
      </c>
      <c r="G2398" s="138" t="e">
        <f>IF(A2398&lt;&gt;"",IF(AND(#REF!="Padrão",$H$4=#REF!),BDI!$B$17,IF(AND(#REF!="Padrão",$H$4=#REF!),BDI!#REF!,IF(AND(#REF!="Diferenciado",$H$4=#REF!),BDI!$E$17,IF(AND(#REF!="Diferenciado",$H$4=#REF!),BDI!#REF!,IF(#REF!="ZERO",0))))),"")</f>
        <v>#REF!</v>
      </c>
      <c r="H2398" s="139" t="str">
        <f t="shared" si="121"/>
        <v/>
      </c>
      <c r="I2398" s="137" t="str">
        <f t="shared" si="122"/>
        <v/>
      </c>
      <c r="J2398" s="117"/>
    </row>
    <row r="2399" spans="1:10" hidden="1" x14ac:dyDescent="0.25">
      <c r="A2399" s="114" t="s">
        <v>5183</v>
      </c>
      <c r="B2399" s="115" t="s">
        <v>3969</v>
      </c>
      <c r="C2399" s="116" t="s">
        <v>16</v>
      </c>
      <c r="D2399" s="116">
        <v>0</v>
      </c>
      <c r="E2399" s="136" t="s">
        <v>416</v>
      </c>
      <c r="F2399" s="137" t="str">
        <f t="shared" si="120"/>
        <v/>
      </c>
      <c r="G2399" s="138" t="e">
        <f>IF(A2399&lt;&gt;"",IF(AND(#REF!="Padrão",$H$4=#REF!),BDI!$B$17,IF(AND(#REF!="Padrão",$H$4=#REF!),BDI!#REF!,IF(AND(#REF!="Diferenciado",$H$4=#REF!),BDI!$E$17,IF(AND(#REF!="Diferenciado",$H$4=#REF!),BDI!#REF!,IF(#REF!="ZERO",0))))),"")</f>
        <v>#REF!</v>
      </c>
      <c r="H2399" s="139" t="str">
        <f t="shared" si="121"/>
        <v/>
      </c>
      <c r="I2399" s="137" t="str">
        <f t="shared" si="122"/>
        <v/>
      </c>
      <c r="J2399" s="117"/>
    </row>
    <row r="2400" spans="1:10" hidden="1" x14ac:dyDescent="0.25">
      <c r="A2400" s="114" t="s">
        <v>5184</v>
      </c>
      <c r="B2400" s="115" t="s">
        <v>3970</v>
      </c>
      <c r="C2400" s="116" t="s">
        <v>16</v>
      </c>
      <c r="D2400" s="116">
        <v>0</v>
      </c>
      <c r="E2400" s="136" t="s">
        <v>416</v>
      </c>
      <c r="F2400" s="137" t="str">
        <f t="shared" si="120"/>
        <v/>
      </c>
      <c r="G2400" s="138" t="e">
        <f>IF(A2400&lt;&gt;"",IF(AND(#REF!="Padrão",$H$4=#REF!),BDI!$B$17,IF(AND(#REF!="Padrão",$H$4=#REF!),BDI!#REF!,IF(AND(#REF!="Diferenciado",$H$4=#REF!),BDI!$E$17,IF(AND(#REF!="Diferenciado",$H$4=#REF!),BDI!#REF!,IF(#REF!="ZERO",0))))),"")</f>
        <v>#REF!</v>
      </c>
      <c r="H2400" s="139" t="str">
        <f t="shared" si="121"/>
        <v/>
      </c>
      <c r="I2400" s="137" t="str">
        <f t="shared" si="122"/>
        <v/>
      </c>
      <c r="J2400" s="117"/>
    </row>
    <row r="2401" spans="1:10" hidden="1" x14ac:dyDescent="0.25">
      <c r="A2401" s="114" t="s">
        <v>5185</v>
      </c>
      <c r="B2401" s="115" t="s">
        <v>5408</v>
      </c>
      <c r="C2401" s="116" t="s">
        <v>16</v>
      </c>
      <c r="D2401" s="116">
        <v>0</v>
      </c>
      <c r="E2401" s="136" t="s">
        <v>416</v>
      </c>
      <c r="F2401" s="137" t="str">
        <f t="shared" si="120"/>
        <v/>
      </c>
      <c r="G2401" s="138" t="e">
        <f>IF(A2401&lt;&gt;"",IF(AND(#REF!="Padrão",$H$4=#REF!),BDI!$B$17,IF(AND(#REF!="Padrão",$H$4=#REF!),BDI!#REF!,IF(AND(#REF!="Diferenciado",$H$4=#REF!),BDI!$E$17,IF(AND(#REF!="Diferenciado",$H$4=#REF!),BDI!#REF!,IF(#REF!="ZERO",0))))),"")</f>
        <v>#REF!</v>
      </c>
      <c r="H2401" s="139" t="str">
        <f t="shared" si="121"/>
        <v/>
      </c>
      <c r="I2401" s="137" t="str">
        <f t="shared" si="122"/>
        <v/>
      </c>
      <c r="J2401" s="117"/>
    </row>
    <row r="2402" spans="1:10" hidden="1" x14ac:dyDescent="0.25">
      <c r="A2402" s="114" t="s">
        <v>5186</v>
      </c>
      <c r="B2402" s="115" t="s">
        <v>3971</v>
      </c>
      <c r="C2402" s="116" t="s">
        <v>16</v>
      </c>
      <c r="D2402" s="116">
        <v>0</v>
      </c>
      <c r="E2402" s="136" t="s">
        <v>416</v>
      </c>
      <c r="F2402" s="137" t="str">
        <f t="shared" si="120"/>
        <v/>
      </c>
      <c r="G2402" s="138" t="e">
        <f>IF(A2402&lt;&gt;"",IF(AND(#REF!="Padrão",$H$4=#REF!),BDI!$B$17,IF(AND(#REF!="Padrão",$H$4=#REF!),BDI!#REF!,IF(AND(#REF!="Diferenciado",$H$4=#REF!),BDI!$E$17,IF(AND(#REF!="Diferenciado",$H$4=#REF!),BDI!#REF!,IF(#REF!="ZERO",0))))),"")</f>
        <v>#REF!</v>
      </c>
      <c r="H2402" s="139" t="str">
        <f t="shared" si="121"/>
        <v/>
      </c>
      <c r="I2402" s="137" t="str">
        <f t="shared" si="122"/>
        <v/>
      </c>
      <c r="J2402" s="117"/>
    </row>
    <row r="2403" spans="1:10" hidden="1" x14ac:dyDescent="0.25">
      <c r="A2403" s="114" t="s">
        <v>5187</v>
      </c>
      <c r="B2403" s="115" t="s">
        <v>5409</v>
      </c>
      <c r="C2403" s="116" t="s">
        <v>16</v>
      </c>
      <c r="D2403" s="116">
        <v>0</v>
      </c>
      <c r="E2403" s="136" t="s">
        <v>416</v>
      </c>
      <c r="F2403" s="137" t="str">
        <f t="shared" si="120"/>
        <v/>
      </c>
      <c r="G2403" s="138" t="e">
        <f>IF(A2403&lt;&gt;"",IF(AND(#REF!="Padrão",$H$4=#REF!),BDI!$B$17,IF(AND(#REF!="Padrão",$H$4=#REF!),BDI!#REF!,IF(AND(#REF!="Diferenciado",$H$4=#REF!),BDI!$E$17,IF(AND(#REF!="Diferenciado",$H$4=#REF!),BDI!#REF!,IF(#REF!="ZERO",0))))),"")</f>
        <v>#REF!</v>
      </c>
      <c r="H2403" s="139" t="str">
        <f t="shared" si="121"/>
        <v/>
      </c>
      <c r="I2403" s="137" t="str">
        <f t="shared" si="122"/>
        <v/>
      </c>
      <c r="J2403" s="117"/>
    </row>
    <row r="2404" spans="1:10" hidden="1" x14ac:dyDescent="0.25">
      <c r="A2404" s="114" t="s">
        <v>5188</v>
      </c>
      <c r="B2404" s="115" t="s">
        <v>5410</v>
      </c>
      <c r="C2404" s="116" t="s">
        <v>16</v>
      </c>
      <c r="D2404" s="116">
        <v>0</v>
      </c>
      <c r="E2404" s="136" t="s">
        <v>416</v>
      </c>
      <c r="F2404" s="137" t="str">
        <f t="shared" si="120"/>
        <v/>
      </c>
      <c r="G2404" s="138" t="e">
        <f>IF(A2404&lt;&gt;"",IF(AND(#REF!="Padrão",$H$4=#REF!),BDI!$B$17,IF(AND(#REF!="Padrão",$H$4=#REF!),BDI!#REF!,IF(AND(#REF!="Diferenciado",$H$4=#REF!),BDI!$E$17,IF(AND(#REF!="Diferenciado",$H$4=#REF!),BDI!#REF!,IF(#REF!="ZERO",0))))),"")</f>
        <v>#REF!</v>
      </c>
      <c r="H2404" s="139" t="str">
        <f t="shared" si="121"/>
        <v/>
      </c>
      <c r="I2404" s="137" t="str">
        <f t="shared" si="122"/>
        <v/>
      </c>
      <c r="J2404" s="117"/>
    </row>
    <row r="2405" spans="1:10" hidden="1" x14ac:dyDescent="0.25">
      <c r="A2405" s="114" t="s">
        <v>5189</v>
      </c>
      <c r="B2405" s="115" t="s">
        <v>3972</v>
      </c>
      <c r="C2405" s="116" t="s">
        <v>16</v>
      </c>
      <c r="D2405" s="116">
        <v>0</v>
      </c>
      <c r="E2405" s="136" t="s">
        <v>416</v>
      </c>
      <c r="F2405" s="137" t="str">
        <f t="shared" si="120"/>
        <v/>
      </c>
      <c r="G2405" s="138" t="e">
        <f>IF(A2405&lt;&gt;"",IF(AND(#REF!="Padrão",$H$4=#REF!),BDI!$B$17,IF(AND(#REF!="Padrão",$H$4=#REF!),BDI!#REF!,IF(AND(#REF!="Diferenciado",$H$4=#REF!),BDI!$E$17,IF(AND(#REF!="Diferenciado",$H$4=#REF!),BDI!#REF!,IF(#REF!="ZERO",0))))),"")</f>
        <v>#REF!</v>
      </c>
      <c r="H2405" s="139" t="str">
        <f t="shared" si="121"/>
        <v/>
      </c>
      <c r="I2405" s="137" t="str">
        <f t="shared" si="122"/>
        <v/>
      </c>
      <c r="J2405" s="117"/>
    </row>
    <row r="2406" spans="1:10" hidden="1" x14ac:dyDescent="0.25">
      <c r="A2406" s="114" t="s">
        <v>5190</v>
      </c>
      <c r="B2406" s="115" t="s">
        <v>3973</v>
      </c>
      <c r="C2406" s="116" t="s">
        <v>16</v>
      </c>
      <c r="D2406" s="116">
        <v>0</v>
      </c>
      <c r="E2406" s="136" t="s">
        <v>416</v>
      </c>
      <c r="F2406" s="137" t="str">
        <f t="shared" si="120"/>
        <v/>
      </c>
      <c r="G2406" s="138" t="e">
        <f>IF(A2406&lt;&gt;"",IF(AND(#REF!="Padrão",$H$4=#REF!),BDI!$B$17,IF(AND(#REF!="Padrão",$H$4=#REF!),BDI!#REF!,IF(AND(#REF!="Diferenciado",$H$4=#REF!),BDI!$E$17,IF(AND(#REF!="Diferenciado",$H$4=#REF!),BDI!#REF!,IF(#REF!="ZERO",0))))),"")</f>
        <v>#REF!</v>
      </c>
      <c r="H2406" s="139" t="str">
        <f t="shared" si="121"/>
        <v/>
      </c>
      <c r="I2406" s="137" t="str">
        <f t="shared" si="122"/>
        <v/>
      </c>
      <c r="J2406" s="117"/>
    </row>
    <row r="2407" spans="1:10" hidden="1" x14ac:dyDescent="0.25">
      <c r="A2407" s="114" t="s">
        <v>5191</v>
      </c>
      <c r="B2407" s="115" t="s">
        <v>3974</v>
      </c>
      <c r="C2407" s="116" t="s">
        <v>16</v>
      </c>
      <c r="D2407" s="116">
        <v>0</v>
      </c>
      <c r="E2407" s="136" t="s">
        <v>416</v>
      </c>
      <c r="F2407" s="137" t="str">
        <f t="shared" si="120"/>
        <v/>
      </c>
      <c r="G2407" s="138" t="e">
        <f>IF(A2407&lt;&gt;"",IF(AND(#REF!="Padrão",$H$4=#REF!),BDI!$B$17,IF(AND(#REF!="Padrão",$H$4=#REF!),BDI!#REF!,IF(AND(#REF!="Diferenciado",$H$4=#REF!),BDI!$E$17,IF(AND(#REF!="Diferenciado",$H$4=#REF!),BDI!#REF!,IF(#REF!="ZERO",0))))),"")</f>
        <v>#REF!</v>
      </c>
      <c r="H2407" s="139" t="str">
        <f t="shared" si="121"/>
        <v/>
      </c>
      <c r="I2407" s="137" t="str">
        <f t="shared" si="122"/>
        <v/>
      </c>
      <c r="J2407" s="117"/>
    </row>
    <row r="2408" spans="1:10" hidden="1" x14ac:dyDescent="0.25">
      <c r="A2408" s="114" t="s">
        <v>5192</v>
      </c>
      <c r="B2408" s="115" t="s">
        <v>3975</v>
      </c>
      <c r="C2408" s="116" t="s">
        <v>16</v>
      </c>
      <c r="D2408" s="116">
        <v>0</v>
      </c>
      <c r="E2408" s="136" t="s">
        <v>416</v>
      </c>
      <c r="F2408" s="137" t="str">
        <f t="shared" si="120"/>
        <v/>
      </c>
      <c r="G2408" s="138" t="e">
        <f>IF(A2408&lt;&gt;"",IF(AND(#REF!="Padrão",$H$4=#REF!),BDI!$B$17,IF(AND(#REF!="Padrão",$H$4=#REF!),BDI!#REF!,IF(AND(#REF!="Diferenciado",$H$4=#REF!),BDI!$E$17,IF(AND(#REF!="Diferenciado",$H$4=#REF!),BDI!#REF!,IF(#REF!="ZERO",0))))),"")</f>
        <v>#REF!</v>
      </c>
      <c r="H2408" s="139" t="str">
        <f t="shared" si="121"/>
        <v/>
      </c>
      <c r="I2408" s="137" t="str">
        <f t="shared" si="122"/>
        <v/>
      </c>
      <c r="J2408" s="117"/>
    </row>
    <row r="2409" spans="1:10" hidden="1" x14ac:dyDescent="0.25">
      <c r="A2409" s="114" t="s">
        <v>5193</v>
      </c>
      <c r="B2409" s="115" t="s">
        <v>3976</v>
      </c>
      <c r="C2409" s="116" t="s">
        <v>16</v>
      </c>
      <c r="D2409" s="116">
        <v>0</v>
      </c>
      <c r="E2409" s="136" t="s">
        <v>416</v>
      </c>
      <c r="F2409" s="137" t="str">
        <f t="shared" si="120"/>
        <v/>
      </c>
      <c r="G2409" s="138" t="e">
        <f>IF(A2409&lt;&gt;"",IF(AND(#REF!="Padrão",$H$4=#REF!),BDI!$B$17,IF(AND(#REF!="Padrão",$H$4=#REF!),BDI!#REF!,IF(AND(#REF!="Diferenciado",$H$4=#REF!),BDI!$E$17,IF(AND(#REF!="Diferenciado",$H$4=#REF!),BDI!#REF!,IF(#REF!="ZERO",0))))),"")</f>
        <v>#REF!</v>
      </c>
      <c r="H2409" s="139" t="str">
        <f t="shared" si="121"/>
        <v/>
      </c>
      <c r="I2409" s="137" t="str">
        <f t="shared" si="122"/>
        <v/>
      </c>
      <c r="J2409" s="117"/>
    </row>
    <row r="2410" spans="1:10" hidden="1" x14ac:dyDescent="0.25">
      <c r="A2410" s="114" t="s">
        <v>5194</v>
      </c>
      <c r="B2410" s="115" t="s">
        <v>3977</v>
      </c>
      <c r="C2410" s="116" t="s">
        <v>16</v>
      </c>
      <c r="D2410" s="116">
        <v>0</v>
      </c>
      <c r="E2410" s="136" t="s">
        <v>416</v>
      </c>
      <c r="F2410" s="137" t="str">
        <f t="shared" si="120"/>
        <v/>
      </c>
      <c r="G2410" s="138" t="e">
        <f>IF(A2410&lt;&gt;"",IF(AND(#REF!="Padrão",$H$4=#REF!),BDI!$B$17,IF(AND(#REF!="Padrão",$H$4=#REF!),BDI!#REF!,IF(AND(#REF!="Diferenciado",$H$4=#REF!),BDI!$E$17,IF(AND(#REF!="Diferenciado",$H$4=#REF!),BDI!#REF!,IF(#REF!="ZERO",0))))),"")</f>
        <v>#REF!</v>
      </c>
      <c r="H2410" s="139" t="str">
        <f t="shared" si="121"/>
        <v/>
      </c>
      <c r="I2410" s="137" t="str">
        <f t="shared" si="122"/>
        <v/>
      </c>
      <c r="J2410" s="117"/>
    </row>
    <row r="2411" spans="1:10" hidden="1" x14ac:dyDescent="0.25">
      <c r="A2411" s="114" t="s">
        <v>5195</v>
      </c>
      <c r="B2411" s="115" t="s">
        <v>3978</v>
      </c>
      <c r="C2411" s="116" t="s">
        <v>16</v>
      </c>
      <c r="D2411" s="116">
        <v>0</v>
      </c>
      <c r="E2411" s="136" t="s">
        <v>416</v>
      </c>
      <c r="F2411" s="137" t="str">
        <f t="shared" si="120"/>
        <v/>
      </c>
      <c r="G2411" s="138" t="e">
        <f>IF(A2411&lt;&gt;"",IF(AND(#REF!="Padrão",$H$4=#REF!),BDI!$B$17,IF(AND(#REF!="Padrão",$H$4=#REF!),BDI!#REF!,IF(AND(#REF!="Diferenciado",$H$4=#REF!),BDI!$E$17,IF(AND(#REF!="Diferenciado",$H$4=#REF!),BDI!#REF!,IF(#REF!="ZERO",0))))),"")</f>
        <v>#REF!</v>
      </c>
      <c r="H2411" s="139" t="str">
        <f t="shared" si="121"/>
        <v/>
      </c>
      <c r="I2411" s="137" t="str">
        <f t="shared" si="122"/>
        <v/>
      </c>
      <c r="J2411" s="117"/>
    </row>
    <row r="2412" spans="1:10" hidden="1" x14ac:dyDescent="0.25">
      <c r="A2412" s="114" t="s">
        <v>5196</v>
      </c>
      <c r="B2412" s="115" t="s">
        <v>3979</v>
      </c>
      <c r="C2412" s="116" t="s">
        <v>16</v>
      </c>
      <c r="D2412" s="116">
        <v>0</v>
      </c>
      <c r="E2412" s="136" t="s">
        <v>416</v>
      </c>
      <c r="F2412" s="137" t="str">
        <f t="shared" si="120"/>
        <v/>
      </c>
      <c r="G2412" s="138" t="e">
        <f>IF(A2412&lt;&gt;"",IF(AND(#REF!="Padrão",$H$4=#REF!),BDI!$B$17,IF(AND(#REF!="Padrão",$H$4=#REF!),BDI!#REF!,IF(AND(#REF!="Diferenciado",$H$4=#REF!),BDI!$E$17,IF(AND(#REF!="Diferenciado",$H$4=#REF!),BDI!#REF!,IF(#REF!="ZERO",0))))),"")</f>
        <v>#REF!</v>
      </c>
      <c r="H2412" s="139" t="str">
        <f t="shared" si="121"/>
        <v/>
      </c>
      <c r="I2412" s="137" t="str">
        <f t="shared" si="122"/>
        <v/>
      </c>
      <c r="J2412" s="117"/>
    </row>
    <row r="2413" spans="1:10" hidden="1" x14ac:dyDescent="0.25">
      <c r="A2413" s="114" t="s">
        <v>5197</v>
      </c>
      <c r="B2413" s="115" t="s">
        <v>3980</v>
      </c>
      <c r="C2413" s="116" t="s">
        <v>16</v>
      </c>
      <c r="D2413" s="116">
        <v>0</v>
      </c>
      <c r="E2413" s="136" t="s">
        <v>416</v>
      </c>
      <c r="F2413" s="137" t="str">
        <f t="shared" ref="F2413:F2476" si="123">IF(ISNUMBER(E2413),D2413*E2413,"")</f>
        <v/>
      </c>
      <c r="G2413" s="138" t="e">
        <f>IF(A2413&lt;&gt;"",IF(AND(#REF!="Padrão",$H$4=#REF!),BDI!$B$17,IF(AND(#REF!="Padrão",$H$4=#REF!),BDI!#REF!,IF(AND(#REF!="Diferenciado",$H$4=#REF!),BDI!$E$17,IF(AND(#REF!="Diferenciado",$H$4=#REF!),BDI!#REF!,IF(#REF!="ZERO",0))))),"")</f>
        <v>#REF!</v>
      </c>
      <c r="H2413" s="139" t="str">
        <f t="shared" ref="H2413:H2476" si="124">IF(ISNUMBER(E2413),ROUND(E2413*(1+G2413),2),"")</f>
        <v/>
      </c>
      <c r="I2413" s="137" t="str">
        <f t="shared" ref="I2413:I2476" si="125">IF(ISNUMBER(E2413),ROUND(H2413*D2413,2),"")</f>
        <v/>
      </c>
      <c r="J2413" s="117"/>
    </row>
    <row r="2414" spans="1:10" hidden="1" x14ac:dyDescent="0.25">
      <c r="A2414" s="114" t="s">
        <v>5198</v>
      </c>
      <c r="B2414" s="115" t="s">
        <v>3981</v>
      </c>
      <c r="C2414" s="116" t="s">
        <v>16</v>
      </c>
      <c r="D2414" s="116">
        <v>0</v>
      </c>
      <c r="E2414" s="136" t="s">
        <v>416</v>
      </c>
      <c r="F2414" s="137" t="str">
        <f t="shared" si="123"/>
        <v/>
      </c>
      <c r="G2414" s="138" t="e">
        <f>IF(A2414&lt;&gt;"",IF(AND(#REF!="Padrão",$H$4=#REF!),BDI!$B$17,IF(AND(#REF!="Padrão",$H$4=#REF!),BDI!#REF!,IF(AND(#REF!="Diferenciado",$H$4=#REF!),BDI!$E$17,IF(AND(#REF!="Diferenciado",$H$4=#REF!),BDI!#REF!,IF(#REF!="ZERO",0))))),"")</f>
        <v>#REF!</v>
      </c>
      <c r="H2414" s="139" t="str">
        <f t="shared" si="124"/>
        <v/>
      </c>
      <c r="I2414" s="137" t="str">
        <f t="shared" si="125"/>
        <v/>
      </c>
      <c r="J2414" s="117"/>
    </row>
    <row r="2415" spans="1:10" hidden="1" x14ac:dyDescent="0.25">
      <c r="A2415" s="114" t="s">
        <v>5199</v>
      </c>
      <c r="B2415" s="115" t="s">
        <v>3982</v>
      </c>
      <c r="C2415" s="116" t="s">
        <v>16</v>
      </c>
      <c r="D2415" s="116">
        <v>0</v>
      </c>
      <c r="E2415" s="136" t="s">
        <v>416</v>
      </c>
      <c r="F2415" s="137" t="str">
        <f t="shared" si="123"/>
        <v/>
      </c>
      <c r="G2415" s="138" t="e">
        <f>IF(A2415&lt;&gt;"",IF(AND(#REF!="Padrão",$H$4=#REF!),BDI!$B$17,IF(AND(#REF!="Padrão",$H$4=#REF!),BDI!#REF!,IF(AND(#REF!="Diferenciado",$H$4=#REF!),BDI!$E$17,IF(AND(#REF!="Diferenciado",$H$4=#REF!),BDI!#REF!,IF(#REF!="ZERO",0))))),"")</f>
        <v>#REF!</v>
      </c>
      <c r="H2415" s="139" t="str">
        <f t="shared" si="124"/>
        <v/>
      </c>
      <c r="I2415" s="137" t="str">
        <f t="shared" si="125"/>
        <v/>
      </c>
      <c r="J2415" s="117"/>
    </row>
    <row r="2416" spans="1:10" hidden="1" x14ac:dyDescent="0.25">
      <c r="A2416" s="114" t="s">
        <v>5200</v>
      </c>
      <c r="B2416" s="115" t="s">
        <v>3983</v>
      </c>
      <c r="C2416" s="116" t="s">
        <v>69</v>
      </c>
      <c r="D2416" s="116">
        <v>0</v>
      </c>
      <c r="E2416" s="136" t="s">
        <v>416</v>
      </c>
      <c r="F2416" s="137" t="str">
        <f t="shared" si="123"/>
        <v/>
      </c>
      <c r="G2416" s="138" t="e">
        <f>IF(A2416&lt;&gt;"",IF(AND(#REF!="Padrão",$H$4=#REF!),BDI!$B$17,IF(AND(#REF!="Padrão",$H$4=#REF!),BDI!#REF!,IF(AND(#REF!="Diferenciado",$H$4=#REF!),BDI!$E$17,IF(AND(#REF!="Diferenciado",$H$4=#REF!),BDI!#REF!,IF(#REF!="ZERO",0))))),"")</f>
        <v>#REF!</v>
      </c>
      <c r="H2416" s="139" t="str">
        <f t="shared" si="124"/>
        <v/>
      </c>
      <c r="I2416" s="137" t="str">
        <f t="shared" si="125"/>
        <v/>
      </c>
      <c r="J2416" s="117"/>
    </row>
    <row r="2417" spans="1:10" hidden="1" x14ac:dyDescent="0.25">
      <c r="A2417" s="114" t="s">
        <v>5201</v>
      </c>
      <c r="B2417" s="115" t="s">
        <v>3984</v>
      </c>
      <c r="C2417" s="116" t="s">
        <v>16</v>
      </c>
      <c r="D2417" s="116">
        <v>0</v>
      </c>
      <c r="E2417" s="136" t="s">
        <v>416</v>
      </c>
      <c r="F2417" s="137" t="str">
        <f t="shared" si="123"/>
        <v/>
      </c>
      <c r="G2417" s="138" t="e">
        <f>IF(A2417&lt;&gt;"",IF(AND(#REF!="Padrão",$H$4=#REF!),BDI!$B$17,IF(AND(#REF!="Padrão",$H$4=#REF!),BDI!#REF!,IF(AND(#REF!="Diferenciado",$H$4=#REF!),BDI!$E$17,IF(AND(#REF!="Diferenciado",$H$4=#REF!),BDI!#REF!,IF(#REF!="ZERO",0))))),"")</f>
        <v>#REF!</v>
      </c>
      <c r="H2417" s="139" t="str">
        <f t="shared" si="124"/>
        <v/>
      </c>
      <c r="I2417" s="137" t="str">
        <f t="shared" si="125"/>
        <v/>
      </c>
      <c r="J2417" s="117"/>
    </row>
    <row r="2418" spans="1:10" hidden="1" x14ac:dyDescent="0.25">
      <c r="A2418" s="114" t="s">
        <v>5202</v>
      </c>
      <c r="B2418" s="115" t="s">
        <v>3985</v>
      </c>
      <c r="C2418" s="116" t="s">
        <v>16</v>
      </c>
      <c r="D2418" s="116">
        <v>0</v>
      </c>
      <c r="E2418" s="136" t="s">
        <v>416</v>
      </c>
      <c r="F2418" s="137" t="str">
        <f t="shared" si="123"/>
        <v/>
      </c>
      <c r="G2418" s="138" t="e">
        <f>IF(A2418&lt;&gt;"",IF(AND(#REF!="Padrão",$H$4=#REF!),BDI!$B$17,IF(AND(#REF!="Padrão",$H$4=#REF!),BDI!#REF!,IF(AND(#REF!="Diferenciado",$H$4=#REF!),BDI!$E$17,IF(AND(#REF!="Diferenciado",$H$4=#REF!),BDI!#REF!,IF(#REF!="ZERO",0))))),"")</f>
        <v>#REF!</v>
      </c>
      <c r="H2418" s="139" t="str">
        <f t="shared" si="124"/>
        <v/>
      </c>
      <c r="I2418" s="137" t="str">
        <f t="shared" si="125"/>
        <v/>
      </c>
      <c r="J2418" s="117"/>
    </row>
    <row r="2419" spans="1:10" hidden="1" x14ac:dyDescent="0.25">
      <c r="A2419" s="114" t="s">
        <v>5203</v>
      </c>
      <c r="B2419" s="115" t="s">
        <v>3986</v>
      </c>
      <c r="C2419" s="116" t="s">
        <v>16</v>
      </c>
      <c r="D2419" s="116">
        <v>0</v>
      </c>
      <c r="E2419" s="136" t="s">
        <v>416</v>
      </c>
      <c r="F2419" s="137" t="str">
        <f t="shared" si="123"/>
        <v/>
      </c>
      <c r="G2419" s="138" t="e">
        <f>IF(A2419&lt;&gt;"",IF(AND(#REF!="Padrão",$H$4=#REF!),BDI!$B$17,IF(AND(#REF!="Padrão",$H$4=#REF!),BDI!#REF!,IF(AND(#REF!="Diferenciado",$H$4=#REF!),BDI!$E$17,IF(AND(#REF!="Diferenciado",$H$4=#REF!),BDI!#REF!,IF(#REF!="ZERO",0))))),"")</f>
        <v>#REF!</v>
      </c>
      <c r="H2419" s="139" t="str">
        <f t="shared" si="124"/>
        <v/>
      </c>
      <c r="I2419" s="137" t="str">
        <f t="shared" si="125"/>
        <v/>
      </c>
      <c r="J2419" s="117"/>
    </row>
    <row r="2420" spans="1:10" hidden="1" x14ac:dyDescent="0.25">
      <c r="A2420" s="114" t="s">
        <v>5204</v>
      </c>
      <c r="B2420" s="115" t="s">
        <v>3987</v>
      </c>
      <c r="C2420" s="116" t="s">
        <v>16</v>
      </c>
      <c r="D2420" s="116">
        <v>0</v>
      </c>
      <c r="E2420" s="136" t="s">
        <v>416</v>
      </c>
      <c r="F2420" s="137" t="str">
        <f t="shared" si="123"/>
        <v/>
      </c>
      <c r="G2420" s="138" t="e">
        <f>IF(A2420&lt;&gt;"",IF(AND(#REF!="Padrão",$H$4=#REF!),BDI!$B$17,IF(AND(#REF!="Padrão",$H$4=#REF!),BDI!#REF!,IF(AND(#REF!="Diferenciado",$H$4=#REF!),BDI!$E$17,IF(AND(#REF!="Diferenciado",$H$4=#REF!),BDI!#REF!,IF(#REF!="ZERO",0))))),"")</f>
        <v>#REF!</v>
      </c>
      <c r="H2420" s="139" t="str">
        <f t="shared" si="124"/>
        <v/>
      </c>
      <c r="I2420" s="137" t="str">
        <f t="shared" si="125"/>
        <v/>
      </c>
      <c r="J2420" s="117"/>
    </row>
    <row r="2421" spans="1:10" hidden="1" x14ac:dyDescent="0.25">
      <c r="A2421" s="114" t="s">
        <v>5205</v>
      </c>
      <c r="B2421" s="115" t="s">
        <v>3988</v>
      </c>
      <c r="C2421" s="116" t="s">
        <v>16</v>
      </c>
      <c r="D2421" s="116">
        <v>0</v>
      </c>
      <c r="E2421" s="136" t="s">
        <v>416</v>
      </c>
      <c r="F2421" s="137" t="str">
        <f t="shared" si="123"/>
        <v/>
      </c>
      <c r="G2421" s="138" t="e">
        <f>IF(A2421&lt;&gt;"",IF(AND(#REF!="Padrão",$H$4=#REF!),BDI!$B$17,IF(AND(#REF!="Padrão",$H$4=#REF!),BDI!#REF!,IF(AND(#REF!="Diferenciado",$H$4=#REF!),BDI!$E$17,IF(AND(#REF!="Diferenciado",$H$4=#REF!),BDI!#REF!,IF(#REF!="ZERO",0))))),"")</f>
        <v>#REF!</v>
      </c>
      <c r="H2421" s="139" t="str">
        <f t="shared" si="124"/>
        <v/>
      </c>
      <c r="I2421" s="137" t="str">
        <f t="shared" si="125"/>
        <v/>
      </c>
      <c r="J2421" s="117"/>
    </row>
    <row r="2422" spans="1:10" hidden="1" x14ac:dyDescent="0.25">
      <c r="A2422" s="114" t="s">
        <v>5206</v>
      </c>
      <c r="B2422" s="115" t="s">
        <v>3989</v>
      </c>
      <c r="C2422" s="116" t="s">
        <v>16</v>
      </c>
      <c r="D2422" s="116">
        <v>0</v>
      </c>
      <c r="E2422" s="136" t="s">
        <v>416</v>
      </c>
      <c r="F2422" s="137" t="str">
        <f t="shared" si="123"/>
        <v/>
      </c>
      <c r="G2422" s="138" t="e">
        <f>IF(A2422&lt;&gt;"",IF(AND(#REF!="Padrão",$H$4=#REF!),BDI!$B$17,IF(AND(#REF!="Padrão",$H$4=#REF!),BDI!#REF!,IF(AND(#REF!="Diferenciado",$H$4=#REF!),BDI!$E$17,IF(AND(#REF!="Diferenciado",$H$4=#REF!),BDI!#REF!,IF(#REF!="ZERO",0))))),"")</f>
        <v>#REF!</v>
      </c>
      <c r="H2422" s="139" t="str">
        <f t="shared" si="124"/>
        <v/>
      </c>
      <c r="I2422" s="137" t="str">
        <f t="shared" si="125"/>
        <v/>
      </c>
      <c r="J2422" s="117"/>
    </row>
    <row r="2423" spans="1:10" hidden="1" x14ac:dyDescent="0.25">
      <c r="A2423" s="114" t="s">
        <v>5207</v>
      </c>
      <c r="B2423" s="115" t="s">
        <v>3990</v>
      </c>
      <c r="C2423" s="116" t="s">
        <v>16</v>
      </c>
      <c r="D2423" s="116">
        <v>0</v>
      </c>
      <c r="E2423" s="136" t="s">
        <v>416</v>
      </c>
      <c r="F2423" s="137" t="str">
        <f t="shared" si="123"/>
        <v/>
      </c>
      <c r="G2423" s="138" t="e">
        <f>IF(A2423&lt;&gt;"",IF(AND(#REF!="Padrão",$H$4=#REF!),BDI!$B$17,IF(AND(#REF!="Padrão",$H$4=#REF!),BDI!#REF!,IF(AND(#REF!="Diferenciado",$H$4=#REF!),BDI!$E$17,IF(AND(#REF!="Diferenciado",$H$4=#REF!),BDI!#REF!,IF(#REF!="ZERO",0))))),"")</f>
        <v>#REF!</v>
      </c>
      <c r="H2423" s="139" t="str">
        <f t="shared" si="124"/>
        <v/>
      </c>
      <c r="I2423" s="137" t="str">
        <f t="shared" si="125"/>
        <v/>
      </c>
      <c r="J2423" s="117"/>
    </row>
    <row r="2424" spans="1:10" hidden="1" x14ac:dyDescent="0.25">
      <c r="A2424" s="114" t="s">
        <v>5208</v>
      </c>
      <c r="B2424" s="115" t="s">
        <v>3991</v>
      </c>
      <c r="C2424" s="116" t="s">
        <v>16</v>
      </c>
      <c r="D2424" s="116">
        <v>0</v>
      </c>
      <c r="E2424" s="136" t="s">
        <v>416</v>
      </c>
      <c r="F2424" s="137" t="str">
        <f t="shared" si="123"/>
        <v/>
      </c>
      <c r="G2424" s="138" t="e">
        <f>IF(A2424&lt;&gt;"",IF(AND(#REF!="Padrão",$H$4=#REF!),BDI!$B$17,IF(AND(#REF!="Padrão",$H$4=#REF!),BDI!#REF!,IF(AND(#REF!="Diferenciado",$H$4=#REF!),BDI!$E$17,IF(AND(#REF!="Diferenciado",$H$4=#REF!),BDI!#REF!,IF(#REF!="ZERO",0))))),"")</f>
        <v>#REF!</v>
      </c>
      <c r="H2424" s="139" t="str">
        <f t="shared" si="124"/>
        <v/>
      </c>
      <c r="I2424" s="137" t="str">
        <f t="shared" si="125"/>
        <v/>
      </c>
      <c r="J2424" s="117"/>
    </row>
    <row r="2425" spans="1:10" hidden="1" x14ac:dyDescent="0.25">
      <c r="A2425" s="114" t="s">
        <v>5209</v>
      </c>
      <c r="B2425" s="115" t="s">
        <v>3992</v>
      </c>
      <c r="C2425" s="116" t="s">
        <v>16</v>
      </c>
      <c r="D2425" s="116">
        <v>0</v>
      </c>
      <c r="E2425" s="136" t="s">
        <v>416</v>
      </c>
      <c r="F2425" s="137" t="str">
        <f t="shared" si="123"/>
        <v/>
      </c>
      <c r="G2425" s="138" t="e">
        <f>IF(A2425&lt;&gt;"",IF(AND(#REF!="Padrão",$H$4=#REF!),BDI!$B$17,IF(AND(#REF!="Padrão",$H$4=#REF!),BDI!#REF!,IF(AND(#REF!="Diferenciado",$H$4=#REF!),BDI!$E$17,IF(AND(#REF!="Diferenciado",$H$4=#REF!),BDI!#REF!,IF(#REF!="ZERO",0))))),"")</f>
        <v>#REF!</v>
      </c>
      <c r="H2425" s="139" t="str">
        <f t="shared" si="124"/>
        <v/>
      </c>
      <c r="I2425" s="137" t="str">
        <f t="shared" si="125"/>
        <v/>
      </c>
      <c r="J2425" s="117"/>
    </row>
    <row r="2426" spans="1:10" hidden="1" x14ac:dyDescent="0.25">
      <c r="A2426" s="114" t="s">
        <v>5210</v>
      </c>
      <c r="B2426" s="115" t="s">
        <v>3993</v>
      </c>
      <c r="C2426" s="116" t="s">
        <v>16</v>
      </c>
      <c r="D2426" s="116">
        <v>0</v>
      </c>
      <c r="E2426" s="136" t="s">
        <v>416</v>
      </c>
      <c r="F2426" s="137" t="str">
        <f t="shared" si="123"/>
        <v/>
      </c>
      <c r="G2426" s="138" t="e">
        <f>IF(A2426&lt;&gt;"",IF(AND(#REF!="Padrão",$H$4=#REF!),BDI!$B$17,IF(AND(#REF!="Padrão",$H$4=#REF!),BDI!#REF!,IF(AND(#REF!="Diferenciado",$H$4=#REF!),BDI!$E$17,IF(AND(#REF!="Diferenciado",$H$4=#REF!),BDI!#REF!,IF(#REF!="ZERO",0))))),"")</f>
        <v>#REF!</v>
      </c>
      <c r="H2426" s="139" t="str">
        <f t="shared" si="124"/>
        <v/>
      </c>
      <c r="I2426" s="137" t="str">
        <f t="shared" si="125"/>
        <v/>
      </c>
      <c r="J2426" s="117"/>
    </row>
    <row r="2427" spans="1:10" hidden="1" x14ac:dyDescent="0.25">
      <c r="A2427" s="114" t="s">
        <v>5211</v>
      </c>
      <c r="B2427" s="115" t="s">
        <v>3994</v>
      </c>
      <c r="C2427" s="116" t="s">
        <v>16</v>
      </c>
      <c r="D2427" s="116">
        <v>0</v>
      </c>
      <c r="E2427" s="136" t="s">
        <v>416</v>
      </c>
      <c r="F2427" s="137" t="str">
        <f t="shared" si="123"/>
        <v/>
      </c>
      <c r="G2427" s="138" t="e">
        <f>IF(A2427&lt;&gt;"",IF(AND(#REF!="Padrão",$H$4=#REF!),BDI!$B$17,IF(AND(#REF!="Padrão",$H$4=#REF!),BDI!#REF!,IF(AND(#REF!="Diferenciado",$H$4=#REF!),BDI!$E$17,IF(AND(#REF!="Diferenciado",$H$4=#REF!),BDI!#REF!,IF(#REF!="ZERO",0))))),"")</f>
        <v>#REF!</v>
      </c>
      <c r="H2427" s="139" t="str">
        <f t="shared" si="124"/>
        <v/>
      </c>
      <c r="I2427" s="137" t="str">
        <f t="shared" si="125"/>
        <v/>
      </c>
      <c r="J2427" s="117"/>
    </row>
    <row r="2428" spans="1:10" hidden="1" x14ac:dyDescent="0.25">
      <c r="A2428" s="114" t="s">
        <v>5212</v>
      </c>
      <c r="B2428" s="115" t="s">
        <v>3995</v>
      </c>
      <c r="C2428" s="116" t="s">
        <v>16</v>
      </c>
      <c r="D2428" s="116">
        <v>0</v>
      </c>
      <c r="E2428" s="136" t="s">
        <v>416</v>
      </c>
      <c r="F2428" s="137" t="str">
        <f t="shared" si="123"/>
        <v/>
      </c>
      <c r="G2428" s="138" t="e">
        <f>IF(A2428&lt;&gt;"",IF(AND(#REF!="Padrão",$H$4=#REF!),BDI!$B$17,IF(AND(#REF!="Padrão",$H$4=#REF!),BDI!#REF!,IF(AND(#REF!="Diferenciado",$H$4=#REF!),BDI!$E$17,IF(AND(#REF!="Diferenciado",$H$4=#REF!),BDI!#REF!,IF(#REF!="ZERO",0))))),"")</f>
        <v>#REF!</v>
      </c>
      <c r="H2428" s="139" t="str">
        <f t="shared" si="124"/>
        <v/>
      </c>
      <c r="I2428" s="137" t="str">
        <f t="shared" si="125"/>
        <v/>
      </c>
      <c r="J2428" s="117"/>
    </row>
    <row r="2429" spans="1:10" hidden="1" x14ac:dyDescent="0.25">
      <c r="A2429" s="114" t="s">
        <v>5213</v>
      </c>
      <c r="B2429" s="115" t="s">
        <v>3996</v>
      </c>
      <c r="C2429" s="116" t="s">
        <v>16</v>
      </c>
      <c r="D2429" s="116">
        <v>0</v>
      </c>
      <c r="E2429" s="136" t="s">
        <v>416</v>
      </c>
      <c r="F2429" s="137" t="str">
        <f t="shared" si="123"/>
        <v/>
      </c>
      <c r="G2429" s="138" t="e">
        <f>IF(A2429&lt;&gt;"",IF(AND(#REF!="Padrão",$H$4=#REF!),BDI!$B$17,IF(AND(#REF!="Padrão",$H$4=#REF!),BDI!#REF!,IF(AND(#REF!="Diferenciado",$H$4=#REF!),BDI!$E$17,IF(AND(#REF!="Diferenciado",$H$4=#REF!),BDI!#REF!,IF(#REF!="ZERO",0))))),"")</f>
        <v>#REF!</v>
      </c>
      <c r="H2429" s="139" t="str">
        <f t="shared" si="124"/>
        <v/>
      </c>
      <c r="I2429" s="137" t="str">
        <f t="shared" si="125"/>
        <v/>
      </c>
      <c r="J2429" s="117"/>
    </row>
    <row r="2430" spans="1:10" hidden="1" x14ac:dyDescent="0.25">
      <c r="A2430" s="114" t="s">
        <v>5214</v>
      </c>
      <c r="B2430" s="115" t="s">
        <v>3997</v>
      </c>
      <c r="C2430" s="116" t="s">
        <v>16</v>
      </c>
      <c r="D2430" s="116">
        <v>0</v>
      </c>
      <c r="E2430" s="136" t="s">
        <v>416</v>
      </c>
      <c r="F2430" s="137" t="str">
        <f t="shared" si="123"/>
        <v/>
      </c>
      <c r="G2430" s="138" t="e">
        <f>IF(A2430&lt;&gt;"",IF(AND(#REF!="Padrão",$H$4=#REF!),BDI!$B$17,IF(AND(#REF!="Padrão",$H$4=#REF!),BDI!#REF!,IF(AND(#REF!="Diferenciado",$H$4=#REF!),BDI!$E$17,IF(AND(#REF!="Diferenciado",$H$4=#REF!),BDI!#REF!,IF(#REF!="ZERO",0))))),"")</f>
        <v>#REF!</v>
      </c>
      <c r="H2430" s="139" t="str">
        <f t="shared" si="124"/>
        <v/>
      </c>
      <c r="I2430" s="137" t="str">
        <f t="shared" si="125"/>
        <v/>
      </c>
      <c r="J2430" s="117"/>
    </row>
    <row r="2431" spans="1:10" hidden="1" x14ac:dyDescent="0.25">
      <c r="A2431" s="114" t="s">
        <v>5215</v>
      </c>
      <c r="B2431" s="115" t="s">
        <v>3998</v>
      </c>
      <c r="C2431" s="116" t="s">
        <v>16</v>
      </c>
      <c r="D2431" s="116">
        <v>0</v>
      </c>
      <c r="E2431" s="136" t="s">
        <v>416</v>
      </c>
      <c r="F2431" s="137" t="str">
        <f t="shared" si="123"/>
        <v/>
      </c>
      <c r="G2431" s="138" t="e">
        <f>IF(A2431&lt;&gt;"",IF(AND(#REF!="Padrão",$H$4=#REF!),BDI!$B$17,IF(AND(#REF!="Padrão",$H$4=#REF!),BDI!#REF!,IF(AND(#REF!="Diferenciado",$H$4=#REF!),BDI!$E$17,IF(AND(#REF!="Diferenciado",$H$4=#REF!),BDI!#REF!,IF(#REF!="ZERO",0))))),"")</f>
        <v>#REF!</v>
      </c>
      <c r="H2431" s="139" t="str">
        <f t="shared" si="124"/>
        <v/>
      </c>
      <c r="I2431" s="137" t="str">
        <f t="shared" si="125"/>
        <v/>
      </c>
      <c r="J2431" s="117"/>
    </row>
    <row r="2432" spans="1:10" hidden="1" x14ac:dyDescent="0.25">
      <c r="A2432" s="114" t="s">
        <v>5216</v>
      </c>
      <c r="B2432" s="115" t="s">
        <v>3999</v>
      </c>
      <c r="C2432" s="116" t="s">
        <v>16</v>
      </c>
      <c r="D2432" s="116">
        <v>0</v>
      </c>
      <c r="E2432" s="136" t="s">
        <v>416</v>
      </c>
      <c r="F2432" s="137" t="str">
        <f t="shared" si="123"/>
        <v/>
      </c>
      <c r="G2432" s="138" t="e">
        <f>IF(A2432&lt;&gt;"",IF(AND(#REF!="Padrão",$H$4=#REF!),BDI!$B$17,IF(AND(#REF!="Padrão",$H$4=#REF!),BDI!#REF!,IF(AND(#REF!="Diferenciado",$H$4=#REF!),BDI!$E$17,IF(AND(#REF!="Diferenciado",$H$4=#REF!),BDI!#REF!,IF(#REF!="ZERO",0))))),"")</f>
        <v>#REF!</v>
      </c>
      <c r="H2432" s="139" t="str">
        <f t="shared" si="124"/>
        <v/>
      </c>
      <c r="I2432" s="137" t="str">
        <f t="shared" si="125"/>
        <v/>
      </c>
      <c r="J2432" s="117"/>
    </row>
    <row r="2433" spans="1:10" hidden="1" x14ac:dyDescent="0.25">
      <c r="A2433" s="114" t="s">
        <v>5217</v>
      </c>
      <c r="B2433" s="115" t="s">
        <v>4000</v>
      </c>
      <c r="C2433" s="116" t="s">
        <v>16</v>
      </c>
      <c r="D2433" s="116">
        <v>0</v>
      </c>
      <c r="E2433" s="136" t="s">
        <v>416</v>
      </c>
      <c r="F2433" s="137" t="str">
        <f t="shared" si="123"/>
        <v/>
      </c>
      <c r="G2433" s="138" t="e">
        <f>IF(A2433&lt;&gt;"",IF(AND(#REF!="Padrão",$H$4=#REF!),BDI!$B$17,IF(AND(#REF!="Padrão",$H$4=#REF!),BDI!#REF!,IF(AND(#REF!="Diferenciado",$H$4=#REF!),BDI!$E$17,IF(AND(#REF!="Diferenciado",$H$4=#REF!),BDI!#REF!,IF(#REF!="ZERO",0))))),"")</f>
        <v>#REF!</v>
      </c>
      <c r="H2433" s="139" t="str">
        <f t="shared" si="124"/>
        <v/>
      </c>
      <c r="I2433" s="137" t="str">
        <f t="shared" si="125"/>
        <v/>
      </c>
      <c r="J2433" s="117"/>
    </row>
    <row r="2434" spans="1:10" hidden="1" x14ac:dyDescent="0.25">
      <c r="A2434" s="114" t="s">
        <v>5218</v>
      </c>
      <c r="B2434" s="115" t="s">
        <v>5615</v>
      </c>
      <c r="C2434" s="116" t="s">
        <v>16</v>
      </c>
      <c r="D2434" s="116">
        <v>0</v>
      </c>
      <c r="E2434" s="136" t="s">
        <v>416</v>
      </c>
      <c r="F2434" s="137" t="str">
        <f t="shared" si="123"/>
        <v/>
      </c>
      <c r="G2434" s="138" t="e">
        <f>IF(A2434&lt;&gt;"",IF(AND(#REF!="Padrão",$H$4=#REF!),BDI!$B$17,IF(AND(#REF!="Padrão",$H$4=#REF!),BDI!#REF!,IF(AND(#REF!="Diferenciado",$H$4=#REF!),BDI!$E$17,IF(AND(#REF!="Diferenciado",$H$4=#REF!),BDI!#REF!,IF(#REF!="ZERO",0))))),"")</f>
        <v>#REF!</v>
      </c>
      <c r="H2434" s="139" t="str">
        <f t="shared" si="124"/>
        <v/>
      </c>
      <c r="I2434" s="137" t="str">
        <f t="shared" si="125"/>
        <v/>
      </c>
      <c r="J2434" s="117"/>
    </row>
    <row r="2435" spans="1:10" hidden="1" x14ac:dyDescent="0.25">
      <c r="A2435" s="114" t="s">
        <v>5219</v>
      </c>
      <c r="B2435" s="115" t="s">
        <v>5616</v>
      </c>
      <c r="C2435" s="116" t="s">
        <v>16</v>
      </c>
      <c r="D2435" s="116">
        <v>0</v>
      </c>
      <c r="E2435" s="136" t="s">
        <v>416</v>
      </c>
      <c r="F2435" s="137" t="str">
        <f t="shared" si="123"/>
        <v/>
      </c>
      <c r="G2435" s="138" t="e">
        <f>IF(A2435&lt;&gt;"",IF(AND(#REF!="Padrão",$H$4=#REF!),BDI!$B$17,IF(AND(#REF!="Padrão",$H$4=#REF!),BDI!#REF!,IF(AND(#REF!="Diferenciado",$H$4=#REF!),BDI!$E$17,IF(AND(#REF!="Diferenciado",$H$4=#REF!),BDI!#REF!,IF(#REF!="ZERO",0))))),"")</f>
        <v>#REF!</v>
      </c>
      <c r="H2435" s="139" t="str">
        <f t="shared" si="124"/>
        <v/>
      </c>
      <c r="I2435" s="137" t="str">
        <f t="shared" si="125"/>
        <v/>
      </c>
      <c r="J2435" s="117"/>
    </row>
    <row r="2436" spans="1:10" hidden="1" x14ac:dyDescent="0.25">
      <c r="A2436" s="114" t="s">
        <v>5220</v>
      </c>
      <c r="B2436" s="115" t="s">
        <v>7398</v>
      </c>
      <c r="C2436" s="116" t="s">
        <v>16</v>
      </c>
      <c r="D2436" s="116">
        <v>0</v>
      </c>
      <c r="E2436" s="136" t="s">
        <v>416</v>
      </c>
      <c r="F2436" s="137" t="str">
        <f t="shared" si="123"/>
        <v/>
      </c>
      <c r="G2436" s="138" t="e">
        <f>IF(A2436&lt;&gt;"",IF(AND(#REF!="Padrão",$H$4=#REF!),BDI!$B$17,IF(AND(#REF!="Padrão",$H$4=#REF!),BDI!#REF!,IF(AND(#REF!="Diferenciado",$H$4=#REF!),BDI!$E$17,IF(AND(#REF!="Diferenciado",$H$4=#REF!),BDI!#REF!,IF(#REF!="ZERO",0))))),"")</f>
        <v>#REF!</v>
      </c>
      <c r="H2436" s="139" t="str">
        <f t="shared" si="124"/>
        <v/>
      </c>
      <c r="I2436" s="137" t="str">
        <f t="shared" si="125"/>
        <v/>
      </c>
      <c r="J2436" s="117"/>
    </row>
    <row r="2437" spans="1:10" hidden="1" x14ac:dyDescent="0.25">
      <c r="A2437" s="114" t="s">
        <v>5221</v>
      </c>
      <c r="B2437" s="115" t="s">
        <v>7399</v>
      </c>
      <c r="C2437" s="116" t="s">
        <v>16</v>
      </c>
      <c r="D2437" s="116">
        <v>0</v>
      </c>
      <c r="E2437" s="136" t="s">
        <v>416</v>
      </c>
      <c r="F2437" s="137" t="str">
        <f t="shared" si="123"/>
        <v/>
      </c>
      <c r="G2437" s="138" t="e">
        <f>IF(A2437&lt;&gt;"",IF(AND(#REF!="Padrão",$H$4=#REF!),BDI!$B$17,IF(AND(#REF!="Padrão",$H$4=#REF!),BDI!#REF!,IF(AND(#REF!="Diferenciado",$H$4=#REF!),BDI!$E$17,IF(AND(#REF!="Diferenciado",$H$4=#REF!),BDI!#REF!,IF(#REF!="ZERO",0))))),"")</f>
        <v>#REF!</v>
      </c>
      <c r="H2437" s="139" t="str">
        <f t="shared" si="124"/>
        <v/>
      </c>
      <c r="I2437" s="137" t="str">
        <f t="shared" si="125"/>
        <v/>
      </c>
      <c r="J2437" s="117"/>
    </row>
    <row r="2438" spans="1:10" hidden="1" x14ac:dyDescent="0.25">
      <c r="A2438" s="114" t="s">
        <v>5222</v>
      </c>
      <c r="B2438" s="115" t="s">
        <v>7400</v>
      </c>
      <c r="C2438" s="116" t="s">
        <v>16</v>
      </c>
      <c r="D2438" s="116">
        <v>0</v>
      </c>
      <c r="E2438" s="136" t="s">
        <v>416</v>
      </c>
      <c r="F2438" s="137" t="str">
        <f t="shared" si="123"/>
        <v/>
      </c>
      <c r="G2438" s="138" t="e">
        <f>IF(A2438&lt;&gt;"",IF(AND(#REF!="Padrão",$H$4=#REF!),BDI!$B$17,IF(AND(#REF!="Padrão",$H$4=#REF!),BDI!#REF!,IF(AND(#REF!="Diferenciado",$H$4=#REF!),BDI!$E$17,IF(AND(#REF!="Diferenciado",$H$4=#REF!),BDI!#REF!,IF(#REF!="ZERO",0))))),"")</f>
        <v>#REF!</v>
      </c>
      <c r="H2438" s="139" t="str">
        <f t="shared" si="124"/>
        <v/>
      </c>
      <c r="I2438" s="137" t="str">
        <f t="shared" si="125"/>
        <v/>
      </c>
      <c r="J2438" s="117"/>
    </row>
    <row r="2439" spans="1:10" hidden="1" x14ac:dyDescent="0.25">
      <c r="A2439" s="114" t="s">
        <v>5223</v>
      </c>
      <c r="B2439" s="115" t="s">
        <v>7401</v>
      </c>
      <c r="C2439" s="116" t="s">
        <v>16</v>
      </c>
      <c r="D2439" s="116">
        <v>0</v>
      </c>
      <c r="E2439" s="136" t="s">
        <v>416</v>
      </c>
      <c r="F2439" s="137" t="str">
        <f t="shared" si="123"/>
        <v/>
      </c>
      <c r="G2439" s="138" t="e">
        <f>IF(A2439&lt;&gt;"",IF(AND(#REF!="Padrão",$H$4=#REF!),BDI!$B$17,IF(AND(#REF!="Padrão",$H$4=#REF!),BDI!#REF!,IF(AND(#REF!="Diferenciado",$H$4=#REF!),BDI!$E$17,IF(AND(#REF!="Diferenciado",$H$4=#REF!),BDI!#REF!,IF(#REF!="ZERO",0))))),"")</f>
        <v>#REF!</v>
      </c>
      <c r="H2439" s="139" t="str">
        <f t="shared" si="124"/>
        <v/>
      </c>
      <c r="I2439" s="137" t="str">
        <f t="shared" si="125"/>
        <v/>
      </c>
      <c r="J2439" s="117"/>
    </row>
    <row r="2440" spans="1:10" hidden="1" x14ac:dyDescent="0.25">
      <c r="A2440" s="114" t="s">
        <v>5224</v>
      </c>
      <c r="B2440" s="115" t="s">
        <v>4001</v>
      </c>
      <c r="C2440" s="116" t="s">
        <v>16</v>
      </c>
      <c r="D2440" s="116">
        <v>0</v>
      </c>
      <c r="E2440" s="136" t="s">
        <v>416</v>
      </c>
      <c r="F2440" s="137" t="str">
        <f t="shared" si="123"/>
        <v/>
      </c>
      <c r="G2440" s="138" t="e">
        <f>IF(A2440&lt;&gt;"",IF(AND(#REF!="Padrão",$H$4=#REF!),BDI!$B$17,IF(AND(#REF!="Padrão",$H$4=#REF!),BDI!#REF!,IF(AND(#REF!="Diferenciado",$H$4=#REF!),BDI!$E$17,IF(AND(#REF!="Diferenciado",$H$4=#REF!),BDI!#REF!,IF(#REF!="ZERO",0))))),"")</f>
        <v>#REF!</v>
      </c>
      <c r="H2440" s="139" t="str">
        <f t="shared" si="124"/>
        <v/>
      </c>
      <c r="I2440" s="137" t="str">
        <f t="shared" si="125"/>
        <v/>
      </c>
      <c r="J2440" s="117"/>
    </row>
    <row r="2441" spans="1:10" hidden="1" x14ac:dyDescent="0.25">
      <c r="A2441" s="114" t="s">
        <v>5225</v>
      </c>
      <c r="B2441" s="115" t="s">
        <v>4002</v>
      </c>
      <c r="C2441" s="116" t="s">
        <v>16</v>
      </c>
      <c r="D2441" s="116">
        <v>0</v>
      </c>
      <c r="E2441" s="136" t="s">
        <v>416</v>
      </c>
      <c r="F2441" s="137" t="str">
        <f t="shared" si="123"/>
        <v/>
      </c>
      <c r="G2441" s="138" t="e">
        <f>IF(A2441&lt;&gt;"",IF(AND(#REF!="Padrão",$H$4=#REF!),BDI!$B$17,IF(AND(#REF!="Padrão",$H$4=#REF!),BDI!#REF!,IF(AND(#REF!="Diferenciado",$H$4=#REF!),BDI!$E$17,IF(AND(#REF!="Diferenciado",$H$4=#REF!),BDI!#REF!,IF(#REF!="ZERO",0))))),"")</f>
        <v>#REF!</v>
      </c>
      <c r="H2441" s="139" t="str">
        <f t="shared" si="124"/>
        <v/>
      </c>
      <c r="I2441" s="137" t="str">
        <f t="shared" si="125"/>
        <v/>
      </c>
      <c r="J2441" s="117"/>
    </row>
    <row r="2442" spans="1:10" hidden="1" x14ac:dyDescent="0.25">
      <c r="A2442" s="114" t="s">
        <v>5226</v>
      </c>
      <c r="B2442" s="115" t="s">
        <v>4003</v>
      </c>
      <c r="C2442" s="116" t="s">
        <v>16</v>
      </c>
      <c r="D2442" s="116">
        <v>0</v>
      </c>
      <c r="E2442" s="136" t="s">
        <v>416</v>
      </c>
      <c r="F2442" s="137" t="str">
        <f t="shared" si="123"/>
        <v/>
      </c>
      <c r="G2442" s="138" t="e">
        <f>IF(A2442&lt;&gt;"",IF(AND(#REF!="Padrão",$H$4=#REF!),BDI!$B$17,IF(AND(#REF!="Padrão",$H$4=#REF!),BDI!#REF!,IF(AND(#REF!="Diferenciado",$H$4=#REF!),BDI!$E$17,IF(AND(#REF!="Diferenciado",$H$4=#REF!),BDI!#REF!,IF(#REF!="ZERO",0))))),"")</f>
        <v>#REF!</v>
      </c>
      <c r="H2442" s="139" t="str">
        <f t="shared" si="124"/>
        <v/>
      </c>
      <c r="I2442" s="137" t="str">
        <f t="shared" si="125"/>
        <v/>
      </c>
      <c r="J2442" s="117"/>
    </row>
    <row r="2443" spans="1:10" hidden="1" x14ac:dyDescent="0.25">
      <c r="A2443" s="114" t="s">
        <v>5227</v>
      </c>
      <c r="B2443" s="115" t="s">
        <v>4004</v>
      </c>
      <c r="C2443" s="116" t="s">
        <v>16</v>
      </c>
      <c r="D2443" s="116">
        <v>0</v>
      </c>
      <c r="E2443" s="136" t="s">
        <v>416</v>
      </c>
      <c r="F2443" s="137" t="str">
        <f t="shared" si="123"/>
        <v/>
      </c>
      <c r="G2443" s="138" t="e">
        <f>IF(A2443&lt;&gt;"",IF(AND(#REF!="Padrão",$H$4=#REF!),BDI!$B$17,IF(AND(#REF!="Padrão",$H$4=#REF!),BDI!#REF!,IF(AND(#REF!="Diferenciado",$H$4=#REF!),BDI!$E$17,IF(AND(#REF!="Diferenciado",$H$4=#REF!),BDI!#REF!,IF(#REF!="ZERO",0))))),"")</f>
        <v>#REF!</v>
      </c>
      <c r="H2443" s="139" t="str">
        <f t="shared" si="124"/>
        <v/>
      </c>
      <c r="I2443" s="137" t="str">
        <f t="shared" si="125"/>
        <v/>
      </c>
      <c r="J2443" s="117"/>
    </row>
    <row r="2444" spans="1:10" hidden="1" x14ac:dyDescent="0.25">
      <c r="A2444" s="114" t="s">
        <v>5228</v>
      </c>
      <c r="B2444" s="115" t="s">
        <v>4005</v>
      </c>
      <c r="C2444" s="116" t="s">
        <v>16</v>
      </c>
      <c r="D2444" s="116">
        <v>0</v>
      </c>
      <c r="E2444" s="136" t="s">
        <v>416</v>
      </c>
      <c r="F2444" s="137" t="str">
        <f t="shared" si="123"/>
        <v/>
      </c>
      <c r="G2444" s="138" t="e">
        <f>IF(A2444&lt;&gt;"",IF(AND(#REF!="Padrão",$H$4=#REF!),BDI!$B$17,IF(AND(#REF!="Padrão",$H$4=#REF!),BDI!#REF!,IF(AND(#REF!="Diferenciado",$H$4=#REF!),BDI!$E$17,IF(AND(#REF!="Diferenciado",$H$4=#REF!),BDI!#REF!,IF(#REF!="ZERO",0))))),"")</f>
        <v>#REF!</v>
      </c>
      <c r="H2444" s="139" t="str">
        <f t="shared" si="124"/>
        <v/>
      </c>
      <c r="I2444" s="137" t="str">
        <f t="shared" si="125"/>
        <v/>
      </c>
      <c r="J2444" s="117"/>
    </row>
    <row r="2445" spans="1:10" hidden="1" x14ac:dyDescent="0.25">
      <c r="A2445" s="114" t="s">
        <v>5229</v>
      </c>
      <c r="B2445" s="115" t="s">
        <v>4006</v>
      </c>
      <c r="C2445" s="116" t="s">
        <v>16</v>
      </c>
      <c r="D2445" s="116">
        <v>0</v>
      </c>
      <c r="E2445" s="136" t="s">
        <v>416</v>
      </c>
      <c r="F2445" s="137" t="str">
        <f t="shared" si="123"/>
        <v/>
      </c>
      <c r="G2445" s="138" t="e">
        <f>IF(A2445&lt;&gt;"",IF(AND(#REF!="Padrão",$H$4=#REF!),BDI!$B$17,IF(AND(#REF!="Padrão",$H$4=#REF!),BDI!#REF!,IF(AND(#REF!="Diferenciado",$H$4=#REF!),BDI!$E$17,IF(AND(#REF!="Diferenciado",$H$4=#REF!),BDI!#REF!,IF(#REF!="ZERO",0))))),"")</f>
        <v>#REF!</v>
      </c>
      <c r="H2445" s="139" t="str">
        <f t="shared" si="124"/>
        <v/>
      </c>
      <c r="I2445" s="137" t="str">
        <f t="shared" si="125"/>
        <v/>
      </c>
      <c r="J2445" s="117"/>
    </row>
    <row r="2446" spans="1:10" hidden="1" x14ac:dyDescent="0.25">
      <c r="A2446" s="114" t="s">
        <v>5230</v>
      </c>
      <c r="B2446" s="115" t="s">
        <v>4007</v>
      </c>
      <c r="C2446" s="116" t="s">
        <v>16</v>
      </c>
      <c r="D2446" s="116">
        <v>0</v>
      </c>
      <c r="E2446" s="136" t="s">
        <v>416</v>
      </c>
      <c r="F2446" s="137" t="str">
        <f t="shared" si="123"/>
        <v/>
      </c>
      <c r="G2446" s="138" t="e">
        <f>IF(A2446&lt;&gt;"",IF(AND(#REF!="Padrão",$H$4=#REF!),BDI!$B$17,IF(AND(#REF!="Padrão",$H$4=#REF!),BDI!#REF!,IF(AND(#REF!="Diferenciado",$H$4=#REF!),BDI!$E$17,IF(AND(#REF!="Diferenciado",$H$4=#REF!),BDI!#REF!,IF(#REF!="ZERO",0))))),"")</f>
        <v>#REF!</v>
      </c>
      <c r="H2446" s="139" t="str">
        <f t="shared" si="124"/>
        <v/>
      </c>
      <c r="I2446" s="137" t="str">
        <f t="shared" si="125"/>
        <v/>
      </c>
      <c r="J2446" s="117"/>
    </row>
    <row r="2447" spans="1:10" hidden="1" x14ac:dyDescent="0.25">
      <c r="A2447" s="114" t="s">
        <v>5231</v>
      </c>
      <c r="B2447" s="115" t="s">
        <v>4008</v>
      </c>
      <c r="C2447" s="116" t="s">
        <v>16</v>
      </c>
      <c r="D2447" s="116">
        <v>0</v>
      </c>
      <c r="E2447" s="136" t="s">
        <v>416</v>
      </c>
      <c r="F2447" s="137" t="str">
        <f t="shared" si="123"/>
        <v/>
      </c>
      <c r="G2447" s="138" t="e">
        <f>IF(A2447&lt;&gt;"",IF(AND(#REF!="Padrão",$H$4=#REF!),BDI!$B$17,IF(AND(#REF!="Padrão",$H$4=#REF!),BDI!#REF!,IF(AND(#REF!="Diferenciado",$H$4=#REF!),BDI!$E$17,IF(AND(#REF!="Diferenciado",$H$4=#REF!),BDI!#REF!,IF(#REF!="ZERO",0))))),"")</f>
        <v>#REF!</v>
      </c>
      <c r="H2447" s="139" t="str">
        <f t="shared" si="124"/>
        <v/>
      </c>
      <c r="I2447" s="137" t="str">
        <f t="shared" si="125"/>
        <v/>
      </c>
      <c r="J2447" s="117"/>
    </row>
    <row r="2448" spans="1:10" hidden="1" x14ac:dyDescent="0.25">
      <c r="A2448" s="114" t="s">
        <v>5232</v>
      </c>
      <c r="B2448" s="115" t="s">
        <v>4009</v>
      </c>
      <c r="C2448" s="116" t="s">
        <v>16</v>
      </c>
      <c r="D2448" s="116">
        <v>0</v>
      </c>
      <c r="E2448" s="136" t="s">
        <v>416</v>
      </c>
      <c r="F2448" s="137" t="str">
        <f t="shared" si="123"/>
        <v/>
      </c>
      <c r="G2448" s="138" t="e">
        <f>IF(A2448&lt;&gt;"",IF(AND(#REF!="Padrão",$H$4=#REF!),BDI!$B$17,IF(AND(#REF!="Padrão",$H$4=#REF!),BDI!#REF!,IF(AND(#REF!="Diferenciado",$H$4=#REF!),BDI!$E$17,IF(AND(#REF!="Diferenciado",$H$4=#REF!),BDI!#REF!,IF(#REF!="ZERO",0))))),"")</f>
        <v>#REF!</v>
      </c>
      <c r="H2448" s="139" t="str">
        <f t="shared" si="124"/>
        <v/>
      </c>
      <c r="I2448" s="137" t="str">
        <f t="shared" si="125"/>
        <v/>
      </c>
      <c r="J2448" s="117"/>
    </row>
    <row r="2449" spans="1:10" hidden="1" x14ac:dyDescent="0.25">
      <c r="A2449" s="114" t="s">
        <v>5233</v>
      </c>
      <c r="B2449" s="115" t="s">
        <v>4010</v>
      </c>
      <c r="C2449" s="116" t="s">
        <v>16</v>
      </c>
      <c r="D2449" s="116">
        <v>0</v>
      </c>
      <c r="E2449" s="136" t="s">
        <v>416</v>
      </c>
      <c r="F2449" s="137" t="str">
        <f t="shared" si="123"/>
        <v/>
      </c>
      <c r="G2449" s="138" t="e">
        <f>IF(A2449&lt;&gt;"",IF(AND(#REF!="Padrão",$H$4=#REF!),BDI!$B$17,IF(AND(#REF!="Padrão",$H$4=#REF!),BDI!#REF!,IF(AND(#REF!="Diferenciado",$H$4=#REF!),BDI!$E$17,IF(AND(#REF!="Diferenciado",$H$4=#REF!),BDI!#REF!,IF(#REF!="ZERO",0))))),"")</f>
        <v>#REF!</v>
      </c>
      <c r="H2449" s="139" t="str">
        <f t="shared" si="124"/>
        <v/>
      </c>
      <c r="I2449" s="137" t="str">
        <f t="shared" si="125"/>
        <v/>
      </c>
      <c r="J2449" s="117"/>
    </row>
    <row r="2450" spans="1:10" hidden="1" x14ac:dyDescent="0.25">
      <c r="A2450" s="114" t="s">
        <v>5234</v>
      </c>
      <c r="B2450" s="115" t="s">
        <v>4011</v>
      </c>
      <c r="C2450" s="116" t="s">
        <v>16</v>
      </c>
      <c r="D2450" s="116">
        <v>0</v>
      </c>
      <c r="E2450" s="136" t="s">
        <v>416</v>
      </c>
      <c r="F2450" s="137" t="str">
        <f t="shared" si="123"/>
        <v/>
      </c>
      <c r="G2450" s="138" t="e">
        <f>IF(A2450&lt;&gt;"",IF(AND(#REF!="Padrão",$H$4=#REF!),BDI!$B$17,IF(AND(#REF!="Padrão",$H$4=#REF!),BDI!#REF!,IF(AND(#REF!="Diferenciado",$H$4=#REF!),BDI!$E$17,IF(AND(#REF!="Diferenciado",$H$4=#REF!),BDI!#REF!,IF(#REF!="ZERO",0))))),"")</f>
        <v>#REF!</v>
      </c>
      <c r="H2450" s="139" t="str">
        <f t="shared" si="124"/>
        <v/>
      </c>
      <c r="I2450" s="137" t="str">
        <f t="shared" si="125"/>
        <v/>
      </c>
      <c r="J2450" s="117"/>
    </row>
    <row r="2451" spans="1:10" hidden="1" x14ac:dyDescent="0.25">
      <c r="A2451" s="114" t="s">
        <v>5235</v>
      </c>
      <c r="B2451" s="115" t="s">
        <v>4012</v>
      </c>
      <c r="C2451" s="116" t="s">
        <v>16</v>
      </c>
      <c r="D2451" s="116">
        <v>0</v>
      </c>
      <c r="E2451" s="136" t="s">
        <v>416</v>
      </c>
      <c r="F2451" s="137" t="str">
        <f t="shared" si="123"/>
        <v/>
      </c>
      <c r="G2451" s="138" t="e">
        <f>IF(A2451&lt;&gt;"",IF(AND(#REF!="Padrão",$H$4=#REF!),BDI!$B$17,IF(AND(#REF!="Padrão",$H$4=#REF!),BDI!#REF!,IF(AND(#REF!="Diferenciado",$H$4=#REF!),BDI!$E$17,IF(AND(#REF!="Diferenciado",$H$4=#REF!),BDI!#REF!,IF(#REF!="ZERO",0))))),"")</f>
        <v>#REF!</v>
      </c>
      <c r="H2451" s="139" t="str">
        <f t="shared" si="124"/>
        <v/>
      </c>
      <c r="I2451" s="137" t="str">
        <f t="shared" si="125"/>
        <v/>
      </c>
      <c r="J2451" s="117"/>
    </row>
    <row r="2452" spans="1:10" hidden="1" x14ac:dyDescent="0.25">
      <c r="A2452" s="114" t="s">
        <v>5236</v>
      </c>
      <c r="B2452" s="115" t="s">
        <v>4013</v>
      </c>
      <c r="C2452" s="116" t="s">
        <v>16</v>
      </c>
      <c r="D2452" s="116">
        <v>0</v>
      </c>
      <c r="E2452" s="136" t="s">
        <v>416</v>
      </c>
      <c r="F2452" s="137" t="str">
        <f t="shared" si="123"/>
        <v/>
      </c>
      <c r="G2452" s="138" t="e">
        <f>IF(A2452&lt;&gt;"",IF(AND(#REF!="Padrão",$H$4=#REF!),BDI!$B$17,IF(AND(#REF!="Padrão",$H$4=#REF!),BDI!#REF!,IF(AND(#REF!="Diferenciado",$H$4=#REF!),BDI!$E$17,IF(AND(#REF!="Diferenciado",$H$4=#REF!),BDI!#REF!,IF(#REF!="ZERO",0))))),"")</f>
        <v>#REF!</v>
      </c>
      <c r="H2452" s="139" t="str">
        <f t="shared" si="124"/>
        <v/>
      </c>
      <c r="I2452" s="137" t="str">
        <f t="shared" si="125"/>
        <v/>
      </c>
      <c r="J2452" s="117"/>
    </row>
    <row r="2453" spans="1:10" hidden="1" x14ac:dyDescent="0.25">
      <c r="A2453" s="114" t="s">
        <v>5237</v>
      </c>
      <c r="B2453" s="115" t="s">
        <v>4014</v>
      </c>
      <c r="C2453" s="116" t="s">
        <v>16</v>
      </c>
      <c r="D2453" s="116">
        <v>0</v>
      </c>
      <c r="E2453" s="136" t="s">
        <v>416</v>
      </c>
      <c r="F2453" s="137" t="str">
        <f t="shared" si="123"/>
        <v/>
      </c>
      <c r="G2453" s="138" t="e">
        <f>IF(A2453&lt;&gt;"",IF(AND(#REF!="Padrão",$H$4=#REF!),BDI!$B$17,IF(AND(#REF!="Padrão",$H$4=#REF!),BDI!#REF!,IF(AND(#REF!="Diferenciado",$H$4=#REF!),BDI!$E$17,IF(AND(#REF!="Diferenciado",$H$4=#REF!),BDI!#REF!,IF(#REF!="ZERO",0))))),"")</f>
        <v>#REF!</v>
      </c>
      <c r="H2453" s="139" t="str">
        <f t="shared" si="124"/>
        <v/>
      </c>
      <c r="I2453" s="137" t="str">
        <f t="shared" si="125"/>
        <v/>
      </c>
      <c r="J2453" s="117"/>
    </row>
    <row r="2454" spans="1:10" hidden="1" x14ac:dyDescent="0.25">
      <c r="A2454" s="114" t="s">
        <v>5238</v>
      </c>
      <c r="B2454" s="115" t="s">
        <v>4015</v>
      </c>
      <c r="C2454" s="116" t="s">
        <v>16</v>
      </c>
      <c r="D2454" s="116">
        <v>0</v>
      </c>
      <c r="E2454" s="136" t="s">
        <v>416</v>
      </c>
      <c r="F2454" s="137" t="str">
        <f t="shared" si="123"/>
        <v/>
      </c>
      <c r="G2454" s="138" t="e">
        <f>IF(A2454&lt;&gt;"",IF(AND(#REF!="Padrão",$H$4=#REF!),BDI!$B$17,IF(AND(#REF!="Padrão",$H$4=#REF!),BDI!#REF!,IF(AND(#REF!="Diferenciado",$H$4=#REF!),BDI!$E$17,IF(AND(#REF!="Diferenciado",$H$4=#REF!),BDI!#REF!,IF(#REF!="ZERO",0))))),"")</f>
        <v>#REF!</v>
      </c>
      <c r="H2454" s="139" t="str">
        <f t="shared" si="124"/>
        <v/>
      </c>
      <c r="I2454" s="137" t="str">
        <f t="shared" si="125"/>
        <v/>
      </c>
      <c r="J2454" s="117"/>
    </row>
    <row r="2455" spans="1:10" hidden="1" x14ac:dyDescent="0.25">
      <c r="A2455" s="114" t="s">
        <v>5239</v>
      </c>
      <c r="B2455" s="115" t="s">
        <v>4016</v>
      </c>
      <c r="C2455" s="116" t="s">
        <v>16</v>
      </c>
      <c r="D2455" s="116">
        <v>0</v>
      </c>
      <c r="E2455" s="136" t="s">
        <v>416</v>
      </c>
      <c r="F2455" s="137" t="str">
        <f t="shared" si="123"/>
        <v/>
      </c>
      <c r="G2455" s="138" t="e">
        <f>IF(A2455&lt;&gt;"",IF(AND(#REF!="Padrão",$H$4=#REF!),BDI!$B$17,IF(AND(#REF!="Padrão",$H$4=#REF!),BDI!#REF!,IF(AND(#REF!="Diferenciado",$H$4=#REF!),BDI!$E$17,IF(AND(#REF!="Diferenciado",$H$4=#REF!),BDI!#REF!,IF(#REF!="ZERO",0))))),"")</f>
        <v>#REF!</v>
      </c>
      <c r="H2455" s="139" t="str">
        <f t="shared" si="124"/>
        <v/>
      </c>
      <c r="I2455" s="137" t="str">
        <f t="shared" si="125"/>
        <v/>
      </c>
      <c r="J2455" s="117"/>
    </row>
    <row r="2456" spans="1:10" hidden="1" x14ac:dyDescent="0.25">
      <c r="A2456" s="114" t="s">
        <v>5240</v>
      </c>
      <c r="B2456" s="115" t="s">
        <v>4017</v>
      </c>
      <c r="C2456" s="116" t="s">
        <v>16</v>
      </c>
      <c r="D2456" s="116">
        <v>0</v>
      </c>
      <c r="E2456" s="136" t="s">
        <v>416</v>
      </c>
      <c r="F2456" s="137" t="str">
        <f t="shared" si="123"/>
        <v/>
      </c>
      <c r="G2456" s="138" t="e">
        <f>IF(A2456&lt;&gt;"",IF(AND(#REF!="Padrão",$H$4=#REF!),BDI!$B$17,IF(AND(#REF!="Padrão",$H$4=#REF!),BDI!#REF!,IF(AND(#REF!="Diferenciado",$H$4=#REF!),BDI!$E$17,IF(AND(#REF!="Diferenciado",$H$4=#REF!),BDI!#REF!,IF(#REF!="ZERO",0))))),"")</f>
        <v>#REF!</v>
      </c>
      <c r="H2456" s="139" t="str">
        <f t="shared" si="124"/>
        <v/>
      </c>
      <c r="I2456" s="137" t="str">
        <f t="shared" si="125"/>
        <v/>
      </c>
      <c r="J2456" s="117"/>
    </row>
    <row r="2457" spans="1:10" hidden="1" x14ac:dyDescent="0.25">
      <c r="A2457" s="114" t="s">
        <v>5241</v>
      </c>
      <c r="B2457" s="115" t="s">
        <v>4018</v>
      </c>
      <c r="C2457" s="116" t="s">
        <v>16</v>
      </c>
      <c r="D2457" s="116">
        <v>0</v>
      </c>
      <c r="E2457" s="136" t="s">
        <v>416</v>
      </c>
      <c r="F2457" s="137" t="str">
        <f t="shared" si="123"/>
        <v/>
      </c>
      <c r="G2457" s="138" t="e">
        <f>IF(A2457&lt;&gt;"",IF(AND(#REF!="Padrão",$H$4=#REF!),BDI!$B$17,IF(AND(#REF!="Padrão",$H$4=#REF!),BDI!#REF!,IF(AND(#REF!="Diferenciado",$H$4=#REF!),BDI!$E$17,IF(AND(#REF!="Diferenciado",$H$4=#REF!),BDI!#REF!,IF(#REF!="ZERO",0))))),"")</f>
        <v>#REF!</v>
      </c>
      <c r="H2457" s="139" t="str">
        <f t="shared" si="124"/>
        <v/>
      </c>
      <c r="I2457" s="137" t="str">
        <f t="shared" si="125"/>
        <v/>
      </c>
      <c r="J2457" s="117"/>
    </row>
    <row r="2458" spans="1:10" hidden="1" x14ac:dyDescent="0.25">
      <c r="A2458" s="114" t="s">
        <v>5242</v>
      </c>
      <c r="B2458" s="115" t="s">
        <v>4019</v>
      </c>
      <c r="C2458" s="116" t="s">
        <v>16</v>
      </c>
      <c r="D2458" s="116">
        <v>0</v>
      </c>
      <c r="E2458" s="136" t="s">
        <v>416</v>
      </c>
      <c r="F2458" s="137" t="str">
        <f t="shared" si="123"/>
        <v/>
      </c>
      <c r="G2458" s="138" t="e">
        <f>IF(A2458&lt;&gt;"",IF(AND(#REF!="Padrão",$H$4=#REF!),BDI!$B$17,IF(AND(#REF!="Padrão",$H$4=#REF!),BDI!#REF!,IF(AND(#REF!="Diferenciado",$H$4=#REF!),BDI!$E$17,IF(AND(#REF!="Diferenciado",$H$4=#REF!),BDI!#REF!,IF(#REF!="ZERO",0))))),"")</f>
        <v>#REF!</v>
      </c>
      <c r="H2458" s="139" t="str">
        <f t="shared" si="124"/>
        <v/>
      </c>
      <c r="I2458" s="137" t="str">
        <f t="shared" si="125"/>
        <v/>
      </c>
      <c r="J2458" s="117"/>
    </row>
    <row r="2459" spans="1:10" hidden="1" x14ac:dyDescent="0.25">
      <c r="A2459" s="114" t="s">
        <v>5243</v>
      </c>
      <c r="B2459" s="115" t="s">
        <v>4020</v>
      </c>
      <c r="C2459" s="116" t="s">
        <v>16</v>
      </c>
      <c r="D2459" s="116">
        <v>0</v>
      </c>
      <c r="E2459" s="136" t="s">
        <v>416</v>
      </c>
      <c r="F2459" s="137" t="str">
        <f t="shared" si="123"/>
        <v/>
      </c>
      <c r="G2459" s="138" t="e">
        <f>IF(A2459&lt;&gt;"",IF(AND(#REF!="Padrão",$H$4=#REF!),BDI!$B$17,IF(AND(#REF!="Padrão",$H$4=#REF!),BDI!#REF!,IF(AND(#REF!="Diferenciado",$H$4=#REF!),BDI!$E$17,IF(AND(#REF!="Diferenciado",$H$4=#REF!),BDI!#REF!,IF(#REF!="ZERO",0))))),"")</f>
        <v>#REF!</v>
      </c>
      <c r="H2459" s="139" t="str">
        <f t="shared" si="124"/>
        <v/>
      </c>
      <c r="I2459" s="137" t="str">
        <f t="shared" si="125"/>
        <v/>
      </c>
      <c r="J2459" s="117"/>
    </row>
    <row r="2460" spans="1:10" hidden="1" x14ac:dyDescent="0.25">
      <c r="A2460" s="114" t="s">
        <v>5244</v>
      </c>
      <c r="B2460" s="115" t="s">
        <v>4021</v>
      </c>
      <c r="C2460" s="116" t="s">
        <v>16</v>
      </c>
      <c r="D2460" s="116">
        <v>0</v>
      </c>
      <c r="E2460" s="136" t="s">
        <v>416</v>
      </c>
      <c r="F2460" s="137" t="str">
        <f t="shared" si="123"/>
        <v/>
      </c>
      <c r="G2460" s="138" t="e">
        <f>IF(A2460&lt;&gt;"",IF(AND(#REF!="Padrão",$H$4=#REF!),BDI!$B$17,IF(AND(#REF!="Padrão",$H$4=#REF!),BDI!#REF!,IF(AND(#REF!="Diferenciado",$H$4=#REF!),BDI!$E$17,IF(AND(#REF!="Diferenciado",$H$4=#REF!),BDI!#REF!,IF(#REF!="ZERO",0))))),"")</f>
        <v>#REF!</v>
      </c>
      <c r="H2460" s="139" t="str">
        <f t="shared" si="124"/>
        <v/>
      </c>
      <c r="I2460" s="137" t="str">
        <f t="shared" si="125"/>
        <v/>
      </c>
      <c r="J2460" s="117"/>
    </row>
    <row r="2461" spans="1:10" hidden="1" x14ac:dyDescent="0.25">
      <c r="A2461" s="114" t="s">
        <v>5245</v>
      </c>
      <c r="B2461" s="115" t="s">
        <v>4022</v>
      </c>
      <c r="C2461" s="116" t="s">
        <v>16</v>
      </c>
      <c r="D2461" s="116">
        <v>0</v>
      </c>
      <c r="E2461" s="136" t="s">
        <v>416</v>
      </c>
      <c r="F2461" s="137" t="str">
        <f t="shared" si="123"/>
        <v/>
      </c>
      <c r="G2461" s="138" t="e">
        <f>IF(A2461&lt;&gt;"",IF(AND(#REF!="Padrão",$H$4=#REF!),BDI!$B$17,IF(AND(#REF!="Padrão",$H$4=#REF!),BDI!#REF!,IF(AND(#REF!="Diferenciado",$H$4=#REF!),BDI!$E$17,IF(AND(#REF!="Diferenciado",$H$4=#REF!),BDI!#REF!,IF(#REF!="ZERO",0))))),"")</f>
        <v>#REF!</v>
      </c>
      <c r="H2461" s="139" t="str">
        <f t="shared" si="124"/>
        <v/>
      </c>
      <c r="I2461" s="137" t="str">
        <f t="shared" si="125"/>
        <v/>
      </c>
      <c r="J2461" s="117"/>
    </row>
    <row r="2462" spans="1:10" hidden="1" x14ac:dyDescent="0.25">
      <c r="A2462" s="114" t="s">
        <v>5246</v>
      </c>
      <c r="B2462" s="115" t="s">
        <v>4023</v>
      </c>
      <c r="C2462" s="116" t="s">
        <v>16</v>
      </c>
      <c r="D2462" s="116">
        <v>0</v>
      </c>
      <c r="E2462" s="136" t="s">
        <v>416</v>
      </c>
      <c r="F2462" s="137" t="str">
        <f t="shared" si="123"/>
        <v/>
      </c>
      <c r="G2462" s="138" t="e">
        <f>IF(A2462&lt;&gt;"",IF(AND(#REF!="Padrão",$H$4=#REF!),BDI!$B$17,IF(AND(#REF!="Padrão",$H$4=#REF!),BDI!#REF!,IF(AND(#REF!="Diferenciado",$H$4=#REF!),BDI!$E$17,IF(AND(#REF!="Diferenciado",$H$4=#REF!),BDI!#REF!,IF(#REF!="ZERO",0))))),"")</f>
        <v>#REF!</v>
      </c>
      <c r="H2462" s="139" t="str">
        <f t="shared" si="124"/>
        <v/>
      </c>
      <c r="I2462" s="137" t="str">
        <f t="shared" si="125"/>
        <v/>
      </c>
      <c r="J2462" s="117"/>
    </row>
    <row r="2463" spans="1:10" hidden="1" x14ac:dyDescent="0.25">
      <c r="A2463" s="114" t="s">
        <v>5247</v>
      </c>
      <c r="B2463" s="115" t="s">
        <v>4024</v>
      </c>
      <c r="C2463" s="116" t="s">
        <v>16</v>
      </c>
      <c r="D2463" s="116">
        <v>0</v>
      </c>
      <c r="E2463" s="136" t="s">
        <v>416</v>
      </c>
      <c r="F2463" s="137" t="str">
        <f t="shared" si="123"/>
        <v/>
      </c>
      <c r="G2463" s="138" t="e">
        <f>IF(A2463&lt;&gt;"",IF(AND(#REF!="Padrão",$H$4=#REF!),BDI!$B$17,IF(AND(#REF!="Padrão",$H$4=#REF!),BDI!#REF!,IF(AND(#REF!="Diferenciado",$H$4=#REF!),BDI!$E$17,IF(AND(#REF!="Diferenciado",$H$4=#REF!),BDI!#REF!,IF(#REF!="ZERO",0))))),"")</f>
        <v>#REF!</v>
      </c>
      <c r="H2463" s="139" t="str">
        <f t="shared" si="124"/>
        <v/>
      </c>
      <c r="I2463" s="137" t="str">
        <f t="shared" si="125"/>
        <v/>
      </c>
      <c r="J2463" s="117"/>
    </row>
    <row r="2464" spans="1:10" hidden="1" x14ac:dyDescent="0.25">
      <c r="A2464" s="114" t="s">
        <v>5248</v>
      </c>
      <c r="B2464" s="115" t="s">
        <v>4025</v>
      </c>
      <c r="C2464" s="116" t="s">
        <v>16</v>
      </c>
      <c r="D2464" s="116">
        <v>0</v>
      </c>
      <c r="E2464" s="136" t="s">
        <v>416</v>
      </c>
      <c r="F2464" s="137" t="str">
        <f t="shared" si="123"/>
        <v/>
      </c>
      <c r="G2464" s="138" t="e">
        <f>IF(A2464&lt;&gt;"",IF(AND(#REF!="Padrão",$H$4=#REF!),BDI!$B$17,IF(AND(#REF!="Padrão",$H$4=#REF!),BDI!#REF!,IF(AND(#REF!="Diferenciado",$H$4=#REF!),BDI!$E$17,IF(AND(#REF!="Diferenciado",$H$4=#REF!),BDI!#REF!,IF(#REF!="ZERO",0))))),"")</f>
        <v>#REF!</v>
      </c>
      <c r="H2464" s="139" t="str">
        <f t="shared" si="124"/>
        <v/>
      </c>
      <c r="I2464" s="137" t="str">
        <f t="shared" si="125"/>
        <v/>
      </c>
      <c r="J2464" s="117"/>
    </row>
    <row r="2465" spans="1:10" hidden="1" x14ac:dyDescent="0.25">
      <c r="A2465" s="114" t="s">
        <v>5249</v>
      </c>
      <c r="B2465" s="115" t="s">
        <v>4026</v>
      </c>
      <c r="C2465" s="116" t="s">
        <v>16</v>
      </c>
      <c r="D2465" s="116">
        <v>0</v>
      </c>
      <c r="E2465" s="136" t="s">
        <v>416</v>
      </c>
      <c r="F2465" s="137" t="str">
        <f t="shared" si="123"/>
        <v/>
      </c>
      <c r="G2465" s="138" t="e">
        <f>IF(A2465&lt;&gt;"",IF(AND(#REF!="Padrão",$H$4=#REF!),BDI!$B$17,IF(AND(#REF!="Padrão",$H$4=#REF!),BDI!#REF!,IF(AND(#REF!="Diferenciado",$H$4=#REF!),BDI!$E$17,IF(AND(#REF!="Diferenciado",$H$4=#REF!),BDI!#REF!,IF(#REF!="ZERO",0))))),"")</f>
        <v>#REF!</v>
      </c>
      <c r="H2465" s="139" t="str">
        <f t="shared" si="124"/>
        <v/>
      </c>
      <c r="I2465" s="137" t="str">
        <f t="shared" si="125"/>
        <v/>
      </c>
      <c r="J2465" s="117"/>
    </row>
    <row r="2466" spans="1:10" hidden="1" x14ac:dyDescent="0.25">
      <c r="A2466" s="114" t="s">
        <v>5250</v>
      </c>
      <c r="B2466" s="115" t="s">
        <v>4027</v>
      </c>
      <c r="C2466" s="116" t="s">
        <v>16</v>
      </c>
      <c r="D2466" s="116">
        <v>0</v>
      </c>
      <c r="E2466" s="136" t="s">
        <v>416</v>
      </c>
      <c r="F2466" s="137" t="str">
        <f t="shared" si="123"/>
        <v/>
      </c>
      <c r="G2466" s="138" t="e">
        <f>IF(A2466&lt;&gt;"",IF(AND(#REF!="Padrão",$H$4=#REF!),BDI!$B$17,IF(AND(#REF!="Padrão",$H$4=#REF!),BDI!#REF!,IF(AND(#REF!="Diferenciado",$H$4=#REF!),BDI!$E$17,IF(AND(#REF!="Diferenciado",$H$4=#REF!),BDI!#REF!,IF(#REF!="ZERO",0))))),"")</f>
        <v>#REF!</v>
      </c>
      <c r="H2466" s="139" t="str">
        <f t="shared" si="124"/>
        <v/>
      </c>
      <c r="I2466" s="137" t="str">
        <f t="shared" si="125"/>
        <v/>
      </c>
      <c r="J2466" s="117"/>
    </row>
    <row r="2467" spans="1:10" hidden="1" x14ac:dyDescent="0.25">
      <c r="A2467" s="114" t="s">
        <v>5251</v>
      </c>
      <c r="B2467" s="115" t="s">
        <v>4028</v>
      </c>
      <c r="C2467" s="116" t="s">
        <v>16</v>
      </c>
      <c r="D2467" s="116">
        <v>0</v>
      </c>
      <c r="E2467" s="136" t="s">
        <v>416</v>
      </c>
      <c r="F2467" s="137" t="str">
        <f t="shared" si="123"/>
        <v/>
      </c>
      <c r="G2467" s="138" t="e">
        <f>IF(A2467&lt;&gt;"",IF(AND(#REF!="Padrão",$H$4=#REF!),BDI!$B$17,IF(AND(#REF!="Padrão",$H$4=#REF!),BDI!#REF!,IF(AND(#REF!="Diferenciado",$H$4=#REF!),BDI!$E$17,IF(AND(#REF!="Diferenciado",$H$4=#REF!),BDI!#REF!,IF(#REF!="ZERO",0))))),"")</f>
        <v>#REF!</v>
      </c>
      <c r="H2467" s="139" t="str">
        <f t="shared" si="124"/>
        <v/>
      </c>
      <c r="I2467" s="137" t="str">
        <f t="shared" si="125"/>
        <v/>
      </c>
      <c r="J2467" s="117"/>
    </row>
    <row r="2468" spans="1:10" hidden="1" x14ac:dyDescent="0.25">
      <c r="A2468" s="114" t="s">
        <v>5252</v>
      </c>
      <c r="B2468" s="115" t="s">
        <v>4029</v>
      </c>
      <c r="C2468" s="116" t="s">
        <v>16</v>
      </c>
      <c r="D2468" s="116">
        <v>0</v>
      </c>
      <c r="E2468" s="136" t="s">
        <v>416</v>
      </c>
      <c r="F2468" s="137" t="str">
        <f t="shared" si="123"/>
        <v/>
      </c>
      <c r="G2468" s="138" t="e">
        <f>IF(A2468&lt;&gt;"",IF(AND(#REF!="Padrão",$H$4=#REF!),BDI!$B$17,IF(AND(#REF!="Padrão",$H$4=#REF!),BDI!#REF!,IF(AND(#REF!="Diferenciado",$H$4=#REF!),BDI!$E$17,IF(AND(#REF!="Diferenciado",$H$4=#REF!),BDI!#REF!,IF(#REF!="ZERO",0))))),"")</f>
        <v>#REF!</v>
      </c>
      <c r="H2468" s="139" t="str">
        <f t="shared" si="124"/>
        <v/>
      </c>
      <c r="I2468" s="137" t="str">
        <f t="shared" si="125"/>
        <v/>
      </c>
      <c r="J2468" s="117"/>
    </row>
    <row r="2469" spans="1:10" hidden="1" x14ac:dyDescent="0.25">
      <c r="A2469" s="114" t="s">
        <v>5253</v>
      </c>
      <c r="B2469" s="115" t="s">
        <v>4030</v>
      </c>
      <c r="C2469" s="116" t="s">
        <v>16</v>
      </c>
      <c r="D2469" s="116">
        <v>0</v>
      </c>
      <c r="E2469" s="136" t="s">
        <v>416</v>
      </c>
      <c r="F2469" s="137" t="str">
        <f t="shared" si="123"/>
        <v/>
      </c>
      <c r="G2469" s="138" t="e">
        <f>IF(A2469&lt;&gt;"",IF(AND(#REF!="Padrão",$H$4=#REF!),BDI!$B$17,IF(AND(#REF!="Padrão",$H$4=#REF!),BDI!#REF!,IF(AND(#REF!="Diferenciado",$H$4=#REF!),BDI!$E$17,IF(AND(#REF!="Diferenciado",$H$4=#REF!),BDI!#REF!,IF(#REF!="ZERO",0))))),"")</f>
        <v>#REF!</v>
      </c>
      <c r="H2469" s="139" t="str">
        <f t="shared" si="124"/>
        <v/>
      </c>
      <c r="I2469" s="137" t="str">
        <f t="shared" si="125"/>
        <v/>
      </c>
      <c r="J2469" s="117"/>
    </row>
    <row r="2470" spans="1:10" hidden="1" x14ac:dyDescent="0.25">
      <c r="A2470" s="114" t="s">
        <v>5254</v>
      </c>
      <c r="B2470" s="115" t="s">
        <v>4031</v>
      </c>
      <c r="C2470" s="116" t="s">
        <v>16</v>
      </c>
      <c r="D2470" s="116">
        <v>0</v>
      </c>
      <c r="E2470" s="136" t="s">
        <v>416</v>
      </c>
      <c r="F2470" s="137" t="str">
        <f t="shared" si="123"/>
        <v/>
      </c>
      <c r="G2470" s="138" t="e">
        <f>IF(A2470&lt;&gt;"",IF(AND(#REF!="Padrão",$H$4=#REF!),BDI!$B$17,IF(AND(#REF!="Padrão",$H$4=#REF!),BDI!#REF!,IF(AND(#REF!="Diferenciado",$H$4=#REF!),BDI!$E$17,IF(AND(#REF!="Diferenciado",$H$4=#REF!),BDI!#REF!,IF(#REF!="ZERO",0))))),"")</f>
        <v>#REF!</v>
      </c>
      <c r="H2470" s="139" t="str">
        <f t="shared" si="124"/>
        <v/>
      </c>
      <c r="I2470" s="137" t="str">
        <f t="shared" si="125"/>
        <v/>
      </c>
      <c r="J2470" s="117"/>
    </row>
    <row r="2471" spans="1:10" hidden="1" x14ac:dyDescent="0.25">
      <c r="A2471" s="114" t="s">
        <v>5255</v>
      </c>
      <c r="B2471" s="115" t="s">
        <v>4032</v>
      </c>
      <c r="C2471" s="116" t="s">
        <v>16</v>
      </c>
      <c r="D2471" s="116">
        <v>0</v>
      </c>
      <c r="E2471" s="136" t="s">
        <v>416</v>
      </c>
      <c r="F2471" s="137" t="str">
        <f t="shared" si="123"/>
        <v/>
      </c>
      <c r="G2471" s="138" t="e">
        <f>IF(A2471&lt;&gt;"",IF(AND(#REF!="Padrão",$H$4=#REF!),BDI!$B$17,IF(AND(#REF!="Padrão",$H$4=#REF!),BDI!#REF!,IF(AND(#REF!="Diferenciado",$H$4=#REF!),BDI!$E$17,IF(AND(#REF!="Diferenciado",$H$4=#REF!),BDI!#REF!,IF(#REF!="ZERO",0))))),"")</f>
        <v>#REF!</v>
      </c>
      <c r="H2471" s="139" t="str">
        <f t="shared" si="124"/>
        <v/>
      </c>
      <c r="I2471" s="137" t="str">
        <f t="shared" si="125"/>
        <v/>
      </c>
      <c r="J2471" s="117"/>
    </row>
    <row r="2472" spans="1:10" hidden="1" x14ac:dyDescent="0.25">
      <c r="A2472" s="114" t="s">
        <v>5256</v>
      </c>
      <c r="B2472" s="115" t="s">
        <v>4033</v>
      </c>
      <c r="C2472" s="116" t="s">
        <v>16</v>
      </c>
      <c r="D2472" s="116">
        <v>0</v>
      </c>
      <c r="E2472" s="136" t="s">
        <v>416</v>
      </c>
      <c r="F2472" s="137" t="str">
        <f t="shared" si="123"/>
        <v/>
      </c>
      <c r="G2472" s="138" t="e">
        <f>IF(A2472&lt;&gt;"",IF(AND(#REF!="Padrão",$H$4=#REF!),BDI!$B$17,IF(AND(#REF!="Padrão",$H$4=#REF!),BDI!#REF!,IF(AND(#REF!="Diferenciado",$H$4=#REF!),BDI!$E$17,IF(AND(#REF!="Diferenciado",$H$4=#REF!),BDI!#REF!,IF(#REF!="ZERO",0))))),"")</f>
        <v>#REF!</v>
      </c>
      <c r="H2472" s="139" t="str">
        <f t="shared" si="124"/>
        <v/>
      </c>
      <c r="I2472" s="137" t="str">
        <f t="shared" si="125"/>
        <v/>
      </c>
      <c r="J2472" s="117"/>
    </row>
    <row r="2473" spans="1:10" hidden="1" x14ac:dyDescent="0.25">
      <c r="A2473" s="114" t="s">
        <v>5257</v>
      </c>
      <c r="B2473" s="115" t="s">
        <v>4034</v>
      </c>
      <c r="C2473" s="116" t="s">
        <v>16</v>
      </c>
      <c r="D2473" s="116">
        <v>0</v>
      </c>
      <c r="E2473" s="136" t="s">
        <v>416</v>
      </c>
      <c r="F2473" s="137" t="str">
        <f t="shared" si="123"/>
        <v/>
      </c>
      <c r="G2473" s="138" t="e">
        <f>IF(A2473&lt;&gt;"",IF(AND(#REF!="Padrão",$H$4=#REF!),BDI!$B$17,IF(AND(#REF!="Padrão",$H$4=#REF!),BDI!#REF!,IF(AND(#REF!="Diferenciado",$H$4=#REF!),BDI!$E$17,IF(AND(#REF!="Diferenciado",$H$4=#REF!),BDI!#REF!,IF(#REF!="ZERO",0))))),"")</f>
        <v>#REF!</v>
      </c>
      <c r="H2473" s="139" t="str">
        <f t="shared" si="124"/>
        <v/>
      </c>
      <c r="I2473" s="137" t="str">
        <f t="shared" si="125"/>
        <v/>
      </c>
      <c r="J2473" s="117"/>
    </row>
    <row r="2474" spans="1:10" hidden="1" x14ac:dyDescent="0.25">
      <c r="A2474" s="114" t="s">
        <v>5258</v>
      </c>
      <c r="B2474" s="115" t="s">
        <v>4035</v>
      </c>
      <c r="C2474" s="116" t="s">
        <v>16</v>
      </c>
      <c r="D2474" s="116">
        <v>0</v>
      </c>
      <c r="E2474" s="136" t="s">
        <v>416</v>
      </c>
      <c r="F2474" s="137" t="str">
        <f t="shared" si="123"/>
        <v/>
      </c>
      <c r="G2474" s="138" t="e">
        <f>IF(A2474&lt;&gt;"",IF(AND(#REF!="Padrão",$H$4=#REF!),BDI!$B$17,IF(AND(#REF!="Padrão",$H$4=#REF!),BDI!#REF!,IF(AND(#REF!="Diferenciado",$H$4=#REF!),BDI!$E$17,IF(AND(#REF!="Diferenciado",$H$4=#REF!),BDI!#REF!,IF(#REF!="ZERO",0))))),"")</f>
        <v>#REF!</v>
      </c>
      <c r="H2474" s="139" t="str">
        <f t="shared" si="124"/>
        <v/>
      </c>
      <c r="I2474" s="137" t="str">
        <f t="shared" si="125"/>
        <v/>
      </c>
      <c r="J2474" s="117"/>
    </row>
    <row r="2475" spans="1:10" hidden="1" x14ac:dyDescent="0.25">
      <c r="A2475" s="114" t="s">
        <v>5259</v>
      </c>
      <c r="B2475" s="115" t="s">
        <v>4036</v>
      </c>
      <c r="C2475" s="116" t="s">
        <v>16</v>
      </c>
      <c r="D2475" s="116">
        <v>0</v>
      </c>
      <c r="E2475" s="136" t="s">
        <v>416</v>
      </c>
      <c r="F2475" s="137" t="str">
        <f t="shared" si="123"/>
        <v/>
      </c>
      <c r="G2475" s="138" t="e">
        <f>IF(A2475&lt;&gt;"",IF(AND(#REF!="Padrão",$H$4=#REF!),BDI!$B$17,IF(AND(#REF!="Padrão",$H$4=#REF!),BDI!#REF!,IF(AND(#REF!="Diferenciado",$H$4=#REF!),BDI!$E$17,IF(AND(#REF!="Diferenciado",$H$4=#REF!),BDI!#REF!,IF(#REF!="ZERO",0))))),"")</f>
        <v>#REF!</v>
      </c>
      <c r="H2475" s="139" t="str">
        <f t="shared" si="124"/>
        <v/>
      </c>
      <c r="I2475" s="137" t="str">
        <f t="shared" si="125"/>
        <v/>
      </c>
      <c r="J2475" s="117"/>
    </row>
    <row r="2476" spans="1:10" hidden="1" x14ac:dyDescent="0.25">
      <c r="A2476" s="114" t="s">
        <v>5260</v>
      </c>
      <c r="B2476" s="115" t="s">
        <v>4037</v>
      </c>
      <c r="C2476" s="116" t="s">
        <v>16</v>
      </c>
      <c r="D2476" s="116">
        <v>0</v>
      </c>
      <c r="E2476" s="136" t="s">
        <v>416</v>
      </c>
      <c r="F2476" s="137" t="str">
        <f t="shared" si="123"/>
        <v/>
      </c>
      <c r="G2476" s="138" t="e">
        <f>IF(A2476&lt;&gt;"",IF(AND(#REF!="Padrão",$H$4=#REF!),BDI!$B$17,IF(AND(#REF!="Padrão",$H$4=#REF!),BDI!#REF!,IF(AND(#REF!="Diferenciado",$H$4=#REF!),BDI!$E$17,IF(AND(#REF!="Diferenciado",$H$4=#REF!),BDI!#REF!,IF(#REF!="ZERO",0))))),"")</f>
        <v>#REF!</v>
      </c>
      <c r="H2476" s="139" t="str">
        <f t="shared" si="124"/>
        <v/>
      </c>
      <c r="I2476" s="137" t="str">
        <f t="shared" si="125"/>
        <v/>
      </c>
      <c r="J2476" s="117"/>
    </row>
    <row r="2477" spans="1:10" hidden="1" x14ac:dyDescent="0.25">
      <c r="A2477" s="114" t="s">
        <v>5261</v>
      </c>
      <c r="B2477" s="115" t="s">
        <v>4038</v>
      </c>
      <c r="C2477" s="116" t="s">
        <v>16</v>
      </c>
      <c r="D2477" s="116">
        <v>0</v>
      </c>
      <c r="E2477" s="136" t="s">
        <v>416</v>
      </c>
      <c r="F2477" s="137" t="str">
        <f t="shared" ref="F2477:F2540" si="126">IF(ISNUMBER(E2477),D2477*E2477,"")</f>
        <v/>
      </c>
      <c r="G2477" s="138" t="e">
        <f>IF(A2477&lt;&gt;"",IF(AND(#REF!="Padrão",$H$4=#REF!),BDI!$B$17,IF(AND(#REF!="Padrão",$H$4=#REF!),BDI!#REF!,IF(AND(#REF!="Diferenciado",$H$4=#REF!),BDI!$E$17,IF(AND(#REF!="Diferenciado",$H$4=#REF!),BDI!#REF!,IF(#REF!="ZERO",0))))),"")</f>
        <v>#REF!</v>
      </c>
      <c r="H2477" s="139" t="str">
        <f t="shared" ref="H2477:H2540" si="127">IF(ISNUMBER(E2477),ROUND(E2477*(1+G2477),2),"")</f>
        <v/>
      </c>
      <c r="I2477" s="137" t="str">
        <f t="shared" ref="I2477:I2540" si="128">IF(ISNUMBER(E2477),ROUND(H2477*D2477,2),"")</f>
        <v/>
      </c>
      <c r="J2477" s="117"/>
    </row>
    <row r="2478" spans="1:10" hidden="1" x14ac:dyDescent="0.25">
      <c r="A2478" s="114" t="s">
        <v>5262</v>
      </c>
      <c r="B2478" s="115" t="s">
        <v>4039</v>
      </c>
      <c r="C2478" s="116" t="s">
        <v>16</v>
      </c>
      <c r="D2478" s="116">
        <v>0</v>
      </c>
      <c r="E2478" s="136" t="s">
        <v>416</v>
      </c>
      <c r="F2478" s="137" t="str">
        <f t="shared" si="126"/>
        <v/>
      </c>
      <c r="G2478" s="138" t="e">
        <f>IF(A2478&lt;&gt;"",IF(AND(#REF!="Padrão",$H$4=#REF!),BDI!$B$17,IF(AND(#REF!="Padrão",$H$4=#REF!),BDI!#REF!,IF(AND(#REF!="Diferenciado",$H$4=#REF!),BDI!$E$17,IF(AND(#REF!="Diferenciado",$H$4=#REF!),BDI!#REF!,IF(#REF!="ZERO",0))))),"")</f>
        <v>#REF!</v>
      </c>
      <c r="H2478" s="139" t="str">
        <f t="shared" si="127"/>
        <v/>
      </c>
      <c r="I2478" s="137" t="str">
        <f t="shared" si="128"/>
        <v/>
      </c>
      <c r="J2478" s="117"/>
    </row>
    <row r="2479" spans="1:10" hidden="1" x14ac:dyDescent="0.25">
      <c r="A2479" s="114" t="s">
        <v>5263</v>
      </c>
      <c r="B2479" s="115" t="s">
        <v>4040</v>
      </c>
      <c r="C2479" s="116" t="s">
        <v>16</v>
      </c>
      <c r="D2479" s="116">
        <v>0</v>
      </c>
      <c r="E2479" s="136" t="s">
        <v>416</v>
      </c>
      <c r="F2479" s="137" t="str">
        <f t="shared" si="126"/>
        <v/>
      </c>
      <c r="G2479" s="138" t="e">
        <f>IF(A2479&lt;&gt;"",IF(AND(#REF!="Padrão",$H$4=#REF!),BDI!$B$17,IF(AND(#REF!="Padrão",$H$4=#REF!),BDI!#REF!,IF(AND(#REF!="Diferenciado",$H$4=#REF!),BDI!$E$17,IF(AND(#REF!="Diferenciado",$H$4=#REF!),BDI!#REF!,IF(#REF!="ZERO",0))))),"")</f>
        <v>#REF!</v>
      </c>
      <c r="H2479" s="139" t="str">
        <f t="shared" si="127"/>
        <v/>
      </c>
      <c r="I2479" s="137" t="str">
        <f t="shared" si="128"/>
        <v/>
      </c>
      <c r="J2479" s="117"/>
    </row>
    <row r="2480" spans="1:10" hidden="1" x14ac:dyDescent="0.25">
      <c r="A2480" s="114" t="s">
        <v>5264</v>
      </c>
      <c r="B2480" s="115" t="s">
        <v>4041</v>
      </c>
      <c r="C2480" s="116" t="s">
        <v>16</v>
      </c>
      <c r="D2480" s="116">
        <v>0</v>
      </c>
      <c r="E2480" s="136" t="s">
        <v>416</v>
      </c>
      <c r="F2480" s="137" t="str">
        <f t="shared" si="126"/>
        <v/>
      </c>
      <c r="G2480" s="138" t="e">
        <f>IF(A2480&lt;&gt;"",IF(AND(#REF!="Padrão",$H$4=#REF!),BDI!$B$17,IF(AND(#REF!="Padrão",$H$4=#REF!),BDI!#REF!,IF(AND(#REF!="Diferenciado",$H$4=#REF!),BDI!$E$17,IF(AND(#REF!="Diferenciado",$H$4=#REF!),BDI!#REF!,IF(#REF!="ZERO",0))))),"")</f>
        <v>#REF!</v>
      </c>
      <c r="H2480" s="139" t="str">
        <f t="shared" si="127"/>
        <v/>
      </c>
      <c r="I2480" s="137" t="str">
        <f t="shared" si="128"/>
        <v/>
      </c>
      <c r="J2480" s="117"/>
    </row>
    <row r="2481" spans="1:10" hidden="1" x14ac:dyDescent="0.25">
      <c r="A2481" s="114" t="s">
        <v>5265</v>
      </c>
      <c r="B2481" s="115" t="s">
        <v>4042</v>
      </c>
      <c r="C2481" s="116" t="s">
        <v>16</v>
      </c>
      <c r="D2481" s="116">
        <v>0</v>
      </c>
      <c r="E2481" s="136" t="s">
        <v>416</v>
      </c>
      <c r="F2481" s="137" t="str">
        <f t="shared" si="126"/>
        <v/>
      </c>
      <c r="G2481" s="138" t="e">
        <f>IF(A2481&lt;&gt;"",IF(AND(#REF!="Padrão",$H$4=#REF!),BDI!$B$17,IF(AND(#REF!="Padrão",$H$4=#REF!),BDI!#REF!,IF(AND(#REF!="Diferenciado",$H$4=#REF!),BDI!$E$17,IF(AND(#REF!="Diferenciado",$H$4=#REF!),BDI!#REF!,IF(#REF!="ZERO",0))))),"")</f>
        <v>#REF!</v>
      </c>
      <c r="H2481" s="139" t="str">
        <f t="shared" si="127"/>
        <v/>
      </c>
      <c r="I2481" s="137" t="str">
        <f t="shared" si="128"/>
        <v/>
      </c>
      <c r="J2481" s="117"/>
    </row>
    <row r="2482" spans="1:10" hidden="1" x14ac:dyDescent="0.25">
      <c r="A2482" s="114" t="s">
        <v>5266</v>
      </c>
      <c r="B2482" s="115" t="s">
        <v>4043</v>
      </c>
      <c r="C2482" s="116" t="s">
        <v>16</v>
      </c>
      <c r="D2482" s="116">
        <v>0</v>
      </c>
      <c r="E2482" s="136" t="s">
        <v>416</v>
      </c>
      <c r="F2482" s="137" t="str">
        <f t="shared" si="126"/>
        <v/>
      </c>
      <c r="G2482" s="138" t="e">
        <f>IF(A2482&lt;&gt;"",IF(AND(#REF!="Padrão",$H$4=#REF!),BDI!$B$17,IF(AND(#REF!="Padrão",$H$4=#REF!),BDI!#REF!,IF(AND(#REF!="Diferenciado",$H$4=#REF!),BDI!$E$17,IF(AND(#REF!="Diferenciado",$H$4=#REF!),BDI!#REF!,IF(#REF!="ZERO",0))))),"")</f>
        <v>#REF!</v>
      </c>
      <c r="H2482" s="139" t="str">
        <f t="shared" si="127"/>
        <v/>
      </c>
      <c r="I2482" s="137" t="str">
        <f t="shared" si="128"/>
        <v/>
      </c>
      <c r="J2482" s="117"/>
    </row>
    <row r="2483" spans="1:10" hidden="1" x14ac:dyDescent="0.25">
      <c r="A2483" s="114" t="s">
        <v>5267</v>
      </c>
      <c r="B2483" s="115" t="s">
        <v>4044</v>
      </c>
      <c r="C2483" s="116" t="s">
        <v>16</v>
      </c>
      <c r="D2483" s="116">
        <v>0</v>
      </c>
      <c r="E2483" s="136" t="s">
        <v>416</v>
      </c>
      <c r="F2483" s="137" t="str">
        <f t="shared" si="126"/>
        <v/>
      </c>
      <c r="G2483" s="138" t="e">
        <f>IF(A2483&lt;&gt;"",IF(AND(#REF!="Padrão",$H$4=#REF!),BDI!$B$17,IF(AND(#REF!="Padrão",$H$4=#REF!),BDI!#REF!,IF(AND(#REF!="Diferenciado",$H$4=#REF!),BDI!$E$17,IF(AND(#REF!="Diferenciado",$H$4=#REF!),BDI!#REF!,IF(#REF!="ZERO",0))))),"")</f>
        <v>#REF!</v>
      </c>
      <c r="H2483" s="139" t="str">
        <f t="shared" si="127"/>
        <v/>
      </c>
      <c r="I2483" s="137" t="str">
        <f t="shared" si="128"/>
        <v/>
      </c>
      <c r="J2483" s="117"/>
    </row>
    <row r="2484" spans="1:10" hidden="1" x14ac:dyDescent="0.25">
      <c r="A2484" s="114" t="s">
        <v>5268</v>
      </c>
      <c r="B2484" s="115" t="s">
        <v>4045</v>
      </c>
      <c r="C2484" s="116" t="s">
        <v>16</v>
      </c>
      <c r="D2484" s="116">
        <v>0</v>
      </c>
      <c r="E2484" s="136" t="s">
        <v>416</v>
      </c>
      <c r="F2484" s="137" t="str">
        <f t="shared" si="126"/>
        <v/>
      </c>
      <c r="G2484" s="138" t="e">
        <f>IF(A2484&lt;&gt;"",IF(AND(#REF!="Padrão",$H$4=#REF!),BDI!$B$17,IF(AND(#REF!="Padrão",$H$4=#REF!),BDI!#REF!,IF(AND(#REF!="Diferenciado",$H$4=#REF!),BDI!$E$17,IF(AND(#REF!="Diferenciado",$H$4=#REF!),BDI!#REF!,IF(#REF!="ZERO",0))))),"")</f>
        <v>#REF!</v>
      </c>
      <c r="H2484" s="139" t="str">
        <f t="shared" si="127"/>
        <v/>
      </c>
      <c r="I2484" s="137" t="str">
        <f t="shared" si="128"/>
        <v/>
      </c>
      <c r="J2484" s="117"/>
    </row>
    <row r="2485" spans="1:10" hidden="1" x14ac:dyDescent="0.25">
      <c r="A2485" s="114" t="s">
        <v>5269</v>
      </c>
      <c r="B2485" s="115" t="s">
        <v>4046</v>
      </c>
      <c r="C2485" s="116" t="s">
        <v>16</v>
      </c>
      <c r="D2485" s="116">
        <v>0</v>
      </c>
      <c r="E2485" s="136" t="s">
        <v>416</v>
      </c>
      <c r="F2485" s="137" t="str">
        <f t="shared" si="126"/>
        <v/>
      </c>
      <c r="G2485" s="138" t="e">
        <f>IF(A2485&lt;&gt;"",IF(AND(#REF!="Padrão",$H$4=#REF!),BDI!$B$17,IF(AND(#REF!="Padrão",$H$4=#REF!),BDI!#REF!,IF(AND(#REF!="Diferenciado",$H$4=#REF!),BDI!$E$17,IF(AND(#REF!="Diferenciado",$H$4=#REF!),BDI!#REF!,IF(#REF!="ZERO",0))))),"")</f>
        <v>#REF!</v>
      </c>
      <c r="H2485" s="139" t="str">
        <f t="shared" si="127"/>
        <v/>
      </c>
      <c r="I2485" s="137" t="str">
        <f t="shared" si="128"/>
        <v/>
      </c>
      <c r="J2485" s="117"/>
    </row>
    <row r="2486" spans="1:10" hidden="1" x14ac:dyDescent="0.25">
      <c r="A2486" s="114" t="s">
        <v>5270</v>
      </c>
      <c r="B2486" s="115" t="s">
        <v>4047</v>
      </c>
      <c r="C2486" s="116" t="s">
        <v>16</v>
      </c>
      <c r="D2486" s="116">
        <v>0</v>
      </c>
      <c r="E2486" s="136" t="s">
        <v>416</v>
      </c>
      <c r="F2486" s="137" t="str">
        <f t="shared" si="126"/>
        <v/>
      </c>
      <c r="G2486" s="138" t="e">
        <f>IF(A2486&lt;&gt;"",IF(AND(#REF!="Padrão",$H$4=#REF!),BDI!$B$17,IF(AND(#REF!="Padrão",$H$4=#REF!),BDI!#REF!,IF(AND(#REF!="Diferenciado",$H$4=#REF!),BDI!$E$17,IF(AND(#REF!="Diferenciado",$H$4=#REF!),BDI!#REF!,IF(#REF!="ZERO",0))))),"")</f>
        <v>#REF!</v>
      </c>
      <c r="H2486" s="139" t="str">
        <f t="shared" si="127"/>
        <v/>
      </c>
      <c r="I2486" s="137" t="str">
        <f t="shared" si="128"/>
        <v/>
      </c>
      <c r="J2486" s="117"/>
    </row>
    <row r="2487" spans="1:10" hidden="1" x14ac:dyDescent="0.25">
      <c r="A2487" s="114" t="s">
        <v>5271</v>
      </c>
      <c r="B2487" s="115" t="s">
        <v>4048</v>
      </c>
      <c r="C2487" s="116" t="s">
        <v>16</v>
      </c>
      <c r="D2487" s="116">
        <v>0</v>
      </c>
      <c r="E2487" s="136" t="s">
        <v>416</v>
      </c>
      <c r="F2487" s="137" t="str">
        <f t="shared" si="126"/>
        <v/>
      </c>
      <c r="G2487" s="138" t="e">
        <f>IF(A2487&lt;&gt;"",IF(AND(#REF!="Padrão",$H$4=#REF!),BDI!$B$17,IF(AND(#REF!="Padrão",$H$4=#REF!),BDI!#REF!,IF(AND(#REF!="Diferenciado",$H$4=#REF!),BDI!$E$17,IF(AND(#REF!="Diferenciado",$H$4=#REF!),BDI!#REF!,IF(#REF!="ZERO",0))))),"")</f>
        <v>#REF!</v>
      </c>
      <c r="H2487" s="139" t="str">
        <f t="shared" si="127"/>
        <v/>
      </c>
      <c r="I2487" s="137" t="str">
        <f t="shared" si="128"/>
        <v/>
      </c>
      <c r="J2487" s="117"/>
    </row>
    <row r="2488" spans="1:10" hidden="1" x14ac:dyDescent="0.25">
      <c r="A2488" s="114" t="s">
        <v>5272</v>
      </c>
      <c r="B2488" s="115" t="s">
        <v>4049</v>
      </c>
      <c r="C2488" s="116" t="s">
        <v>16</v>
      </c>
      <c r="D2488" s="116">
        <v>0</v>
      </c>
      <c r="E2488" s="136" t="s">
        <v>416</v>
      </c>
      <c r="F2488" s="137" t="str">
        <f t="shared" si="126"/>
        <v/>
      </c>
      <c r="G2488" s="138" t="e">
        <f>IF(A2488&lt;&gt;"",IF(AND(#REF!="Padrão",$H$4=#REF!),BDI!$B$17,IF(AND(#REF!="Padrão",$H$4=#REF!),BDI!#REF!,IF(AND(#REF!="Diferenciado",$H$4=#REF!),BDI!$E$17,IF(AND(#REF!="Diferenciado",$H$4=#REF!),BDI!#REF!,IF(#REF!="ZERO",0))))),"")</f>
        <v>#REF!</v>
      </c>
      <c r="H2488" s="139" t="str">
        <f t="shared" si="127"/>
        <v/>
      </c>
      <c r="I2488" s="137" t="str">
        <f t="shared" si="128"/>
        <v/>
      </c>
      <c r="J2488" s="117"/>
    </row>
    <row r="2489" spans="1:10" hidden="1" x14ac:dyDescent="0.25">
      <c r="A2489" s="114" t="s">
        <v>5273</v>
      </c>
      <c r="B2489" s="115" t="s">
        <v>4050</v>
      </c>
      <c r="C2489" s="116" t="s">
        <v>16</v>
      </c>
      <c r="D2489" s="116">
        <v>0</v>
      </c>
      <c r="E2489" s="136" t="s">
        <v>416</v>
      </c>
      <c r="F2489" s="137" t="str">
        <f t="shared" si="126"/>
        <v/>
      </c>
      <c r="G2489" s="138" t="e">
        <f>IF(A2489&lt;&gt;"",IF(AND(#REF!="Padrão",$H$4=#REF!),BDI!$B$17,IF(AND(#REF!="Padrão",$H$4=#REF!),BDI!#REF!,IF(AND(#REF!="Diferenciado",$H$4=#REF!),BDI!$E$17,IF(AND(#REF!="Diferenciado",$H$4=#REF!),BDI!#REF!,IF(#REF!="ZERO",0))))),"")</f>
        <v>#REF!</v>
      </c>
      <c r="H2489" s="139" t="str">
        <f t="shared" si="127"/>
        <v/>
      </c>
      <c r="I2489" s="137" t="str">
        <f t="shared" si="128"/>
        <v/>
      </c>
      <c r="J2489" s="117"/>
    </row>
    <row r="2490" spans="1:10" hidden="1" x14ac:dyDescent="0.25">
      <c r="A2490" s="114" t="s">
        <v>5274</v>
      </c>
      <c r="B2490" s="115" t="s">
        <v>4051</v>
      </c>
      <c r="C2490" s="116" t="s">
        <v>16</v>
      </c>
      <c r="D2490" s="116">
        <v>0</v>
      </c>
      <c r="E2490" s="136" t="s">
        <v>416</v>
      </c>
      <c r="F2490" s="137" t="str">
        <f t="shared" si="126"/>
        <v/>
      </c>
      <c r="G2490" s="138" t="e">
        <f>IF(A2490&lt;&gt;"",IF(AND(#REF!="Padrão",$H$4=#REF!),BDI!$B$17,IF(AND(#REF!="Padrão",$H$4=#REF!),BDI!#REF!,IF(AND(#REF!="Diferenciado",$H$4=#REF!),BDI!$E$17,IF(AND(#REF!="Diferenciado",$H$4=#REF!),BDI!#REF!,IF(#REF!="ZERO",0))))),"")</f>
        <v>#REF!</v>
      </c>
      <c r="H2490" s="139" t="str">
        <f t="shared" si="127"/>
        <v/>
      </c>
      <c r="I2490" s="137" t="str">
        <f t="shared" si="128"/>
        <v/>
      </c>
      <c r="J2490" s="117"/>
    </row>
    <row r="2491" spans="1:10" hidden="1" x14ac:dyDescent="0.25">
      <c r="A2491" s="114" t="s">
        <v>5275</v>
      </c>
      <c r="B2491" s="115" t="s">
        <v>4052</v>
      </c>
      <c r="C2491" s="116" t="s">
        <v>16</v>
      </c>
      <c r="D2491" s="116">
        <v>0</v>
      </c>
      <c r="E2491" s="136" t="s">
        <v>416</v>
      </c>
      <c r="F2491" s="137" t="str">
        <f t="shared" si="126"/>
        <v/>
      </c>
      <c r="G2491" s="138" t="e">
        <f>IF(A2491&lt;&gt;"",IF(AND(#REF!="Padrão",$H$4=#REF!),BDI!$B$17,IF(AND(#REF!="Padrão",$H$4=#REF!),BDI!#REF!,IF(AND(#REF!="Diferenciado",$H$4=#REF!),BDI!$E$17,IF(AND(#REF!="Diferenciado",$H$4=#REF!),BDI!#REF!,IF(#REF!="ZERO",0))))),"")</f>
        <v>#REF!</v>
      </c>
      <c r="H2491" s="139" t="str">
        <f t="shared" si="127"/>
        <v/>
      </c>
      <c r="I2491" s="137" t="str">
        <f t="shared" si="128"/>
        <v/>
      </c>
      <c r="J2491" s="117"/>
    </row>
    <row r="2492" spans="1:10" hidden="1" x14ac:dyDescent="0.25">
      <c r="A2492" s="114" t="s">
        <v>5276</v>
      </c>
      <c r="B2492" s="115" t="s">
        <v>4053</v>
      </c>
      <c r="C2492" s="116" t="s">
        <v>16</v>
      </c>
      <c r="D2492" s="116">
        <v>0</v>
      </c>
      <c r="E2492" s="136" t="s">
        <v>416</v>
      </c>
      <c r="F2492" s="137" t="str">
        <f t="shared" si="126"/>
        <v/>
      </c>
      <c r="G2492" s="138" t="e">
        <f>IF(A2492&lt;&gt;"",IF(AND(#REF!="Padrão",$H$4=#REF!),BDI!$B$17,IF(AND(#REF!="Padrão",$H$4=#REF!),BDI!#REF!,IF(AND(#REF!="Diferenciado",$H$4=#REF!),BDI!$E$17,IF(AND(#REF!="Diferenciado",$H$4=#REF!),BDI!#REF!,IF(#REF!="ZERO",0))))),"")</f>
        <v>#REF!</v>
      </c>
      <c r="H2492" s="139" t="str">
        <f t="shared" si="127"/>
        <v/>
      </c>
      <c r="I2492" s="137" t="str">
        <f t="shared" si="128"/>
        <v/>
      </c>
      <c r="J2492" s="117"/>
    </row>
    <row r="2493" spans="1:10" hidden="1" x14ac:dyDescent="0.25">
      <c r="A2493" s="114" t="s">
        <v>5277</v>
      </c>
      <c r="B2493" s="115" t="s">
        <v>4054</v>
      </c>
      <c r="C2493" s="116" t="s">
        <v>16</v>
      </c>
      <c r="D2493" s="116">
        <v>0</v>
      </c>
      <c r="E2493" s="136" t="s">
        <v>416</v>
      </c>
      <c r="F2493" s="137" t="str">
        <f t="shared" si="126"/>
        <v/>
      </c>
      <c r="G2493" s="138" t="e">
        <f>IF(A2493&lt;&gt;"",IF(AND(#REF!="Padrão",$H$4=#REF!),BDI!$B$17,IF(AND(#REF!="Padrão",$H$4=#REF!),BDI!#REF!,IF(AND(#REF!="Diferenciado",$H$4=#REF!),BDI!$E$17,IF(AND(#REF!="Diferenciado",$H$4=#REF!),BDI!#REF!,IF(#REF!="ZERO",0))))),"")</f>
        <v>#REF!</v>
      </c>
      <c r="H2493" s="139" t="str">
        <f t="shared" si="127"/>
        <v/>
      </c>
      <c r="I2493" s="137" t="str">
        <f t="shared" si="128"/>
        <v/>
      </c>
      <c r="J2493" s="117"/>
    </row>
    <row r="2494" spans="1:10" hidden="1" x14ac:dyDescent="0.25">
      <c r="A2494" s="114" t="s">
        <v>5278</v>
      </c>
      <c r="B2494" s="115" t="s">
        <v>4055</v>
      </c>
      <c r="C2494" s="116" t="s">
        <v>16</v>
      </c>
      <c r="D2494" s="116">
        <v>0</v>
      </c>
      <c r="E2494" s="136" t="s">
        <v>416</v>
      </c>
      <c r="F2494" s="137" t="str">
        <f t="shared" si="126"/>
        <v/>
      </c>
      <c r="G2494" s="138" t="e">
        <f>IF(A2494&lt;&gt;"",IF(AND(#REF!="Padrão",$H$4=#REF!),BDI!$B$17,IF(AND(#REF!="Padrão",$H$4=#REF!),BDI!#REF!,IF(AND(#REF!="Diferenciado",$H$4=#REF!),BDI!$E$17,IF(AND(#REF!="Diferenciado",$H$4=#REF!),BDI!#REF!,IF(#REF!="ZERO",0))))),"")</f>
        <v>#REF!</v>
      </c>
      <c r="H2494" s="139" t="str">
        <f t="shared" si="127"/>
        <v/>
      </c>
      <c r="I2494" s="137" t="str">
        <f t="shared" si="128"/>
        <v/>
      </c>
      <c r="J2494" s="117"/>
    </row>
    <row r="2495" spans="1:10" hidden="1" x14ac:dyDescent="0.25">
      <c r="A2495" s="114" t="s">
        <v>5279</v>
      </c>
      <c r="B2495" s="115" t="s">
        <v>4056</v>
      </c>
      <c r="C2495" s="116" t="s">
        <v>16</v>
      </c>
      <c r="D2495" s="116">
        <v>0</v>
      </c>
      <c r="E2495" s="136" t="s">
        <v>416</v>
      </c>
      <c r="F2495" s="137" t="str">
        <f t="shared" si="126"/>
        <v/>
      </c>
      <c r="G2495" s="138" t="e">
        <f>IF(A2495&lt;&gt;"",IF(AND(#REF!="Padrão",$H$4=#REF!),BDI!$B$17,IF(AND(#REF!="Padrão",$H$4=#REF!),BDI!#REF!,IF(AND(#REF!="Diferenciado",$H$4=#REF!),BDI!$E$17,IF(AND(#REF!="Diferenciado",$H$4=#REF!),BDI!#REF!,IF(#REF!="ZERO",0))))),"")</f>
        <v>#REF!</v>
      </c>
      <c r="H2495" s="139" t="str">
        <f t="shared" si="127"/>
        <v/>
      </c>
      <c r="I2495" s="137" t="str">
        <f t="shared" si="128"/>
        <v/>
      </c>
      <c r="J2495" s="117"/>
    </row>
    <row r="2496" spans="1:10" hidden="1" x14ac:dyDescent="0.25">
      <c r="A2496" s="114" t="s">
        <v>5280</v>
      </c>
      <c r="B2496" s="115" t="s">
        <v>4057</v>
      </c>
      <c r="C2496" s="116" t="s">
        <v>16</v>
      </c>
      <c r="D2496" s="116">
        <v>0</v>
      </c>
      <c r="E2496" s="136" t="s">
        <v>416</v>
      </c>
      <c r="F2496" s="137" t="str">
        <f t="shared" si="126"/>
        <v/>
      </c>
      <c r="G2496" s="138" t="e">
        <f>IF(A2496&lt;&gt;"",IF(AND(#REF!="Padrão",$H$4=#REF!),BDI!$B$17,IF(AND(#REF!="Padrão",$H$4=#REF!),BDI!#REF!,IF(AND(#REF!="Diferenciado",$H$4=#REF!),BDI!$E$17,IF(AND(#REF!="Diferenciado",$H$4=#REF!),BDI!#REF!,IF(#REF!="ZERO",0))))),"")</f>
        <v>#REF!</v>
      </c>
      <c r="H2496" s="139" t="str">
        <f t="shared" si="127"/>
        <v/>
      </c>
      <c r="I2496" s="137" t="str">
        <f t="shared" si="128"/>
        <v/>
      </c>
      <c r="J2496" s="117"/>
    </row>
    <row r="2497" spans="1:10" hidden="1" x14ac:dyDescent="0.25">
      <c r="A2497" s="114" t="s">
        <v>5281</v>
      </c>
      <c r="B2497" s="115" t="s">
        <v>4058</v>
      </c>
      <c r="C2497" s="116" t="s">
        <v>16</v>
      </c>
      <c r="D2497" s="116">
        <v>0</v>
      </c>
      <c r="E2497" s="136" t="s">
        <v>416</v>
      </c>
      <c r="F2497" s="137" t="str">
        <f t="shared" si="126"/>
        <v/>
      </c>
      <c r="G2497" s="138" t="e">
        <f>IF(A2497&lt;&gt;"",IF(AND(#REF!="Padrão",$H$4=#REF!),BDI!$B$17,IF(AND(#REF!="Padrão",$H$4=#REF!),BDI!#REF!,IF(AND(#REF!="Diferenciado",$H$4=#REF!),BDI!$E$17,IF(AND(#REF!="Diferenciado",$H$4=#REF!),BDI!#REF!,IF(#REF!="ZERO",0))))),"")</f>
        <v>#REF!</v>
      </c>
      <c r="H2497" s="139" t="str">
        <f t="shared" si="127"/>
        <v/>
      </c>
      <c r="I2497" s="137" t="str">
        <f t="shared" si="128"/>
        <v/>
      </c>
      <c r="J2497" s="117"/>
    </row>
    <row r="2498" spans="1:10" hidden="1" x14ac:dyDescent="0.25">
      <c r="A2498" s="114" t="s">
        <v>5282</v>
      </c>
      <c r="B2498" s="115" t="s">
        <v>4059</v>
      </c>
      <c r="C2498" s="116" t="s">
        <v>16</v>
      </c>
      <c r="D2498" s="116">
        <v>0</v>
      </c>
      <c r="E2498" s="136" t="s">
        <v>416</v>
      </c>
      <c r="F2498" s="137" t="str">
        <f t="shared" si="126"/>
        <v/>
      </c>
      <c r="G2498" s="138" t="e">
        <f>IF(A2498&lt;&gt;"",IF(AND(#REF!="Padrão",$H$4=#REF!),BDI!$B$17,IF(AND(#REF!="Padrão",$H$4=#REF!),BDI!#REF!,IF(AND(#REF!="Diferenciado",$H$4=#REF!),BDI!$E$17,IF(AND(#REF!="Diferenciado",$H$4=#REF!),BDI!#REF!,IF(#REF!="ZERO",0))))),"")</f>
        <v>#REF!</v>
      </c>
      <c r="H2498" s="139" t="str">
        <f t="shared" si="127"/>
        <v/>
      </c>
      <c r="I2498" s="137" t="str">
        <f t="shared" si="128"/>
        <v/>
      </c>
      <c r="J2498" s="117"/>
    </row>
    <row r="2499" spans="1:10" hidden="1" x14ac:dyDescent="0.25">
      <c r="A2499" s="114" t="s">
        <v>5283</v>
      </c>
      <c r="B2499" s="115" t="s">
        <v>4060</v>
      </c>
      <c r="C2499" s="116" t="s">
        <v>16</v>
      </c>
      <c r="D2499" s="116">
        <v>0</v>
      </c>
      <c r="E2499" s="136" t="s">
        <v>416</v>
      </c>
      <c r="F2499" s="137" t="str">
        <f t="shared" si="126"/>
        <v/>
      </c>
      <c r="G2499" s="138" t="e">
        <f>IF(A2499&lt;&gt;"",IF(AND(#REF!="Padrão",$H$4=#REF!),BDI!$B$17,IF(AND(#REF!="Padrão",$H$4=#REF!),BDI!#REF!,IF(AND(#REF!="Diferenciado",$H$4=#REF!),BDI!$E$17,IF(AND(#REF!="Diferenciado",$H$4=#REF!),BDI!#REF!,IF(#REF!="ZERO",0))))),"")</f>
        <v>#REF!</v>
      </c>
      <c r="H2499" s="139" t="str">
        <f t="shared" si="127"/>
        <v/>
      </c>
      <c r="I2499" s="137" t="str">
        <f t="shared" si="128"/>
        <v/>
      </c>
      <c r="J2499" s="117"/>
    </row>
    <row r="2500" spans="1:10" hidden="1" x14ac:dyDescent="0.25">
      <c r="A2500" s="114" t="s">
        <v>5284</v>
      </c>
      <c r="B2500" s="115" t="s">
        <v>4061</v>
      </c>
      <c r="C2500" s="116" t="s">
        <v>16</v>
      </c>
      <c r="D2500" s="116">
        <v>0</v>
      </c>
      <c r="E2500" s="136" t="s">
        <v>416</v>
      </c>
      <c r="F2500" s="137" t="str">
        <f t="shared" si="126"/>
        <v/>
      </c>
      <c r="G2500" s="138" t="e">
        <f>IF(A2500&lt;&gt;"",IF(AND(#REF!="Padrão",$H$4=#REF!),BDI!$B$17,IF(AND(#REF!="Padrão",$H$4=#REF!),BDI!#REF!,IF(AND(#REF!="Diferenciado",$H$4=#REF!),BDI!$E$17,IF(AND(#REF!="Diferenciado",$H$4=#REF!),BDI!#REF!,IF(#REF!="ZERO",0))))),"")</f>
        <v>#REF!</v>
      </c>
      <c r="H2500" s="139" t="str">
        <f t="shared" si="127"/>
        <v/>
      </c>
      <c r="I2500" s="137" t="str">
        <f t="shared" si="128"/>
        <v/>
      </c>
      <c r="J2500" s="117"/>
    </row>
    <row r="2501" spans="1:10" hidden="1" x14ac:dyDescent="0.25">
      <c r="A2501" s="114" t="s">
        <v>5285</v>
      </c>
      <c r="B2501" s="115" t="s">
        <v>7395</v>
      </c>
      <c r="C2501" s="116" t="s">
        <v>16</v>
      </c>
      <c r="D2501" s="116">
        <v>0</v>
      </c>
      <c r="E2501" s="136" t="s">
        <v>416</v>
      </c>
      <c r="F2501" s="137" t="str">
        <f t="shared" si="126"/>
        <v/>
      </c>
      <c r="G2501" s="138" t="e">
        <f>IF(A2501&lt;&gt;"",IF(AND(#REF!="Padrão",$H$4=#REF!),BDI!$B$17,IF(AND(#REF!="Padrão",$H$4=#REF!),BDI!#REF!,IF(AND(#REF!="Diferenciado",$H$4=#REF!),BDI!$E$17,IF(AND(#REF!="Diferenciado",$H$4=#REF!),BDI!#REF!,IF(#REF!="ZERO",0))))),"")</f>
        <v>#REF!</v>
      </c>
      <c r="H2501" s="139" t="str">
        <f t="shared" si="127"/>
        <v/>
      </c>
      <c r="I2501" s="137" t="str">
        <f t="shared" si="128"/>
        <v/>
      </c>
      <c r="J2501" s="117"/>
    </row>
    <row r="2502" spans="1:10" hidden="1" x14ac:dyDescent="0.25">
      <c r="A2502" s="114" t="s">
        <v>5286</v>
      </c>
      <c r="B2502" s="115" t="s">
        <v>7396</v>
      </c>
      <c r="C2502" s="116" t="s">
        <v>16</v>
      </c>
      <c r="D2502" s="116">
        <v>0</v>
      </c>
      <c r="E2502" s="136" t="s">
        <v>416</v>
      </c>
      <c r="F2502" s="137" t="str">
        <f t="shared" si="126"/>
        <v/>
      </c>
      <c r="G2502" s="138" t="e">
        <f>IF(A2502&lt;&gt;"",IF(AND(#REF!="Padrão",$H$4=#REF!),BDI!$B$17,IF(AND(#REF!="Padrão",$H$4=#REF!),BDI!#REF!,IF(AND(#REF!="Diferenciado",$H$4=#REF!),BDI!$E$17,IF(AND(#REF!="Diferenciado",$H$4=#REF!),BDI!#REF!,IF(#REF!="ZERO",0))))),"")</f>
        <v>#REF!</v>
      </c>
      <c r="H2502" s="139" t="str">
        <f t="shared" si="127"/>
        <v/>
      </c>
      <c r="I2502" s="137" t="str">
        <f t="shared" si="128"/>
        <v/>
      </c>
      <c r="J2502" s="117"/>
    </row>
    <row r="2503" spans="1:10" hidden="1" x14ac:dyDescent="0.25">
      <c r="A2503" s="114" t="s">
        <v>5287</v>
      </c>
      <c r="B2503" s="115" t="s">
        <v>7397</v>
      </c>
      <c r="C2503" s="116" t="s">
        <v>16</v>
      </c>
      <c r="D2503" s="116">
        <v>0</v>
      </c>
      <c r="E2503" s="136" t="s">
        <v>416</v>
      </c>
      <c r="F2503" s="137" t="str">
        <f t="shared" si="126"/>
        <v/>
      </c>
      <c r="G2503" s="138" t="e">
        <f>IF(A2503&lt;&gt;"",IF(AND(#REF!="Padrão",$H$4=#REF!),BDI!$B$17,IF(AND(#REF!="Padrão",$H$4=#REF!),BDI!#REF!,IF(AND(#REF!="Diferenciado",$H$4=#REF!),BDI!$E$17,IF(AND(#REF!="Diferenciado",$H$4=#REF!),BDI!#REF!,IF(#REF!="ZERO",0))))),"")</f>
        <v>#REF!</v>
      </c>
      <c r="H2503" s="139" t="str">
        <f t="shared" si="127"/>
        <v/>
      </c>
      <c r="I2503" s="137" t="str">
        <f t="shared" si="128"/>
        <v/>
      </c>
      <c r="J2503" s="117"/>
    </row>
    <row r="2504" spans="1:10" hidden="1" x14ac:dyDescent="0.25">
      <c r="A2504" s="114" t="s">
        <v>5288</v>
      </c>
      <c r="B2504" s="115" t="s">
        <v>4062</v>
      </c>
      <c r="C2504" s="116" t="s">
        <v>16</v>
      </c>
      <c r="D2504" s="116">
        <v>0</v>
      </c>
      <c r="E2504" s="136">
        <f ca="1">OFFSET(INDEX(Composições!A:J,MATCH(Orçamentária!A2504,Composições!A:A,0),8),2,0)</f>
        <v>143.56399999999999</v>
      </c>
      <c r="F2504" s="137">
        <f t="shared" ca="1" si="126"/>
        <v>0</v>
      </c>
      <c r="G2504" s="138" t="e">
        <f>IF(A2504&lt;&gt;"",IF(AND(#REF!="Padrão",$H$4=#REF!),BDI!$B$17,IF(AND(#REF!="Padrão",$H$4=#REF!),BDI!#REF!,IF(AND(#REF!="Diferenciado",$H$4=#REF!),BDI!$E$17,IF(AND(#REF!="Diferenciado",$H$4=#REF!),BDI!#REF!,IF(#REF!="ZERO",0))))),"")</f>
        <v>#REF!</v>
      </c>
      <c r="H2504" s="139" t="e">
        <f t="shared" ca="1" si="127"/>
        <v>#REF!</v>
      </c>
      <c r="I2504" s="137" t="e">
        <f t="shared" ca="1" si="128"/>
        <v>#REF!</v>
      </c>
      <c r="J2504" s="117"/>
    </row>
    <row r="2505" spans="1:10" hidden="1" x14ac:dyDescent="0.25">
      <c r="A2505" s="114" t="s">
        <v>5289</v>
      </c>
      <c r="B2505" s="115" t="s">
        <v>4063</v>
      </c>
      <c r="C2505" s="116" t="s">
        <v>16</v>
      </c>
      <c r="D2505" s="116">
        <v>0</v>
      </c>
      <c r="E2505" s="136" t="s">
        <v>416</v>
      </c>
      <c r="F2505" s="137" t="str">
        <f t="shared" si="126"/>
        <v/>
      </c>
      <c r="G2505" s="138" t="e">
        <f>IF(A2505&lt;&gt;"",IF(AND(#REF!="Padrão",$H$4=#REF!),BDI!$B$17,IF(AND(#REF!="Padrão",$H$4=#REF!),BDI!#REF!,IF(AND(#REF!="Diferenciado",$H$4=#REF!),BDI!$E$17,IF(AND(#REF!="Diferenciado",$H$4=#REF!),BDI!#REF!,IF(#REF!="ZERO",0))))),"")</f>
        <v>#REF!</v>
      </c>
      <c r="H2505" s="139" t="str">
        <f t="shared" si="127"/>
        <v/>
      </c>
      <c r="I2505" s="137" t="str">
        <f t="shared" si="128"/>
        <v/>
      </c>
      <c r="J2505" s="117"/>
    </row>
    <row r="2506" spans="1:10" hidden="1" x14ac:dyDescent="0.25">
      <c r="A2506" s="114" t="s">
        <v>5290</v>
      </c>
      <c r="B2506" s="115" t="s">
        <v>4064</v>
      </c>
      <c r="C2506" s="116" t="s">
        <v>16</v>
      </c>
      <c r="D2506" s="116">
        <v>0</v>
      </c>
      <c r="E2506" s="136" t="s">
        <v>416</v>
      </c>
      <c r="F2506" s="137" t="str">
        <f t="shared" si="126"/>
        <v/>
      </c>
      <c r="G2506" s="138" t="e">
        <f>IF(A2506&lt;&gt;"",IF(AND(#REF!="Padrão",$H$4=#REF!),BDI!$B$17,IF(AND(#REF!="Padrão",$H$4=#REF!),BDI!#REF!,IF(AND(#REF!="Diferenciado",$H$4=#REF!),BDI!$E$17,IF(AND(#REF!="Diferenciado",$H$4=#REF!),BDI!#REF!,IF(#REF!="ZERO",0))))),"")</f>
        <v>#REF!</v>
      </c>
      <c r="H2506" s="139" t="str">
        <f t="shared" si="127"/>
        <v/>
      </c>
      <c r="I2506" s="137" t="str">
        <f t="shared" si="128"/>
        <v/>
      </c>
      <c r="J2506" s="117"/>
    </row>
    <row r="2507" spans="1:10" hidden="1" x14ac:dyDescent="0.25">
      <c r="A2507" s="114" t="s">
        <v>5291</v>
      </c>
      <c r="B2507" s="115" t="s">
        <v>4065</v>
      </c>
      <c r="C2507" s="116" t="s">
        <v>16</v>
      </c>
      <c r="D2507" s="116">
        <v>0</v>
      </c>
      <c r="E2507" s="136" t="s">
        <v>416</v>
      </c>
      <c r="F2507" s="137" t="str">
        <f t="shared" si="126"/>
        <v/>
      </c>
      <c r="G2507" s="138" t="e">
        <f>IF(A2507&lt;&gt;"",IF(AND(#REF!="Padrão",$H$4=#REF!),BDI!$B$17,IF(AND(#REF!="Padrão",$H$4=#REF!),BDI!#REF!,IF(AND(#REF!="Diferenciado",$H$4=#REF!),BDI!$E$17,IF(AND(#REF!="Diferenciado",$H$4=#REF!),BDI!#REF!,IF(#REF!="ZERO",0))))),"")</f>
        <v>#REF!</v>
      </c>
      <c r="H2507" s="139" t="str">
        <f t="shared" si="127"/>
        <v/>
      </c>
      <c r="I2507" s="137" t="str">
        <f t="shared" si="128"/>
        <v/>
      </c>
      <c r="J2507" s="117"/>
    </row>
    <row r="2508" spans="1:10" hidden="1" x14ac:dyDescent="0.25">
      <c r="A2508" s="114" t="s">
        <v>5292</v>
      </c>
      <c r="B2508" s="115" t="s">
        <v>4066</v>
      </c>
      <c r="C2508" s="116" t="s">
        <v>16</v>
      </c>
      <c r="D2508" s="116">
        <v>0</v>
      </c>
      <c r="E2508" s="136" t="s">
        <v>416</v>
      </c>
      <c r="F2508" s="137" t="str">
        <f t="shared" si="126"/>
        <v/>
      </c>
      <c r="G2508" s="138" t="e">
        <f>IF(A2508&lt;&gt;"",IF(AND(#REF!="Padrão",$H$4=#REF!),BDI!$B$17,IF(AND(#REF!="Padrão",$H$4=#REF!),BDI!#REF!,IF(AND(#REF!="Diferenciado",$H$4=#REF!),BDI!$E$17,IF(AND(#REF!="Diferenciado",$H$4=#REF!),BDI!#REF!,IF(#REF!="ZERO",0))))),"")</f>
        <v>#REF!</v>
      </c>
      <c r="H2508" s="139" t="str">
        <f t="shared" si="127"/>
        <v/>
      </c>
      <c r="I2508" s="137" t="str">
        <f t="shared" si="128"/>
        <v/>
      </c>
      <c r="J2508" s="117"/>
    </row>
    <row r="2509" spans="1:10" hidden="1" x14ac:dyDescent="0.25">
      <c r="A2509" s="114" t="s">
        <v>5293</v>
      </c>
      <c r="B2509" s="115" t="s">
        <v>4067</v>
      </c>
      <c r="C2509" s="116" t="s">
        <v>16</v>
      </c>
      <c r="D2509" s="116">
        <v>0</v>
      </c>
      <c r="E2509" s="136" t="s">
        <v>416</v>
      </c>
      <c r="F2509" s="137" t="str">
        <f t="shared" si="126"/>
        <v/>
      </c>
      <c r="G2509" s="138" t="e">
        <f>IF(A2509&lt;&gt;"",IF(AND(#REF!="Padrão",$H$4=#REF!),BDI!$B$17,IF(AND(#REF!="Padrão",$H$4=#REF!),BDI!#REF!,IF(AND(#REF!="Diferenciado",$H$4=#REF!),BDI!$E$17,IF(AND(#REF!="Diferenciado",$H$4=#REF!),BDI!#REF!,IF(#REF!="ZERO",0))))),"")</f>
        <v>#REF!</v>
      </c>
      <c r="H2509" s="139" t="str">
        <f t="shared" si="127"/>
        <v/>
      </c>
      <c r="I2509" s="137" t="str">
        <f t="shared" si="128"/>
        <v/>
      </c>
      <c r="J2509" s="117"/>
    </row>
    <row r="2510" spans="1:10" hidden="1" x14ac:dyDescent="0.25">
      <c r="A2510" s="114" t="s">
        <v>5294</v>
      </c>
      <c r="B2510" s="115" t="s">
        <v>4068</v>
      </c>
      <c r="C2510" s="116" t="s">
        <v>16</v>
      </c>
      <c r="D2510" s="116">
        <v>0</v>
      </c>
      <c r="E2510" s="136" t="s">
        <v>416</v>
      </c>
      <c r="F2510" s="137" t="str">
        <f t="shared" si="126"/>
        <v/>
      </c>
      <c r="G2510" s="138" t="e">
        <f>IF(A2510&lt;&gt;"",IF(AND(#REF!="Padrão",$H$4=#REF!),BDI!$B$17,IF(AND(#REF!="Padrão",$H$4=#REF!),BDI!#REF!,IF(AND(#REF!="Diferenciado",$H$4=#REF!),BDI!$E$17,IF(AND(#REF!="Diferenciado",$H$4=#REF!),BDI!#REF!,IF(#REF!="ZERO",0))))),"")</f>
        <v>#REF!</v>
      </c>
      <c r="H2510" s="139" t="str">
        <f t="shared" si="127"/>
        <v/>
      </c>
      <c r="I2510" s="137" t="str">
        <f t="shared" si="128"/>
        <v/>
      </c>
      <c r="J2510" s="117"/>
    </row>
    <row r="2511" spans="1:10" hidden="1" x14ac:dyDescent="0.25">
      <c r="A2511" s="114" t="s">
        <v>5295</v>
      </c>
      <c r="B2511" s="115" t="s">
        <v>4069</v>
      </c>
      <c r="C2511" s="116" t="s">
        <v>16</v>
      </c>
      <c r="D2511" s="116">
        <v>0</v>
      </c>
      <c r="E2511" s="136" t="s">
        <v>416</v>
      </c>
      <c r="F2511" s="137" t="str">
        <f t="shared" si="126"/>
        <v/>
      </c>
      <c r="G2511" s="138" t="e">
        <f>IF(A2511&lt;&gt;"",IF(AND(#REF!="Padrão",$H$4=#REF!),BDI!$B$17,IF(AND(#REF!="Padrão",$H$4=#REF!),BDI!#REF!,IF(AND(#REF!="Diferenciado",$H$4=#REF!),BDI!$E$17,IF(AND(#REF!="Diferenciado",$H$4=#REF!),BDI!#REF!,IF(#REF!="ZERO",0))))),"")</f>
        <v>#REF!</v>
      </c>
      <c r="H2511" s="139" t="str">
        <f t="shared" si="127"/>
        <v/>
      </c>
      <c r="I2511" s="137" t="str">
        <f t="shared" si="128"/>
        <v/>
      </c>
      <c r="J2511" s="117"/>
    </row>
    <row r="2512" spans="1:10" hidden="1" x14ac:dyDescent="0.25">
      <c r="A2512" s="114" t="s">
        <v>5296</v>
      </c>
      <c r="B2512" s="115" t="s">
        <v>4070</v>
      </c>
      <c r="C2512" s="116" t="s">
        <v>16</v>
      </c>
      <c r="D2512" s="116">
        <v>0</v>
      </c>
      <c r="E2512" s="136" t="s">
        <v>416</v>
      </c>
      <c r="F2512" s="137" t="str">
        <f t="shared" si="126"/>
        <v/>
      </c>
      <c r="G2512" s="138" t="e">
        <f>IF(A2512&lt;&gt;"",IF(AND(#REF!="Padrão",$H$4=#REF!),BDI!$B$17,IF(AND(#REF!="Padrão",$H$4=#REF!),BDI!#REF!,IF(AND(#REF!="Diferenciado",$H$4=#REF!),BDI!$E$17,IF(AND(#REF!="Diferenciado",$H$4=#REF!),BDI!#REF!,IF(#REF!="ZERO",0))))),"")</f>
        <v>#REF!</v>
      </c>
      <c r="H2512" s="139" t="str">
        <f t="shared" si="127"/>
        <v/>
      </c>
      <c r="I2512" s="137" t="str">
        <f t="shared" si="128"/>
        <v/>
      </c>
      <c r="J2512" s="117"/>
    </row>
    <row r="2513" spans="1:10" hidden="1" x14ac:dyDescent="0.25">
      <c r="A2513" s="114" t="s">
        <v>5297</v>
      </c>
      <c r="B2513" s="115" t="s">
        <v>4071</v>
      </c>
      <c r="C2513" s="116" t="s">
        <v>16</v>
      </c>
      <c r="D2513" s="116">
        <v>0</v>
      </c>
      <c r="E2513" s="136" t="s">
        <v>416</v>
      </c>
      <c r="F2513" s="137" t="str">
        <f t="shared" si="126"/>
        <v/>
      </c>
      <c r="G2513" s="138" t="e">
        <f>IF(A2513&lt;&gt;"",IF(AND(#REF!="Padrão",$H$4=#REF!),BDI!$B$17,IF(AND(#REF!="Padrão",$H$4=#REF!),BDI!#REF!,IF(AND(#REF!="Diferenciado",$H$4=#REF!),BDI!$E$17,IF(AND(#REF!="Diferenciado",$H$4=#REF!),BDI!#REF!,IF(#REF!="ZERO",0))))),"")</f>
        <v>#REF!</v>
      </c>
      <c r="H2513" s="139" t="str">
        <f t="shared" si="127"/>
        <v/>
      </c>
      <c r="I2513" s="137" t="str">
        <f t="shared" si="128"/>
        <v/>
      </c>
      <c r="J2513" s="117"/>
    </row>
    <row r="2514" spans="1:10" hidden="1" x14ac:dyDescent="0.25">
      <c r="A2514" s="114" t="s">
        <v>5298</v>
      </c>
      <c r="B2514" s="115" t="s">
        <v>4072</v>
      </c>
      <c r="C2514" s="116" t="s">
        <v>16</v>
      </c>
      <c r="D2514" s="116">
        <v>0</v>
      </c>
      <c r="E2514" s="136" t="s">
        <v>416</v>
      </c>
      <c r="F2514" s="137" t="str">
        <f t="shared" si="126"/>
        <v/>
      </c>
      <c r="G2514" s="138" t="e">
        <f>IF(A2514&lt;&gt;"",IF(AND(#REF!="Padrão",$H$4=#REF!),BDI!$B$17,IF(AND(#REF!="Padrão",$H$4=#REF!),BDI!#REF!,IF(AND(#REF!="Diferenciado",$H$4=#REF!),BDI!$E$17,IF(AND(#REF!="Diferenciado",$H$4=#REF!),BDI!#REF!,IF(#REF!="ZERO",0))))),"")</f>
        <v>#REF!</v>
      </c>
      <c r="H2514" s="139" t="str">
        <f t="shared" si="127"/>
        <v/>
      </c>
      <c r="I2514" s="137" t="str">
        <f t="shared" si="128"/>
        <v/>
      </c>
      <c r="J2514" s="117"/>
    </row>
    <row r="2515" spans="1:10" hidden="1" x14ac:dyDescent="0.25">
      <c r="A2515" s="114" t="s">
        <v>5299</v>
      </c>
      <c r="B2515" s="115" t="s">
        <v>4073</v>
      </c>
      <c r="C2515" s="116" t="s">
        <v>16</v>
      </c>
      <c r="D2515" s="116">
        <v>0</v>
      </c>
      <c r="E2515" s="136" t="s">
        <v>416</v>
      </c>
      <c r="F2515" s="137" t="str">
        <f t="shared" si="126"/>
        <v/>
      </c>
      <c r="G2515" s="138" t="e">
        <f>IF(A2515&lt;&gt;"",IF(AND(#REF!="Padrão",$H$4=#REF!),BDI!$B$17,IF(AND(#REF!="Padrão",$H$4=#REF!),BDI!#REF!,IF(AND(#REF!="Diferenciado",$H$4=#REF!),BDI!$E$17,IF(AND(#REF!="Diferenciado",$H$4=#REF!),BDI!#REF!,IF(#REF!="ZERO",0))))),"")</f>
        <v>#REF!</v>
      </c>
      <c r="H2515" s="139" t="str">
        <f t="shared" si="127"/>
        <v/>
      </c>
      <c r="I2515" s="137" t="str">
        <f t="shared" si="128"/>
        <v/>
      </c>
      <c r="J2515" s="117"/>
    </row>
    <row r="2516" spans="1:10" hidden="1" x14ac:dyDescent="0.25">
      <c r="A2516" s="114" t="s">
        <v>5300</v>
      </c>
      <c r="B2516" s="115" t="s">
        <v>4074</v>
      </c>
      <c r="C2516" s="116" t="s">
        <v>16</v>
      </c>
      <c r="D2516" s="116">
        <v>0</v>
      </c>
      <c r="E2516" s="136" t="s">
        <v>416</v>
      </c>
      <c r="F2516" s="137" t="str">
        <f t="shared" si="126"/>
        <v/>
      </c>
      <c r="G2516" s="138" t="e">
        <f>IF(A2516&lt;&gt;"",IF(AND(#REF!="Padrão",$H$4=#REF!),BDI!$B$17,IF(AND(#REF!="Padrão",$H$4=#REF!),BDI!#REF!,IF(AND(#REF!="Diferenciado",$H$4=#REF!),BDI!$E$17,IF(AND(#REF!="Diferenciado",$H$4=#REF!),BDI!#REF!,IF(#REF!="ZERO",0))))),"")</f>
        <v>#REF!</v>
      </c>
      <c r="H2516" s="139" t="str">
        <f t="shared" si="127"/>
        <v/>
      </c>
      <c r="I2516" s="137" t="str">
        <f t="shared" si="128"/>
        <v/>
      </c>
      <c r="J2516" s="117"/>
    </row>
    <row r="2517" spans="1:10" hidden="1" x14ac:dyDescent="0.25">
      <c r="A2517" s="114" t="s">
        <v>5301</v>
      </c>
      <c r="B2517" s="115" t="s">
        <v>4075</v>
      </c>
      <c r="C2517" s="116" t="s">
        <v>16</v>
      </c>
      <c r="D2517" s="116">
        <v>0</v>
      </c>
      <c r="E2517" s="136" t="s">
        <v>416</v>
      </c>
      <c r="F2517" s="137" t="str">
        <f t="shared" si="126"/>
        <v/>
      </c>
      <c r="G2517" s="138" t="e">
        <f>IF(A2517&lt;&gt;"",IF(AND(#REF!="Padrão",$H$4=#REF!),BDI!$B$17,IF(AND(#REF!="Padrão",$H$4=#REF!),BDI!#REF!,IF(AND(#REF!="Diferenciado",$H$4=#REF!),BDI!$E$17,IF(AND(#REF!="Diferenciado",$H$4=#REF!),BDI!#REF!,IF(#REF!="ZERO",0))))),"")</f>
        <v>#REF!</v>
      </c>
      <c r="H2517" s="139" t="str">
        <f t="shared" si="127"/>
        <v/>
      </c>
      <c r="I2517" s="137" t="str">
        <f t="shared" si="128"/>
        <v/>
      </c>
      <c r="J2517" s="117"/>
    </row>
    <row r="2518" spans="1:10" hidden="1" x14ac:dyDescent="0.25">
      <c r="A2518" s="114" t="s">
        <v>5302</v>
      </c>
      <c r="B2518" s="115" t="s">
        <v>4076</v>
      </c>
      <c r="C2518" s="116" t="s">
        <v>16</v>
      </c>
      <c r="D2518" s="116">
        <v>0</v>
      </c>
      <c r="E2518" s="136" t="s">
        <v>416</v>
      </c>
      <c r="F2518" s="137" t="str">
        <f t="shared" si="126"/>
        <v/>
      </c>
      <c r="G2518" s="138" t="e">
        <f>IF(A2518&lt;&gt;"",IF(AND(#REF!="Padrão",$H$4=#REF!),BDI!$B$17,IF(AND(#REF!="Padrão",$H$4=#REF!),BDI!#REF!,IF(AND(#REF!="Diferenciado",$H$4=#REF!),BDI!$E$17,IF(AND(#REF!="Diferenciado",$H$4=#REF!),BDI!#REF!,IF(#REF!="ZERO",0))))),"")</f>
        <v>#REF!</v>
      </c>
      <c r="H2518" s="139" t="str">
        <f t="shared" si="127"/>
        <v/>
      </c>
      <c r="I2518" s="137" t="str">
        <f t="shared" si="128"/>
        <v/>
      </c>
      <c r="J2518" s="117"/>
    </row>
    <row r="2519" spans="1:10" hidden="1" x14ac:dyDescent="0.25">
      <c r="A2519" s="114" t="s">
        <v>5303</v>
      </c>
      <c r="B2519" s="115" t="s">
        <v>4077</v>
      </c>
      <c r="C2519" s="116" t="s">
        <v>16</v>
      </c>
      <c r="D2519" s="116">
        <v>0</v>
      </c>
      <c r="E2519" s="136" t="s">
        <v>416</v>
      </c>
      <c r="F2519" s="137" t="str">
        <f t="shared" si="126"/>
        <v/>
      </c>
      <c r="G2519" s="138" t="e">
        <f>IF(A2519&lt;&gt;"",IF(AND(#REF!="Padrão",$H$4=#REF!),BDI!$B$17,IF(AND(#REF!="Padrão",$H$4=#REF!),BDI!#REF!,IF(AND(#REF!="Diferenciado",$H$4=#REF!),BDI!$E$17,IF(AND(#REF!="Diferenciado",$H$4=#REF!),BDI!#REF!,IF(#REF!="ZERO",0))))),"")</f>
        <v>#REF!</v>
      </c>
      <c r="H2519" s="139" t="str">
        <f t="shared" si="127"/>
        <v/>
      </c>
      <c r="I2519" s="137" t="str">
        <f t="shared" si="128"/>
        <v/>
      </c>
      <c r="J2519" s="117"/>
    </row>
    <row r="2520" spans="1:10" hidden="1" x14ac:dyDescent="0.25">
      <c r="A2520" s="114" t="s">
        <v>5304</v>
      </c>
      <c r="B2520" s="115" t="s">
        <v>4078</v>
      </c>
      <c r="C2520" s="116" t="s">
        <v>16</v>
      </c>
      <c r="D2520" s="116">
        <v>0</v>
      </c>
      <c r="E2520" s="136" t="s">
        <v>416</v>
      </c>
      <c r="F2520" s="137" t="str">
        <f t="shared" si="126"/>
        <v/>
      </c>
      <c r="G2520" s="138" t="e">
        <f>IF(A2520&lt;&gt;"",IF(AND(#REF!="Padrão",$H$4=#REF!),BDI!$B$17,IF(AND(#REF!="Padrão",$H$4=#REF!),BDI!#REF!,IF(AND(#REF!="Diferenciado",$H$4=#REF!),BDI!$E$17,IF(AND(#REF!="Diferenciado",$H$4=#REF!),BDI!#REF!,IF(#REF!="ZERO",0))))),"")</f>
        <v>#REF!</v>
      </c>
      <c r="H2520" s="139" t="str">
        <f t="shared" si="127"/>
        <v/>
      </c>
      <c r="I2520" s="137" t="str">
        <f t="shared" si="128"/>
        <v/>
      </c>
      <c r="J2520" s="117"/>
    </row>
    <row r="2521" spans="1:10" hidden="1" x14ac:dyDescent="0.25">
      <c r="A2521" s="114" t="s">
        <v>5305</v>
      </c>
      <c r="B2521" s="115" t="s">
        <v>4079</v>
      </c>
      <c r="C2521" s="116" t="s">
        <v>16</v>
      </c>
      <c r="D2521" s="116">
        <v>0</v>
      </c>
      <c r="E2521" s="136" t="s">
        <v>416</v>
      </c>
      <c r="F2521" s="137" t="str">
        <f t="shared" si="126"/>
        <v/>
      </c>
      <c r="G2521" s="138" t="e">
        <f>IF(A2521&lt;&gt;"",IF(AND(#REF!="Padrão",$H$4=#REF!),BDI!$B$17,IF(AND(#REF!="Padrão",$H$4=#REF!),BDI!#REF!,IF(AND(#REF!="Diferenciado",$H$4=#REF!),BDI!$E$17,IF(AND(#REF!="Diferenciado",$H$4=#REF!),BDI!#REF!,IF(#REF!="ZERO",0))))),"")</f>
        <v>#REF!</v>
      </c>
      <c r="H2521" s="139" t="str">
        <f t="shared" si="127"/>
        <v/>
      </c>
      <c r="I2521" s="137" t="str">
        <f t="shared" si="128"/>
        <v/>
      </c>
      <c r="J2521" s="117"/>
    </row>
    <row r="2522" spans="1:10" hidden="1" x14ac:dyDescent="0.25">
      <c r="A2522" s="114" t="s">
        <v>5306</v>
      </c>
      <c r="B2522" s="115" t="s">
        <v>4080</v>
      </c>
      <c r="C2522" s="116" t="s">
        <v>16</v>
      </c>
      <c r="D2522" s="116">
        <v>0</v>
      </c>
      <c r="E2522" s="136" t="s">
        <v>416</v>
      </c>
      <c r="F2522" s="137" t="str">
        <f t="shared" si="126"/>
        <v/>
      </c>
      <c r="G2522" s="138" t="e">
        <f>IF(A2522&lt;&gt;"",IF(AND(#REF!="Padrão",$H$4=#REF!),BDI!$B$17,IF(AND(#REF!="Padrão",$H$4=#REF!),BDI!#REF!,IF(AND(#REF!="Diferenciado",$H$4=#REF!),BDI!$E$17,IF(AND(#REF!="Diferenciado",$H$4=#REF!),BDI!#REF!,IF(#REF!="ZERO",0))))),"")</f>
        <v>#REF!</v>
      </c>
      <c r="H2522" s="139" t="str">
        <f t="shared" si="127"/>
        <v/>
      </c>
      <c r="I2522" s="137" t="str">
        <f t="shared" si="128"/>
        <v/>
      </c>
      <c r="J2522" s="117"/>
    </row>
    <row r="2523" spans="1:10" hidden="1" x14ac:dyDescent="0.25">
      <c r="A2523" s="114" t="s">
        <v>5307</v>
      </c>
      <c r="B2523" s="115" t="s">
        <v>4081</v>
      </c>
      <c r="C2523" s="116" t="s">
        <v>16</v>
      </c>
      <c r="D2523" s="116">
        <v>0</v>
      </c>
      <c r="E2523" s="136" t="s">
        <v>416</v>
      </c>
      <c r="F2523" s="137" t="str">
        <f t="shared" si="126"/>
        <v/>
      </c>
      <c r="G2523" s="138" t="e">
        <f>IF(A2523&lt;&gt;"",IF(AND(#REF!="Padrão",$H$4=#REF!),BDI!$B$17,IF(AND(#REF!="Padrão",$H$4=#REF!),BDI!#REF!,IF(AND(#REF!="Diferenciado",$H$4=#REF!),BDI!$E$17,IF(AND(#REF!="Diferenciado",$H$4=#REF!),BDI!#REF!,IF(#REF!="ZERO",0))))),"")</f>
        <v>#REF!</v>
      </c>
      <c r="H2523" s="139" t="str">
        <f t="shared" si="127"/>
        <v/>
      </c>
      <c r="I2523" s="137" t="str">
        <f t="shared" si="128"/>
        <v/>
      </c>
      <c r="J2523" s="117"/>
    </row>
    <row r="2524" spans="1:10" hidden="1" x14ac:dyDescent="0.25">
      <c r="A2524" s="114" t="s">
        <v>5308</v>
      </c>
      <c r="B2524" s="115" t="s">
        <v>4082</v>
      </c>
      <c r="C2524" s="116" t="s">
        <v>16</v>
      </c>
      <c r="D2524" s="116">
        <v>0</v>
      </c>
      <c r="E2524" s="136" t="s">
        <v>416</v>
      </c>
      <c r="F2524" s="137" t="str">
        <f t="shared" si="126"/>
        <v/>
      </c>
      <c r="G2524" s="138" t="e">
        <f>IF(A2524&lt;&gt;"",IF(AND(#REF!="Padrão",$H$4=#REF!),BDI!$B$17,IF(AND(#REF!="Padrão",$H$4=#REF!),BDI!#REF!,IF(AND(#REF!="Diferenciado",$H$4=#REF!),BDI!$E$17,IF(AND(#REF!="Diferenciado",$H$4=#REF!),BDI!#REF!,IF(#REF!="ZERO",0))))),"")</f>
        <v>#REF!</v>
      </c>
      <c r="H2524" s="139" t="str">
        <f t="shared" si="127"/>
        <v/>
      </c>
      <c r="I2524" s="137" t="str">
        <f t="shared" si="128"/>
        <v/>
      </c>
      <c r="J2524" s="117"/>
    </row>
    <row r="2525" spans="1:10" hidden="1" x14ac:dyDescent="0.25">
      <c r="A2525" s="114" t="s">
        <v>5309</v>
      </c>
      <c r="B2525" s="115" t="s">
        <v>4083</v>
      </c>
      <c r="C2525" s="116" t="s">
        <v>16</v>
      </c>
      <c r="D2525" s="116">
        <v>0</v>
      </c>
      <c r="E2525" s="136" t="s">
        <v>416</v>
      </c>
      <c r="F2525" s="137" t="str">
        <f t="shared" si="126"/>
        <v/>
      </c>
      <c r="G2525" s="138" t="e">
        <f>IF(A2525&lt;&gt;"",IF(AND(#REF!="Padrão",$H$4=#REF!),BDI!$B$17,IF(AND(#REF!="Padrão",$H$4=#REF!),BDI!#REF!,IF(AND(#REF!="Diferenciado",$H$4=#REF!),BDI!$E$17,IF(AND(#REF!="Diferenciado",$H$4=#REF!),BDI!#REF!,IF(#REF!="ZERO",0))))),"")</f>
        <v>#REF!</v>
      </c>
      <c r="H2525" s="139" t="str">
        <f t="shared" si="127"/>
        <v/>
      </c>
      <c r="I2525" s="137" t="str">
        <f t="shared" si="128"/>
        <v/>
      </c>
      <c r="J2525" s="117"/>
    </row>
    <row r="2526" spans="1:10" hidden="1" x14ac:dyDescent="0.25">
      <c r="A2526" s="114" t="s">
        <v>5310</v>
      </c>
      <c r="B2526" s="115" t="s">
        <v>4084</v>
      </c>
      <c r="C2526" s="116" t="s">
        <v>16</v>
      </c>
      <c r="D2526" s="116">
        <v>0</v>
      </c>
      <c r="E2526" s="136" t="s">
        <v>416</v>
      </c>
      <c r="F2526" s="137" t="str">
        <f t="shared" si="126"/>
        <v/>
      </c>
      <c r="G2526" s="138" t="e">
        <f>IF(A2526&lt;&gt;"",IF(AND(#REF!="Padrão",$H$4=#REF!),BDI!$B$17,IF(AND(#REF!="Padrão",$H$4=#REF!),BDI!#REF!,IF(AND(#REF!="Diferenciado",$H$4=#REF!),BDI!$E$17,IF(AND(#REF!="Diferenciado",$H$4=#REF!),BDI!#REF!,IF(#REF!="ZERO",0))))),"")</f>
        <v>#REF!</v>
      </c>
      <c r="H2526" s="139" t="str">
        <f t="shared" si="127"/>
        <v/>
      </c>
      <c r="I2526" s="137" t="str">
        <f t="shared" si="128"/>
        <v/>
      </c>
      <c r="J2526" s="117"/>
    </row>
    <row r="2527" spans="1:10" hidden="1" x14ac:dyDescent="0.25">
      <c r="A2527" s="114" t="s">
        <v>5311</v>
      </c>
      <c r="B2527" s="115" t="s">
        <v>4085</v>
      </c>
      <c r="C2527" s="116" t="s">
        <v>16</v>
      </c>
      <c r="D2527" s="116">
        <v>0</v>
      </c>
      <c r="E2527" s="136" t="s">
        <v>416</v>
      </c>
      <c r="F2527" s="137" t="str">
        <f t="shared" si="126"/>
        <v/>
      </c>
      <c r="G2527" s="138" t="e">
        <f>IF(A2527&lt;&gt;"",IF(AND(#REF!="Padrão",$H$4=#REF!),BDI!$B$17,IF(AND(#REF!="Padrão",$H$4=#REF!),BDI!#REF!,IF(AND(#REF!="Diferenciado",$H$4=#REF!),BDI!$E$17,IF(AND(#REF!="Diferenciado",$H$4=#REF!),BDI!#REF!,IF(#REF!="ZERO",0))))),"")</f>
        <v>#REF!</v>
      </c>
      <c r="H2527" s="139" t="str">
        <f t="shared" si="127"/>
        <v/>
      </c>
      <c r="I2527" s="137" t="str">
        <f t="shared" si="128"/>
        <v/>
      </c>
      <c r="J2527" s="117"/>
    </row>
    <row r="2528" spans="1:10" hidden="1" x14ac:dyDescent="0.25">
      <c r="A2528" s="114" t="s">
        <v>5312</v>
      </c>
      <c r="B2528" s="115" t="s">
        <v>4086</v>
      </c>
      <c r="C2528" s="116" t="s">
        <v>16</v>
      </c>
      <c r="D2528" s="116">
        <v>0</v>
      </c>
      <c r="E2528" s="136" t="s">
        <v>416</v>
      </c>
      <c r="F2528" s="137" t="str">
        <f t="shared" si="126"/>
        <v/>
      </c>
      <c r="G2528" s="138" t="e">
        <f>IF(A2528&lt;&gt;"",IF(AND(#REF!="Padrão",$H$4=#REF!),BDI!$B$17,IF(AND(#REF!="Padrão",$H$4=#REF!),BDI!#REF!,IF(AND(#REF!="Diferenciado",$H$4=#REF!),BDI!$E$17,IF(AND(#REF!="Diferenciado",$H$4=#REF!),BDI!#REF!,IF(#REF!="ZERO",0))))),"")</f>
        <v>#REF!</v>
      </c>
      <c r="H2528" s="139" t="str">
        <f t="shared" si="127"/>
        <v/>
      </c>
      <c r="I2528" s="137" t="str">
        <f t="shared" si="128"/>
        <v/>
      </c>
      <c r="J2528" s="117"/>
    </row>
    <row r="2529" spans="1:10" hidden="1" x14ac:dyDescent="0.25">
      <c r="A2529" s="114" t="s">
        <v>5313</v>
      </c>
      <c r="B2529" s="115" t="s">
        <v>4087</v>
      </c>
      <c r="C2529" s="116" t="s">
        <v>16</v>
      </c>
      <c r="D2529" s="116">
        <v>0</v>
      </c>
      <c r="E2529" s="136" t="s">
        <v>416</v>
      </c>
      <c r="F2529" s="137" t="str">
        <f t="shared" si="126"/>
        <v/>
      </c>
      <c r="G2529" s="138" t="e">
        <f>IF(A2529&lt;&gt;"",IF(AND(#REF!="Padrão",$H$4=#REF!),BDI!$B$17,IF(AND(#REF!="Padrão",$H$4=#REF!),BDI!#REF!,IF(AND(#REF!="Diferenciado",$H$4=#REF!),BDI!$E$17,IF(AND(#REF!="Diferenciado",$H$4=#REF!),BDI!#REF!,IF(#REF!="ZERO",0))))),"")</f>
        <v>#REF!</v>
      </c>
      <c r="H2529" s="139" t="str">
        <f t="shared" si="127"/>
        <v/>
      </c>
      <c r="I2529" s="137" t="str">
        <f t="shared" si="128"/>
        <v/>
      </c>
      <c r="J2529" s="117"/>
    </row>
    <row r="2530" spans="1:10" hidden="1" x14ac:dyDescent="0.25">
      <c r="A2530" s="114" t="s">
        <v>5314</v>
      </c>
      <c r="B2530" s="115" t="s">
        <v>4088</v>
      </c>
      <c r="C2530" s="116" t="s">
        <v>16</v>
      </c>
      <c r="D2530" s="116">
        <v>0</v>
      </c>
      <c r="E2530" s="136" t="s">
        <v>416</v>
      </c>
      <c r="F2530" s="137" t="str">
        <f t="shared" si="126"/>
        <v/>
      </c>
      <c r="G2530" s="138" t="e">
        <f>IF(A2530&lt;&gt;"",IF(AND(#REF!="Padrão",$H$4=#REF!),BDI!$B$17,IF(AND(#REF!="Padrão",$H$4=#REF!),BDI!#REF!,IF(AND(#REF!="Diferenciado",$H$4=#REF!),BDI!$E$17,IF(AND(#REF!="Diferenciado",$H$4=#REF!),BDI!#REF!,IF(#REF!="ZERO",0))))),"")</f>
        <v>#REF!</v>
      </c>
      <c r="H2530" s="139" t="str">
        <f t="shared" si="127"/>
        <v/>
      </c>
      <c r="I2530" s="137" t="str">
        <f t="shared" si="128"/>
        <v/>
      </c>
      <c r="J2530" s="117"/>
    </row>
    <row r="2531" spans="1:10" hidden="1" x14ac:dyDescent="0.25">
      <c r="A2531" s="114" t="s">
        <v>5315</v>
      </c>
      <c r="B2531" s="115" t="s">
        <v>4089</v>
      </c>
      <c r="C2531" s="116" t="s">
        <v>16</v>
      </c>
      <c r="D2531" s="116">
        <v>0</v>
      </c>
      <c r="E2531" s="136" t="s">
        <v>416</v>
      </c>
      <c r="F2531" s="137" t="str">
        <f t="shared" si="126"/>
        <v/>
      </c>
      <c r="G2531" s="138" t="e">
        <f>IF(A2531&lt;&gt;"",IF(AND(#REF!="Padrão",$H$4=#REF!),BDI!$B$17,IF(AND(#REF!="Padrão",$H$4=#REF!),BDI!#REF!,IF(AND(#REF!="Diferenciado",$H$4=#REF!),BDI!$E$17,IF(AND(#REF!="Diferenciado",$H$4=#REF!),BDI!#REF!,IF(#REF!="ZERO",0))))),"")</f>
        <v>#REF!</v>
      </c>
      <c r="H2531" s="139" t="str">
        <f t="shared" si="127"/>
        <v/>
      </c>
      <c r="I2531" s="137" t="str">
        <f t="shared" si="128"/>
        <v/>
      </c>
      <c r="J2531" s="117"/>
    </row>
    <row r="2532" spans="1:10" hidden="1" x14ac:dyDescent="0.25">
      <c r="A2532" s="114" t="s">
        <v>5316</v>
      </c>
      <c r="B2532" s="115" t="s">
        <v>4090</v>
      </c>
      <c r="C2532" s="116" t="s">
        <v>16</v>
      </c>
      <c r="D2532" s="116">
        <v>0</v>
      </c>
      <c r="E2532" s="136" t="s">
        <v>416</v>
      </c>
      <c r="F2532" s="137" t="str">
        <f t="shared" si="126"/>
        <v/>
      </c>
      <c r="G2532" s="138" t="e">
        <f>IF(A2532&lt;&gt;"",IF(AND(#REF!="Padrão",$H$4=#REF!),BDI!$B$17,IF(AND(#REF!="Padrão",$H$4=#REF!),BDI!#REF!,IF(AND(#REF!="Diferenciado",$H$4=#REF!),BDI!$E$17,IF(AND(#REF!="Diferenciado",$H$4=#REF!),BDI!#REF!,IF(#REF!="ZERO",0))))),"")</f>
        <v>#REF!</v>
      </c>
      <c r="H2532" s="139" t="str">
        <f t="shared" si="127"/>
        <v/>
      </c>
      <c r="I2532" s="137" t="str">
        <f t="shared" si="128"/>
        <v/>
      </c>
      <c r="J2532" s="117"/>
    </row>
    <row r="2533" spans="1:10" hidden="1" x14ac:dyDescent="0.25">
      <c r="A2533" s="114" t="s">
        <v>5317</v>
      </c>
      <c r="B2533" s="115" t="s">
        <v>4091</v>
      </c>
      <c r="C2533" s="116" t="s">
        <v>16</v>
      </c>
      <c r="D2533" s="116">
        <v>0</v>
      </c>
      <c r="E2533" s="136" t="s">
        <v>416</v>
      </c>
      <c r="F2533" s="137" t="str">
        <f t="shared" si="126"/>
        <v/>
      </c>
      <c r="G2533" s="138" t="e">
        <f>IF(A2533&lt;&gt;"",IF(AND(#REF!="Padrão",$H$4=#REF!),BDI!$B$17,IF(AND(#REF!="Padrão",$H$4=#REF!),BDI!#REF!,IF(AND(#REF!="Diferenciado",$H$4=#REF!),BDI!$E$17,IF(AND(#REF!="Diferenciado",$H$4=#REF!),BDI!#REF!,IF(#REF!="ZERO",0))))),"")</f>
        <v>#REF!</v>
      </c>
      <c r="H2533" s="139" t="str">
        <f t="shared" si="127"/>
        <v/>
      </c>
      <c r="I2533" s="137" t="str">
        <f t="shared" si="128"/>
        <v/>
      </c>
      <c r="J2533" s="117"/>
    </row>
    <row r="2534" spans="1:10" hidden="1" x14ac:dyDescent="0.25">
      <c r="A2534" s="114" t="s">
        <v>5318</v>
      </c>
      <c r="B2534" s="115" t="s">
        <v>4092</v>
      </c>
      <c r="C2534" s="116" t="s">
        <v>16</v>
      </c>
      <c r="D2534" s="116">
        <v>0</v>
      </c>
      <c r="E2534" s="136" t="s">
        <v>416</v>
      </c>
      <c r="F2534" s="137" t="str">
        <f t="shared" si="126"/>
        <v/>
      </c>
      <c r="G2534" s="138" t="e">
        <f>IF(A2534&lt;&gt;"",IF(AND(#REF!="Padrão",$H$4=#REF!),BDI!$B$17,IF(AND(#REF!="Padrão",$H$4=#REF!),BDI!#REF!,IF(AND(#REF!="Diferenciado",$H$4=#REF!),BDI!$E$17,IF(AND(#REF!="Diferenciado",$H$4=#REF!),BDI!#REF!,IF(#REF!="ZERO",0))))),"")</f>
        <v>#REF!</v>
      </c>
      <c r="H2534" s="139" t="str">
        <f t="shared" si="127"/>
        <v/>
      </c>
      <c r="I2534" s="137" t="str">
        <f t="shared" si="128"/>
        <v/>
      </c>
      <c r="J2534" s="117"/>
    </row>
    <row r="2535" spans="1:10" hidden="1" x14ac:dyDescent="0.25">
      <c r="A2535" s="114" t="s">
        <v>5319</v>
      </c>
      <c r="B2535" s="115" t="s">
        <v>4093</v>
      </c>
      <c r="C2535" s="116" t="s">
        <v>16</v>
      </c>
      <c r="D2535" s="116">
        <v>0</v>
      </c>
      <c r="E2535" s="136" t="s">
        <v>416</v>
      </c>
      <c r="F2535" s="137" t="str">
        <f t="shared" si="126"/>
        <v/>
      </c>
      <c r="G2535" s="138" t="e">
        <f>IF(A2535&lt;&gt;"",IF(AND(#REF!="Padrão",$H$4=#REF!),BDI!$B$17,IF(AND(#REF!="Padrão",$H$4=#REF!),BDI!#REF!,IF(AND(#REF!="Diferenciado",$H$4=#REF!),BDI!$E$17,IF(AND(#REF!="Diferenciado",$H$4=#REF!),BDI!#REF!,IF(#REF!="ZERO",0))))),"")</f>
        <v>#REF!</v>
      </c>
      <c r="H2535" s="139" t="str">
        <f t="shared" si="127"/>
        <v/>
      </c>
      <c r="I2535" s="137" t="str">
        <f t="shared" si="128"/>
        <v/>
      </c>
      <c r="J2535" s="117"/>
    </row>
    <row r="2536" spans="1:10" hidden="1" x14ac:dyDescent="0.25">
      <c r="A2536" s="114" t="s">
        <v>5320</v>
      </c>
      <c r="B2536" s="115" t="s">
        <v>4094</v>
      </c>
      <c r="C2536" s="116" t="s">
        <v>16</v>
      </c>
      <c r="D2536" s="116">
        <v>0</v>
      </c>
      <c r="E2536" s="136" t="s">
        <v>416</v>
      </c>
      <c r="F2536" s="137" t="str">
        <f t="shared" si="126"/>
        <v/>
      </c>
      <c r="G2536" s="138" t="e">
        <f>IF(A2536&lt;&gt;"",IF(AND(#REF!="Padrão",$H$4=#REF!),BDI!$B$17,IF(AND(#REF!="Padrão",$H$4=#REF!),BDI!#REF!,IF(AND(#REF!="Diferenciado",$H$4=#REF!),BDI!$E$17,IF(AND(#REF!="Diferenciado",$H$4=#REF!),BDI!#REF!,IF(#REF!="ZERO",0))))),"")</f>
        <v>#REF!</v>
      </c>
      <c r="H2536" s="139" t="str">
        <f t="shared" si="127"/>
        <v/>
      </c>
      <c r="I2536" s="137" t="str">
        <f t="shared" si="128"/>
        <v/>
      </c>
      <c r="J2536" s="117"/>
    </row>
    <row r="2537" spans="1:10" hidden="1" x14ac:dyDescent="0.25">
      <c r="A2537" s="114" t="s">
        <v>5321</v>
      </c>
      <c r="B2537" s="115" t="s">
        <v>4095</v>
      </c>
      <c r="C2537" s="116" t="s">
        <v>16</v>
      </c>
      <c r="D2537" s="116">
        <v>0</v>
      </c>
      <c r="E2537" s="136" t="s">
        <v>416</v>
      </c>
      <c r="F2537" s="137" t="str">
        <f t="shared" si="126"/>
        <v/>
      </c>
      <c r="G2537" s="138" t="e">
        <f>IF(A2537&lt;&gt;"",IF(AND(#REF!="Padrão",$H$4=#REF!),BDI!$B$17,IF(AND(#REF!="Padrão",$H$4=#REF!),BDI!#REF!,IF(AND(#REF!="Diferenciado",$H$4=#REF!),BDI!$E$17,IF(AND(#REF!="Diferenciado",$H$4=#REF!),BDI!#REF!,IF(#REF!="ZERO",0))))),"")</f>
        <v>#REF!</v>
      </c>
      <c r="H2537" s="139" t="str">
        <f t="shared" si="127"/>
        <v/>
      </c>
      <c r="I2537" s="137" t="str">
        <f t="shared" si="128"/>
        <v/>
      </c>
      <c r="J2537" s="117"/>
    </row>
    <row r="2538" spans="1:10" hidden="1" x14ac:dyDescent="0.25">
      <c r="A2538" s="114" t="s">
        <v>5322</v>
      </c>
      <c r="B2538" s="115" t="s">
        <v>4096</v>
      </c>
      <c r="C2538" s="116" t="s">
        <v>16</v>
      </c>
      <c r="D2538" s="116">
        <v>0</v>
      </c>
      <c r="E2538" s="136" t="s">
        <v>416</v>
      </c>
      <c r="F2538" s="137" t="str">
        <f t="shared" si="126"/>
        <v/>
      </c>
      <c r="G2538" s="138" t="e">
        <f>IF(A2538&lt;&gt;"",IF(AND(#REF!="Padrão",$H$4=#REF!),BDI!$B$17,IF(AND(#REF!="Padrão",$H$4=#REF!),BDI!#REF!,IF(AND(#REF!="Diferenciado",$H$4=#REF!),BDI!$E$17,IF(AND(#REF!="Diferenciado",$H$4=#REF!),BDI!#REF!,IF(#REF!="ZERO",0))))),"")</f>
        <v>#REF!</v>
      </c>
      <c r="H2538" s="139" t="str">
        <f t="shared" si="127"/>
        <v/>
      </c>
      <c r="I2538" s="137" t="str">
        <f t="shared" si="128"/>
        <v/>
      </c>
      <c r="J2538" s="117"/>
    </row>
    <row r="2539" spans="1:10" hidden="1" x14ac:dyDescent="0.25">
      <c r="A2539" s="114" t="s">
        <v>5323</v>
      </c>
      <c r="B2539" s="115" t="s">
        <v>4097</v>
      </c>
      <c r="C2539" s="116" t="s">
        <v>16</v>
      </c>
      <c r="D2539" s="116">
        <v>0</v>
      </c>
      <c r="E2539" s="136" t="s">
        <v>416</v>
      </c>
      <c r="F2539" s="137" t="str">
        <f t="shared" si="126"/>
        <v/>
      </c>
      <c r="G2539" s="138" t="e">
        <f>IF(A2539&lt;&gt;"",IF(AND(#REF!="Padrão",$H$4=#REF!),BDI!$B$17,IF(AND(#REF!="Padrão",$H$4=#REF!),BDI!#REF!,IF(AND(#REF!="Diferenciado",$H$4=#REF!),BDI!$E$17,IF(AND(#REF!="Diferenciado",$H$4=#REF!),BDI!#REF!,IF(#REF!="ZERO",0))))),"")</f>
        <v>#REF!</v>
      </c>
      <c r="H2539" s="139" t="str">
        <f t="shared" si="127"/>
        <v/>
      </c>
      <c r="I2539" s="137" t="str">
        <f t="shared" si="128"/>
        <v/>
      </c>
      <c r="J2539" s="117"/>
    </row>
    <row r="2540" spans="1:10" hidden="1" x14ac:dyDescent="0.25">
      <c r="A2540" s="114" t="s">
        <v>5324</v>
      </c>
      <c r="B2540" s="115" t="s">
        <v>4098</v>
      </c>
      <c r="C2540" s="116" t="s">
        <v>16</v>
      </c>
      <c r="D2540" s="116">
        <v>0</v>
      </c>
      <c r="E2540" s="136" t="s">
        <v>416</v>
      </c>
      <c r="F2540" s="137" t="str">
        <f t="shared" si="126"/>
        <v/>
      </c>
      <c r="G2540" s="138" t="e">
        <f>IF(A2540&lt;&gt;"",IF(AND(#REF!="Padrão",$H$4=#REF!),BDI!$B$17,IF(AND(#REF!="Padrão",$H$4=#REF!),BDI!#REF!,IF(AND(#REF!="Diferenciado",$H$4=#REF!),BDI!$E$17,IF(AND(#REF!="Diferenciado",$H$4=#REF!),BDI!#REF!,IF(#REF!="ZERO",0))))),"")</f>
        <v>#REF!</v>
      </c>
      <c r="H2540" s="139" t="str">
        <f t="shared" si="127"/>
        <v/>
      </c>
      <c r="I2540" s="137" t="str">
        <f t="shared" si="128"/>
        <v/>
      </c>
      <c r="J2540" s="117"/>
    </row>
    <row r="2541" spans="1:10" hidden="1" x14ac:dyDescent="0.25">
      <c r="A2541" s="114" t="s">
        <v>5325</v>
      </c>
      <c r="B2541" s="115" t="s">
        <v>4099</v>
      </c>
      <c r="C2541" s="116" t="s">
        <v>16</v>
      </c>
      <c r="D2541" s="116">
        <v>0</v>
      </c>
      <c r="E2541" s="136" t="s">
        <v>416</v>
      </c>
      <c r="F2541" s="137" t="str">
        <f t="shared" ref="F2541:F2604" si="129">IF(ISNUMBER(E2541),D2541*E2541,"")</f>
        <v/>
      </c>
      <c r="G2541" s="138" t="e">
        <f>IF(A2541&lt;&gt;"",IF(AND(#REF!="Padrão",$H$4=#REF!),BDI!$B$17,IF(AND(#REF!="Padrão",$H$4=#REF!),BDI!#REF!,IF(AND(#REF!="Diferenciado",$H$4=#REF!),BDI!$E$17,IF(AND(#REF!="Diferenciado",$H$4=#REF!),BDI!#REF!,IF(#REF!="ZERO",0))))),"")</f>
        <v>#REF!</v>
      </c>
      <c r="H2541" s="139" t="str">
        <f t="shared" ref="H2541:H2604" si="130">IF(ISNUMBER(E2541),ROUND(E2541*(1+G2541),2),"")</f>
        <v/>
      </c>
      <c r="I2541" s="137" t="str">
        <f t="shared" ref="I2541:I2604" si="131">IF(ISNUMBER(E2541),ROUND(H2541*D2541,2),"")</f>
        <v/>
      </c>
      <c r="J2541" s="117"/>
    </row>
    <row r="2542" spans="1:10" hidden="1" x14ac:dyDescent="0.25">
      <c r="A2542" s="114" t="s">
        <v>5326</v>
      </c>
      <c r="B2542" s="115" t="s">
        <v>7394</v>
      </c>
      <c r="C2542" s="116" t="s">
        <v>16</v>
      </c>
      <c r="D2542" s="116">
        <v>0</v>
      </c>
      <c r="E2542" s="136" t="s">
        <v>416</v>
      </c>
      <c r="F2542" s="137" t="str">
        <f t="shared" si="129"/>
        <v/>
      </c>
      <c r="G2542" s="138" t="e">
        <f>IF(A2542&lt;&gt;"",IF(AND(#REF!="Padrão",$H$4=#REF!),BDI!$B$17,IF(AND(#REF!="Padrão",$H$4=#REF!),BDI!#REF!,IF(AND(#REF!="Diferenciado",$H$4=#REF!),BDI!$E$17,IF(AND(#REF!="Diferenciado",$H$4=#REF!),BDI!#REF!,IF(#REF!="ZERO",0))))),"")</f>
        <v>#REF!</v>
      </c>
      <c r="H2542" s="139" t="str">
        <f t="shared" si="130"/>
        <v/>
      </c>
      <c r="I2542" s="137" t="str">
        <f t="shared" si="131"/>
        <v/>
      </c>
      <c r="J2542" s="117"/>
    </row>
    <row r="2543" spans="1:10" hidden="1" x14ac:dyDescent="0.25">
      <c r="A2543" s="114" t="s">
        <v>5327</v>
      </c>
      <c r="B2543" s="115" t="s">
        <v>4100</v>
      </c>
      <c r="C2543" s="116" t="s">
        <v>16</v>
      </c>
      <c r="D2543" s="116">
        <v>0</v>
      </c>
      <c r="E2543" s="136" t="s">
        <v>416</v>
      </c>
      <c r="F2543" s="137" t="str">
        <f t="shared" si="129"/>
        <v/>
      </c>
      <c r="G2543" s="138" t="e">
        <f>IF(A2543&lt;&gt;"",IF(AND(#REF!="Padrão",$H$4=#REF!),BDI!$B$17,IF(AND(#REF!="Padrão",$H$4=#REF!),BDI!#REF!,IF(AND(#REF!="Diferenciado",$H$4=#REF!),BDI!$E$17,IF(AND(#REF!="Diferenciado",$H$4=#REF!),BDI!#REF!,IF(#REF!="ZERO",0))))),"")</f>
        <v>#REF!</v>
      </c>
      <c r="H2543" s="139" t="str">
        <f t="shared" si="130"/>
        <v/>
      </c>
      <c r="I2543" s="137" t="str">
        <f t="shared" si="131"/>
        <v/>
      </c>
      <c r="J2543" s="117"/>
    </row>
    <row r="2544" spans="1:10" hidden="1" x14ac:dyDescent="0.25">
      <c r="A2544" s="114" t="s">
        <v>5328</v>
      </c>
      <c r="B2544" s="115" t="s">
        <v>4101</v>
      </c>
      <c r="C2544" s="116" t="s">
        <v>16</v>
      </c>
      <c r="D2544" s="116">
        <v>0</v>
      </c>
      <c r="E2544" s="136" t="s">
        <v>416</v>
      </c>
      <c r="F2544" s="137" t="str">
        <f t="shared" si="129"/>
        <v/>
      </c>
      <c r="G2544" s="138" t="e">
        <f>IF(A2544&lt;&gt;"",IF(AND(#REF!="Padrão",$H$4=#REF!),BDI!$B$17,IF(AND(#REF!="Padrão",$H$4=#REF!),BDI!#REF!,IF(AND(#REF!="Diferenciado",$H$4=#REF!),BDI!$E$17,IF(AND(#REF!="Diferenciado",$H$4=#REF!),BDI!#REF!,IF(#REF!="ZERO",0))))),"")</f>
        <v>#REF!</v>
      </c>
      <c r="H2544" s="139" t="str">
        <f t="shared" si="130"/>
        <v/>
      </c>
      <c r="I2544" s="137" t="str">
        <f t="shared" si="131"/>
        <v/>
      </c>
      <c r="J2544" s="117"/>
    </row>
    <row r="2545" spans="1:10" hidden="1" x14ac:dyDescent="0.25">
      <c r="A2545" s="114" t="s">
        <v>5329</v>
      </c>
      <c r="B2545" s="115" t="s">
        <v>4102</v>
      </c>
      <c r="C2545" s="116" t="s">
        <v>16</v>
      </c>
      <c r="D2545" s="116">
        <v>0</v>
      </c>
      <c r="E2545" s="136" t="s">
        <v>416</v>
      </c>
      <c r="F2545" s="137" t="str">
        <f t="shared" si="129"/>
        <v/>
      </c>
      <c r="G2545" s="138" t="e">
        <f>IF(A2545&lt;&gt;"",IF(AND(#REF!="Padrão",$H$4=#REF!),BDI!$B$17,IF(AND(#REF!="Padrão",$H$4=#REF!),BDI!#REF!,IF(AND(#REF!="Diferenciado",$H$4=#REF!),BDI!$E$17,IF(AND(#REF!="Diferenciado",$H$4=#REF!),BDI!#REF!,IF(#REF!="ZERO",0))))),"")</f>
        <v>#REF!</v>
      </c>
      <c r="H2545" s="139" t="str">
        <f t="shared" si="130"/>
        <v/>
      </c>
      <c r="I2545" s="137" t="str">
        <f t="shared" si="131"/>
        <v/>
      </c>
      <c r="J2545" s="117"/>
    </row>
    <row r="2546" spans="1:10" hidden="1" x14ac:dyDescent="0.25">
      <c r="A2546" s="114" t="s">
        <v>5330</v>
      </c>
      <c r="B2546" s="115" t="s">
        <v>4103</v>
      </c>
      <c r="C2546" s="116" t="s">
        <v>16</v>
      </c>
      <c r="D2546" s="116">
        <v>0</v>
      </c>
      <c r="E2546" s="136" t="s">
        <v>416</v>
      </c>
      <c r="F2546" s="137" t="str">
        <f t="shared" si="129"/>
        <v/>
      </c>
      <c r="G2546" s="138" t="e">
        <f>IF(A2546&lt;&gt;"",IF(AND(#REF!="Padrão",$H$4=#REF!),BDI!$B$17,IF(AND(#REF!="Padrão",$H$4=#REF!),BDI!#REF!,IF(AND(#REF!="Diferenciado",$H$4=#REF!),BDI!$E$17,IF(AND(#REF!="Diferenciado",$H$4=#REF!),BDI!#REF!,IF(#REF!="ZERO",0))))),"")</f>
        <v>#REF!</v>
      </c>
      <c r="H2546" s="139" t="str">
        <f t="shared" si="130"/>
        <v/>
      </c>
      <c r="I2546" s="137" t="str">
        <f t="shared" si="131"/>
        <v/>
      </c>
      <c r="J2546" s="117"/>
    </row>
    <row r="2547" spans="1:10" hidden="1" x14ac:dyDescent="0.25">
      <c r="A2547" s="114" t="s">
        <v>5331</v>
      </c>
      <c r="B2547" s="115" t="s">
        <v>4104</v>
      </c>
      <c r="C2547" s="116" t="s">
        <v>16</v>
      </c>
      <c r="D2547" s="116">
        <v>0</v>
      </c>
      <c r="E2547" s="136" t="s">
        <v>416</v>
      </c>
      <c r="F2547" s="137" t="str">
        <f t="shared" si="129"/>
        <v/>
      </c>
      <c r="G2547" s="138" t="e">
        <f>IF(A2547&lt;&gt;"",IF(AND(#REF!="Padrão",$H$4=#REF!),BDI!$B$17,IF(AND(#REF!="Padrão",$H$4=#REF!),BDI!#REF!,IF(AND(#REF!="Diferenciado",$H$4=#REF!),BDI!$E$17,IF(AND(#REF!="Diferenciado",$H$4=#REF!),BDI!#REF!,IF(#REF!="ZERO",0))))),"")</f>
        <v>#REF!</v>
      </c>
      <c r="H2547" s="139" t="str">
        <f t="shared" si="130"/>
        <v/>
      </c>
      <c r="I2547" s="137" t="str">
        <f t="shared" si="131"/>
        <v/>
      </c>
      <c r="J2547" s="117"/>
    </row>
    <row r="2548" spans="1:10" hidden="1" x14ac:dyDescent="0.25">
      <c r="A2548" s="114" t="s">
        <v>5332</v>
      </c>
      <c r="B2548" s="115" t="s">
        <v>4105</v>
      </c>
      <c r="C2548" s="116" t="s">
        <v>16</v>
      </c>
      <c r="D2548" s="116">
        <v>0</v>
      </c>
      <c r="E2548" s="136" t="s">
        <v>416</v>
      </c>
      <c r="F2548" s="137" t="str">
        <f t="shared" si="129"/>
        <v/>
      </c>
      <c r="G2548" s="138" t="e">
        <f>IF(A2548&lt;&gt;"",IF(AND(#REF!="Padrão",$H$4=#REF!),BDI!$B$17,IF(AND(#REF!="Padrão",$H$4=#REF!),BDI!#REF!,IF(AND(#REF!="Diferenciado",$H$4=#REF!),BDI!$E$17,IF(AND(#REF!="Diferenciado",$H$4=#REF!),BDI!#REF!,IF(#REF!="ZERO",0))))),"")</f>
        <v>#REF!</v>
      </c>
      <c r="H2548" s="139" t="str">
        <f t="shared" si="130"/>
        <v/>
      </c>
      <c r="I2548" s="137" t="str">
        <f t="shared" si="131"/>
        <v/>
      </c>
      <c r="J2548" s="117"/>
    </row>
    <row r="2549" spans="1:10" hidden="1" x14ac:dyDescent="0.25">
      <c r="A2549" s="114" t="s">
        <v>5333</v>
      </c>
      <c r="B2549" s="115" t="s">
        <v>4106</v>
      </c>
      <c r="C2549" s="116" t="s">
        <v>16</v>
      </c>
      <c r="D2549" s="116">
        <v>0</v>
      </c>
      <c r="E2549" s="136" t="s">
        <v>416</v>
      </c>
      <c r="F2549" s="137" t="str">
        <f t="shared" si="129"/>
        <v/>
      </c>
      <c r="G2549" s="138" t="e">
        <f>IF(A2549&lt;&gt;"",IF(AND(#REF!="Padrão",$H$4=#REF!),BDI!$B$17,IF(AND(#REF!="Padrão",$H$4=#REF!),BDI!#REF!,IF(AND(#REF!="Diferenciado",$H$4=#REF!),BDI!$E$17,IF(AND(#REF!="Diferenciado",$H$4=#REF!),BDI!#REF!,IF(#REF!="ZERO",0))))),"")</f>
        <v>#REF!</v>
      </c>
      <c r="H2549" s="139" t="str">
        <f t="shared" si="130"/>
        <v/>
      </c>
      <c r="I2549" s="137" t="str">
        <f t="shared" si="131"/>
        <v/>
      </c>
      <c r="J2549" s="117"/>
    </row>
    <row r="2550" spans="1:10" hidden="1" x14ac:dyDescent="0.25">
      <c r="A2550" s="114" t="s">
        <v>5334</v>
      </c>
      <c r="B2550" s="115" t="s">
        <v>4107</v>
      </c>
      <c r="C2550" s="116" t="s">
        <v>16</v>
      </c>
      <c r="D2550" s="116">
        <v>0</v>
      </c>
      <c r="E2550" s="136" t="s">
        <v>416</v>
      </c>
      <c r="F2550" s="137" t="str">
        <f t="shared" si="129"/>
        <v/>
      </c>
      <c r="G2550" s="138" t="e">
        <f>IF(A2550&lt;&gt;"",IF(AND(#REF!="Padrão",$H$4=#REF!),BDI!$B$17,IF(AND(#REF!="Padrão",$H$4=#REF!),BDI!#REF!,IF(AND(#REF!="Diferenciado",$H$4=#REF!),BDI!$E$17,IF(AND(#REF!="Diferenciado",$H$4=#REF!),BDI!#REF!,IF(#REF!="ZERO",0))))),"")</f>
        <v>#REF!</v>
      </c>
      <c r="H2550" s="139" t="str">
        <f t="shared" si="130"/>
        <v/>
      </c>
      <c r="I2550" s="137" t="str">
        <f t="shared" si="131"/>
        <v/>
      </c>
      <c r="J2550" s="117"/>
    </row>
    <row r="2551" spans="1:10" hidden="1" x14ac:dyDescent="0.25">
      <c r="A2551" s="114" t="s">
        <v>5335</v>
      </c>
      <c r="B2551" s="115" t="s">
        <v>4108</v>
      </c>
      <c r="C2551" s="116" t="s">
        <v>16</v>
      </c>
      <c r="D2551" s="116">
        <v>0</v>
      </c>
      <c r="E2551" s="136" t="s">
        <v>416</v>
      </c>
      <c r="F2551" s="137" t="str">
        <f t="shared" si="129"/>
        <v/>
      </c>
      <c r="G2551" s="138" t="e">
        <f>IF(A2551&lt;&gt;"",IF(AND(#REF!="Padrão",$H$4=#REF!),BDI!$B$17,IF(AND(#REF!="Padrão",$H$4=#REF!),BDI!#REF!,IF(AND(#REF!="Diferenciado",$H$4=#REF!),BDI!$E$17,IF(AND(#REF!="Diferenciado",$H$4=#REF!),BDI!#REF!,IF(#REF!="ZERO",0))))),"")</f>
        <v>#REF!</v>
      </c>
      <c r="H2551" s="139" t="str">
        <f t="shared" si="130"/>
        <v/>
      </c>
      <c r="I2551" s="137" t="str">
        <f t="shared" si="131"/>
        <v/>
      </c>
      <c r="J2551" s="117"/>
    </row>
    <row r="2552" spans="1:10" hidden="1" x14ac:dyDescent="0.25">
      <c r="A2552" s="114" t="s">
        <v>5336</v>
      </c>
      <c r="B2552" s="115" t="s">
        <v>4109</v>
      </c>
      <c r="C2552" s="116" t="s">
        <v>16</v>
      </c>
      <c r="D2552" s="116">
        <v>0</v>
      </c>
      <c r="E2552" s="136" t="s">
        <v>416</v>
      </c>
      <c r="F2552" s="137" t="str">
        <f t="shared" si="129"/>
        <v/>
      </c>
      <c r="G2552" s="138" t="e">
        <f>IF(A2552&lt;&gt;"",IF(AND(#REF!="Padrão",$H$4=#REF!),BDI!$B$17,IF(AND(#REF!="Padrão",$H$4=#REF!),BDI!#REF!,IF(AND(#REF!="Diferenciado",$H$4=#REF!),BDI!$E$17,IF(AND(#REF!="Diferenciado",$H$4=#REF!),BDI!#REF!,IF(#REF!="ZERO",0))))),"")</f>
        <v>#REF!</v>
      </c>
      <c r="H2552" s="139" t="str">
        <f t="shared" si="130"/>
        <v/>
      </c>
      <c r="I2552" s="137" t="str">
        <f t="shared" si="131"/>
        <v/>
      </c>
      <c r="J2552" s="117"/>
    </row>
    <row r="2553" spans="1:10" hidden="1" x14ac:dyDescent="0.25">
      <c r="A2553" s="114" t="s">
        <v>5337</v>
      </c>
      <c r="B2553" s="115" t="s">
        <v>4110</v>
      </c>
      <c r="C2553" s="116" t="s">
        <v>16</v>
      </c>
      <c r="D2553" s="116">
        <v>0</v>
      </c>
      <c r="E2553" s="136" t="s">
        <v>416</v>
      </c>
      <c r="F2553" s="137" t="str">
        <f t="shared" si="129"/>
        <v/>
      </c>
      <c r="G2553" s="138" t="e">
        <f>IF(A2553&lt;&gt;"",IF(AND(#REF!="Padrão",$H$4=#REF!),BDI!$B$17,IF(AND(#REF!="Padrão",$H$4=#REF!),BDI!#REF!,IF(AND(#REF!="Diferenciado",$H$4=#REF!),BDI!$E$17,IF(AND(#REF!="Diferenciado",$H$4=#REF!),BDI!#REF!,IF(#REF!="ZERO",0))))),"")</f>
        <v>#REF!</v>
      </c>
      <c r="H2553" s="139" t="str">
        <f t="shared" si="130"/>
        <v/>
      </c>
      <c r="I2553" s="137" t="str">
        <f t="shared" si="131"/>
        <v/>
      </c>
      <c r="J2553" s="117"/>
    </row>
    <row r="2554" spans="1:10" hidden="1" x14ac:dyDescent="0.25">
      <c r="A2554" s="114" t="s">
        <v>5338</v>
      </c>
      <c r="B2554" s="115" t="s">
        <v>4111</v>
      </c>
      <c r="C2554" s="116" t="s">
        <v>16</v>
      </c>
      <c r="D2554" s="116">
        <v>0</v>
      </c>
      <c r="E2554" s="136" t="s">
        <v>416</v>
      </c>
      <c r="F2554" s="137" t="str">
        <f t="shared" si="129"/>
        <v/>
      </c>
      <c r="G2554" s="138" t="e">
        <f>IF(A2554&lt;&gt;"",IF(AND(#REF!="Padrão",$H$4=#REF!),BDI!$B$17,IF(AND(#REF!="Padrão",$H$4=#REF!),BDI!#REF!,IF(AND(#REF!="Diferenciado",$H$4=#REF!),BDI!$E$17,IF(AND(#REF!="Diferenciado",$H$4=#REF!),BDI!#REF!,IF(#REF!="ZERO",0))))),"")</f>
        <v>#REF!</v>
      </c>
      <c r="H2554" s="139" t="str">
        <f t="shared" si="130"/>
        <v/>
      </c>
      <c r="I2554" s="137" t="str">
        <f t="shared" si="131"/>
        <v/>
      </c>
      <c r="J2554" s="117"/>
    </row>
    <row r="2555" spans="1:10" hidden="1" x14ac:dyDescent="0.25">
      <c r="A2555" s="114" t="s">
        <v>5339</v>
      </c>
      <c r="B2555" s="115" t="s">
        <v>4112</v>
      </c>
      <c r="C2555" s="116" t="s">
        <v>16</v>
      </c>
      <c r="D2555" s="116">
        <v>0</v>
      </c>
      <c r="E2555" s="136" t="s">
        <v>416</v>
      </c>
      <c r="F2555" s="137" t="str">
        <f t="shared" si="129"/>
        <v/>
      </c>
      <c r="G2555" s="138" t="e">
        <f>IF(A2555&lt;&gt;"",IF(AND(#REF!="Padrão",$H$4=#REF!),BDI!$B$17,IF(AND(#REF!="Padrão",$H$4=#REF!),BDI!#REF!,IF(AND(#REF!="Diferenciado",$H$4=#REF!),BDI!$E$17,IF(AND(#REF!="Diferenciado",$H$4=#REF!),BDI!#REF!,IF(#REF!="ZERO",0))))),"")</f>
        <v>#REF!</v>
      </c>
      <c r="H2555" s="139" t="str">
        <f t="shared" si="130"/>
        <v/>
      </c>
      <c r="I2555" s="137" t="str">
        <f t="shared" si="131"/>
        <v/>
      </c>
      <c r="J2555" s="117"/>
    </row>
    <row r="2556" spans="1:10" hidden="1" x14ac:dyDescent="0.25">
      <c r="A2556" s="114" t="s">
        <v>5340</v>
      </c>
      <c r="B2556" s="115" t="s">
        <v>4113</v>
      </c>
      <c r="C2556" s="116" t="s">
        <v>16</v>
      </c>
      <c r="D2556" s="116">
        <v>0</v>
      </c>
      <c r="E2556" s="136" t="s">
        <v>416</v>
      </c>
      <c r="F2556" s="137" t="str">
        <f t="shared" si="129"/>
        <v/>
      </c>
      <c r="G2556" s="138" t="e">
        <f>IF(A2556&lt;&gt;"",IF(AND(#REF!="Padrão",$H$4=#REF!),BDI!$B$17,IF(AND(#REF!="Padrão",$H$4=#REF!),BDI!#REF!,IF(AND(#REF!="Diferenciado",$H$4=#REF!),BDI!$E$17,IF(AND(#REF!="Diferenciado",$H$4=#REF!),BDI!#REF!,IF(#REF!="ZERO",0))))),"")</f>
        <v>#REF!</v>
      </c>
      <c r="H2556" s="139" t="str">
        <f t="shared" si="130"/>
        <v/>
      </c>
      <c r="I2556" s="137" t="str">
        <f t="shared" si="131"/>
        <v/>
      </c>
      <c r="J2556" s="117"/>
    </row>
    <row r="2557" spans="1:10" hidden="1" x14ac:dyDescent="0.25">
      <c r="A2557" s="114" t="s">
        <v>5341</v>
      </c>
      <c r="B2557" s="115" t="s">
        <v>4114</v>
      </c>
      <c r="C2557" s="116" t="s">
        <v>16</v>
      </c>
      <c r="D2557" s="116">
        <v>0</v>
      </c>
      <c r="E2557" s="136" t="s">
        <v>416</v>
      </c>
      <c r="F2557" s="137" t="str">
        <f t="shared" si="129"/>
        <v/>
      </c>
      <c r="G2557" s="138" t="e">
        <f>IF(A2557&lt;&gt;"",IF(AND(#REF!="Padrão",$H$4=#REF!),BDI!$B$17,IF(AND(#REF!="Padrão",$H$4=#REF!),BDI!#REF!,IF(AND(#REF!="Diferenciado",$H$4=#REF!),BDI!$E$17,IF(AND(#REF!="Diferenciado",$H$4=#REF!),BDI!#REF!,IF(#REF!="ZERO",0))))),"")</f>
        <v>#REF!</v>
      </c>
      <c r="H2557" s="139" t="str">
        <f t="shared" si="130"/>
        <v/>
      </c>
      <c r="I2557" s="137" t="str">
        <f t="shared" si="131"/>
        <v/>
      </c>
      <c r="J2557" s="117"/>
    </row>
    <row r="2558" spans="1:10" hidden="1" x14ac:dyDescent="0.25">
      <c r="A2558" s="114" t="s">
        <v>5342</v>
      </c>
      <c r="B2558" s="115" t="s">
        <v>4115</v>
      </c>
      <c r="C2558" s="116" t="s">
        <v>16</v>
      </c>
      <c r="D2558" s="116">
        <v>0</v>
      </c>
      <c r="E2558" s="136" t="s">
        <v>416</v>
      </c>
      <c r="F2558" s="137" t="str">
        <f t="shared" si="129"/>
        <v/>
      </c>
      <c r="G2558" s="138" t="e">
        <f>IF(A2558&lt;&gt;"",IF(AND(#REF!="Padrão",$H$4=#REF!),BDI!$B$17,IF(AND(#REF!="Padrão",$H$4=#REF!),BDI!#REF!,IF(AND(#REF!="Diferenciado",$H$4=#REF!),BDI!$E$17,IF(AND(#REF!="Diferenciado",$H$4=#REF!),BDI!#REF!,IF(#REF!="ZERO",0))))),"")</f>
        <v>#REF!</v>
      </c>
      <c r="H2558" s="139" t="str">
        <f t="shared" si="130"/>
        <v/>
      </c>
      <c r="I2558" s="137" t="str">
        <f t="shared" si="131"/>
        <v/>
      </c>
      <c r="J2558" s="117"/>
    </row>
    <row r="2559" spans="1:10" hidden="1" x14ac:dyDescent="0.25">
      <c r="A2559" s="114" t="s">
        <v>5343</v>
      </c>
      <c r="B2559" s="115" t="s">
        <v>4116</v>
      </c>
      <c r="C2559" s="116" t="s">
        <v>16</v>
      </c>
      <c r="D2559" s="116">
        <v>0</v>
      </c>
      <c r="E2559" s="136" t="s">
        <v>416</v>
      </c>
      <c r="F2559" s="137" t="str">
        <f t="shared" si="129"/>
        <v/>
      </c>
      <c r="G2559" s="138" t="e">
        <f>IF(A2559&lt;&gt;"",IF(AND(#REF!="Padrão",$H$4=#REF!),BDI!$B$17,IF(AND(#REF!="Padrão",$H$4=#REF!),BDI!#REF!,IF(AND(#REF!="Diferenciado",$H$4=#REF!),BDI!$E$17,IF(AND(#REF!="Diferenciado",$H$4=#REF!),BDI!#REF!,IF(#REF!="ZERO",0))))),"")</f>
        <v>#REF!</v>
      </c>
      <c r="H2559" s="139" t="str">
        <f t="shared" si="130"/>
        <v/>
      </c>
      <c r="I2559" s="137" t="str">
        <f t="shared" si="131"/>
        <v/>
      </c>
      <c r="J2559" s="117"/>
    </row>
    <row r="2560" spans="1:10" hidden="1" x14ac:dyDescent="0.25">
      <c r="A2560" s="114" t="s">
        <v>5344</v>
      </c>
      <c r="B2560" s="115" t="s">
        <v>4117</v>
      </c>
      <c r="C2560" s="116" t="s">
        <v>16</v>
      </c>
      <c r="D2560" s="116">
        <v>0</v>
      </c>
      <c r="E2560" s="136" t="s">
        <v>416</v>
      </c>
      <c r="F2560" s="137" t="str">
        <f t="shared" si="129"/>
        <v/>
      </c>
      <c r="G2560" s="138" t="e">
        <f>IF(A2560&lt;&gt;"",IF(AND(#REF!="Padrão",$H$4=#REF!),BDI!$B$17,IF(AND(#REF!="Padrão",$H$4=#REF!),BDI!#REF!,IF(AND(#REF!="Diferenciado",$H$4=#REF!),BDI!$E$17,IF(AND(#REF!="Diferenciado",$H$4=#REF!),BDI!#REF!,IF(#REF!="ZERO",0))))),"")</f>
        <v>#REF!</v>
      </c>
      <c r="H2560" s="139" t="str">
        <f t="shared" si="130"/>
        <v/>
      </c>
      <c r="I2560" s="137" t="str">
        <f t="shared" si="131"/>
        <v/>
      </c>
      <c r="J2560" s="117"/>
    </row>
    <row r="2561" spans="1:10" hidden="1" x14ac:dyDescent="0.25">
      <c r="A2561" s="114" t="s">
        <v>5345</v>
      </c>
      <c r="B2561" s="115" t="s">
        <v>4118</v>
      </c>
      <c r="C2561" s="116" t="s">
        <v>16</v>
      </c>
      <c r="D2561" s="116">
        <v>0</v>
      </c>
      <c r="E2561" s="136" t="s">
        <v>416</v>
      </c>
      <c r="F2561" s="137" t="str">
        <f t="shared" si="129"/>
        <v/>
      </c>
      <c r="G2561" s="138" t="e">
        <f>IF(A2561&lt;&gt;"",IF(AND(#REF!="Padrão",$H$4=#REF!),BDI!$B$17,IF(AND(#REF!="Padrão",$H$4=#REF!),BDI!#REF!,IF(AND(#REF!="Diferenciado",$H$4=#REF!),BDI!$E$17,IF(AND(#REF!="Diferenciado",$H$4=#REF!),BDI!#REF!,IF(#REF!="ZERO",0))))),"")</f>
        <v>#REF!</v>
      </c>
      <c r="H2561" s="139" t="str">
        <f t="shared" si="130"/>
        <v/>
      </c>
      <c r="I2561" s="137" t="str">
        <f t="shared" si="131"/>
        <v/>
      </c>
      <c r="J2561" s="117"/>
    </row>
    <row r="2562" spans="1:10" hidden="1" x14ac:dyDescent="0.25">
      <c r="A2562" s="114" t="s">
        <v>5346</v>
      </c>
      <c r="B2562" s="115" t="s">
        <v>4119</v>
      </c>
      <c r="C2562" s="116" t="s">
        <v>16</v>
      </c>
      <c r="D2562" s="116">
        <v>0</v>
      </c>
      <c r="E2562" s="136" t="s">
        <v>416</v>
      </c>
      <c r="F2562" s="137" t="str">
        <f t="shared" si="129"/>
        <v/>
      </c>
      <c r="G2562" s="138" t="e">
        <f>IF(A2562&lt;&gt;"",IF(AND(#REF!="Padrão",$H$4=#REF!),BDI!$B$17,IF(AND(#REF!="Padrão",$H$4=#REF!),BDI!#REF!,IF(AND(#REF!="Diferenciado",$H$4=#REF!),BDI!$E$17,IF(AND(#REF!="Diferenciado",$H$4=#REF!),BDI!#REF!,IF(#REF!="ZERO",0))))),"")</f>
        <v>#REF!</v>
      </c>
      <c r="H2562" s="139" t="str">
        <f t="shared" si="130"/>
        <v/>
      </c>
      <c r="I2562" s="137" t="str">
        <f t="shared" si="131"/>
        <v/>
      </c>
      <c r="J2562" s="117"/>
    </row>
    <row r="2563" spans="1:10" hidden="1" x14ac:dyDescent="0.25">
      <c r="A2563" s="114" t="s">
        <v>5347</v>
      </c>
      <c r="B2563" s="115" t="s">
        <v>4120</v>
      </c>
      <c r="C2563" s="116" t="s">
        <v>16</v>
      </c>
      <c r="D2563" s="116">
        <v>0</v>
      </c>
      <c r="E2563" s="136" t="s">
        <v>416</v>
      </c>
      <c r="F2563" s="137" t="str">
        <f t="shared" si="129"/>
        <v/>
      </c>
      <c r="G2563" s="138" t="e">
        <f>IF(A2563&lt;&gt;"",IF(AND(#REF!="Padrão",$H$4=#REF!),BDI!$B$17,IF(AND(#REF!="Padrão",$H$4=#REF!),BDI!#REF!,IF(AND(#REF!="Diferenciado",$H$4=#REF!),BDI!$E$17,IF(AND(#REF!="Diferenciado",$H$4=#REF!),BDI!#REF!,IF(#REF!="ZERO",0))))),"")</f>
        <v>#REF!</v>
      </c>
      <c r="H2563" s="139" t="str">
        <f t="shared" si="130"/>
        <v/>
      </c>
      <c r="I2563" s="137" t="str">
        <f t="shared" si="131"/>
        <v/>
      </c>
      <c r="J2563" s="117"/>
    </row>
    <row r="2564" spans="1:10" hidden="1" x14ac:dyDescent="0.25">
      <c r="A2564" s="114" t="s">
        <v>5348</v>
      </c>
      <c r="B2564" s="115" t="s">
        <v>4121</v>
      </c>
      <c r="C2564" s="116" t="s">
        <v>16</v>
      </c>
      <c r="D2564" s="116">
        <v>0</v>
      </c>
      <c r="E2564" s="136" t="s">
        <v>416</v>
      </c>
      <c r="F2564" s="137" t="str">
        <f t="shared" si="129"/>
        <v/>
      </c>
      <c r="G2564" s="138" t="e">
        <f>IF(A2564&lt;&gt;"",IF(AND(#REF!="Padrão",$H$4=#REF!),BDI!$B$17,IF(AND(#REF!="Padrão",$H$4=#REF!),BDI!#REF!,IF(AND(#REF!="Diferenciado",$H$4=#REF!),BDI!$E$17,IF(AND(#REF!="Diferenciado",$H$4=#REF!),BDI!#REF!,IF(#REF!="ZERO",0))))),"")</f>
        <v>#REF!</v>
      </c>
      <c r="H2564" s="139" t="str">
        <f t="shared" si="130"/>
        <v/>
      </c>
      <c r="I2564" s="137" t="str">
        <f t="shared" si="131"/>
        <v/>
      </c>
      <c r="J2564" s="117"/>
    </row>
    <row r="2565" spans="1:10" hidden="1" x14ac:dyDescent="0.25">
      <c r="A2565" s="114" t="s">
        <v>5349</v>
      </c>
      <c r="B2565" s="115" t="s">
        <v>4122</v>
      </c>
      <c r="C2565" s="116" t="s">
        <v>16</v>
      </c>
      <c r="D2565" s="116">
        <v>0</v>
      </c>
      <c r="E2565" s="136" t="s">
        <v>416</v>
      </c>
      <c r="F2565" s="137" t="str">
        <f t="shared" si="129"/>
        <v/>
      </c>
      <c r="G2565" s="138" t="e">
        <f>IF(A2565&lt;&gt;"",IF(AND(#REF!="Padrão",$H$4=#REF!),BDI!$B$17,IF(AND(#REF!="Padrão",$H$4=#REF!),BDI!#REF!,IF(AND(#REF!="Diferenciado",$H$4=#REF!),BDI!$E$17,IF(AND(#REF!="Diferenciado",$H$4=#REF!),BDI!#REF!,IF(#REF!="ZERO",0))))),"")</f>
        <v>#REF!</v>
      </c>
      <c r="H2565" s="139" t="str">
        <f t="shared" si="130"/>
        <v/>
      </c>
      <c r="I2565" s="137" t="str">
        <f t="shared" si="131"/>
        <v/>
      </c>
      <c r="J2565" s="117"/>
    </row>
    <row r="2566" spans="1:10" hidden="1" x14ac:dyDescent="0.25">
      <c r="A2566" s="114" t="s">
        <v>5350</v>
      </c>
      <c r="B2566" s="115" t="s">
        <v>4123</v>
      </c>
      <c r="C2566" s="116" t="s">
        <v>16</v>
      </c>
      <c r="D2566" s="116">
        <v>0</v>
      </c>
      <c r="E2566" s="136" t="s">
        <v>416</v>
      </c>
      <c r="F2566" s="137" t="str">
        <f t="shared" si="129"/>
        <v/>
      </c>
      <c r="G2566" s="138" t="e">
        <f>IF(A2566&lt;&gt;"",IF(AND(#REF!="Padrão",$H$4=#REF!),BDI!$B$17,IF(AND(#REF!="Padrão",$H$4=#REF!),BDI!#REF!,IF(AND(#REF!="Diferenciado",$H$4=#REF!),BDI!$E$17,IF(AND(#REF!="Diferenciado",$H$4=#REF!),BDI!#REF!,IF(#REF!="ZERO",0))))),"")</f>
        <v>#REF!</v>
      </c>
      <c r="H2566" s="139" t="str">
        <f t="shared" si="130"/>
        <v/>
      </c>
      <c r="I2566" s="137" t="str">
        <f t="shared" si="131"/>
        <v/>
      </c>
      <c r="J2566" s="117"/>
    </row>
    <row r="2567" spans="1:10" hidden="1" x14ac:dyDescent="0.25">
      <c r="A2567" s="114" t="s">
        <v>5351</v>
      </c>
      <c r="B2567" s="115" t="s">
        <v>4124</v>
      </c>
      <c r="C2567" s="116" t="s">
        <v>16</v>
      </c>
      <c r="D2567" s="116">
        <v>0</v>
      </c>
      <c r="E2567" s="136" t="s">
        <v>416</v>
      </c>
      <c r="F2567" s="137" t="str">
        <f t="shared" si="129"/>
        <v/>
      </c>
      <c r="G2567" s="138" t="e">
        <f>IF(A2567&lt;&gt;"",IF(AND(#REF!="Padrão",$H$4=#REF!),BDI!$B$17,IF(AND(#REF!="Padrão",$H$4=#REF!),BDI!#REF!,IF(AND(#REF!="Diferenciado",$H$4=#REF!),BDI!$E$17,IF(AND(#REF!="Diferenciado",$H$4=#REF!),BDI!#REF!,IF(#REF!="ZERO",0))))),"")</f>
        <v>#REF!</v>
      </c>
      <c r="H2567" s="139" t="str">
        <f t="shared" si="130"/>
        <v/>
      </c>
      <c r="I2567" s="137" t="str">
        <f t="shared" si="131"/>
        <v/>
      </c>
      <c r="J2567" s="117"/>
    </row>
    <row r="2568" spans="1:10" hidden="1" x14ac:dyDescent="0.25">
      <c r="A2568" s="114" t="s">
        <v>5352</v>
      </c>
      <c r="B2568" s="115" t="s">
        <v>4125</v>
      </c>
      <c r="C2568" s="116" t="s">
        <v>16</v>
      </c>
      <c r="D2568" s="116">
        <v>0</v>
      </c>
      <c r="E2568" s="136" t="s">
        <v>416</v>
      </c>
      <c r="F2568" s="137" t="str">
        <f t="shared" si="129"/>
        <v/>
      </c>
      <c r="G2568" s="138" t="e">
        <f>IF(A2568&lt;&gt;"",IF(AND(#REF!="Padrão",$H$4=#REF!),BDI!$B$17,IF(AND(#REF!="Padrão",$H$4=#REF!),BDI!#REF!,IF(AND(#REF!="Diferenciado",$H$4=#REF!),BDI!$E$17,IF(AND(#REF!="Diferenciado",$H$4=#REF!),BDI!#REF!,IF(#REF!="ZERO",0))))),"")</f>
        <v>#REF!</v>
      </c>
      <c r="H2568" s="139" t="str">
        <f t="shared" si="130"/>
        <v/>
      </c>
      <c r="I2568" s="137" t="str">
        <f t="shared" si="131"/>
        <v/>
      </c>
      <c r="J2568" s="117"/>
    </row>
    <row r="2569" spans="1:10" hidden="1" x14ac:dyDescent="0.25">
      <c r="A2569" s="114" t="s">
        <v>5353</v>
      </c>
      <c r="B2569" s="115" t="s">
        <v>4126</v>
      </c>
      <c r="C2569" s="116" t="s">
        <v>16</v>
      </c>
      <c r="D2569" s="116">
        <v>0</v>
      </c>
      <c r="E2569" s="136" t="s">
        <v>416</v>
      </c>
      <c r="F2569" s="137" t="str">
        <f t="shared" si="129"/>
        <v/>
      </c>
      <c r="G2569" s="138" t="e">
        <f>IF(A2569&lt;&gt;"",IF(AND(#REF!="Padrão",$H$4=#REF!),BDI!$B$17,IF(AND(#REF!="Padrão",$H$4=#REF!),BDI!#REF!,IF(AND(#REF!="Diferenciado",$H$4=#REF!),BDI!$E$17,IF(AND(#REF!="Diferenciado",$H$4=#REF!),BDI!#REF!,IF(#REF!="ZERO",0))))),"")</f>
        <v>#REF!</v>
      </c>
      <c r="H2569" s="139" t="str">
        <f t="shared" si="130"/>
        <v/>
      </c>
      <c r="I2569" s="137" t="str">
        <f t="shared" si="131"/>
        <v/>
      </c>
      <c r="J2569" s="117"/>
    </row>
    <row r="2570" spans="1:10" hidden="1" x14ac:dyDescent="0.25">
      <c r="A2570" s="114" t="s">
        <v>5354</v>
      </c>
      <c r="B2570" s="115" t="s">
        <v>4127</v>
      </c>
      <c r="C2570" s="116" t="s">
        <v>16</v>
      </c>
      <c r="D2570" s="116">
        <v>0</v>
      </c>
      <c r="E2570" s="136" t="s">
        <v>416</v>
      </c>
      <c r="F2570" s="137" t="str">
        <f t="shared" si="129"/>
        <v/>
      </c>
      <c r="G2570" s="138" t="e">
        <f>IF(A2570&lt;&gt;"",IF(AND(#REF!="Padrão",$H$4=#REF!),BDI!$B$17,IF(AND(#REF!="Padrão",$H$4=#REF!),BDI!#REF!,IF(AND(#REF!="Diferenciado",$H$4=#REF!),BDI!$E$17,IF(AND(#REF!="Diferenciado",$H$4=#REF!),BDI!#REF!,IF(#REF!="ZERO",0))))),"")</f>
        <v>#REF!</v>
      </c>
      <c r="H2570" s="139" t="str">
        <f t="shared" si="130"/>
        <v/>
      </c>
      <c r="I2570" s="137" t="str">
        <f t="shared" si="131"/>
        <v/>
      </c>
      <c r="J2570" s="117"/>
    </row>
    <row r="2571" spans="1:10" hidden="1" x14ac:dyDescent="0.25">
      <c r="A2571" s="114" t="s">
        <v>5355</v>
      </c>
      <c r="B2571" s="115" t="s">
        <v>4128</v>
      </c>
      <c r="C2571" s="116" t="s">
        <v>16</v>
      </c>
      <c r="D2571" s="116">
        <v>0</v>
      </c>
      <c r="E2571" s="136" t="s">
        <v>416</v>
      </c>
      <c r="F2571" s="137" t="str">
        <f t="shared" si="129"/>
        <v/>
      </c>
      <c r="G2571" s="138" t="e">
        <f>IF(A2571&lt;&gt;"",IF(AND(#REF!="Padrão",$H$4=#REF!),BDI!$B$17,IF(AND(#REF!="Padrão",$H$4=#REF!),BDI!#REF!,IF(AND(#REF!="Diferenciado",$H$4=#REF!),BDI!$E$17,IF(AND(#REF!="Diferenciado",$H$4=#REF!),BDI!#REF!,IF(#REF!="ZERO",0))))),"")</f>
        <v>#REF!</v>
      </c>
      <c r="H2571" s="139" t="str">
        <f t="shared" si="130"/>
        <v/>
      </c>
      <c r="I2571" s="137" t="str">
        <f t="shared" si="131"/>
        <v/>
      </c>
      <c r="J2571" s="117"/>
    </row>
    <row r="2572" spans="1:10" hidden="1" x14ac:dyDescent="0.25">
      <c r="A2572" s="114" t="s">
        <v>5356</v>
      </c>
      <c r="B2572" s="115" t="s">
        <v>4129</v>
      </c>
      <c r="C2572" s="116" t="s">
        <v>16</v>
      </c>
      <c r="D2572" s="116">
        <v>0</v>
      </c>
      <c r="E2572" s="136" t="s">
        <v>416</v>
      </c>
      <c r="F2572" s="137" t="str">
        <f t="shared" si="129"/>
        <v/>
      </c>
      <c r="G2572" s="138" t="e">
        <f>IF(A2572&lt;&gt;"",IF(AND(#REF!="Padrão",$H$4=#REF!),BDI!$B$17,IF(AND(#REF!="Padrão",$H$4=#REF!),BDI!#REF!,IF(AND(#REF!="Diferenciado",$H$4=#REF!),BDI!$E$17,IF(AND(#REF!="Diferenciado",$H$4=#REF!),BDI!#REF!,IF(#REF!="ZERO",0))))),"")</f>
        <v>#REF!</v>
      </c>
      <c r="H2572" s="139" t="str">
        <f t="shared" si="130"/>
        <v/>
      </c>
      <c r="I2572" s="137" t="str">
        <f t="shared" si="131"/>
        <v/>
      </c>
      <c r="J2572" s="117"/>
    </row>
    <row r="2573" spans="1:10" hidden="1" x14ac:dyDescent="0.25">
      <c r="A2573" s="114" t="s">
        <v>5357</v>
      </c>
      <c r="B2573" s="115" t="s">
        <v>4130</v>
      </c>
      <c r="C2573" s="116" t="s">
        <v>16</v>
      </c>
      <c r="D2573" s="116">
        <v>0</v>
      </c>
      <c r="E2573" s="136" t="s">
        <v>416</v>
      </c>
      <c r="F2573" s="137" t="str">
        <f t="shared" si="129"/>
        <v/>
      </c>
      <c r="G2573" s="138" t="e">
        <f>IF(A2573&lt;&gt;"",IF(AND(#REF!="Padrão",$H$4=#REF!),BDI!$B$17,IF(AND(#REF!="Padrão",$H$4=#REF!),BDI!#REF!,IF(AND(#REF!="Diferenciado",$H$4=#REF!),BDI!$E$17,IF(AND(#REF!="Diferenciado",$H$4=#REF!),BDI!#REF!,IF(#REF!="ZERO",0))))),"")</f>
        <v>#REF!</v>
      </c>
      <c r="H2573" s="139" t="str">
        <f t="shared" si="130"/>
        <v/>
      </c>
      <c r="I2573" s="137" t="str">
        <f t="shared" si="131"/>
        <v/>
      </c>
      <c r="J2573" s="117"/>
    </row>
    <row r="2574" spans="1:10" hidden="1" x14ac:dyDescent="0.25">
      <c r="A2574" s="114" t="s">
        <v>5358</v>
      </c>
      <c r="B2574" s="115" t="s">
        <v>4131</v>
      </c>
      <c r="C2574" s="116" t="s">
        <v>16</v>
      </c>
      <c r="D2574" s="116">
        <v>0</v>
      </c>
      <c r="E2574" s="136" t="s">
        <v>416</v>
      </c>
      <c r="F2574" s="137" t="str">
        <f t="shared" si="129"/>
        <v/>
      </c>
      <c r="G2574" s="138" t="e">
        <f>IF(A2574&lt;&gt;"",IF(AND(#REF!="Padrão",$H$4=#REF!),BDI!$B$17,IF(AND(#REF!="Padrão",$H$4=#REF!),BDI!#REF!,IF(AND(#REF!="Diferenciado",$H$4=#REF!),BDI!$E$17,IF(AND(#REF!="Diferenciado",$H$4=#REF!),BDI!#REF!,IF(#REF!="ZERO",0))))),"")</f>
        <v>#REF!</v>
      </c>
      <c r="H2574" s="139" t="str">
        <f t="shared" si="130"/>
        <v/>
      </c>
      <c r="I2574" s="137" t="str">
        <f t="shared" si="131"/>
        <v/>
      </c>
      <c r="J2574" s="117"/>
    </row>
    <row r="2575" spans="1:10" hidden="1" x14ac:dyDescent="0.25">
      <c r="A2575" s="114" t="s">
        <v>5359</v>
      </c>
      <c r="B2575" s="115" t="s">
        <v>4132</v>
      </c>
      <c r="C2575" s="116" t="s">
        <v>16</v>
      </c>
      <c r="D2575" s="116">
        <v>0</v>
      </c>
      <c r="E2575" s="136" t="s">
        <v>416</v>
      </c>
      <c r="F2575" s="137" t="str">
        <f t="shared" si="129"/>
        <v/>
      </c>
      <c r="G2575" s="138" t="e">
        <f>IF(A2575&lt;&gt;"",IF(AND(#REF!="Padrão",$H$4=#REF!),BDI!$B$17,IF(AND(#REF!="Padrão",$H$4=#REF!),BDI!#REF!,IF(AND(#REF!="Diferenciado",$H$4=#REF!),BDI!$E$17,IF(AND(#REF!="Diferenciado",$H$4=#REF!),BDI!#REF!,IF(#REF!="ZERO",0))))),"")</f>
        <v>#REF!</v>
      </c>
      <c r="H2575" s="139" t="str">
        <f t="shared" si="130"/>
        <v/>
      </c>
      <c r="I2575" s="137" t="str">
        <f t="shared" si="131"/>
        <v/>
      </c>
      <c r="J2575" s="117"/>
    </row>
    <row r="2576" spans="1:10" hidden="1" x14ac:dyDescent="0.25">
      <c r="A2576" s="114" t="s">
        <v>5360</v>
      </c>
      <c r="B2576" s="115" t="s">
        <v>4133</v>
      </c>
      <c r="C2576" s="116" t="s">
        <v>16</v>
      </c>
      <c r="D2576" s="116">
        <v>0</v>
      </c>
      <c r="E2576" s="136" t="s">
        <v>416</v>
      </c>
      <c r="F2576" s="137" t="str">
        <f t="shared" si="129"/>
        <v/>
      </c>
      <c r="G2576" s="138" t="e">
        <f>IF(A2576&lt;&gt;"",IF(AND(#REF!="Padrão",$H$4=#REF!),BDI!$B$17,IF(AND(#REF!="Padrão",$H$4=#REF!),BDI!#REF!,IF(AND(#REF!="Diferenciado",$H$4=#REF!),BDI!$E$17,IF(AND(#REF!="Diferenciado",$H$4=#REF!),BDI!#REF!,IF(#REF!="ZERO",0))))),"")</f>
        <v>#REF!</v>
      </c>
      <c r="H2576" s="139" t="str">
        <f t="shared" si="130"/>
        <v/>
      </c>
      <c r="I2576" s="137" t="str">
        <f t="shared" si="131"/>
        <v/>
      </c>
      <c r="J2576" s="117"/>
    </row>
    <row r="2577" spans="1:10" hidden="1" x14ac:dyDescent="0.25">
      <c r="A2577" s="114" t="s">
        <v>5361</v>
      </c>
      <c r="B2577" s="115" t="s">
        <v>4134</v>
      </c>
      <c r="C2577" s="116" t="s">
        <v>1683</v>
      </c>
      <c r="D2577" s="116">
        <v>0</v>
      </c>
      <c r="E2577" s="136" t="s">
        <v>416</v>
      </c>
      <c r="F2577" s="137" t="str">
        <f t="shared" si="129"/>
        <v/>
      </c>
      <c r="G2577" s="138" t="e">
        <f>IF(A2577&lt;&gt;"",IF(AND(#REF!="Padrão",$H$4=#REF!),BDI!$B$17,IF(AND(#REF!="Padrão",$H$4=#REF!),BDI!#REF!,IF(AND(#REF!="Diferenciado",$H$4=#REF!),BDI!$E$17,IF(AND(#REF!="Diferenciado",$H$4=#REF!),BDI!#REF!,IF(#REF!="ZERO",0))))),"")</f>
        <v>#REF!</v>
      </c>
      <c r="H2577" s="139" t="str">
        <f t="shared" si="130"/>
        <v/>
      </c>
      <c r="I2577" s="137" t="str">
        <f t="shared" si="131"/>
        <v/>
      </c>
      <c r="J2577" s="117"/>
    </row>
    <row r="2578" spans="1:10" hidden="1" x14ac:dyDescent="0.25">
      <c r="A2578" s="114" t="s">
        <v>5362</v>
      </c>
      <c r="B2578" s="115" t="s">
        <v>4135</v>
      </c>
      <c r="C2578" s="116" t="s">
        <v>1683</v>
      </c>
      <c r="D2578" s="116">
        <v>0</v>
      </c>
      <c r="E2578" s="136" t="s">
        <v>416</v>
      </c>
      <c r="F2578" s="137" t="str">
        <f t="shared" si="129"/>
        <v/>
      </c>
      <c r="G2578" s="138" t="e">
        <f>IF(A2578&lt;&gt;"",IF(AND(#REF!="Padrão",$H$4=#REF!),BDI!$B$17,IF(AND(#REF!="Padrão",$H$4=#REF!),BDI!#REF!,IF(AND(#REF!="Diferenciado",$H$4=#REF!),BDI!$E$17,IF(AND(#REF!="Diferenciado",$H$4=#REF!),BDI!#REF!,IF(#REF!="ZERO",0))))),"")</f>
        <v>#REF!</v>
      </c>
      <c r="H2578" s="139" t="str">
        <f t="shared" si="130"/>
        <v/>
      </c>
      <c r="I2578" s="137" t="str">
        <f t="shared" si="131"/>
        <v/>
      </c>
      <c r="J2578" s="117"/>
    </row>
    <row r="2579" spans="1:10" hidden="1" x14ac:dyDescent="0.25">
      <c r="A2579" s="114" t="s">
        <v>5363</v>
      </c>
      <c r="B2579" s="115" t="s">
        <v>4136</v>
      </c>
      <c r="C2579" s="116" t="s">
        <v>1683</v>
      </c>
      <c r="D2579" s="116">
        <v>0</v>
      </c>
      <c r="E2579" s="136" t="s">
        <v>416</v>
      </c>
      <c r="F2579" s="137" t="str">
        <f t="shared" si="129"/>
        <v/>
      </c>
      <c r="G2579" s="138" t="e">
        <f>IF(A2579&lt;&gt;"",IF(AND(#REF!="Padrão",$H$4=#REF!),BDI!$B$17,IF(AND(#REF!="Padrão",$H$4=#REF!),BDI!#REF!,IF(AND(#REF!="Diferenciado",$H$4=#REF!),BDI!$E$17,IF(AND(#REF!="Diferenciado",$H$4=#REF!),BDI!#REF!,IF(#REF!="ZERO",0))))),"")</f>
        <v>#REF!</v>
      </c>
      <c r="H2579" s="139" t="str">
        <f t="shared" si="130"/>
        <v/>
      </c>
      <c r="I2579" s="137" t="str">
        <f t="shared" si="131"/>
        <v/>
      </c>
      <c r="J2579" s="117"/>
    </row>
    <row r="2580" spans="1:10" hidden="1" x14ac:dyDescent="0.25">
      <c r="A2580" s="114" t="s">
        <v>5364</v>
      </c>
      <c r="B2580" s="115" t="s">
        <v>4137</v>
      </c>
      <c r="C2580" s="116" t="s">
        <v>16</v>
      </c>
      <c r="D2580" s="116">
        <v>0</v>
      </c>
      <c r="E2580" s="136" t="s">
        <v>416</v>
      </c>
      <c r="F2580" s="137" t="str">
        <f t="shared" si="129"/>
        <v/>
      </c>
      <c r="G2580" s="138" t="e">
        <f>IF(A2580&lt;&gt;"",IF(AND(#REF!="Padrão",$H$4=#REF!),BDI!$B$17,IF(AND(#REF!="Padrão",$H$4=#REF!),BDI!#REF!,IF(AND(#REF!="Diferenciado",$H$4=#REF!),BDI!$E$17,IF(AND(#REF!="Diferenciado",$H$4=#REF!),BDI!#REF!,IF(#REF!="ZERO",0))))),"")</f>
        <v>#REF!</v>
      </c>
      <c r="H2580" s="139" t="str">
        <f t="shared" si="130"/>
        <v/>
      </c>
      <c r="I2580" s="137" t="str">
        <f t="shared" si="131"/>
        <v/>
      </c>
      <c r="J2580" s="117"/>
    </row>
    <row r="2581" spans="1:10" hidden="1" x14ac:dyDescent="0.25">
      <c r="A2581" s="114" t="s">
        <v>5365</v>
      </c>
      <c r="B2581" s="115" t="s">
        <v>4138</v>
      </c>
      <c r="C2581" s="116" t="s">
        <v>16</v>
      </c>
      <c r="D2581" s="116">
        <v>0</v>
      </c>
      <c r="E2581" s="136" t="s">
        <v>416</v>
      </c>
      <c r="F2581" s="137" t="str">
        <f t="shared" si="129"/>
        <v/>
      </c>
      <c r="G2581" s="138" t="e">
        <f>IF(A2581&lt;&gt;"",IF(AND(#REF!="Padrão",$H$4=#REF!),BDI!$B$17,IF(AND(#REF!="Padrão",$H$4=#REF!),BDI!#REF!,IF(AND(#REF!="Diferenciado",$H$4=#REF!),BDI!$E$17,IF(AND(#REF!="Diferenciado",$H$4=#REF!),BDI!#REF!,IF(#REF!="ZERO",0))))),"")</f>
        <v>#REF!</v>
      </c>
      <c r="H2581" s="139" t="str">
        <f t="shared" si="130"/>
        <v/>
      </c>
      <c r="I2581" s="137" t="str">
        <f t="shared" si="131"/>
        <v/>
      </c>
      <c r="J2581" s="117"/>
    </row>
    <row r="2582" spans="1:10" hidden="1" x14ac:dyDescent="0.25">
      <c r="A2582" s="114" t="s">
        <v>5366</v>
      </c>
      <c r="B2582" s="115" t="s">
        <v>4139</v>
      </c>
      <c r="C2582" s="116" t="s">
        <v>16</v>
      </c>
      <c r="D2582" s="116">
        <v>0</v>
      </c>
      <c r="E2582" s="136" t="s">
        <v>416</v>
      </c>
      <c r="F2582" s="137" t="str">
        <f t="shared" si="129"/>
        <v/>
      </c>
      <c r="G2582" s="138" t="e">
        <f>IF(A2582&lt;&gt;"",IF(AND(#REF!="Padrão",$H$4=#REF!),BDI!$B$17,IF(AND(#REF!="Padrão",$H$4=#REF!),BDI!#REF!,IF(AND(#REF!="Diferenciado",$H$4=#REF!),BDI!$E$17,IF(AND(#REF!="Diferenciado",$H$4=#REF!),BDI!#REF!,IF(#REF!="ZERO",0))))),"")</f>
        <v>#REF!</v>
      </c>
      <c r="H2582" s="139" t="str">
        <f t="shared" si="130"/>
        <v/>
      </c>
      <c r="I2582" s="137" t="str">
        <f t="shared" si="131"/>
        <v/>
      </c>
      <c r="J2582" s="117"/>
    </row>
    <row r="2583" spans="1:10" hidden="1" x14ac:dyDescent="0.25">
      <c r="A2583" s="114" t="s">
        <v>5367</v>
      </c>
      <c r="B2583" s="115" t="s">
        <v>4140</v>
      </c>
      <c r="C2583" s="116" t="s">
        <v>16</v>
      </c>
      <c r="D2583" s="116">
        <v>0</v>
      </c>
      <c r="E2583" s="136" t="s">
        <v>416</v>
      </c>
      <c r="F2583" s="137" t="str">
        <f t="shared" si="129"/>
        <v/>
      </c>
      <c r="G2583" s="138" t="e">
        <f>IF(A2583&lt;&gt;"",IF(AND(#REF!="Padrão",$H$4=#REF!),BDI!$B$17,IF(AND(#REF!="Padrão",$H$4=#REF!),BDI!#REF!,IF(AND(#REF!="Diferenciado",$H$4=#REF!),BDI!$E$17,IF(AND(#REF!="Diferenciado",$H$4=#REF!),BDI!#REF!,IF(#REF!="ZERO",0))))),"")</f>
        <v>#REF!</v>
      </c>
      <c r="H2583" s="139" t="str">
        <f t="shared" si="130"/>
        <v/>
      </c>
      <c r="I2583" s="137" t="str">
        <f t="shared" si="131"/>
        <v/>
      </c>
      <c r="J2583" s="117"/>
    </row>
    <row r="2584" spans="1:10" hidden="1" x14ac:dyDescent="0.25">
      <c r="A2584" s="114" t="s">
        <v>5368</v>
      </c>
      <c r="B2584" s="115" t="s">
        <v>4141</v>
      </c>
      <c r="C2584" s="116" t="s">
        <v>16</v>
      </c>
      <c r="D2584" s="116">
        <v>0</v>
      </c>
      <c r="E2584" s="136" t="s">
        <v>416</v>
      </c>
      <c r="F2584" s="137" t="str">
        <f t="shared" si="129"/>
        <v/>
      </c>
      <c r="G2584" s="138" t="e">
        <f>IF(A2584&lt;&gt;"",IF(AND(#REF!="Padrão",$H$4=#REF!),BDI!$B$17,IF(AND(#REF!="Padrão",$H$4=#REF!),BDI!#REF!,IF(AND(#REF!="Diferenciado",$H$4=#REF!),BDI!$E$17,IF(AND(#REF!="Diferenciado",$H$4=#REF!),BDI!#REF!,IF(#REF!="ZERO",0))))),"")</f>
        <v>#REF!</v>
      </c>
      <c r="H2584" s="139" t="str">
        <f t="shared" si="130"/>
        <v/>
      </c>
      <c r="I2584" s="137" t="str">
        <f t="shared" si="131"/>
        <v/>
      </c>
      <c r="J2584" s="117"/>
    </row>
    <row r="2585" spans="1:10" hidden="1" x14ac:dyDescent="0.25">
      <c r="A2585" s="114" t="s">
        <v>5369</v>
      </c>
      <c r="B2585" s="115" t="s">
        <v>4142</v>
      </c>
      <c r="C2585" s="116" t="s">
        <v>16</v>
      </c>
      <c r="D2585" s="116">
        <v>0</v>
      </c>
      <c r="E2585" s="136" t="s">
        <v>416</v>
      </c>
      <c r="F2585" s="137" t="str">
        <f t="shared" si="129"/>
        <v/>
      </c>
      <c r="G2585" s="138" t="e">
        <f>IF(A2585&lt;&gt;"",IF(AND(#REF!="Padrão",$H$4=#REF!),BDI!$B$17,IF(AND(#REF!="Padrão",$H$4=#REF!),BDI!#REF!,IF(AND(#REF!="Diferenciado",$H$4=#REF!),BDI!$E$17,IF(AND(#REF!="Diferenciado",$H$4=#REF!),BDI!#REF!,IF(#REF!="ZERO",0))))),"")</f>
        <v>#REF!</v>
      </c>
      <c r="H2585" s="139" t="str">
        <f t="shared" si="130"/>
        <v/>
      </c>
      <c r="I2585" s="137" t="str">
        <f t="shared" si="131"/>
        <v/>
      </c>
      <c r="J2585" s="117"/>
    </row>
    <row r="2586" spans="1:10" hidden="1" x14ac:dyDescent="0.25">
      <c r="A2586" s="114" t="s">
        <v>5370</v>
      </c>
      <c r="B2586" s="115" t="s">
        <v>4143</v>
      </c>
      <c r="C2586" s="116" t="s">
        <v>16</v>
      </c>
      <c r="D2586" s="116">
        <v>0</v>
      </c>
      <c r="E2586" s="136" t="s">
        <v>416</v>
      </c>
      <c r="F2586" s="137" t="str">
        <f t="shared" si="129"/>
        <v/>
      </c>
      <c r="G2586" s="138" t="e">
        <f>IF(A2586&lt;&gt;"",IF(AND(#REF!="Padrão",$H$4=#REF!),BDI!$B$17,IF(AND(#REF!="Padrão",$H$4=#REF!),BDI!#REF!,IF(AND(#REF!="Diferenciado",$H$4=#REF!),BDI!$E$17,IF(AND(#REF!="Diferenciado",$H$4=#REF!),BDI!#REF!,IF(#REF!="ZERO",0))))),"")</f>
        <v>#REF!</v>
      </c>
      <c r="H2586" s="139" t="str">
        <f t="shared" si="130"/>
        <v/>
      </c>
      <c r="I2586" s="137" t="str">
        <f t="shared" si="131"/>
        <v/>
      </c>
      <c r="J2586" s="117"/>
    </row>
    <row r="2587" spans="1:10" hidden="1" x14ac:dyDescent="0.25">
      <c r="A2587" s="114" t="s">
        <v>5371</v>
      </c>
      <c r="B2587" s="115" t="s">
        <v>4144</v>
      </c>
      <c r="C2587" s="116" t="s">
        <v>4172</v>
      </c>
      <c r="D2587" s="116">
        <v>0</v>
      </c>
      <c r="E2587" s="136" t="s">
        <v>416</v>
      </c>
      <c r="F2587" s="137" t="str">
        <f t="shared" si="129"/>
        <v/>
      </c>
      <c r="G2587" s="138" t="e">
        <f>IF(A2587&lt;&gt;"",IF(AND(#REF!="Padrão",$H$4=#REF!),BDI!$B$17,IF(AND(#REF!="Padrão",$H$4=#REF!),BDI!#REF!,IF(AND(#REF!="Diferenciado",$H$4=#REF!),BDI!$E$17,IF(AND(#REF!="Diferenciado",$H$4=#REF!),BDI!#REF!,IF(#REF!="ZERO",0))))),"")</f>
        <v>#REF!</v>
      </c>
      <c r="H2587" s="139" t="str">
        <f t="shared" si="130"/>
        <v/>
      </c>
      <c r="I2587" s="137" t="str">
        <f t="shared" si="131"/>
        <v/>
      </c>
      <c r="J2587" s="117"/>
    </row>
    <row r="2588" spans="1:10" hidden="1" x14ac:dyDescent="0.25">
      <c r="A2588" s="114" t="s">
        <v>5372</v>
      </c>
      <c r="B2588" s="115" t="s">
        <v>4145</v>
      </c>
      <c r="C2588" s="116" t="s">
        <v>1683</v>
      </c>
      <c r="D2588" s="116">
        <v>0</v>
      </c>
      <c r="E2588" s="136" t="s">
        <v>416</v>
      </c>
      <c r="F2588" s="137" t="str">
        <f t="shared" si="129"/>
        <v/>
      </c>
      <c r="G2588" s="138" t="e">
        <f>IF(A2588&lt;&gt;"",IF(AND(#REF!="Padrão",$H$4=#REF!),BDI!$B$17,IF(AND(#REF!="Padrão",$H$4=#REF!),BDI!#REF!,IF(AND(#REF!="Diferenciado",$H$4=#REF!),BDI!$E$17,IF(AND(#REF!="Diferenciado",$H$4=#REF!),BDI!#REF!,IF(#REF!="ZERO",0))))),"")</f>
        <v>#REF!</v>
      </c>
      <c r="H2588" s="139" t="str">
        <f t="shared" si="130"/>
        <v/>
      </c>
      <c r="I2588" s="137" t="str">
        <f t="shared" si="131"/>
        <v/>
      </c>
      <c r="J2588" s="117"/>
    </row>
    <row r="2589" spans="1:10" hidden="1" x14ac:dyDescent="0.25">
      <c r="A2589" s="114" t="s">
        <v>5373</v>
      </c>
      <c r="B2589" s="115" t="s">
        <v>4146</v>
      </c>
      <c r="C2589" s="116" t="s">
        <v>1683</v>
      </c>
      <c r="D2589" s="116">
        <v>0</v>
      </c>
      <c r="E2589" s="136" t="s">
        <v>416</v>
      </c>
      <c r="F2589" s="137" t="str">
        <f t="shared" si="129"/>
        <v/>
      </c>
      <c r="G2589" s="138" t="e">
        <f>IF(A2589&lt;&gt;"",IF(AND(#REF!="Padrão",$H$4=#REF!),BDI!$B$17,IF(AND(#REF!="Padrão",$H$4=#REF!),BDI!#REF!,IF(AND(#REF!="Diferenciado",$H$4=#REF!),BDI!$E$17,IF(AND(#REF!="Diferenciado",$H$4=#REF!),BDI!#REF!,IF(#REF!="ZERO",0))))),"")</f>
        <v>#REF!</v>
      </c>
      <c r="H2589" s="139" t="str">
        <f t="shared" si="130"/>
        <v/>
      </c>
      <c r="I2589" s="137" t="str">
        <f t="shared" si="131"/>
        <v/>
      </c>
      <c r="J2589" s="117"/>
    </row>
    <row r="2590" spans="1:10" hidden="1" x14ac:dyDescent="0.25">
      <c r="A2590" s="114" t="s">
        <v>5374</v>
      </c>
      <c r="B2590" s="115" t="s">
        <v>4147</v>
      </c>
      <c r="C2590" s="116" t="s">
        <v>16</v>
      </c>
      <c r="D2590" s="116">
        <v>0</v>
      </c>
      <c r="E2590" s="136" t="s">
        <v>416</v>
      </c>
      <c r="F2590" s="137" t="str">
        <f t="shared" si="129"/>
        <v/>
      </c>
      <c r="G2590" s="138" t="e">
        <f>IF(A2590&lt;&gt;"",IF(AND(#REF!="Padrão",$H$4=#REF!),BDI!$B$17,IF(AND(#REF!="Padrão",$H$4=#REF!),BDI!#REF!,IF(AND(#REF!="Diferenciado",$H$4=#REF!),BDI!$E$17,IF(AND(#REF!="Diferenciado",$H$4=#REF!),BDI!#REF!,IF(#REF!="ZERO",0))))),"")</f>
        <v>#REF!</v>
      </c>
      <c r="H2590" s="139" t="str">
        <f t="shared" si="130"/>
        <v/>
      </c>
      <c r="I2590" s="137" t="str">
        <f t="shared" si="131"/>
        <v/>
      </c>
      <c r="J2590" s="117"/>
    </row>
    <row r="2591" spans="1:10" hidden="1" x14ac:dyDescent="0.25">
      <c r="A2591" s="114" t="s">
        <v>5375</v>
      </c>
      <c r="B2591" s="115" t="s">
        <v>4148</v>
      </c>
      <c r="C2591" s="116" t="s">
        <v>1683</v>
      </c>
      <c r="D2591" s="116">
        <v>0</v>
      </c>
      <c r="E2591" s="136" t="s">
        <v>416</v>
      </c>
      <c r="F2591" s="137" t="str">
        <f t="shared" si="129"/>
        <v/>
      </c>
      <c r="G2591" s="138" t="e">
        <f>IF(A2591&lt;&gt;"",IF(AND(#REF!="Padrão",$H$4=#REF!),BDI!$B$17,IF(AND(#REF!="Padrão",$H$4=#REF!),BDI!#REF!,IF(AND(#REF!="Diferenciado",$H$4=#REF!),BDI!$E$17,IF(AND(#REF!="Diferenciado",$H$4=#REF!),BDI!#REF!,IF(#REF!="ZERO",0))))),"")</f>
        <v>#REF!</v>
      </c>
      <c r="H2591" s="139" t="str">
        <f t="shared" si="130"/>
        <v/>
      </c>
      <c r="I2591" s="137" t="str">
        <f t="shared" si="131"/>
        <v/>
      </c>
      <c r="J2591" s="117"/>
    </row>
    <row r="2592" spans="1:10" hidden="1" x14ac:dyDescent="0.25">
      <c r="A2592" s="114" t="s">
        <v>5376</v>
      </c>
      <c r="B2592" s="115" t="s">
        <v>4149</v>
      </c>
      <c r="C2592" s="116" t="s">
        <v>1683</v>
      </c>
      <c r="D2592" s="116">
        <v>0</v>
      </c>
      <c r="E2592" s="136" t="s">
        <v>416</v>
      </c>
      <c r="F2592" s="137" t="str">
        <f t="shared" si="129"/>
        <v/>
      </c>
      <c r="G2592" s="138" t="e">
        <f>IF(A2592&lt;&gt;"",IF(AND(#REF!="Padrão",$H$4=#REF!),BDI!$B$17,IF(AND(#REF!="Padrão",$H$4=#REF!),BDI!#REF!,IF(AND(#REF!="Diferenciado",$H$4=#REF!),BDI!$E$17,IF(AND(#REF!="Diferenciado",$H$4=#REF!),BDI!#REF!,IF(#REF!="ZERO",0))))),"")</f>
        <v>#REF!</v>
      </c>
      <c r="H2592" s="139" t="str">
        <f t="shared" si="130"/>
        <v/>
      </c>
      <c r="I2592" s="137" t="str">
        <f t="shared" si="131"/>
        <v/>
      </c>
      <c r="J2592" s="117"/>
    </row>
    <row r="2593" spans="1:10" hidden="1" x14ac:dyDescent="0.25">
      <c r="A2593" s="114" t="s">
        <v>5377</v>
      </c>
      <c r="B2593" s="115" t="s">
        <v>4150</v>
      </c>
      <c r="C2593" s="116" t="s">
        <v>75</v>
      </c>
      <c r="D2593" s="116">
        <v>0</v>
      </c>
      <c r="E2593" s="136">
        <f ca="1">OFFSET(INDEX(Composições!A:J,MATCH(Orçamentária!A2593,Composições!A:A,0),8),2,0)</f>
        <v>114.988</v>
      </c>
      <c r="F2593" s="137">
        <f t="shared" ca="1" si="129"/>
        <v>0</v>
      </c>
      <c r="G2593" s="138" t="e">
        <f>IF(A2593&lt;&gt;"",IF(AND(#REF!="Padrão",$H$4=#REF!),BDI!$B$17,IF(AND(#REF!="Padrão",$H$4=#REF!),BDI!#REF!,IF(AND(#REF!="Diferenciado",$H$4=#REF!),BDI!$E$17,IF(AND(#REF!="Diferenciado",$H$4=#REF!),BDI!#REF!,IF(#REF!="ZERO",0))))),"")</f>
        <v>#REF!</v>
      </c>
      <c r="H2593" s="139" t="e">
        <f t="shared" ca="1" si="130"/>
        <v>#REF!</v>
      </c>
      <c r="I2593" s="137" t="e">
        <f t="shared" ca="1" si="131"/>
        <v>#REF!</v>
      </c>
      <c r="J2593" s="117"/>
    </row>
    <row r="2594" spans="1:10" hidden="1" x14ac:dyDescent="0.25">
      <c r="A2594" s="114" t="s">
        <v>5378</v>
      </c>
      <c r="B2594" s="115" t="s">
        <v>4151</v>
      </c>
      <c r="C2594" s="116" t="s">
        <v>75</v>
      </c>
      <c r="D2594" s="116">
        <v>0</v>
      </c>
      <c r="E2594" s="136" t="s">
        <v>416</v>
      </c>
      <c r="F2594" s="137" t="str">
        <f t="shared" si="129"/>
        <v/>
      </c>
      <c r="G2594" s="138" t="e">
        <f>IF(A2594&lt;&gt;"",IF(AND(#REF!="Padrão",$H$4=#REF!),BDI!$B$17,IF(AND(#REF!="Padrão",$H$4=#REF!),BDI!#REF!,IF(AND(#REF!="Diferenciado",$H$4=#REF!),BDI!$E$17,IF(AND(#REF!="Diferenciado",$H$4=#REF!),BDI!#REF!,IF(#REF!="ZERO",0))))),"")</f>
        <v>#REF!</v>
      </c>
      <c r="H2594" s="139" t="str">
        <f t="shared" si="130"/>
        <v/>
      </c>
      <c r="I2594" s="137" t="str">
        <f t="shared" si="131"/>
        <v/>
      </c>
      <c r="J2594" s="117"/>
    </row>
    <row r="2595" spans="1:10" hidden="1" x14ac:dyDescent="0.25">
      <c r="A2595" s="114" t="s">
        <v>5379</v>
      </c>
      <c r="B2595" s="115" t="s">
        <v>4152</v>
      </c>
      <c r="C2595" s="116" t="s">
        <v>70</v>
      </c>
      <c r="D2595" s="116">
        <v>0</v>
      </c>
      <c r="E2595" s="136">
        <f ca="1">OFFSET(INDEX(Composições!A:J,MATCH(Orçamentária!A2595,Composições!A:A,0),8),2,0)</f>
        <v>16.577879999999997</v>
      </c>
      <c r="F2595" s="137">
        <f t="shared" ca="1" si="129"/>
        <v>0</v>
      </c>
      <c r="G2595" s="138" t="e">
        <f>IF(A2595&lt;&gt;"",IF(AND(#REF!="Padrão",$H$4=#REF!),BDI!$B$17,IF(AND(#REF!="Padrão",$H$4=#REF!),BDI!#REF!,IF(AND(#REF!="Diferenciado",$H$4=#REF!),BDI!$E$17,IF(AND(#REF!="Diferenciado",$H$4=#REF!),BDI!#REF!,IF(#REF!="ZERO",0))))),"")</f>
        <v>#REF!</v>
      </c>
      <c r="H2595" s="139" t="e">
        <f t="shared" ca="1" si="130"/>
        <v>#REF!</v>
      </c>
      <c r="I2595" s="137" t="e">
        <f t="shared" ca="1" si="131"/>
        <v>#REF!</v>
      </c>
      <c r="J2595" s="117"/>
    </row>
    <row r="2596" spans="1:10" hidden="1" x14ac:dyDescent="0.25">
      <c r="A2596" s="114" t="s">
        <v>5380</v>
      </c>
      <c r="B2596" s="115" t="s">
        <v>4153</v>
      </c>
      <c r="C2596" s="116" t="s">
        <v>70</v>
      </c>
      <c r="D2596" s="116">
        <v>0</v>
      </c>
      <c r="E2596" s="136">
        <f ca="1">OFFSET(INDEX(Composições!A:J,MATCH(Orçamentária!A2596,Composições!A:A,0),8),2,0)</f>
        <v>15.1563</v>
      </c>
      <c r="F2596" s="137">
        <f t="shared" ca="1" si="129"/>
        <v>0</v>
      </c>
      <c r="G2596" s="138" t="e">
        <f>IF(A2596&lt;&gt;"",IF(AND(#REF!="Padrão",$H$4=#REF!),BDI!$B$17,IF(AND(#REF!="Padrão",$H$4=#REF!),BDI!#REF!,IF(AND(#REF!="Diferenciado",$H$4=#REF!),BDI!$E$17,IF(AND(#REF!="Diferenciado",$H$4=#REF!),BDI!#REF!,IF(#REF!="ZERO",0))))),"")</f>
        <v>#REF!</v>
      </c>
      <c r="H2596" s="139" t="e">
        <f t="shared" ca="1" si="130"/>
        <v>#REF!</v>
      </c>
      <c r="I2596" s="137" t="e">
        <f t="shared" ca="1" si="131"/>
        <v>#REF!</v>
      </c>
      <c r="J2596" s="117"/>
    </row>
    <row r="2597" spans="1:10" hidden="1" x14ac:dyDescent="0.25">
      <c r="A2597" s="114" t="s">
        <v>5381</v>
      </c>
      <c r="B2597" s="115" t="s">
        <v>4154</v>
      </c>
      <c r="C2597" s="116" t="s">
        <v>69</v>
      </c>
      <c r="D2597" s="116">
        <v>0</v>
      </c>
      <c r="E2597" s="136">
        <f ca="1">OFFSET(INDEX(Composições!A:J,MATCH(Orçamentária!A2597,Composições!A:A,0),8),2,0)</f>
        <v>12.43045455</v>
      </c>
      <c r="F2597" s="137">
        <f t="shared" ca="1" si="129"/>
        <v>0</v>
      </c>
      <c r="G2597" s="138" t="e">
        <f>IF(A2597&lt;&gt;"",IF(AND(#REF!="Padrão",$H$4=#REF!),BDI!$B$17,IF(AND(#REF!="Padrão",$H$4=#REF!),BDI!#REF!,IF(AND(#REF!="Diferenciado",$H$4=#REF!),BDI!$E$17,IF(AND(#REF!="Diferenciado",$H$4=#REF!),BDI!#REF!,IF(#REF!="ZERO",0))))),"")</f>
        <v>#REF!</v>
      </c>
      <c r="H2597" s="139" t="e">
        <f t="shared" ca="1" si="130"/>
        <v>#REF!</v>
      </c>
      <c r="I2597" s="137" t="e">
        <f t="shared" ca="1" si="131"/>
        <v>#REF!</v>
      </c>
      <c r="J2597" s="117"/>
    </row>
    <row r="2598" spans="1:10" hidden="1" x14ac:dyDescent="0.25">
      <c r="A2598" s="114" t="s">
        <v>5382</v>
      </c>
      <c r="B2598" s="115" t="s">
        <v>4155</v>
      </c>
      <c r="C2598" s="116" t="s">
        <v>70</v>
      </c>
      <c r="D2598" s="116">
        <v>0</v>
      </c>
      <c r="E2598" s="136">
        <f ca="1">OFFSET(INDEX(Composições!A:J,MATCH(Orçamentária!A2598,Composições!A:A,0),8),2,0)</f>
        <v>33.805749999999996</v>
      </c>
      <c r="F2598" s="137">
        <f t="shared" ca="1" si="129"/>
        <v>0</v>
      </c>
      <c r="G2598" s="138" t="e">
        <f>IF(A2598&lt;&gt;"",IF(AND(#REF!="Padrão",$H$4=#REF!),BDI!$B$17,IF(AND(#REF!="Padrão",$H$4=#REF!),BDI!#REF!,IF(AND(#REF!="Diferenciado",$H$4=#REF!),BDI!$E$17,IF(AND(#REF!="Diferenciado",$H$4=#REF!),BDI!#REF!,IF(#REF!="ZERO",0))))),"")</f>
        <v>#REF!</v>
      </c>
      <c r="H2598" s="139" t="e">
        <f t="shared" ca="1" si="130"/>
        <v>#REF!</v>
      </c>
      <c r="I2598" s="137" t="e">
        <f t="shared" ca="1" si="131"/>
        <v>#REF!</v>
      </c>
      <c r="J2598" s="117"/>
    </row>
    <row r="2599" spans="1:10" hidden="1" x14ac:dyDescent="0.25">
      <c r="A2599" s="114" t="s">
        <v>5383</v>
      </c>
      <c r="B2599" s="115" t="s">
        <v>4156</v>
      </c>
      <c r="C2599" s="116" t="s">
        <v>70</v>
      </c>
      <c r="D2599" s="116">
        <v>0</v>
      </c>
      <c r="E2599" s="136">
        <f ca="1">OFFSET(INDEX(Composições!A:J,MATCH(Orçamentária!A2599,Composições!A:A,0),8),2,0)</f>
        <v>60.966249999999995</v>
      </c>
      <c r="F2599" s="137">
        <f t="shared" ca="1" si="129"/>
        <v>0</v>
      </c>
      <c r="G2599" s="138" t="e">
        <f>IF(A2599&lt;&gt;"",IF(AND(#REF!="Padrão",$H$4=#REF!),BDI!$B$17,IF(AND(#REF!="Padrão",$H$4=#REF!),BDI!#REF!,IF(AND(#REF!="Diferenciado",$H$4=#REF!),BDI!$E$17,IF(AND(#REF!="Diferenciado",$H$4=#REF!),BDI!#REF!,IF(#REF!="ZERO",0))))),"")</f>
        <v>#REF!</v>
      </c>
      <c r="H2599" s="139" t="e">
        <f t="shared" ca="1" si="130"/>
        <v>#REF!</v>
      </c>
      <c r="I2599" s="137" t="e">
        <f t="shared" ca="1" si="131"/>
        <v>#REF!</v>
      </c>
      <c r="J2599" s="117"/>
    </row>
    <row r="2600" spans="1:10" hidden="1" x14ac:dyDescent="0.25">
      <c r="A2600" s="114" t="s">
        <v>5384</v>
      </c>
      <c r="B2600" s="115" t="s">
        <v>7393</v>
      </c>
      <c r="C2600" s="116" t="s">
        <v>80</v>
      </c>
      <c r="D2600" s="116">
        <v>0</v>
      </c>
      <c r="E2600" s="136">
        <f ca="1">OFFSET(INDEX(Composições!A:J,MATCH(Orçamentária!A2600,Composições!A:A,0),8),2,0)</f>
        <v>120.11765913999999</v>
      </c>
      <c r="F2600" s="137">
        <f t="shared" ca="1" si="129"/>
        <v>0</v>
      </c>
      <c r="G2600" s="138" t="e">
        <f>IF(A2600&lt;&gt;"",IF(AND(#REF!="Padrão",$H$4=#REF!),BDI!$B$17,IF(AND(#REF!="Padrão",$H$4=#REF!),BDI!#REF!,IF(AND(#REF!="Diferenciado",$H$4=#REF!),BDI!$E$17,IF(AND(#REF!="Diferenciado",$H$4=#REF!),BDI!#REF!,IF(#REF!="ZERO",0))))),"")</f>
        <v>#REF!</v>
      </c>
      <c r="H2600" s="139" t="e">
        <f t="shared" ca="1" si="130"/>
        <v>#REF!</v>
      </c>
      <c r="I2600" s="137" t="e">
        <f t="shared" ca="1" si="131"/>
        <v>#REF!</v>
      </c>
      <c r="J2600" s="117"/>
    </row>
    <row r="2601" spans="1:10" hidden="1" x14ac:dyDescent="0.25">
      <c r="A2601" s="114" t="s">
        <v>5385</v>
      </c>
      <c r="B2601" s="115" t="s">
        <v>7392</v>
      </c>
      <c r="C2601" s="116" t="s">
        <v>28</v>
      </c>
      <c r="D2601" s="116">
        <v>0</v>
      </c>
      <c r="E2601" s="136">
        <f ca="1">OFFSET(INDEX(Composições!A:J,MATCH(Orçamentária!A2601,Composições!A:A,0),8),2,0)</f>
        <v>12.712453499999999</v>
      </c>
      <c r="F2601" s="137">
        <f t="shared" ca="1" si="129"/>
        <v>0</v>
      </c>
      <c r="G2601" s="138" t="e">
        <f>IF(A2601&lt;&gt;"",IF(AND(#REF!="Padrão",$H$4=#REF!),BDI!$B$17,IF(AND(#REF!="Padrão",$H$4=#REF!),BDI!#REF!,IF(AND(#REF!="Diferenciado",$H$4=#REF!),BDI!$E$17,IF(AND(#REF!="Diferenciado",$H$4=#REF!),BDI!#REF!,IF(#REF!="ZERO",0))))),"")</f>
        <v>#REF!</v>
      </c>
      <c r="H2601" s="139" t="e">
        <f t="shared" ca="1" si="130"/>
        <v>#REF!</v>
      </c>
      <c r="I2601" s="137" t="e">
        <f t="shared" ca="1" si="131"/>
        <v>#REF!</v>
      </c>
      <c r="J2601" s="117"/>
    </row>
    <row r="2602" spans="1:10" hidden="1" x14ac:dyDescent="0.25">
      <c r="A2602" s="114" t="s">
        <v>5386</v>
      </c>
      <c r="B2602" s="115" t="s">
        <v>7391</v>
      </c>
      <c r="C2602" s="116" t="s">
        <v>80</v>
      </c>
      <c r="D2602" s="116">
        <v>0</v>
      </c>
      <c r="E2602" s="136">
        <f ca="1">OFFSET(INDEX(Composições!A:J,MATCH(Orçamentária!A2602,Composições!A:A,0),8),2,0)</f>
        <v>979.87296297505145</v>
      </c>
      <c r="F2602" s="137">
        <f t="shared" ca="1" si="129"/>
        <v>0</v>
      </c>
      <c r="G2602" s="138" t="e">
        <f>IF(A2602&lt;&gt;"",IF(AND(#REF!="Padrão",$H$4=#REF!),BDI!$B$17,IF(AND(#REF!="Padrão",$H$4=#REF!),BDI!#REF!,IF(AND(#REF!="Diferenciado",$H$4=#REF!),BDI!$E$17,IF(AND(#REF!="Diferenciado",$H$4=#REF!),BDI!#REF!,IF(#REF!="ZERO",0))))),"")</f>
        <v>#REF!</v>
      </c>
      <c r="H2602" s="139" t="e">
        <f t="shared" ca="1" si="130"/>
        <v>#REF!</v>
      </c>
      <c r="I2602" s="137" t="e">
        <f t="shared" ca="1" si="131"/>
        <v>#REF!</v>
      </c>
      <c r="J2602" s="117"/>
    </row>
    <row r="2603" spans="1:10" hidden="1" x14ac:dyDescent="0.25">
      <c r="A2603" s="114" t="s">
        <v>5387</v>
      </c>
      <c r="B2603" s="115" t="s">
        <v>7390</v>
      </c>
      <c r="C2603" s="116" t="s">
        <v>16</v>
      </c>
      <c r="D2603" s="116">
        <v>0</v>
      </c>
      <c r="E2603" s="136">
        <f ca="1">OFFSET(INDEX(Composições!A:J,MATCH(Orçamentária!A2603,Composições!A:A,0),8),2,0)</f>
        <v>62.852104499999996</v>
      </c>
      <c r="F2603" s="137">
        <f t="shared" ca="1" si="129"/>
        <v>0</v>
      </c>
      <c r="G2603" s="138" t="e">
        <f>IF(A2603&lt;&gt;"",IF(AND(#REF!="Padrão",$H$4=#REF!),BDI!$B$17,IF(AND(#REF!="Padrão",$H$4=#REF!),BDI!#REF!,IF(AND(#REF!="Diferenciado",$H$4=#REF!),BDI!$E$17,IF(AND(#REF!="Diferenciado",$H$4=#REF!),BDI!#REF!,IF(#REF!="ZERO",0))))),"")</f>
        <v>#REF!</v>
      </c>
      <c r="H2603" s="139" t="e">
        <f t="shared" ca="1" si="130"/>
        <v>#REF!</v>
      </c>
      <c r="I2603" s="137" t="e">
        <f t="shared" ca="1" si="131"/>
        <v>#REF!</v>
      </c>
      <c r="J2603" s="117"/>
    </row>
    <row r="2604" spans="1:10" hidden="1" x14ac:dyDescent="0.25">
      <c r="A2604" s="114" t="s">
        <v>5388</v>
      </c>
      <c r="B2604" s="115" t="s">
        <v>4157</v>
      </c>
      <c r="C2604" s="116" t="s">
        <v>70</v>
      </c>
      <c r="D2604" s="116">
        <v>0</v>
      </c>
      <c r="E2604" s="136">
        <f ca="1">OFFSET(INDEX(Composições!A:J,MATCH(Orçamentária!A2604,Composições!A:A,0),8),2,0)</f>
        <v>70.590699999999998</v>
      </c>
      <c r="F2604" s="137">
        <f t="shared" ca="1" si="129"/>
        <v>0</v>
      </c>
      <c r="G2604" s="138" t="e">
        <f>IF(A2604&lt;&gt;"",IF(AND(#REF!="Padrão",$H$4=#REF!),BDI!$B$17,IF(AND(#REF!="Padrão",$H$4=#REF!),BDI!#REF!,IF(AND(#REF!="Diferenciado",$H$4=#REF!),BDI!$E$17,IF(AND(#REF!="Diferenciado",$H$4=#REF!),BDI!#REF!,IF(#REF!="ZERO",0))))),"")</f>
        <v>#REF!</v>
      </c>
      <c r="H2604" s="139" t="e">
        <f t="shared" ca="1" si="130"/>
        <v>#REF!</v>
      </c>
      <c r="I2604" s="137" t="e">
        <f t="shared" ca="1" si="131"/>
        <v>#REF!</v>
      </c>
      <c r="J2604" s="117"/>
    </row>
    <row r="2605" spans="1:10" hidden="1" x14ac:dyDescent="0.25">
      <c r="A2605" s="114" t="s">
        <v>5389</v>
      </c>
      <c r="B2605" s="115" t="s">
        <v>7389</v>
      </c>
      <c r="C2605" s="116" t="s">
        <v>69</v>
      </c>
      <c r="D2605" s="116">
        <v>0</v>
      </c>
      <c r="E2605" s="136">
        <f ca="1">OFFSET(INDEX(Composições!A:J,MATCH(Orçamentária!A2605,Composições!A:A,0),8),2,0)</f>
        <v>129.42123474955432</v>
      </c>
      <c r="F2605" s="137">
        <f t="shared" ref="F2605:F2623" ca="1" si="132">IF(ISNUMBER(E2605),D2605*E2605,"")</f>
        <v>0</v>
      </c>
      <c r="G2605" s="138" t="e">
        <f>IF(A2605&lt;&gt;"",IF(AND(#REF!="Padrão",$H$4=#REF!),BDI!$B$17,IF(AND(#REF!="Padrão",$H$4=#REF!),BDI!#REF!,IF(AND(#REF!="Diferenciado",$H$4=#REF!),BDI!$E$17,IF(AND(#REF!="Diferenciado",$H$4=#REF!),BDI!#REF!,IF(#REF!="ZERO",0))))),"")</f>
        <v>#REF!</v>
      </c>
      <c r="H2605" s="139" t="e">
        <f t="shared" ref="H2605:H2623" ca="1" si="133">IF(ISNUMBER(E2605),ROUND(E2605*(1+G2605),2),"")</f>
        <v>#REF!</v>
      </c>
      <c r="I2605" s="137" t="e">
        <f t="shared" ref="I2605:I2623" ca="1" si="134">IF(ISNUMBER(E2605),ROUND(H2605*D2605,2),"")</f>
        <v>#REF!</v>
      </c>
      <c r="J2605" s="117"/>
    </row>
    <row r="2606" spans="1:10" hidden="1" x14ac:dyDescent="0.25">
      <c r="A2606" s="114" t="s">
        <v>5390</v>
      </c>
      <c r="B2606" s="115" t="s">
        <v>7388</v>
      </c>
      <c r="C2606" s="116" t="s">
        <v>16</v>
      </c>
      <c r="D2606" s="116">
        <v>0</v>
      </c>
      <c r="E2606" s="136">
        <f ca="1">OFFSET(INDEX(Composições!A:J,MATCH(Orçamentária!A2606,Composições!A:A,0),8),2,0)</f>
        <v>15.682783349999999</v>
      </c>
      <c r="F2606" s="137">
        <f t="shared" ca="1" si="132"/>
        <v>0</v>
      </c>
      <c r="G2606" s="138" t="e">
        <f>IF(A2606&lt;&gt;"",IF(AND(#REF!="Padrão",$H$4=#REF!),BDI!$B$17,IF(AND(#REF!="Padrão",$H$4=#REF!),BDI!#REF!,IF(AND(#REF!="Diferenciado",$H$4=#REF!),BDI!$E$17,IF(AND(#REF!="Diferenciado",$H$4=#REF!),BDI!#REF!,IF(#REF!="ZERO",0))))),"")</f>
        <v>#REF!</v>
      </c>
      <c r="H2606" s="139" t="e">
        <f t="shared" ca="1" si="133"/>
        <v>#REF!</v>
      </c>
      <c r="I2606" s="137" t="e">
        <f t="shared" ca="1" si="134"/>
        <v>#REF!</v>
      </c>
      <c r="J2606" s="117"/>
    </row>
    <row r="2607" spans="1:10" hidden="1" x14ac:dyDescent="0.25">
      <c r="A2607" s="114" t="s">
        <v>5391</v>
      </c>
      <c r="B2607" s="115" t="s">
        <v>4158</v>
      </c>
      <c r="C2607" s="116" t="s">
        <v>16</v>
      </c>
      <c r="D2607" s="116">
        <v>0</v>
      </c>
      <c r="E2607" s="136">
        <f ca="1">OFFSET(INDEX(Composições!A:J,MATCH(Orçamentária!A2607,Composições!A:A,0),8),2,0)</f>
        <v>75.279962699999999</v>
      </c>
      <c r="F2607" s="137">
        <f t="shared" ca="1" si="132"/>
        <v>0</v>
      </c>
      <c r="G2607" s="138" t="e">
        <f>IF(A2607&lt;&gt;"",IF(AND(#REF!="Padrão",$H$4=#REF!),BDI!$B$17,IF(AND(#REF!="Padrão",$H$4=#REF!),BDI!#REF!,IF(AND(#REF!="Diferenciado",$H$4=#REF!),BDI!$E$17,IF(AND(#REF!="Diferenciado",$H$4=#REF!),BDI!#REF!,IF(#REF!="ZERO",0))))),"")</f>
        <v>#REF!</v>
      </c>
      <c r="H2607" s="139" t="e">
        <f t="shared" ca="1" si="133"/>
        <v>#REF!</v>
      </c>
      <c r="I2607" s="137" t="e">
        <f t="shared" ca="1" si="134"/>
        <v>#REF!</v>
      </c>
      <c r="J2607" s="117"/>
    </row>
    <row r="2608" spans="1:10" hidden="1" x14ac:dyDescent="0.25">
      <c r="A2608" s="114" t="s">
        <v>5392</v>
      </c>
      <c r="B2608" s="115" t="s">
        <v>7387</v>
      </c>
      <c r="C2608" s="116" t="s">
        <v>80</v>
      </c>
      <c r="D2608" s="116">
        <v>0</v>
      </c>
      <c r="E2608" s="136">
        <f ca="1">OFFSET(INDEX(Composições!A:J,MATCH(Orçamentária!A2608,Composições!A:A,0),8),2,0)</f>
        <v>553.09411350000005</v>
      </c>
      <c r="F2608" s="137">
        <f t="shared" ca="1" si="132"/>
        <v>0</v>
      </c>
      <c r="G2608" s="138" t="e">
        <f>IF(A2608&lt;&gt;"",IF(AND(#REF!="Padrão",$H$4=#REF!),BDI!$B$17,IF(AND(#REF!="Padrão",$H$4=#REF!),BDI!#REF!,IF(AND(#REF!="Diferenciado",$H$4=#REF!),BDI!$E$17,IF(AND(#REF!="Diferenciado",$H$4=#REF!),BDI!#REF!,IF(#REF!="ZERO",0))))),"")</f>
        <v>#REF!</v>
      </c>
      <c r="H2608" s="139" t="e">
        <f t="shared" ca="1" si="133"/>
        <v>#REF!</v>
      </c>
      <c r="I2608" s="137" t="e">
        <f t="shared" ca="1" si="134"/>
        <v>#REF!</v>
      </c>
      <c r="J2608" s="117"/>
    </row>
    <row r="2609" spans="1:10" hidden="1" x14ac:dyDescent="0.25">
      <c r="A2609" s="114" t="s">
        <v>5393</v>
      </c>
      <c r="B2609" s="115" t="s">
        <v>7386</v>
      </c>
      <c r="C2609" s="116" t="s">
        <v>69</v>
      </c>
      <c r="D2609" s="116">
        <v>0</v>
      </c>
      <c r="E2609" s="136">
        <f ca="1">OFFSET(INDEX(Composições!A:J,MATCH(Orçamentária!A2609,Composições!A:A,0),8),2,0)</f>
        <v>107.283590355545</v>
      </c>
      <c r="F2609" s="137">
        <f t="shared" ca="1" si="132"/>
        <v>0</v>
      </c>
      <c r="G2609" s="138" t="e">
        <f>IF(A2609&lt;&gt;"",IF(AND(#REF!="Padrão",$H$4=#REF!),BDI!$B$17,IF(AND(#REF!="Padrão",$H$4=#REF!),BDI!#REF!,IF(AND(#REF!="Diferenciado",$H$4=#REF!),BDI!$E$17,IF(AND(#REF!="Diferenciado",$H$4=#REF!),BDI!#REF!,IF(#REF!="ZERO",0))))),"")</f>
        <v>#REF!</v>
      </c>
      <c r="H2609" s="139" t="e">
        <f t="shared" ca="1" si="133"/>
        <v>#REF!</v>
      </c>
      <c r="I2609" s="137" t="e">
        <f t="shared" ca="1" si="134"/>
        <v>#REF!</v>
      </c>
      <c r="J2609" s="117"/>
    </row>
    <row r="2610" spans="1:10" hidden="1" x14ac:dyDescent="0.25">
      <c r="A2610" s="114" t="s">
        <v>5394</v>
      </c>
      <c r="B2610" s="115" t="s">
        <v>5617</v>
      </c>
      <c r="C2610" s="116" t="s">
        <v>16</v>
      </c>
      <c r="D2610" s="116">
        <v>0</v>
      </c>
      <c r="E2610" s="136" t="s">
        <v>416</v>
      </c>
      <c r="F2610" s="137" t="str">
        <f>IF(ISNUMBER(E2610),D2610*E2610,"")</f>
        <v/>
      </c>
      <c r="G2610" s="138" t="e">
        <f>IF(A2610&lt;&gt;"",IF(AND(#REF!="Padrão",$H$4=#REF!),BDI!$B$17,IF(AND(#REF!="Padrão",$H$4=#REF!),BDI!#REF!,IF(AND(#REF!="Diferenciado",$H$4=#REF!),BDI!$E$17,IF(AND(#REF!="Diferenciado",$H$4=#REF!),BDI!#REF!,IF(#REF!="ZERO",0))))),"")</f>
        <v>#REF!</v>
      </c>
      <c r="H2610" s="139" t="str">
        <f>IF(ISNUMBER(E2610),ROUND(E2610*(1+G2610),2),"")</f>
        <v/>
      </c>
      <c r="I2610" s="137" t="str">
        <f>IF(ISNUMBER(E2610),ROUND(H2610*D2610,2),"")</f>
        <v/>
      </c>
      <c r="J2610" s="117"/>
    </row>
    <row r="2611" spans="1:10" hidden="1" x14ac:dyDescent="0.25">
      <c r="A2611" s="114" t="s">
        <v>5395</v>
      </c>
      <c r="B2611" s="115" t="s">
        <v>7385</v>
      </c>
      <c r="C2611" s="116" t="s">
        <v>28</v>
      </c>
      <c r="D2611" s="116">
        <v>0</v>
      </c>
      <c r="E2611" s="136">
        <f ca="1">OFFSET(INDEX(Composições!A:J,MATCH(Orçamentária!A2611,Composições!A:A,0),8),2,0)</f>
        <v>15.315159000000001</v>
      </c>
      <c r="F2611" s="137">
        <f t="shared" ca="1" si="132"/>
        <v>0</v>
      </c>
      <c r="G2611" s="138" t="e">
        <f>IF(A2611&lt;&gt;"",IF(AND(#REF!="Padrão",$H$4=#REF!),BDI!$B$17,IF(AND(#REF!="Padrão",$H$4=#REF!),BDI!#REF!,IF(AND(#REF!="Diferenciado",$H$4=#REF!),BDI!$E$17,IF(AND(#REF!="Diferenciado",$H$4=#REF!),BDI!#REF!,IF(#REF!="ZERO",0))))),"")</f>
        <v>#REF!</v>
      </c>
      <c r="H2611" s="139" t="e">
        <f t="shared" ca="1" si="133"/>
        <v>#REF!</v>
      </c>
      <c r="I2611" s="137" t="e">
        <f t="shared" ca="1" si="134"/>
        <v>#REF!</v>
      </c>
      <c r="J2611" s="117"/>
    </row>
    <row r="2612" spans="1:10" hidden="1" x14ac:dyDescent="0.25">
      <c r="A2612" s="114" t="s">
        <v>5396</v>
      </c>
      <c r="B2612" s="115" t="s">
        <v>4159</v>
      </c>
      <c r="C2612" s="116" t="s">
        <v>70</v>
      </c>
      <c r="D2612" s="116">
        <v>0</v>
      </c>
      <c r="E2612" s="136">
        <f ca="1">OFFSET(INDEX(Composições!A:J,MATCH(Orçamentária!A2612,Composições!A:A,0),8),2,0)</f>
        <v>78.567170750000002</v>
      </c>
      <c r="F2612" s="137">
        <f t="shared" ca="1" si="132"/>
        <v>0</v>
      </c>
      <c r="G2612" s="138" t="e">
        <f>IF(A2612&lt;&gt;"",IF(AND(#REF!="Padrão",$H$4=#REF!),BDI!$B$17,IF(AND(#REF!="Padrão",$H$4=#REF!),BDI!#REF!,IF(AND(#REF!="Diferenciado",$H$4=#REF!),BDI!$E$17,IF(AND(#REF!="Diferenciado",$H$4=#REF!),BDI!#REF!,IF(#REF!="ZERO",0))))),"")</f>
        <v>#REF!</v>
      </c>
      <c r="H2612" s="139" t="e">
        <f t="shared" ca="1" si="133"/>
        <v>#REF!</v>
      </c>
      <c r="I2612" s="137" t="e">
        <f t="shared" ca="1" si="134"/>
        <v>#REF!</v>
      </c>
      <c r="J2612" s="117"/>
    </row>
    <row r="2613" spans="1:10" hidden="1" x14ac:dyDescent="0.25">
      <c r="A2613" s="114" t="s">
        <v>5397</v>
      </c>
      <c r="B2613" s="115" t="s">
        <v>7362</v>
      </c>
      <c r="C2613" s="116" t="s">
        <v>69</v>
      </c>
      <c r="D2613" s="116">
        <v>0</v>
      </c>
      <c r="E2613" s="136">
        <f ca="1">OFFSET(INDEX(Composições!A:J,MATCH(Orçamentária!A2613,Composições!A:A,0),8),2,0)</f>
        <v>70.494533400000009</v>
      </c>
      <c r="F2613" s="137">
        <f t="shared" ca="1" si="132"/>
        <v>0</v>
      </c>
      <c r="G2613" s="138" t="e">
        <f>IF(A2613&lt;&gt;"",IF(AND(#REF!="Padrão",$H$4=#REF!),BDI!$B$17,IF(AND(#REF!="Padrão",$H$4=#REF!),BDI!#REF!,IF(AND(#REF!="Diferenciado",$H$4=#REF!),BDI!$E$17,IF(AND(#REF!="Diferenciado",$H$4=#REF!),BDI!#REF!,IF(#REF!="ZERO",0))))),"")</f>
        <v>#REF!</v>
      </c>
      <c r="H2613" s="139" t="e">
        <f t="shared" ca="1" si="133"/>
        <v>#REF!</v>
      </c>
      <c r="I2613" s="137" t="e">
        <f t="shared" ca="1" si="134"/>
        <v>#REF!</v>
      </c>
      <c r="J2613" s="117"/>
    </row>
    <row r="2614" spans="1:10" hidden="1" x14ac:dyDescent="0.25">
      <c r="A2614" s="114" t="s">
        <v>5398</v>
      </c>
      <c r="B2614" s="115" t="s">
        <v>4160</v>
      </c>
      <c r="C2614" s="116" t="s">
        <v>70</v>
      </c>
      <c r="D2614" s="116">
        <v>0</v>
      </c>
      <c r="E2614" s="136">
        <f ca="1">OFFSET(INDEX(Composições!A:J,MATCH(Orçamentária!A2614,Composições!A:A,0),8),2,0)</f>
        <v>87.939415318806809</v>
      </c>
      <c r="F2614" s="137">
        <f t="shared" ca="1" si="132"/>
        <v>0</v>
      </c>
      <c r="G2614" s="138" t="e">
        <f>IF(A2614&lt;&gt;"",IF(AND(#REF!="Padrão",$H$4=#REF!),BDI!$B$17,IF(AND(#REF!="Padrão",$H$4=#REF!),BDI!#REF!,IF(AND(#REF!="Diferenciado",$H$4=#REF!),BDI!$E$17,IF(AND(#REF!="Diferenciado",$H$4=#REF!),BDI!#REF!,IF(#REF!="ZERO",0))))),"")</f>
        <v>#REF!</v>
      </c>
      <c r="H2614" s="139" t="e">
        <f t="shared" ca="1" si="133"/>
        <v>#REF!</v>
      </c>
      <c r="I2614" s="137" t="e">
        <f t="shared" ca="1" si="134"/>
        <v>#REF!</v>
      </c>
      <c r="J2614" s="117"/>
    </row>
    <row r="2615" spans="1:10" hidden="1" x14ac:dyDescent="0.25">
      <c r="A2615" s="114" t="s">
        <v>5399</v>
      </c>
      <c r="B2615" s="115" t="s">
        <v>4161</v>
      </c>
      <c r="C2615" s="116" t="s">
        <v>16</v>
      </c>
      <c r="D2615" s="116">
        <v>0</v>
      </c>
      <c r="E2615" s="136">
        <f ca="1">OFFSET(INDEX(Composições!A:J,MATCH(Orçamentária!A2615,Composições!A:A,0),8),2,0)</f>
        <v>1519.0846760019829</v>
      </c>
      <c r="F2615" s="137">
        <f t="shared" ca="1" si="132"/>
        <v>0</v>
      </c>
      <c r="G2615" s="138" t="e">
        <f>IF(A2615&lt;&gt;"",IF(AND(#REF!="Padrão",$H$4=#REF!),BDI!$B$17,IF(AND(#REF!="Padrão",$H$4=#REF!),BDI!#REF!,IF(AND(#REF!="Diferenciado",$H$4=#REF!),BDI!$E$17,IF(AND(#REF!="Diferenciado",$H$4=#REF!),BDI!#REF!,IF(#REF!="ZERO",0))))),"")</f>
        <v>#REF!</v>
      </c>
      <c r="H2615" s="139" t="e">
        <f t="shared" ca="1" si="133"/>
        <v>#REF!</v>
      </c>
      <c r="I2615" s="137" t="e">
        <f t="shared" ca="1" si="134"/>
        <v>#REF!</v>
      </c>
      <c r="J2615" s="117"/>
    </row>
    <row r="2616" spans="1:10" hidden="1" x14ac:dyDescent="0.25">
      <c r="A2616" s="114" t="s">
        <v>5400</v>
      </c>
      <c r="B2616" s="115" t="s">
        <v>4162</v>
      </c>
      <c r="C2616" s="116" t="s">
        <v>69</v>
      </c>
      <c r="D2616" s="116">
        <v>0</v>
      </c>
      <c r="E2616" s="136">
        <f ca="1">OFFSET(INDEX(Composições!A:J,MATCH(Orçamentária!A2616,Composições!A:A,0),8),2,0)</f>
        <v>16.902874999999998</v>
      </c>
      <c r="F2616" s="137">
        <f t="shared" ca="1" si="132"/>
        <v>0</v>
      </c>
      <c r="G2616" s="138" t="e">
        <f>IF(A2616&lt;&gt;"",IF(AND(#REF!="Padrão",$H$4=#REF!),BDI!$B$17,IF(AND(#REF!="Padrão",$H$4=#REF!),BDI!#REF!,IF(AND(#REF!="Diferenciado",$H$4=#REF!),BDI!$E$17,IF(AND(#REF!="Diferenciado",$H$4=#REF!),BDI!#REF!,IF(#REF!="ZERO",0))))),"")</f>
        <v>#REF!</v>
      </c>
      <c r="H2616" s="139" t="e">
        <f t="shared" ca="1" si="133"/>
        <v>#REF!</v>
      </c>
      <c r="I2616" s="137" t="e">
        <f t="shared" ca="1" si="134"/>
        <v>#REF!</v>
      </c>
      <c r="J2616" s="117"/>
    </row>
    <row r="2617" spans="1:10" hidden="1" x14ac:dyDescent="0.25">
      <c r="A2617" s="114" t="s">
        <v>5401</v>
      </c>
      <c r="B2617" s="115" t="s">
        <v>4163</v>
      </c>
      <c r="C2617" s="116" t="s">
        <v>16</v>
      </c>
      <c r="D2617" s="116">
        <v>0</v>
      </c>
      <c r="E2617" s="136">
        <f ca="1">OFFSET(INDEX(Composições!A:J,MATCH(Orçamentária!A2617,Composições!A:A,0),8),2,0)</f>
        <v>140.00420940000001</v>
      </c>
      <c r="F2617" s="137">
        <f t="shared" ca="1" si="132"/>
        <v>0</v>
      </c>
      <c r="G2617" s="138" t="e">
        <f>IF(A2617&lt;&gt;"",IF(AND(#REF!="Padrão",$H$4=#REF!),BDI!$B$17,IF(AND(#REF!="Padrão",$H$4=#REF!),BDI!#REF!,IF(AND(#REF!="Diferenciado",$H$4=#REF!),BDI!$E$17,IF(AND(#REF!="Diferenciado",$H$4=#REF!),BDI!#REF!,IF(#REF!="ZERO",0))))),"")</f>
        <v>#REF!</v>
      </c>
      <c r="H2617" s="139" t="e">
        <f t="shared" ca="1" si="133"/>
        <v>#REF!</v>
      </c>
      <c r="I2617" s="137" t="e">
        <f t="shared" ca="1" si="134"/>
        <v>#REF!</v>
      </c>
      <c r="J2617" s="117"/>
    </row>
    <row r="2618" spans="1:10" hidden="1" x14ac:dyDescent="0.25">
      <c r="A2618" s="114" t="s">
        <v>5402</v>
      </c>
      <c r="B2618" s="115" t="s">
        <v>4164</v>
      </c>
      <c r="C2618" s="116" t="s">
        <v>70</v>
      </c>
      <c r="D2618" s="116">
        <v>0</v>
      </c>
      <c r="E2618" s="136">
        <f ca="1">OFFSET(INDEX(Composições!A:J,MATCH(Orçamentária!A2618,Composições!A:A,0),8),2,0)</f>
        <v>3.2755895499999994</v>
      </c>
      <c r="F2618" s="137">
        <f t="shared" ca="1" si="132"/>
        <v>0</v>
      </c>
      <c r="G2618" s="138" t="e">
        <f>IF(A2618&lt;&gt;"",IF(AND(#REF!="Padrão",$H$4=#REF!),BDI!$B$17,IF(AND(#REF!="Padrão",$H$4=#REF!),BDI!#REF!,IF(AND(#REF!="Diferenciado",$H$4=#REF!),BDI!$E$17,IF(AND(#REF!="Diferenciado",$H$4=#REF!),BDI!#REF!,IF(#REF!="ZERO",0))))),"")</f>
        <v>#REF!</v>
      </c>
      <c r="H2618" s="139" t="e">
        <f t="shared" ca="1" si="133"/>
        <v>#REF!</v>
      </c>
      <c r="I2618" s="137" t="e">
        <f t="shared" ca="1" si="134"/>
        <v>#REF!</v>
      </c>
      <c r="J2618" s="117"/>
    </row>
    <row r="2619" spans="1:10" hidden="1" x14ac:dyDescent="0.25">
      <c r="A2619" s="114" t="s">
        <v>5403</v>
      </c>
      <c r="B2619" s="115" t="s">
        <v>4165</v>
      </c>
      <c r="C2619" s="116" t="s">
        <v>69</v>
      </c>
      <c r="D2619" s="116">
        <v>0</v>
      </c>
      <c r="E2619" s="136">
        <f ca="1">OFFSET(INDEX(Composições!A:J,MATCH(Orçamentária!A2619,Composições!A:A,0),8),2,0)</f>
        <v>62.029490244548761</v>
      </c>
      <c r="F2619" s="137">
        <f t="shared" ca="1" si="132"/>
        <v>0</v>
      </c>
      <c r="G2619" s="138" t="e">
        <f>IF(A2619&lt;&gt;"",IF(AND(#REF!="Padrão",$H$4=#REF!),BDI!$B$17,IF(AND(#REF!="Padrão",$H$4=#REF!),BDI!#REF!,IF(AND(#REF!="Diferenciado",$H$4=#REF!),BDI!$E$17,IF(AND(#REF!="Diferenciado",$H$4=#REF!),BDI!#REF!,IF(#REF!="ZERO",0))))),"")</f>
        <v>#REF!</v>
      </c>
      <c r="H2619" s="139" t="e">
        <f t="shared" ca="1" si="133"/>
        <v>#REF!</v>
      </c>
      <c r="I2619" s="137" t="e">
        <f t="shared" ca="1" si="134"/>
        <v>#REF!</v>
      </c>
      <c r="J2619" s="117"/>
    </row>
    <row r="2620" spans="1:10" hidden="1" x14ac:dyDescent="0.25">
      <c r="A2620" s="114" t="s">
        <v>5404</v>
      </c>
      <c r="B2620" s="115" t="s">
        <v>4166</v>
      </c>
      <c r="C2620" s="116" t="s">
        <v>16</v>
      </c>
      <c r="D2620" s="116">
        <v>0</v>
      </c>
      <c r="E2620" s="136">
        <f ca="1">OFFSET(INDEX(Composições!A:J,MATCH(Orçamentária!A2620,Composições!A:A,0),8),2,0)</f>
        <v>270.53158652599996</v>
      </c>
      <c r="F2620" s="137">
        <f t="shared" ca="1" si="132"/>
        <v>0</v>
      </c>
      <c r="G2620" s="138" t="e">
        <f>IF(A2620&lt;&gt;"",IF(AND(#REF!="Padrão",$H$4=#REF!),BDI!$B$17,IF(AND(#REF!="Padrão",$H$4=#REF!),BDI!#REF!,IF(AND(#REF!="Diferenciado",$H$4=#REF!),BDI!$E$17,IF(AND(#REF!="Diferenciado",$H$4=#REF!),BDI!#REF!,IF(#REF!="ZERO",0))))),"")</f>
        <v>#REF!</v>
      </c>
      <c r="H2620" s="139" t="e">
        <f t="shared" ca="1" si="133"/>
        <v>#REF!</v>
      </c>
      <c r="I2620" s="137" t="e">
        <f t="shared" ca="1" si="134"/>
        <v>#REF!</v>
      </c>
      <c r="J2620" s="117"/>
    </row>
    <row r="2621" spans="1:10" ht="25.5" hidden="1" x14ac:dyDescent="0.25">
      <c r="A2621" s="114" t="s">
        <v>5405</v>
      </c>
      <c r="B2621" s="115" t="s">
        <v>4167</v>
      </c>
      <c r="C2621" s="116" t="s">
        <v>16</v>
      </c>
      <c r="D2621" s="116">
        <v>0</v>
      </c>
      <c r="E2621" s="136" t="s">
        <v>416</v>
      </c>
      <c r="F2621" s="137" t="str">
        <f t="shared" si="132"/>
        <v/>
      </c>
      <c r="G2621" s="138" t="e">
        <f>IF(A2621&lt;&gt;"",IF(AND(#REF!="Padrão",$H$4=#REF!),BDI!$B$17,IF(AND(#REF!="Padrão",$H$4=#REF!),BDI!#REF!,IF(AND(#REF!="Diferenciado",$H$4=#REF!),BDI!$E$17,IF(AND(#REF!="Diferenciado",$H$4=#REF!),BDI!#REF!,IF(#REF!="ZERO",0))))),"")</f>
        <v>#REF!</v>
      </c>
      <c r="H2621" s="139" t="str">
        <f t="shared" si="133"/>
        <v/>
      </c>
      <c r="I2621" s="137" t="str">
        <f t="shared" si="134"/>
        <v/>
      </c>
      <c r="J2621" s="117"/>
    </row>
    <row r="2622" spans="1:10" hidden="1" x14ac:dyDescent="0.25">
      <c r="A2622" s="114" t="s">
        <v>5406</v>
      </c>
      <c r="B2622" s="115" t="s">
        <v>4168</v>
      </c>
      <c r="C2622" s="116" t="s">
        <v>16</v>
      </c>
      <c r="D2622" s="116">
        <v>0</v>
      </c>
      <c r="E2622" s="136">
        <f ca="1">OFFSET(INDEX(Composições!A:J,MATCH(Orçamentária!A2622,Composições!A:A,0),8),2,0)</f>
        <v>90.954102000000006</v>
      </c>
      <c r="F2622" s="137">
        <f t="shared" ca="1" si="132"/>
        <v>0</v>
      </c>
      <c r="G2622" s="138" t="e">
        <f>IF(A2622&lt;&gt;"",IF(AND(#REF!="Padrão",$H$4=#REF!),BDI!$B$17,IF(AND(#REF!="Padrão",$H$4=#REF!),BDI!#REF!,IF(AND(#REF!="Diferenciado",$H$4=#REF!),BDI!$E$17,IF(AND(#REF!="Diferenciado",$H$4=#REF!),BDI!#REF!,IF(#REF!="ZERO",0))))),"")</f>
        <v>#REF!</v>
      </c>
      <c r="H2622" s="139" t="e">
        <f t="shared" ca="1" si="133"/>
        <v>#REF!</v>
      </c>
      <c r="I2622" s="137" t="e">
        <f t="shared" ca="1" si="134"/>
        <v>#REF!</v>
      </c>
      <c r="J2622" s="117"/>
    </row>
    <row r="2623" spans="1:10" hidden="1" x14ac:dyDescent="0.25">
      <c r="A2623" s="114" t="s">
        <v>5407</v>
      </c>
      <c r="B2623" s="115" t="s">
        <v>4169</v>
      </c>
      <c r="C2623" s="116" t="s">
        <v>16</v>
      </c>
      <c r="D2623" s="116">
        <v>0</v>
      </c>
      <c r="E2623" s="136">
        <f ca="1">OFFSET(INDEX(Composições!A:J,MATCH(Orçamentária!A2623,Composições!A:A,0),8),2,0)</f>
        <v>12.354749999999999</v>
      </c>
      <c r="F2623" s="137">
        <f t="shared" ca="1" si="132"/>
        <v>0</v>
      </c>
      <c r="G2623" s="138" t="e">
        <f>IF(A2623&lt;&gt;"",IF(AND(#REF!="Padrão",$H$4=#REF!),BDI!$B$17,IF(AND(#REF!="Padrão",$H$4=#REF!),BDI!#REF!,IF(AND(#REF!="Diferenciado",$H$4=#REF!),BDI!$E$17,IF(AND(#REF!="Diferenciado",$H$4=#REF!),BDI!#REF!,IF(#REF!="ZERO",0))))),"")</f>
        <v>#REF!</v>
      </c>
      <c r="H2623" s="139" t="e">
        <f t="shared" ca="1" si="133"/>
        <v>#REF!</v>
      </c>
      <c r="I2623" s="137" t="e">
        <f t="shared" ca="1" si="134"/>
        <v>#REF!</v>
      </c>
      <c r="J2623" s="117"/>
    </row>
    <row r="2624" spans="1:10" hidden="1" x14ac:dyDescent="0.25">
      <c r="A2624" s="114" t="s">
        <v>5618</v>
      </c>
      <c r="B2624" s="115" t="s">
        <v>5619</v>
      </c>
      <c r="C2624" s="116" t="s">
        <v>16</v>
      </c>
      <c r="D2624" s="116">
        <v>0</v>
      </c>
      <c r="E2624" s="136" t="s">
        <v>416</v>
      </c>
      <c r="F2624" s="137" t="str">
        <f t="shared" ref="F2624:F2681" si="135">IF(ISNUMBER(E2624),D2624*E2624,"")</f>
        <v/>
      </c>
      <c r="G2624" s="138" t="e">
        <f>IF(A2624&lt;&gt;"",IF(AND(#REF!="Padrão",$H$4=#REF!),BDI!$B$17,IF(AND(#REF!="Padrão",$H$4=#REF!),BDI!#REF!,IF(AND(#REF!="Diferenciado",$H$4=#REF!),BDI!$E$17,IF(AND(#REF!="Diferenciado",$H$4=#REF!),BDI!#REF!,IF(#REF!="ZERO",0))))),"")</f>
        <v>#REF!</v>
      </c>
      <c r="H2624" s="139" t="str">
        <f t="shared" ref="H2624:H2681" si="136">IF(ISNUMBER(E2624),ROUND(E2624*(1+G2624),2),"")</f>
        <v/>
      </c>
      <c r="I2624" s="137" t="str">
        <f t="shared" ref="I2624:I2681" si="137">IF(ISNUMBER(E2624),ROUND(H2624*D2624,2),"")</f>
        <v/>
      </c>
      <c r="J2624" s="117"/>
    </row>
    <row r="2625" spans="1:10" hidden="1" x14ac:dyDescent="0.25">
      <c r="A2625" s="114" t="s">
        <v>5620</v>
      </c>
      <c r="B2625" s="115" t="s">
        <v>5621</v>
      </c>
      <c r="C2625" s="116" t="s">
        <v>16</v>
      </c>
      <c r="D2625" s="116">
        <v>0</v>
      </c>
      <c r="E2625" s="136" t="s">
        <v>416</v>
      </c>
      <c r="F2625" s="137" t="str">
        <f t="shared" si="135"/>
        <v/>
      </c>
      <c r="G2625" s="138" t="e">
        <f>IF(A2625&lt;&gt;"",IF(AND(#REF!="Padrão",$H$4=#REF!),BDI!$B$17,IF(AND(#REF!="Padrão",$H$4=#REF!),BDI!#REF!,IF(AND(#REF!="Diferenciado",$H$4=#REF!),BDI!$E$17,IF(AND(#REF!="Diferenciado",$H$4=#REF!),BDI!#REF!,IF(#REF!="ZERO",0))))),"")</f>
        <v>#REF!</v>
      </c>
      <c r="H2625" s="139" t="str">
        <f t="shared" si="136"/>
        <v/>
      </c>
      <c r="I2625" s="137" t="str">
        <f t="shared" si="137"/>
        <v/>
      </c>
      <c r="J2625" s="117"/>
    </row>
    <row r="2626" spans="1:10" hidden="1" x14ac:dyDescent="0.25">
      <c r="A2626" s="114" t="s">
        <v>5622</v>
      </c>
      <c r="B2626" s="115" t="s">
        <v>5623</v>
      </c>
      <c r="C2626" s="116" t="s">
        <v>16</v>
      </c>
      <c r="D2626" s="116">
        <v>0</v>
      </c>
      <c r="E2626" s="136" t="s">
        <v>416</v>
      </c>
      <c r="F2626" s="137" t="str">
        <f t="shared" si="135"/>
        <v/>
      </c>
      <c r="G2626" s="138" t="e">
        <f>IF(A2626&lt;&gt;"",IF(AND(#REF!="Padrão",$H$4=#REF!),BDI!$B$17,IF(AND(#REF!="Padrão",$H$4=#REF!),BDI!#REF!,IF(AND(#REF!="Diferenciado",$H$4=#REF!),BDI!$E$17,IF(AND(#REF!="Diferenciado",$H$4=#REF!),BDI!#REF!,IF(#REF!="ZERO",0))))),"")</f>
        <v>#REF!</v>
      </c>
      <c r="H2626" s="139" t="str">
        <f t="shared" si="136"/>
        <v/>
      </c>
      <c r="I2626" s="137" t="str">
        <f t="shared" si="137"/>
        <v/>
      </c>
      <c r="J2626" s="117"/>
    </row>
    <row r="2627" spans="1:10" hidden="1" x14ac:dyDescent="0.25">
      <c r="A2627" s="114" t="s">
        <v>5624</v>
      </c>
      <c r="B2627" s="115" t="s">
        <v>5625</v>
      </c>
      <c r="C2627" s="116" t="s">
        <v>16</v>
      </c>
      <c r="D2627" s="116">
        <v>0</v>
      </c>
      <c r="E2627" s="136" t="s">
        <v>416</v>
      </c>
      <c r="F2627" s="137" t="str">
        <f t="shared" si="135"/>
        <v/>
      </c>
      <c r="G2627" s="138" t="e">
        <f>IF(A2627&lt;&gt;"",IF(AND(#REF!="Padrão",$H$4=#REF!),BDI!$B$17,IF(AND(#REF!="Padrão",$H$4=#REF!),BDI!#REF!,IF(AND(#REF!="Diferenciado",$H$4=#REF!),BDI!$E$17,IF(AND(#REF!="Diferenciado",$H$4=#REF!),BDI!#REF!,IF(#REF!="ZERO",0))))),"")</f>
        <v>#REF!</v>
      </c>
      <c r="H2627" s="139" t="str">
        <f t="shared" si="136"/>
        <v/>
      </c>
      <c r="I2627" s="137" t="str">
        <f t="shared" si="137"/>
        <v/>
      </c>
      <c r="J2627" s="117"/>
    </row>
    <row r="2628" spans="1:10" hidden="1" x14ac:dyDescent="0.25">
      <c r="A2628" s="114" t="s">
        <v>5626</v>
      </c>
      <c r="B2628" s="115" t="s">
        <v>5627</v>
      </c>
      <c r="C2628" s="116" t="s">
        <v>16</v>
      </c>
      <c r="D2628" s="116">
        <v>0</v>
      </c>
      <c r="E2628" s="136" t="s">
        <v>416</v>
      </c>
      <c r="F2628" s="137" t="str">
        <f t="shared" si="135"/>
        <v/>
      </c>
      <c r="G2628" s="138" t="e">
        <f>IF(A2628&lt;&gt;"",IF(AND(#REF!="Padrão",$H$4=#REF!),BDI!$B$17,IF(AND(#REF!="Padrão",$H$4=#REF!),BDI!#REF!,IF(AND(#REF!="Diferenciado",$H$4=#REF!),BDI!$E$17,IF(AND(#REF!="Diferenciado",$H$4=#REF!),BDI!#REF!,IF(#REF!="ZERO",0))))),"")</f>
        <v>#REF!</v>
      </c>
      <c r="H2628" s="139" t="str">
        <f t="shared" si="136"/>
        <v/>
      </c>
      <c r="I2628" s="137" t="str">
        <f t="shared" si="137"/>
        <v/>
      </c>
      <c r="J2628" s="117"/>
    </row>
    <row r="2629" spans="1:10" hidden="1" x14ac:dyDescent="0.25">
      <c r="A2629" s="114" t="s">
        <v>5628</v>
      </c>
      <c r="B2629" s="115" t="s">
        <v>5629</v>
      </c>
      <c r="C2629" s="116" t="s">
        <v>16</v>
      </c>
      <c r="D2629" s="116">
        <v>0</v>
      </c>
      <c r="E2629" s="136" t="s">
        <v>416</v>
      </c>
      <c r="F2629" s="137" t="str">
        <f t="shared" si="135"/>
        <v/>
      </c>
      <c r="G2629" s="138" t="e">
        <f>IF(A2629&lt;&gt;"",IF(AND(#REF!="Padrão",$H$4=#REF!),BDI!$B$17,IF(AND(#REF!="Padrão",$H$4=#REF!),BDI!#REF!,IF(AND(#REF!="Diferenciado",$H$4=#REF!),BDI!$E$17,IF(AND(#REF!="Diferenciado",$H$4=#REF!),BDI!#REF!,IF(#REF!="ZERO",0))))),"")</f>
        <v>#REF!</v>
      </c>
      <c r="H2629" s="139" t="str">
        <f t="shared" si="136"/>
        <v/>
      </c>
      <c r="I2629" s="137" t="str">
        <f t="shared" si="137"/>
        <v/>
      </c>
      <c r="J2629" s="117"/>
    </row>
    <row r="2630" spans="1:10" hidden="1" x14ac:dyDescent="0.25">
      <c r="A2630" s="114" t="s">
        <v>5630</v>
      </c>
      <c r="B2630" s="115" t="s">
        <v>5631</v>
      </c>
      <c r="C2630" s="116" t="s">
        <v>16</v>
      </c>
      <c r="D2630" s="116">
        <v>0</v>
      </c>
      <c r="E2630" s="136" t="s">
        <v>416</v>
      </c>
      <c r="F2630" s="137" t="str">
        <f t="shared" si="135"/>
        <v/>
      </c>
      <c r="G2630" s="138" t="e">
        <f>IF(A2630&lt;&gt;"",IF(AND(#REF!="Padrão",$H$4=#REF!),BDI!$B$17,IF(AND(#REF!="Padrão",$H$4=#REF!),BDI!#REF!,IF(AND(#REF!="Diferenciado",$H$4=#REF!),BDI!$E$17,IF(AND(#REF!="Diferenciado",$H$4=#REF!),BDI!#REF!,IF(#REF!="ZERO",0))))),"")</f>
        <v>#REF!</v>
      </c>
      <c r="H2630" s="139" t="str">
        <f t="shared" si="136"/>
        <v/>
      </c>
      <c r="I2630" s="137" t="str">
        <f t="shared" si="137"/>
        <v/>
      </c>
      <c r="J2630" s="117"/>
    </row>
    <row r="2631" spans="1:10" hidden="1" x14ac:dyDescent="0.25">
      <c r="A2631" s="114" t="s">
        <v>5632</v>
      </c>
      <c r="B2631" s="115" t="s">
        <v>5633</v>
      </c>
      <c r="C2631" s="116" t="s">
        <v>16</v>
      </c>
      <c r="D2631" s="116">
        <v>0</v>
      </c>
      <c r="E2631" s="136" t="s">
        <v>416</v>
      </c>
      <c r="F2631" s="137" t="str">
        <f t="shared" si="135"/>
        <v/>
      </c>
      <c r="G2631" s="138" t="e">
        <f>IF(A2631&lt;&gt;"",IF(AND(#REF!="Padrão",$H$4=#REF!),BDI!$B$17,IF(AND(#REF!="Padrão",$H$4=#REF!),BDI!#REF!,IF(AND(#REF!="Diferenciado",$H$4=#REF!),BDI!$E$17,IF(AND(#REF!="Diferenciado",$H$4=#REF!),BDI!#REF!,IF(#REF!="ZERO",0))))),"")</f>
        <v>#REF!</v>
      </c>
      <c r="H2631" s="139" t="str">
        <f t="shared" si="136"/>
        <v/>
      </c>
      <c r="I2631" s="137" t="str">
        <f t="shared" si="137"/>
        <v/>
      </c>
      <c r="J2631" s="117"/>
    </row>
    <row r="2632" spans="1:10" hidden="1" x14ac:dyDescent="0.25">
      <c r="A2632" s="114" t="s">
        <v>5634</v>
      </c>
      <c r="B2632" s="115" t="s">
        <v>5635</v>
      </c>
      <c r="C2632" s="116" t="s">
        <v>16</v>
      </c>
      <c r="D2632" s="116">
        <v>0</v>
      </c>
      <c r="E2632" s="136" t="s">
        <v>416</v>
      </c>
      <c r="F2632" s="137" t="str">
        <f t="shared" si="135"/>
        <v/>
      </c>
      <c r="G2632" s="138" t="e">
        <f>IF(A2632&lt;&gt;"",IF(AND(#REF!="Padrão",$H$4=#REF!),BDI!$B$17,IF(AND(#REF!="Padrão",$H$4=#REF!),BDI!#REF!,IF(AND(#REF!="Diferenciado",$H$4=#REF!),BDI!$E$17,IF(AND(#REF!="Diferenciado",$H$4=#REF!),BDI!#REF!,IF(#REF!="ZERO",0))))),"")</f>
        <v>#REF!</v>
      </c>
      <c r="H2632" s="139" t="str">
        <f t="shared" si="136"/>
        <v/>
      </c>
      <c r="I2632" s="137" t="str">
        <f t="shared" si="137"/>
        <v/>
      </c>
      <c r="J2632" s="117"/>
    </row>
    <row r="2633" spans="1:10" ht="25.5" hidden="1" x14ac:dyDescent="0.25">
      <c r="A2633" s="114" t="s">
        <v>5636</v>
      </c>
      <c r="B2633" s="115" t="s">
        <v>5637</v>
      </c>
      <c r="C2633" s="116" t="s">
        <v>16</v>
      </c>
      <c r="D2633" s="116">
        <v>0</v>
      </c>
      <c r="E2633" s="136" t="s">
        <v>416</v>
      </c>
      <c r="F2633" s="137" t="str">
        <f t="shared" si="135"/>
        <v/>
      </c>
      <c r="G2633" s="138" t="e">
        <f>IF(A2633&lt;&gt;"",IF(AND(#REF!="Padrão",$H$4=#REF!),BDI!$B$17,IF(AND(#REF!="Padrão",$H$4=#REF!),BDI!#REF!,IF(AND(#REF!="Diferenciado",$H$4=#REF!),BDI!$E$17,IF(AND(#REF!="Diferenciado",$H$4=#REF!),BDI!#REF!,IF(#REF!="ZERO",0))))),"")</f>
        <v>#REF!</v>
      </c>
      <c r="H2633" s="139" t="str">
        <f t="shared" si="136"/>
        <v/>
      </c>
      <c r="I2633" s="137" t="str">
        <f t="shared" si="137"/>
        <v/>
      </c>
      <c r="J2633" s="117"/>
    </row>
    <row r="2634" spans="1:10" ht="25.5" hidden="1" x14ac:dyDescent="0.25">
      <c r="A2634" s="114" t="s">
        <v>5638</v>
      </c>
      <c r="B2634" s="115" t="s">
        <v>5639</v>
      </c>
      <c r="C2634" s="116" t="s">
        <v>16</v>
      </c>
      <c r="D2634" s="116">
        <v>0</v>
      </c>
      <c r="E2634" s="136" t="s">
        <v>416</v>
      </c>
      <c r="F2634" s="137" t="str">
        <f t="shared" si="135"/>
        <v/>
      </c>
      <c r="G2634" s="138" t="e">
        <f>IF(A2634&lt;&gt;"",IF(AND(#REF!="Padrão",$H$4=#REF!),BDI!$B$17,IF(AND(#REF!="Padrão",$H$4=#REF!),BDI!#REF!,IF(AND(#REF!="Diferenciado",$H$4=#REF!),BDI!$E$17,IF(AND(#REF!="Diferenciado",$H$4=#REF!),BDI!#REF!,IF(#REF!="ZERO",0))))),"")</f>
        <v>#REF!</v>
      </c>
      <c r="H2634" s="139" t="str">
        <f t="shared" si="136"/>
        <v/>
      </c>
      <c r="I2634" s="137" t="str">
        <f t="shared" si="137"/>
        <v/>
      </c>
      <c r="J2634" s="117"/>
    </row>
    <row r="2635" spans="1:10" ht="25.5" hidden="1" x14ac:dyDescent="0.25">
      <c r="A2635" s="114" t="s">
        <v>5640</v>
      </c>
      <c r="B2635" s="115" t="s">
        <v>5641</v>
      </c>
      <c r="C2635" s="116" t="s">
        <v>16</v>
      </c>
      <c r="D2635" s="116">
        <v>0</v>
      </c>
      <c r="E2635" s="136" t="s">
        <v>416</v>
      </c>
      <c r="F2635" s="137" t="str">
        <f t="shared" si="135"/>
        <v/>
      </c>
      <c r="G2635" s="138" t="e">
        <f>IF(A2635&lt;&gt;"",IF(AND(#REF!="Padrão",$H$4=#REF!),BDI!$B$17,IF(AND(#REF!="Padrão",$H$4=#REF!),BDI!#REF!,IF(AND(#REF!="Diferenciado",$H$4=#REF!),BDI!$E$17,IF(AND(#REF!="Diferenciado",$H$4=#REF!),BDI!#REF!,IF(#REF!="ZERO",0))))),"")</f>
        <v>#REF!</v>
      </c>
      <c r="H2635" s="139" t="str">
        <f t="shared" si="136"/>
        <v/>
      </c>
      <c r="I2635" s="137" t="str">
        <f t="shared" si="137"/>
        <v/>
      </c>
      <c r="J2635" s="117"/>
    </row>
    <row r="2636" spans="1:10" hidden="1" x14ac:dyDescent="0.25">
      <c r="A2636" s="114" t="s">
        <v>5642</v>
      </c>
      <c r="B2636" s="115" t="s">
        <v>5643</v>
      </c>
      <c r="C2636" s="116" t="s">
        <v>16</v>
      </c>
      <c r="D2636" s="116">
        <v>0</v>
      </c>
      <c r="E2636" s="136" t="s">
        <v>416</v>
      </c>
      <c r="F2636" s="137" t="str">
        <f t="shared" si="135"/>
        <v/>
      </c>
      <c r="G2636" s="138" t="e">
        <f>IF(A2636&lt;&gt;"",IF(AND(#REF!="Padrão",$H$4=#REF!),BDI!$B$17,IF(AND(#REF!="Padrão",$H$4=#REF!),BDI!#REF!,IF(AND(#REF!="Diferenciado",$H$4=#REF!),BDI!$E$17,IF(AND(#REF!="Diferenciado",$H$4=#REF!),BDI!#REF!,IF(#REF!="ZERO",0))))),"")</f>
        <v>#REF!</v>
      </c>
      <c r="H2636" s="139" t="str">
        <f t="shared" si="136"/>
        <v/>
      </c>
      <c r="I2636" s="137" t="str">
        <f t="shared" si="137"/>
        <v/>
      </c>
      <c r="J2636" s="117"/>
    </row>
    <row r="2637" spans="1:10" hidden="1" x14ac:dyDescent="0.25">
      <c r="A2637" s="114" t="s">
        <v>5644</v>
      </c>
      <c r="B2637" s="115" t="s">
        <v>5645</v>
      </c>
      <c r="C2637" s="116" t="s">
        <v>16</v>
      </c>
      <c r="D2637" s="116">
        <v>0</v>
      </c>
      <c r="E2637" s="136" t="s">
        <v>416</v>
      </c>
      <c r="F2637" s="137" t="str">
        <f t="shared" si="135"/>
        <v/>
      </c>
      <c r="G2637" s="138" t="e">
        <f>IF(A2637&lt;&gt;"",IF(AND(#REF!="Padrão",$H$4=#REF!),BDI!$B$17,IF(AND(#REF!="Padrão",$H$4=#REF!),BDI!#REF!,IF(AND(#REF!="Diferenciado",$H$4=#REF!),BDI!$E$17,IF(AND(#REF!="Diferenciado",$H$4=#REF!),BDI!#REF!,IF(#REF!="ZERO",0))))),"")</f>
        <v>#REF!</v>
      </c>
      <c r="H2637" s="139" t="str">
        <f t="shared" si="136"/>
        <v/>
      </c>
      <c r="I2637" s="137" t="str">
        <f t="shared" si="137"/>
        <v/>
      </c>
      <c r="J2637" s="117"/>
    </row>
    <row r="2638" spans="1:10" hidden="1" x14ac:dyDescent="0.25">
      <c r="A2638" s="114" t="s">
        <v>5646</v>
      </c>
      <c r="B2638" s="115" t="s">
        <v>5647</v>
      </c>
      <c r="C2638" s="116" t="s">
        <v>28</v>
      </c>
      <c r="D2638" s="116">
        <v>0</v>
      </c>
      <c r="E2638" s="136" t="s">
        <v>416</v>
      </c>
      <c r="F2638" s="137" t="str">
        <f t="shared" si="135"/>
        <v/>
      </c>
      <c r="G2638" s="138" t="e">
        <f>IF(A2638&lt;&gt;"",IF(AND(#REF!="Padrão",$H$4=#REF!),BDI!$B$17,IF(AND(#REF!="Padrão",$H$4=#REF!),BDI!#REF!,IF(AND(#REF!="Diferenciado",$H$4=#REF!),BDI!$E$17,IF(AND(#REF!="Diferenciado",$H$4=#REF!),BDI!#REF!,IF(#REF!="ZERO",0))))),"")</f>
        <v>#REF!</v>
      </c>
      <c r="H2638" s="139" t="str">
        <f t="shared" si="136"/>
        <v/>
      </c>
      <c r="I2638" s="137" t="str">
        <f t="shared" si="137"/>
        <v/>
      </c>
      <c r="J2638" s="117"/>
    </row>
    <row r="2639" spans="1:10" ht="25.5" hidden="1" x14ac:dyDescent="0.25">
      <c r="A2639" s="114" t="s">
        <v>5648</v>
      </c>
      <c r="B2639" s="115" t="s">
        <v>5649</v>
      </c>
      <c r="C2639" s="116" t="s">
        <v>16</v>
      </c>
      <c r="D2639" s="116">
        <v>0</v>
      </c>
      <c r="E2639" s="136" t="s">
        <v>416</v>
      </c>
      <c r="F2639" s="137" t="str">
        <f t="shared" si="135"/>
        <v/>
      </c>
      <c r="G2639" s="138" t="e">
        <f>IF(A2639&lt;&gt;"",IF(AND(#REF!="Padrão",$H$4=#REF!),BDI!$B$17,IF(AND(#REF!="Padrão",$H$4=#REF!),BDI!#REF!,IF(AND(#REF!="Diferenciado",$H$4=#REF!),BDI!$E$17,IF(AND(#REF!="Diferenciado",$H$4=#REF!),BDI!#REF!,IF(#REF!="ZERO",0))))),"")</f>
        <v>#REF!</v>
      </c>
      <c r="H2639" s="139" t="str">
        <f t="shared" si="136"/>
        <v/>
      </c>
      <c r="I2639" s="137" t="str">
        <f t="shared" si="137"/>
        <v/>
      </c>
      <c r="J2639" s="117"/>
    </row>
    <row r="2640" spans="1:10" ht="25.5" hidden="1" x14ac:dyDescent="0.25">
      <c r="A2640" s="114" t="s">
        <v>5650</v>
      </c>
      <c r="B2640" s="115" t="s">
        <v>5651</v>
      </c>
      <c r="C2640" s="116" t="s">
        <v>16</v>
      </c>
      <c r="D2640" s="116">
        <v>0</v>
      </c>
      <c r="E2640" s="136" t="s">
        <v>416</v>
      </c>
      <c r="F2640" s="137" t="str">
        <f t="shared" si="135"/>
        <v/>
      </c>
      <c r="G2640" s="138" t="e">
        <f>IF(A2640&lt;&gt;"",IF(AND(#REF!="Padrão",$H$4=#REF!),BDI!$B$17,IF(AND(#REF!="Padrão",$H$4=#REF!),BDI!#REF!,IF(AND(#REF!="Diferenciado",$H$4=#REF!),BDI!$E$17,IF(AND(#REF!="Diferenciado",$H$4=#REF!),BDI!#REF!,IF(#REF!="ZERO",0))))),"")</f>
        <v>#REF!</v>
      </c>
      <c r="H2640" s="139" t="str">
        <f t="shared" si="136"/>
        <v/>
      </c>
      <c r="I2640" s="137" t="str">
        <f t="shared" si="137"/>
        <v/>
      </c>
      <c r="J2640" s="117"/>
    </row>
    <row r="2641" spans="1:10" hidden="1" x14ac:dyDescent="0.25">
      <c r="A2641" s="114" t="s">
        <v>5652</v>
      </c>
      <c r="B2641" s="115" t="s">
        <v>5653</v>
      </c>
      <c r="C2641" s="116" t="s">
        <v>16</v>
      </c>
      <c r="D2641" s="116">
        <v>0</v>
      </c>
      <c r="E2641" s="136" t="s">
        <v>416</v>
      </c>
      <c r="F2641" s="137" t="str">
        <f t="shared" si="135"/>
        <v/>
      </c>
      <c r="G2641" s="138" t="e">
        <f>IF(A2641&lt;&gt;"",IF(AND(#REF!="Padrão",$H$4=#REF!),BDI!$B$17,IF(AND(#REF!="Padrão",$H$4=#REF!),BDI!#REF!,IF(AND(#REF!="Diferenciado",$H$4=#REF!),BDI!$E$17,IF(AND(#REF!="Diferenciado",$H$4=#REF!),BDI!#REF!,IF(#REF!="ZERO",0))))),"")</f>
        <v>#REF!</v>
      </c>
      <c r="H2641" s="139" t="str">
        <f t="shared" si="136"/>
        <v/>
      </c>
      <c r="I2641" s="137" t="str">
        <f t="shared" si="137"/>
        <v/>
      </c>
      <c r="J2641" s="117"/>
    </row>
    <row r="2642" spans="1:10" hidden="1" x14ac:dyDescent="0.25">
      <c r="A2642" s="114" t="s">
        <v>5654</v>
      </c>
      <c r="B2642" s="115" t="s">
        <v>5655</v>
      </c>
      <c r="C2642" s="116" t="s">
        <v>16</v>
      </c>
      <c r="D2642" s="116">
        <v>0</v>
      </c>
      <c r="E2642" s="136" t="s">
        <v>416</v>
      </c>
      <c r="F2642" s="137" t="str">
        <f t="shared" si="135"/>
        <v/>
      </c>
      <c r="G2642" s="138" t="e">
        <f>IF(A2642&lt;&gt;"",IF(AND(#REF!="Padrão",$H$4=#REF!),BDI!$B$17,IF(AND(#REF!="Padrão",$H$4=#REF!),BDI!#REF!,IF(AND(#REF!="Diferenciado",$H$4=#REF!),BDI!$E$17,IF(AND(#REF!="Diferenciado",$H$4=#REF!),BDI!#REF!,IF(#REF!="ZERO",0))))),"")</f>
        <v>#REF!</v>
      </c>
      <c r="H2642" s="139" t="str">
        <f t="shared" si="136"/>
        <v/>
      </c>
      <c r="I2642" s="137" t="str">
        <f t="shared" si="137"/>
        <v/>
      </c>
      <c r="J2642" s="117"/>
    </row>
    <row r="2643" spans="1:10" hidden="1" x14ac:dyDescent="0.25">
      <c r="A2643" s="114" t="s">
        <v>5656</v>
      </c>
      <c r="B2643" s="115" t="s">
        <v>5657</v>
      </c>
      <c r="C2643" s="116" t="s">
        <v>16</v>
      </c>
      <c r="D2643" s="116">
        <v>0</v>
      </c>
      <c r="E2643" s="136" t="s">
        <v>416</v>
      </c>
      <c r="F2643" s="137" t="str">
        <f t="shared" si="135"/>
        <v/>
      </c>
      <c r="G2643" s="138" t="e">
        <f>IF(A2643&lt;&gt;"",IF(AND(#REF!="Padrão",$H$4=#REF!),BDI!$B$17,IF(AND(#REF!="Padrão",$H$4=#REF!),BDI!#REF!,IF(AND(#REF!="Diferenciado",$H$4=#REF!),BDI!$E$17,IF(AND(#REF!="Diferenciado",$H$4=#REF!),BDI!#REF!,IF(#REF!="ZERO",0))))),"")</f>
        <v>#REF!</v>
      </c>
      <c r="H2643" s="139" t="str">
        <f t="shared" si="136"/>
        <v/>
      </c>
      <c r="I2643" s="137" t="str">
        <f t="shared" si="137"/>
        <v/>
      </c>
      <c r="J2643" s="117"/>
    </row>
    <row r="2644" spans="1:10" hidden="1" x14ac:dyDescent="0.25">
      <c r="A2644" s="114" t="s">
        <v>5658</v>
      </c>
      <c r="B2644" s="115" t="s">
        <v>5659</v>
      </c>
      <c r="C2644" s="116" t="s">
        <v>16</v>
      </c>
      <c r="D2644" s="116">
        <v>0</v>
      </c>
      <c r="E2644" s="136" t="s">
        <v>416</v>
      </c>
      <c r="F2644" s="137" t="str">
        <f t="shared" si="135"/>
        <v/>
      </c>
      <c r="G2644" s="138" t="e">
        <f>IF(A2644&lt;&gt;"",IF(AND(#REF!="Padrão",$H$4=#REF!),BDI!$B$17,IF(AND(#REF!="Padrão",$H$4=#REF!),BDI!#REF!,IF(AND(#REF!="Diferenciado",$H$4=#REF!),BDI!$E$17,IF(AND(#REF!="Diferenciado",$H$4=#REF!),BDI!#REF!,IF(#REF!="ZERO",0))))),"")</f>
        <v>#REF!</v>
      </c>
      <c r="H2644" s="139" t="str">
        <f t="shared" si="136"/>
        <v/>
      </c>
      <c r="I2644" s="137" t="str">
        <f t="shared" si="137"/>
        <v/>
      </c>
      <c r="J2644" s="117"/>
    </row>
    <row r="2645" spans="1:10" hidden="1" x14ac:dyDescent="0.25">
      <c r="A2645" s="114" t="s">
        <v>5660</v>
      </c>
      <c r="B2645" s="115" t="s">
        <v>5661</v>
      </c>
      <c r="C2645" s="116" t="s">
        <v>16</v>
      </c>
      <c r="D2645" s="116">
        <v>0</v>
      </c>
      <c r="E2645" s="136" t="s">
        <v>416</v>
      </c>
      <c r="F2645" s="137" t="str">
        <f t="shared" si="135"/>
        <v/>
      </c>
      <c r="G2645" s="138" t="e">
        <f>IF(A2645&lt;&gt;"",IF(AND(#REF!="Padrão",$H$4=#REF!),BDI!$B$17,IF(AND(#REF!="Padrão",$H$4=#REF!),BDI!#REF!,IF(AND(#REF!="Diferenciado",$H$4=#REF!),BDI!$E$17,IF(AND(#REF!="Diferenciado",$H$4=#REF!),BDI!#REF!,IF(#REF!="ZERO",0))))),"")</f>
        <v>#REF!</v>
      </c>
      <c r="H2645" s="139" t="str">
        <f t="shared" si="136"/>
        <v/>
      </c>
      <c r="I2645" s="137" t="str">
        <f t="shared" si="137"/>
        <v/>
      </c>
      <c r="J2645" s="117"/>
    </row>
    <row r="2646" spans="1:10" hidden="1" x14ac:dyDescent="0.25">
      <c r="A2646" s="114" t="s">
        <v>5662</v>
      </c>
      <c r="B2646" s="115" t="s">
        <v>5663</v>
      </c>
      <c r="C2646" s="116" t="s">
        <v>16</v>
      </c>
      <c r="D2646" s="116">
        <v>0</v>
      </c>
      <c r="E2646" s="136" t="s">
        <v>416</v>
      </c>
      <c r="F2646" s="137" t="str">
        <f t="shared" si="135"/>
        <v/>
      </c>
      <c r="G2646" s="138" t="e">
        <f>IF(A2646&lt;&gt;"",IF(AND(#REF!="Padrão",$H$4=#REF!),BDI!$B$17,IF(AND(#REF!="Padrão",$H$4=#REF!),BDI!#REF!,IF(AND(#REF!="Diferenciado",$H$4=#REF!),BDI!$E$17,IF(AND(#REF!="Diferenciado",$H$4=#REF!),BDI!#REF!,IF(#REF!="ZERO",0))))),"")</f>
        <v>#REF!</v>
      </c>
      <c r="H2646" s="139" t="str">
        <f t="shared" si="136"/>
        <v/>
      </c>
      <c r="I2646" s="137" t="str">
        <f t="shared" si="137"/>
        <v/>
      </c>
      <c r="J2646" s="117"/>
    </row>
    <row r="2647" spans="1:10" hidden="1" x14ac:dyDescent="0.25">
      <c r="A2647" s="114" t="s">
        <v>5664</v>
      </c>
      <c r="B2647" s="115" t="s">
        <v>5665</v>
      </c>
      <c r="C2647" s="116" t="s">
        <v>16</v>
      </c>
      <c r="D2647" s="116">
        <v>0</v>
      </c>
      <c r="E2647" s="136" t="s">
        <v>416</v>
      </c>
      <c r="F2647" s="137" t="str">
        <f t="shared" si="135"/>
        <v/>
      </c>
      <c r="G2647" s="138" t="e">
        <f>IF(A2647&lt;&gt;"",IF(AND(#REF!="Padrão",$H$4=#REF!),BDI!$B$17,IF(AND(#REF!="Padrão",$H$4=#REF!),BDI!#REF!,IF(AND(#REF!="Diferenciado",$H$4=#REF!),BDI!$E$17,IF(AND(#REF!="Diferenciado",$H$4=#REF!),BDI!#REF!,IF(#REF!="ZERO",0))))),"")</f>
        <v>#REF!</v>
      </c>
      <c r="H2647" s="139" t="str">
        <f t="shared" si="136"/>
        <v/>
      </c>
      <c r="I2647" s="137" t="str">
        <f t="shared" si="137"/>
        <v/>
      </c>
      <c r="J2647" s="117"/>
    </row>
    <row r="2648" spans="1:10" hidden="1" x14ac:dyDescent="0.25">
      <c r="A2648" s="114" t="s">
        <v>5666</v>
      </c>
      <c r="B2648" s="115" t="s">
        <v>5667</v>
      </c>
      <c r="C2648" s="116" t="s">
        <v>16</v>
      </c>
      <c r="D2648" s="116">
        <v>0</v>
      </c>
      <c r="E2648" s="136" t="s">
        <v>416</v>
      </c>
      <c r="F2648" s="137" t="str">
        <f t="shared" si="135"/>
        <v/>
      </c>
      <c r="G2648" s="138" t="e">
        <f>IF(A2648&lt;&gt;"",IF(AND(#REF!="Padrão",$H$4=#REF!),BDI!$B$17,IF(AND(#REF!="Padrão",$H$4=#REF!),BDI!#REF!,IF(AND(#REF!="Diferenciado",$H$4=#REF!),BDI!$E$17,IF(AND(#REF!="Diferenciado",$H$4=#REF!),BDI!#REF!,IF(#REF!="ZERO",0))))),"")</f>
        <v>#REF!</v>
      </c>
      <c r="H2648" s="139" t="str">
        <f t="shared" si="136"/>
        <v/>
      </c>
      <c r="I2648" s="137" t="str">
        <f t="shared" si="137"/>
        <v/>
      </c>
      <c r="J2648" s="117"/>
    </row>
    <row r="2649" spans="1:10" hidden="1" x14ac:dyDescent="0.25">
      <c r="A2649" s="114" t="s">
        <v>5668</v>
      </c>
      <c r="B2649" s="115" t="s">
        <v>5669</v>
      </c>
      <c r="C2649" s="116" t="s">
        <v>16</v>
      </c>
      <c r="D2649" s="116">
        <v>0</v>
      </c>
      <c r="E2649" s="136" t="s">
        <v>416</v>
      </c>
      <c r="F2649" s="137" t="str">
        <f t="shared" si="135"/>
        <v/>
      </c>
      <c r="G2649" s="138" t="e">
        <f>IF(A2649&lt;&gt;"",IF(AND(#REF!="Padrão",$H$4=#REF!),BDI!$B$17,IF(AND(#REF!="Padrão",$H$4=#REF!),BDI!#REF!,IF(AND(#REF!="Diferenciado",$H$4=#REF!),BDI!$E$17,IF(AND(#REF!="Diferenciado",$H$4=#REF!),BDI!#REF!,IF(#REF!="ZERO",0))))),"")</f>
        <v>#REF!</v>
      </c>
      <c r="H2649" s="139" t="str">
        <f t="shared" si="136"/>
        <v/>
      </c>
      <c r="I2649" s="137" t="str">
        <f t="shared" si="137"/>
        <v/>
      </c>
      <c r="J2649" s="117"/>
    </row>
    <row r="2650" spans="1:10" hidden="1" x14ac:dyDescent="0.25">
      <c r="A2650" s="114" t="s">
        <v>5670</v>
      </c>
      <c r="B2650" s="115" t="s">
        <v>5671</v>
      </c>
      <c r="C2650" s="116" t="s">
        <v>69</v>
      </c>
      <c r="D2650" s="116">
        <v>0</v>
      </c>
      <c r="E2650" s="136" t="s">
        <v>416</v>
      </c>
      <c r="F2650" s="137" t="str">
        <f t="shared" si="135"/>
        <v/>
      </c>
      <c r="G2650" s="138" t="e">
        <f>IF(A2650&lt;&gt;"",IF(AND(#REF!="Padrão",$H$4=#REF!),BDI!$B$17,IF(AND(#REF!="Padrão",$H$4=#REF!),BDI!#REF!,IF(AND(#REF!="Diferenciado",$H$4=#REF!),BDI!$E$17,IF(AND(#REF!="Diferenciado",$H$4=#REF!),BDI!#REF!,IF(#REF!="ZERO",0))))),"")</f>
        <v>#REF!</v>
      </c>
      <c r="H2650" s="139" t="str">
        <f t="shared" si="136"/>
        <v/>
      </c>
      <c r="I2650" s="137" t="str">
        <f t="shared" si="137"/>
        <v/>
      </c>
      <c r="J2650" s="117"/>
    </row>
    <row r="2651" spans="1:10" hidden="1" x14ac:dyDescent="0.25">
      <c r="A2651" s="114" t="s">
        <v>5672</v>
      </c>
      <c r="B2651" s="115" t="s">
        <v>5673</v>
      </c>
      <c r="C2651" s="116" t="s">
        <v>16</v>
      </c>
      <c r="D2651" s="116">
        <v>0</v>
      </c>
      <c r="E2651" s="136" t="s">
        <v>416</v>
      </c>
      <c r="F2651" s="137" t="str">
        <f t="shared" si="135"/>
        <v/>
      </c>
      <c r="G2651" s="138" t="e">
        <f>IF(A2651&lt;&gt;"",IF(AND(#REF!="Padrão",$H$4=#REF!),BDI!$B$17,IF(AND(#REF!="Padrão",$H$4=#REF!),BDI!#REF!,IF(AND(#REF!="Diferenciado",$H$4=#REF!),BDI!$E$17,IF(AND(#REF!="Diferenciado",$H$4=#REF!),BDI!#REF!,IF(#REF!="ZERO",0))))),"")</f>
        <v>#REF!</v>
      </c>
      <c r="H2651" s="139" t="str">
        <f t="shared" si="136"/>
        <v/>
      </c>
      <c r="I2651" s="137" t="str">
        <f t="shared" si="137"/>
        <v/>
      </c>
      <c r="J2651" s="117"/>
    </row>
    <row r="2652" spans="1:10" hidden="1" x14ac:dyDescent="0.25">
      <c r="A2652" s="114" t="s">
        <v>5674</v>
      </c>
      <c r="B2652" s="115" t="s">
        <v>5675</v>
      </c>
      <c r="C2652" s="116" t="s">
        <v>16</v>
      </c>
      <c r="D2652" s="116">
        <v>0</v>
      </c>
      <c r="E2652" s="136" t="s">
        <v>416</v>
      </c>
      <c r="F2652" s="137" t="str">
        <f t="shared" si="135"/>
        <v/>
      </c>
      <c r="G2652" s="138" t="e">
        <f>IF(A2652&lt;&gt;"",IF(AND(#REF!="Padrão",$H$4=#REF!),BDI!$B$17,IF(AND(#REF!="Padrão",$H$4=#REF!),BDI!#REF!,IF(AND(#REF!="Diferenciado",$H$4=#REF!),BDI!$E$17,IF(AND(#REF!="Diferenciado",$H$4=#REF!),BDI!#REF!,IF(#REF!="ZERO",0))))),"")</f>
        <v>#REF!</v>
      </c>
      <c r="H2652" s="139" t="str">
        <f t="shared" si="136"/>
        <v/>
      </c>
      <c r="I2652" s="137" t="str">
        <f t="shared" si="137"/>
        <v/>
      </c>
      <c r="J2652" s="117"/>
    </row>
    <row r="2653" spans="1:10" hidden="1" x14ac:dyDescent="0.25">
      <c r="A2653" s="114" t="s">
        <v>5676</v>
      </c>
      <c r="B2653" s="115" t="s">
        <v>5677</v>
      </c>
      <c r="C2653" s="116" t="s">
        <v>16</v>
      </c>
      <c r="D2653" s="116">
        <v>0</v>
      </c>
      <c r="E2653" s="136" t="s">
        <v>416</v>
      </c>
      <c r="F2653" s="137" t="str">
        <f t="shared" si="135"/>
        <v/>
      </c>
      <c r="G2653" s="138" t="e">
        <f>IF(A2653&lt;&gt;"",IF(AND(#REF!="Padrão",$H$4=#REF!),BDI!$B$17,IF(AND(#REF!="Padrão",$H$4=#REF!),BDI!#REF!,IF(AND(#REF!="Diferenciado",$H$4=#REF!),BDI!$E$17,IF(AND(#REF!="Diferenciado",$H$4=#REF!),BDI!#REF!,IF(#REF!="ZERO",0))))),"")</f>
        <v>#REF!</v>
      </c>
      <c r="H2653" s="139" t="str">
        <f t="shared" si="136"/>
        <v/>
      </c>
      <c r="I2653" s="137" t="str">
        <f t="shared" si="137"/>
        <v/>
      </c>
      <c r="J2653" s="117"/>
    </row>
    <row r="2654" spans="1:10" hidden="1" x14ac:dyDescent="0.25">
      <c r="A2654" s="114" t="s">
        <v>5678</v>
      </c>
      <c r="B2654" s="115" t="s">
        <v>5679</v>
      </c>
      <c r="C2654" s="116" t="s">
        <v>16</v>
      </c>
      <c r="D2654" s="116">
        <v>0</v>
      </c>
      <c r="E2654" s="136" t="s">
        <v>416</v>
      </c>
      <c r="F2654" s="137" t="str">
        <f t="shared" si="135"/>
        <v/>
      </c>
      <c r="G2654" s="138" t="e">
        <f>IF(A2654&lt;&gt;"",IF(AND(#REF!="Padrão",$H$4=#REF!),BDI!$B$17,IF(AND(#REF!="Padrão",$H$4=#REF!),BDI!#REF!,IF(AND(#REF!="Diferenciado",$H$4=#REF!),BDI!$E$17,IF(AND(#REF!="Diferenciado",$H$4=#REF!),BDI!#REF!,IF(#REF!="ZERO",0))))),"")</f>
        <v>#REF!</v>
      </c>
      <c r="H2654" s="139" t="str">
        <f t="shared" si="136"/>
        <v/>
      </c>
      <c r="I2654" s="137" t="str">
        <f t="shared" si="137"/>
        <v/>
      </c>
      <c r="J2654" s="117"/>
    </row>
    <row r="2655" spans="1:10" hidden="1" x14ac:dyDescent="0.25">
      <c r="A2655" s="114" t="s">
        <v>5680</v>
      </c>
      <c r="B2655" s="115" t="s">
        <v>5681</v>
      </c>
      <c r="C2655" s="116" t="s">
        <v>16</v>
      </c>
      <c r="D2655" s="116">
        <v>0</v>
      </c>
      <c r="E2655" s="136" t="s">
        <v>416</v>
      </c>
      <c r="F2655" s="137" t="str">
        <f t="shared" si="135"/>
        <v/>
      </c>
      <c r="G2655" s="138" t="e">
        <f>IF(A2655&lt;&gt;"",IF(AND(#REF!="Padrão",$H$4=#REF!),BDI!$B$17,IF(AND(#REF!="Padrão",$H$4=#REF!),BDI!#REF!,IF(AND(#REF!="Diferenciado",$H$4=#REF!),BDI!$E$17,IF(AND(#REF!="Diferenciado",$H$4=#REF!),BDI!#REF!,IF(#REF!="ZERO",0))))),"")</f>
        <v>#REF!</v>
      </c>
      <c r="H2655" s="139" t="str">
        <f t="shared" si="136"/>
        <v/>
      </c>
      <c r="I2655" s="137" t="str">
        <f t="shared" si="137"/>
        <v/>
      </c>
      <c r="J2655" s="117"/>
    </row>
    <row r="2656" spans="1:10" hidden="1" x14ac:dyDescent="0.25">
      <c r="A2656" s="114" t="s">
        <v>5682</v>
      </c>
      <c r="B2656" s="115" t="s">
        <v>5683</v>
      </c>
      <c r="C2656" s="116" t="s">
        <v>16</v>
      </c>
      <c r="D2656" s="116">
        <v>0</v>
      </c>
      <c r="E2656" s="136" t="s">
        <v>416</v>
      </c>
      <c r="F2656" s="137" t="str">
        <f t="shared" si="135"/>
        <v/>
      </c>
      <c r="G2656" s="138" t="e">
        <f>IF(A2656&lt;&gt;"",IF(AND(#REF!="Padrão",$H$4=#REF!),BDI!$B$17,IF(AND(#REF!="Padrão",$H$4=#REF!),BDI!#REF!,IF(AND(#REF!="Diferenciado",$H$4=#REF!),BDI!$E$17,IF(AND(#REF!="Diferenciado",$H$4=#REF!),BDI!#REF!,IF(#REF!="ZERO",0))))),"")</f>
        <v>#REF!</v>
      </c>
      <c r="H2656" s="139" t="str">
        <f t="shared" si="136"/>
        <v/>
      </c>
      <c r="I2656" s="137" t="str">
        <f t="shared" si="137"/>
        <v/>
      </c>
      <c r="J2656" s="117"/>
    </row>
    <row r="2657" spans="1:10" hidden="1" x14ac:dyDescent="0.25">
      <c r="A2657" s="114" t="s">
        <v>5684</v>
      </c>
      <c r="B2657" s="115" t="s">
        <v>5685</v>
      </c>
      <c r="C2657" s="116" t="s">
        <v>16</v>
      </c>
      <c r="D2657" s="116">
        <v>0</v>
      </c>
      <c r="E2657" s="136" t="s">
        <v>416</v>
      </c>
      <c r="F2657" s="137" t="str">
        <f t="shared" si="135"/>
        <v/>
      </c>
      <c r="G2657" s="138" t="e">
        <f>IF(A2657&lt;&gt;"",IF(AND(#REF!="Padrão",$H$4=#REF!),BDI!$B$17,IF(AND(#REF!="Padrão",$H$4=#REF!),BDI!#REF!,IF(AND(#REF!="Diferenciado",$H$4=#REF!),BDI!$E$17,IF(AND(#REF!="Diferenciado",$H$4=#REF!),BDI!#REF!,IF(#REF!="ZERO",0))))),"")</f>
        <v>#REF!</v>
      </c>
      <c r="H2657" s="139" t="str">
        <f t="shared" si="136"/>
        <v/>
      </c>
      <c r="I2657" s="137" t="str">
        <f t="shared" si="137"/>
        <v/>
      </c>
      <c r="J2657" s="117"/>
    </row>
    <row r="2658" spans="1:10" hidden="1" x14ac:dyDescent="0.25">
      <c r="A2658" s="114" t="s">
        <v>5686</v>
      </c>
      <c r="B2658" s="115" t="s">
        <v>5687</v>
      </c>
      <c r="C2658" s="116" t="s">
        <v>16</v>
      </c>
      <c r="D2658" s="116">
        <v>0</v>
      </c>
      <c r="E2658" s="136" t="s">
        <v>416</v>
      </c>
      <c r="F2658" s="137" t="str">
        <f t="shared" si="135"/>
        <v/>
      </c>
      <c r="G2658" s="138" t="e">
        <f>IF(A2658&lt;&gt;"",IF(AND(#REF!="Padrão",$H$4=#REF!),BDI!$B$17,IF(AND(#REF!="Padrão",$H$4=#REF!),BDI!#REF!,IF(AND(#REF!="Diferenciado",$H$4=#REF!),BDI!$E$17,IF(AND(#REF!="Diferenciado",$H$4=#REF!),BDI!#REF!,IF(#REF!="ZERO",0))))),"")</f>
        <v>#REF!</v>
      </c>
      <c r="H2658" s="139" t="str">
        <f t="shared" si="136"/>
        <v/>
      </c>
      <c r="I2658" s="137" t="str">
        <f t="shared" si="137"/>
        <v/>
      </c>
      <c r="J2658" s="117"/>
    </row>
    <row r="2659" spans="1:10" hidden="1" x14ac:dyDescent="0.25">
      <c r="A2659" s="114" t="s">
        <v>5688</v>
      </c>
      <c r="B2659" s="115" t="s">
        <v>5689</v>
      </c>
      <c r="C2659" s="116" t="s">
        <v>16</v>
      </c>
      <c r="D2659" s="116">
        <v>0</v>
      </c>
      <c r="E2659" s="136" t="s">
        <v>416</v>
      </c>
      <c r="F2659" s="137" t="str">
        <f t="shared" si="135"/>
        <v/>
      </c>
      <c r="G2659" s="138" t="e">
        <f>IF(A2659&lt;&gt;"",IF(AND(#REF!="Padrão",$H$4=#REF!),BDI!$B$17,IF(AND(#REF!="Padrão",$H$4=#REF!),BDI!#REF!,IF(AND(#REF!="Diferenciado",$H$4=#REF!),BDI!$E$17,IF(AND(#REF!="Diferenciado",$H$4=#REF!),BDI!#REF!,IF(#REF!="ZERO",0))))),"")</f>
        <v>#REF!</v>
      </c>
      <c r="H2659" s="139" t="str">
        <f t="shared" si="136"/>
        <v/>
      </c>
      <c r="I2659" s="137" t="str">
        <f t="shared" si="137"/>
        <v/>
      </c>
      <c r="J2659" s="117"/>
    </row>
    <row r="2660" spans="1:10" hidden="1" x14ac:dyDescent="0.25">
      <c r="A2660" s="114" t="s">
        <v>5690</v>
      </c>
      <c r="B2660" s="115" t="s">
        <v>5691</v>
      </c>
      <c r="C2660" s="116" t="s">
        <v>16</v>
      </c>
      <c r="D2660" s="116">
        <v>0</v>
      </c>
      <c r="E2660" s="136" t="s">
        <v>416</v>
      </c>
      <c r="F2660" s="137" t="str">
        <f t="shared" si="135"/>
        <v/>
      </c>
      <c r="G2660" s="138" t="e">
        <f>IF(A2660&lt;&gt;"",IF(AND(#REF!="Padrão",$H$4=#REF!),BDI!$B$17,IF(AND(#REF!="Padrão",$H$4=#REF!),BDI!#REF!,IF(AND(#REF!="Diferenciado",$H$4=#REF!),BDI!$E$17,IF(AND(#REF!="Diferenciado",$H$4=#REF!),BDI!#REF!,IF(#REF!="ZERO",0))))),"")</f>
        <v>#REF!</v>
      </c>
      <c r="H2660" s="139" t="str">
        <f t="shared" si="136"/>
        <v/>
      </c>
      <c r="I2660" s="137" t="str">
        <f t="shared" si="137"/>
        <v/>
      </c>
      <c r="J2660" s="117"/>
    </row>
    <row r="2661" spans="1:10" hidden="1" x14ac:dyDescent="0.25">
      <c r="A2661" s="114" t="s">
        <v>5692</v>
      </c>
      <c r="B2661" s="115" t="s">
        <v>5693</v>
      </c>
      <c r="C2661" s="116" t="s">
        <v>16</v>
      </c>
      <c r="D2661" s="116">
        <v>0</v>
      </c>
      <c r="E2661" s="136" t="s">
        <v>416</v>
      </c>
      <c r="F2661" s="137" t="str">
        <f t="shared" si="135"/>
        <v/>
      </c>
      <c r="G2661" s="138" t="e">
        <f>IF(A2661&lt;&gt;"",IF(AND(#REF!="Padrão",$H$4=#REF!),BDI!$B$17,IF(AND(#REF!="Padrão",$H$4=#REF!),BDI!#REF!,IF(AND(#REF!="Diferenciado",$H$4=#REF!),BDI!$E$17,IF(AND(#REF!="Diferenciado",$H$4=#REF!),BDI!#REF!,IF(#REF!="ZERO",0))))),"")</f>
        <v>#REF!</v>
      </c>
      <c r="H2661" s="139" t="str">
        <f t="shared" si="136"/>
        <v/>
      </c>
      <c r="I2661" s="137" t="str">
        <f t="shared" si="137"/>
        <v/>
      </c>
      <c r="J2661" s="117"/>
    </row>
    <row r="2662" spans="1:10" hidden="1" x14ac:dyDescent="0.25">
      <c r="A2662" s="114" t="s">
        <v>5694</v>
      </c>
      <c r="B2662" s="115" t="s">
        <v>5695</v>
      </c>
      <c r="C2662" s="116" t="s">
        <v>16</v>
      </c>
      <c r="D2662" s="116">
        <v>0</v>
      </c>
      <c r="E2662" s="136" t="s">
        <v>416</v>
      </c>
      <c r="F2662" s="137" t="str">
        <f t="shared" si="135"/>
        <v/>
      </c>
      <c r="G2662" s="138" t="e">
        <f>IF(A2662&lt;&gt;"",IF(AND(#REF!="Padrão",$H$4=#REF!),BDI!$B$17,IF(AND(#REF!="Padrão",$H$4=#REF!),BDI!#REF!,IF(AND(#REF!="Diferenciado",$H$4=#REF!),BDI!$E$17,IF(AND(#REF!="Diferenciado",$H$4=#REF!),BDI!#REF!,IF(#REF!="ZERO",0))))),"")</f>
        <v>#REF!</v>
      </c>
      <c r="H2662" s="139" t="str">
        <f t="shared" si="136"/>
        <v/>
      </c>
      <c r="I2662" s="137" t="str">
        <f t="shared" si="137"/>
        <v/>
      </c>
      <c r="J2662" s="117"/>
    </row>
    <row r="2663" spans="1:10" hidden="1" x14ac:dyDescent="0.25">
      <c r="A2663" s="114" t="s">
        <v>5696</v>
      </c>
      <c r="B2663" s="115" t="s">
        <v>5697</v>
      </c>
      <c r="C2663" s="116" t="s">
        <v>16</v>
      </c>
      <c r="D2663" s="116">
        <v>0</v>
      </c>
      <c r="E2663" s="136" t="s">
        <v>416</v>
      </c>
      <c r="F2663" s="137" t="str">
        <f t="shared" si="135"/>
        <v/>
      </c>
      <c r="G2663" s="138" t="e">
        <f>IF(A2663&lt;&gt;"",IF(AND(#REF!="Padrão",$H$4=#REF!),BDI!$B$17,IF(AND(#REF!="Padrão",$H$4=#REF!),BDI!#REF!,IF(AND(#REF!="Diferenciado",$H$4=#REF!),BDI!$E$17,IF(AND(#REF!="Diferenciado",$H$4=#REF!),BDI!#REF!,IF(#REF!="ZERO",0))))),"")</f>
        <v>#REF!</v>
      </c>
      <c r="H2663" s="139" t="str">
        <f t="shared" si="136"/>
        <v/>
      </c>
      <c r="I2663" s="137" t="str">
        <f t="shared" si="137"/>
        <v/>
      </c>
      <c r="J2663" s="117"/>
    </row>
    <row r="2664" spans="1:10" hidden="1" x14ac:dyDescent="0.25">
      <c r="A2664" s="114" t="s">
        <v>5698</v>
      </c>
      <c r="B2664" s="115" t="s">
        <v>5699</v>
      </c>
      <c r="C2664" s="116" t="s">
        <v>16</v>
      </c>
      <c r="D2664" s="116">
        <v>0</v>
      </c>
      <c r="E2664" s="136" t="s">
        <v>416</v>
      </c>
      <c r="F2664" s="137" t="str">
        <f t="shared" si="135"/>
        <v/>
      </c>
      <c r="G2664" s="138" t="e">
        <f>IF(A2664&lt;&gt;"",IF(AND(#REF!="Padrão",$H$4=#REF!),BDI!$B$17,IF(AND(#REF!="Padrão",$H$4=#REF!),BDI!#REF!,IF(AND(#REF!="Diferenciado",$H$4=#REF!),BDI!$E$17,IF(AND(#REF!="Diferenciado",$H$4=#REF!),BDI!#REF!,IF(#REF!="ZERO",0))))),"")</f>
        <v>#REF!</v>
      </c>
      <c r="H2664" s="139" t="str">
        <f t="shared" si="136"/>
        <v/>
      </c>
      <c r="I2664" s="137" t="str">
        <f t="shared" si="137"/>
        <v/>
      </c>
      <c r="J2664" s="117"/>
    </row>
    <row r="2665" spans="1:10" hidden="1" x14ac:dyDescent="0.25">
      <c r="A2665" s="114" t="s">
        <v>5700</v>
      </c>
      <c r="B2665" s="115" t="s">
        <v>5701</v>
      </c>
      <c r="C2665" s="116" t="s">
        <v>16</v>
      </c>
      <c r="D2665" s="116">
        <v>0</v>
      </c>
      <c r="E2665" s="136" t="s">
        <v>416</v>
      </c>
      <c r="F2665" s="137" t="str">
        <f t="shared" si="135"/>
        <v/>
      </c>
      <c r="G2665" s="138" t="e">
        <f>IF(A2665&lt;&gt;"",IF(AND(#REF!="Padrão",$H$4=#REF!),BDI!$B$17,IF(AND(#REF!="Padrão",$H$4=#REF!),BDI!#REF!,IF(AND(#REF!="Diferenciado",$H$4=#REF!),BDI!$E$17,IF(AND(#REF!="Diferenciado",$H$4=#REF!),BDI!#REF!,IF(#REF!="ZERO",0))))),"")</f>
        <v>#REF!</v>
      </c>
      <c r="H2665" s="139" t="str">
        <f t="shared" si="136"/>
        <v/>
      </c>
      <c r="I2665" s="137" t="str">
        <f t="shared" si="137"/>
        <v/>
      </c>
      <c r="J2665" s="117"/>
    </row>
    <row r="2666" spans="1:10" hidden="1" x14ac:dyDescent="0.25">
      <c r="A2666" s="114" t="s">
        <v>5702</v>
      </c>
      <c r="B2666" s="115" t="s">
        <v>5703</v>
      </c>
      <c r="C2666" s="116" t="s">
        <v>16</v>
      </c>
      <c r="D2666" s="116">
        <v>0</v>
      </c>
      <c r="E2666" s="136" t="s">
        <v>416</v>
      </c>
      <c r="F2666" s="137" t="str">
        <f t="shared" si="135"/>
        <v/>
      </c>
      <c r="G2666" s="138" t="e">
        <f>IF(A2666&lt;&gt;"",IF(AND(#REF!="Padrão",$H$4=#REF!),BDI!$B$17,IF(AND(#REF!="Padrão",$H$4=#REF!),BDI!#REF!,IF(AND(#REF!="Diferenciado",$H$4=#REF!),BDI!$E$17,IF(AND(#REF!="Diferenciado",$H$4=#REF!),BDI!#REF!,IF(#REF!="ZERO",0))))),"")</f>
        <v>#REF!</v>
      </c>
      <c r="H2666" s="139" t="str">
        <f t="shared" si="136"/>
        <v/>
      </c>
      <c r="I2666" s="137" t="str">
        <f t="shared" si="137"/>
        <v/>
      </c>
      <c r="J2666" s="117"/>
    </row>
    <row r="2667" spans="1:10" hidden="1" x14ac:dyDescent="0.25">
      <c r="A2667" s="114" t="s">
        <v>5704</v>
      </c>
      <c r="B2667" s="115" t="s">
        <v>5705</v>
      </c>
      <c r="C2667" s="116" t="s">
        <v>16</v>
      </c>
      <c r="D2667" s="116">
        <v>0</v>
      </c>
      <c r="E2667" s="136" t="s">
        <v>416</v>
      </c>
      <c r="F2667" s="137" t="str">
        <f t="shared" si="135"/>
        <v/>
      </c>
      <c r="G2667" s="138" t="e">
        <f>IF(A2667&lt;&gt;"",IF(AND(#REF!="Padrão",$H$4=#REF!),BDI!$B$17,IF(AND(#REF!="Padrão",$H$4=#REF!),BDI!#REF!,IF(AND(#REF!="Diferenciado",$H$4=#REF!),BDI!$E$17,IF(AND(#REF!="Diferenciado",$H$4=#REF!),BDI!#REF!,IF(#REF!="ZERO",0))))),"")</f>
        <v>#REF!</v>
      </c>
      <c r="H2667" s="139" t="str">
        <f t="shared" si="136"/>
        <v/>
      </c>
      <c r="I2667" s="137" t="str">
        <f t="shared" si="137"/>
        <v/>
      </c>
      <c r="J2667" s="117"/>
    </row>
    <row r="2668" spans="1:10" hidden="1" x14ac:dyDescent="0.25">
      <c r="A2668" s="114" t="s">
        <v>5706</v>
      </c>
      <c r="B2668" s="115" t="s">
        <v>5707</v>
      </c>
      <c r="C2668" s="116" t="s">
        <v>16</v>
      </c>
      <c r="D2668" s="116">
        <v>0</v>
      </c>
      <c r="E2668" s="136" t="s">
        <v>416</v>
      </c>
      <c r="F2668" s="137" t="str">
        <f t="shared" si="135"/>
        <v/>
      </c>
      <c r="G2668" s="138" t="e">
        <f>IF(A2668&lt;&gt;"",IF(AND(#REF!="Padrão",$H$4=#REF!),BDI!$B$17,IF(AND(#REF!="Padrão",$H$4=#REF!),BDI!#REF!,IF(AND(#REF!="Diferenciado",$H$4=#REF!),BDI!$E$17,IF(AND(#REF!="Diferenciado",$H$4=#REF!),BDI!#REF!,IF(#REF!="ZERO",0))))),"")</f>
        <v>#REF!</v>
      </c>
      <c r="H2668" s="139" t="str">
        <f t="shared" si="136"/>
        <v/>
      </c>
      <c r="I2668" s="137" t="str">
        <f t="shared" si="137"/>
        <v/>
      </c>
      <c r="J2668" s="117"/>
    </row>
    <row r="2669" spans="1:10" hidden="1" x14ac:dyDescent="0.25">
      <c r="A2669" s="114" t="s">
        <v>5708</v>
      </c>
      <c r="B2669" s="115" t="s">
        <v>5709</v>
      </c>
      <c r="C2669" s="116" t="s">
        <v>16</v>
      </c>
      <c r="D2669" s="116">
        <v>0</v>
      </c>
      <c r="E2669" s="136" t="s">
        <v>416</v>
      </c>
      <c r="F2669" s="137" t="str">
        <f t="shared" si="135"/>
        <v/>
      </c>
      <c r="G2669" s="138" t="e">
        <f>IF(A2669&lt;&gt;"",IF(AND(#REF!="Padrão",$H$4=#REF!),BDI!$B$17,IF(AND(#REF!="Padrão",$H$4=#REF!),BDI!#REF!,IF(AND(#REF!="Diferenciado",$H$4=#REF!),BDI!$E$17,IF(AND(#REF!="Diferenciado",$H$4=#REF!),BDI!#REF!,IF(#REF!="ZERO",0))))),"")</f>
        <v>#REF!</v>
      </c>
      <c r="H2669" s="139" t="str">
        <f t="shared" si="136"/>
        <v/>
      </c>
      <c r="I2669" s="137" t="str">
        <f t="shared" si="137"/>
        <v/>
      </c>
      <c r="J2669" s="117"/>
    </row>
    <row r="2670" spans="1:10" hidden="1" x14ac:dyDescent="0.25">
      <c r="A2670" s="114" t="s">
        <v>5710</v>
      </c>
      <c r="B2670" s="115" t="s">
        <v>5711</v>
      </c>
      <c r="C2670" s="116" t="s">
        <v>16</v>
      </c>
      <c r="D2670" s="116">
        <v>0</v>
      </c>
      <c r="E2670" s="136" t="s">
        <v>416</v>
      </c>
      <c r="F2670" s="137" t="str">
        <f t="shared" si="135"/>
        <v/>
      </c>
      <c r="G2670" s="138" t="e">
        <f>IF(A2670&lt;&gt;"",IF(AND(#REF!="Padrão",$H$4=#REF!),BDI!$B$17,IF(AND(#REF!="Padrão",$H$4=#REF!),BDI!#REF!,IF(AND(#REF!="Diferenciado",$H$4=#REF!),BDI!$E$17,IF(AND(#REF!="Diferenciado",$H$4=#REF!),BDI!#REF!,IF(#REF!="ZERO",0))))),"")</f>
        <v>#REF!</v>
      </c>
      <c r="H2670" s="139" t="str">
        <f t="shared" si="136"/>
        <v/>
      </c>
      <c r="I2670" s="137" t="str">
        <f t="shared" si="137"/>
        <v/>
      </c>
      <c r="J2670" s="117"/>
    </row>
    <row r="2671" spans="1:10" hidden="1" x14ac:dyDescent="0.25">
      <c r="A2671" s="114" t="s">
        <v>5712</v>
      </c>
      <c r="B2671" s="115" t="s">
        <v>5713</v>
      </c>
      <c r="C2671" s="116" t="s">
        <v>16</v>
      </c>
      <c r="D2671" s="116">
        <v>0</v>
      </c>
      <c r="E2671" s="136" t="s">
        <v>416</v>
      </c>
      <c r="F2671" s="137" t="str">
        <f t="shared" si="135"/>
        <v/>
      </c>
      <c r="G2671" s="138" t="e">
        <f>IF(A2671&lt;&gt;"",IF(AND(#REF!="Padrão",$H$4=#REF!),BDI!$B$17,IF(AND(#REF!="Padrão",$H$4=#REF!),BDI!#REF!,IF(AND(#REF!="Diferenciado",$H$4=#REF!),BDI!$E$17,IF(AND(#REF!="Diferenciado",$H$4=#REF!),BDI!#REF!,IF(#REF!="ZERO",0))))),"")</f>
        <v>#REF!</v>
      </c>
      <c r="H2671" s="139" t="str">
        <f t="shared" si="136"/>
        <v/>
      </c>
      <c r="I2671" s="137" t="str">
        <f t="shared" si="137"/>
        <v/>
      </c>
      <c r="J2671" s="117"/>
    </row>
    <row r="2672" spans="1:10" hidden="1" x14ac:dyDescent="0.25">
      <c r="A2672" s="114" t="s">
        <v>5714</v>
      </c>
      <c r="B2672" s="115" t="s">
        <v>5715</v>
      </c>
      <c r="C2672" s="116" t="s">
        <v>16</v>
      </c>
      <c r="D2672" s="116">
        <v>0</v>
      </c>
      <c r="E2672" s="136" t="s">
        <v>416</v>
      </c>
      <c r="F2672" s="137" t="str">
        <f t="shared" si="135"/>
        <v/>
      </c>
      <c r="G2672" s="138" t="e">
        <f>IF(A2672&lt;&gt;"",IF(AND(#REF!="Padrão",$H$4=#REF!),BDI!$B$17,IF(AND(#REF!="Padrão",$H$4=#REF!),BDI!#REF!,IF(AND(#REF!="Diferenciado",$H$4=#REF!),BDI!$E$17,IF(AND(#REF!="Diferenciado",$H$4=#REF!),BDI!#REF!,IF(#REF!="ZERO",0))))),"")</f>
        <v>#REF!</v>
      </c>
      <c r="H2672" s="139" t="str">
        <f t="shared" si="136"/>
        <v/>
      </c>
      <c r="I2672" s="137" t="str">
        <f t="shared" si="137"/>
        <v/>
      </c>
      <c r="J2672" s="117"/>
    </row>
    <row r="2673" spans="1:10" hidden="1" x14ac:dyDescent="0.25">
      <c r="A2673" s="114" t="s">
        <v>5716</v>
      </c>
      <c r="B2673" s="115" t="s">
        <v>5717</v>
      </c>
      <c r="C2673" s="116" t="s">
        <v>16</v>
      </c>
      <c r="D2673" s="116">
        <v>0</v>
      </c>
      <c r="E2673" s="136" t="s">
        <v>416</v>
      </c>
      <c r="F2673" s="137" t="str">
        <f t="shared" si="135"/>
        <v/>
      </c>
      <c r="G2673" s="138" t="e">
        <f>IF(A2673&lt;&gt;"",IF(AND(#REF!="Padrão",$H$4=#REF!),BDI!$B$17,IF(AND(#REF!="Padrão",$H$4=#REF!),BDI!#REF!,IF(AND(#REF!="Diferenciado",$H$4=#REF!),BDI!$E$17,IF(AND(#REF!="Diferenciado",$H$4=#REF!),BDI!#REF!,IF(#REF!="ZERO",0))))),"")</f>
        <v>#REF!</v>
      </c>
      <c r="H2673" s="139" t="str">
        <f t="shared" si="136"/>
        <v/>
      </c>
      <c r="I2673" s="137" t="str">
        <f t="shared" si="137"/>
        <v/>
      </c>
      <c r="J2673" s="117"/>
    </row>
    <row r="2674" spans="1:10" hidden="1" x14ac:dyDescent="0.25">
      <c r="A2674" s="114" t="s">
        <v>5718</v>
      </c>
      <c r="B2674" s="115" t="s">
        <v>5719</v>
      </c>
      <c r="C2674" s="116" t="s">
        <v>16</v>
      </c>
      <c r="D2674" s="116">
        <v>0</v>
      </c>
      <c r="E2674" s="136" t="s">
        <v>416</v>
      </c>
      <c r="F2674" s="137" t="str">
        <f t="shared" si="135"/>
        <v/>
      </c>
      <c r="G2674" s="138" t="e">
        <f>IF(A2674&lt;&gt;"",IF(AND(#REF!="Padrão",$H$4=#REF!),BDI!$B$17,IF(AND(#REF!="Padrão",$H$4=#REF!),BDI!#REF!,IF(AND(#REF!="Diferenciado",$H$4=#REF!),BDI!$E$17,IF(AND(#REF!="Diferenciado",$H$4=#REF!),BDI!#REF!,IF(#REF!="ZERO",0))))),"")</f>
        <v>#REF!</v>
      </c>
      <c r="H2674" s="139" t="str">
        <f t="shared" si="136"/>
        <v/>
      </c>
      <c r="I2674" s="137" t="str">
        <f t="shared" si="137"/>
        <v/>
      </c>
      <c r="J2674" s="117"/>
    </row>
    <row r="2675" spans="1:10" hidden="1" x14ac:dyDescent="0.25">
      <c r="A2675" s="114" t="s">
        <v>5720</v>
      </c>
      <c r="B2675" s="115" t="s">
        <v>5721</v>
      </c>
      <c r="C2675" s="116" t="s">
        <v>16</v>
      </c>
      <c r="D2675" s="116">
        <v>0</v>
      </c>
      <c r="E2675" s="136" t="s">
        <v>416</v>
      </c>
      <c r="F2675" s="137" t="str">
        <f t="shared" si="135"/>
        <v/>
      </c>
      <c r="G2675" s="138" t="e">
        <f>IF(A2675&lt;&gt;"",IF(AND(#REF!="Padrão",$H$4=#REF!),BDI!$B$17,IF(AND(#REF!="Padrão",$H$4=#REF!),BDI!#REF!,IF(AND(#REF!="Diferenciado",$H$4=#REF!),BDI!$E$17,IF(AND(#REF!="Diferenciado",$H$4=#REF!),BDI!#REF!,IF(#REF!="ZERO",0))))),"")</f>
        <v>#REF!</v>
      </c>
      <c r="H2675" s="139" t="str">
        <f t="shared" si="136"/>
        <v/>
      </c>
      <c r="I2675" s="137" t="str">
        <f t="shared" si="137"/>
        <v/>
      </c>
      <c r="J2675" s="117"/>
    </row>
    <row r="2676" spans="1:10" hidden="1" x14ac:dyDescent="0.25">
      <c r="A2676" s="114" t="s">
        <v>5722</v>
      </c>
      <c r="B2676" s="115" t="s">
        <v>5723</v>
      </c>
      <c r="C2676" s="116" t="s">
        <v>16</v>
      </c>
      <c r="D2676" s="116">
        <v>0</v>
      </c>
      <c r="E2676" s="136" t="s">
        <v>416</v>
      </c>
      <c r="F2676" s="137" t="str">
        <f t="shared" si="135"/>
        <v/>
      </c>
      <c r="G2676" s="138" t="e">
        <f>IF(A2676&lt;&gt;"",IF(AND(#REF!="Padrão",$H$4=#REF!),BDI!$B$17,IF(AND(#REF!="Padrão",$H$4=#REF!),BDI!#REF!,IF(AND(#REF!="Diferenciado",$H$4=#REF!),BDI!$E$17,IF(AND(#REF!="Diferenciado",$H$4=#REF!),BDI!#REF!,IF(#REF!="ZERO",0))))),"")</f>
        <v>#REF!</v>
      </c>
      <c r="H2676" s="139" t="str">
        <f t="shared" si="136"/>
        <v/>
      </c>
      <c r="I2676" s="137" t="str">
        <f t="shared" si="137"/>
        <v/>
      </c>
      <c r="J2676" s="117"/>
    </row>
    <row r="2677" spans="1:10" hidden="1" x14ac:dyDescent="0.25">
      <c r="A2677" s="114" t="s">
        <v>5724</v>
      </c>
      <c r="B2677" s="115" t="s">
        <v>5725</v>
      </c>
      <c r="C2677" s="116" t="s">
        <v>16</v>
      </c>
      <c r="D2677" s="116">
        <v>0</v>
      </c>
      <c r="E2677" s="136" t="s">
        <v>416</v>
      </c>
      <c r="F2677" s="137" t="str">
        <f t="shared" si="135"/>
        <v/>
      </c>
      <c r="G2677" s="138" t="e">
        <f>IF(A2677&lt;&gt;"",IF(AND(#REF!="Padrão",$H$4=#REF!),BDI!$B$17,IF(AND(#REF!="Padrão",$H$4=#REF!),BDI!#REF!,IF(AND(#REF!="Diferenciado",$H$4=#REF!),BDI!$E$17,IF(AND(#REF!="Diferenciado",$H$4=#REF!),BDI!#REF!,IF(#REF!="ZERO",0))))),"")</f>
        <v>#REF!</v>
      </c>
      <c r="H2677" s="139" t="str">
        <f t="shared" si="136"/>
        <v/>
      </c>
      <c r="I2677" s="137" t="str">
        <f t="shared" si="137"/>
        <v/>
      </c>
      <c r="J2677" s="117"/>
    </row>
    <row r="2678" spans="1:10" hidden="1" x14ac:dyDescent="0.25">
      <c r="A2678" s="114" t="s">
        <v>5726</v>
      </c>
      <c r="B2678" s="115" t="s">
        <v>5727</v>
      </c>
      <c r="C2678" s="116" t="s">
        <v>16</v>
      </c>
      <c r="D2678" s="116">
        <v>0</v>
      </c>
      <c r="E2678" s="136" t="s">
        <v>416</v>
      </c>
      <c r="F2678" s="137" t="str">
        <f t="shared" si="135"/>
        <v/>
      </c>
      <c r="G2678" s="138" t="e">
        <f>IF(A2678&lt;&gt;"",IF(AND(#REF!="Padrão",$H$4=#REF!),BDI!$B$17,IF(AND(#REF!="Padrão",$H$4=#REF!),BDI!#REF!,IF(AND(#REF!="Diferenciado",$H$4=#REF!),BDI!$E$17,IF(AND(#REF!="Diferenciado",$H$4=#REF!),BDI!#REF!,IF(#REF!="ZERO",0))))),"")</f>
        <v>#REF!</v>
      </c>
      <c r="H2678" s="139" t="str">
        <f t="shared" si="136"/>
        <v/>
      </c>
      <c r="I2678" s="137" t="str">
        <f t="shared" si="137"/>
        <v/>
      </c>
      <c r="J2678" s="117"/>
    </row>
    <row r="2679" spans="1:10" hidden="1" x14ac:dyDescent="0.25">
      <c r="A2679" s="114" t="s">
        <v>5728</v>
      </c>
      <c r="B2679" s="115" t="s">
        <v>5729</v>
      </c>
      <c r="C2679" s="116" t="s">
        <v>16</v>
      </c>
      <c r="D2679" s="116">
        <v>0</v>
      </c>
      <c r="E2679" s="136" t="s">
        <v>416</v>
      </c>
      <c r="F2679" s="137" t="str">
        <f t="shared" si="135"/>
        <v/>
      </c>
      <c r="G2679" s="138" t="e">
        <f>IF(A2679&lt;&gt;"",IF(AND(#REF!="Padrão",$H$4=#REF!),BDI!$B$17,IF(AND(#REF!="Padrão",$H$4=#REF!),BDI!#REF!,IF(AND(#REF!="Diferenciado",$H$4=#REF!),BDI!$E$17,IF(AND(#REF!="Diferenciado",$H$4=#REF!),BDI!#REF!,IF(#REF!="ZERO",0))))),"")</f>
        <v>#REF!</v>
      </c>
      <c r="H2679" s="139" t="str">
        <f t="shared" si="136"/>
        <v/>
      </c>
      <c r="I2679" s="137" t="str">
        <f t="shared" si="137"/>
        <v/>
      </c>
      <c r="J2679" s="117"/>
    </row>
    <row r="2680" spans="1:10" hidden="1" x14ac:dyDescent="0.25">
      <c r="A2680" s="114" t="s">
        <v>5730</v>
      </c>
      <c r="B2680" s="115" t="s">
        <v>5731</v>
      </c>
      <c r="C2680" s="116" t="s">
        <v>16</v>
      </c>
      <c r="D2680" s="116">
        <v>0</v>
      </c>
      <c r="E2680" s="136" t="s">
        <v>416</v>
      </c>
      <c r="F2680" s="137" t="str">
        <f t="shared" si="135"/>
        <v/>
      </c>
      <c r="G2680" s="138" t="e">
        <f>IF(A2680&lt;&gt;"",IF(AND(#REF!="Padrão",$H$4=#REF!),BDI!$B$17,IF(AND(#REF!="Padrão",$H$4=#REF!),BDI!#REF!,IF(AND(#REF!="Diferenciado",$H$4=#REF!),BDI!$E$17,IF(AND(#REF!="Diferenciado",$H$4=#REF!),BDI!#REF!,IF(#REF!="ZERO",0))))),"")</f>
        <v>#REF!</v>
      </c>
      <c r="H2680" s="139" t="str">
        <f t="shared" si="136"/>
        <v/>
      </c>
      <c r="I2680" s="137" t="str">
        <f t="shared" si="137"/>
        <v/>
      </c>
      <c r="J2680" s="117"/>
    </row>
    <row r="2681" spans="1:10" hidden="1" x14ac:dyDescent="0.25">
      <c r="A2681" s="114" t="s">
        <v>5732</v>
      </c>
      <c r="B2681" s="115" t="s">
        <v>5733</v>
      </c>
      <c r="C2681" s="116" t="s">
        <v>16</v>
      </c>
      <c r="D2681" s="116">
        <v>0</v>
      </c>
      <c r="E2681" s="136" t="s">
        <v>416</v>
      </c>
      <c r="F2681" s="137" t="str">
        <f t="shared" si="135"/>
        <v/>
      </c>
      <c r="G2681" s="138" t="e">
        <f>IF(A2681&lt;&gt;"",IF(AND(#REF!="Padrão",$H$4=#REF!),BDI!$B$17,IF(AND(#REF!="Padrão",$H$4=#REF!),BDI!#REF!,IF(AND(#REF!="Diferenciado",$H$4=#REF!),BDI!$E$17,IF(AND(#REF!="Diferenciado",$H$4=#REF!),BDI!#REF!,IF(#REF!="ZERO",0))))),"")</f>
        <v>#REF!</v>
      </c>
      <c r="H2681" s="139" t="str">
        <f t="shared" si="136"/>
        <v/>
      </c>
      <c r="I2681" s="137" t="str">
        <f t="shared" si="137"/>
        <v/>
      </c>
      <c r="J2681" s="117"/>
    </row>
    <row r="2682" spans="1:10" hidden="1" x14ac:dyDescent="0.25">
      <c r="A2682" s="114" t="s">
        <v>5746</v>
      </c>
      <c r="B2682" s="115" t="s">
        <v>5760</v>
      </c>
      <c r="C2682" s="116" t="s">
        <v>16</v>
      </c>
      <c r="D2682" s="116">
        <v>0</v>
      </c>
      <c r="E2682" s="136" t="s">
        <v>416</v>
      </c>
      <c r="F2682" s="137" t="str">
        <f t="shared" ref="F2682:F2695" si="138">IF(ISNUMBER(E2682),D2682*E2682,"")</f>
        <v/>
      </c>
      <c r="G2682" s="138" t="e">
        <f>IF(A2682&lt;&gt;"",IF(AND(#REF!="Padrão",$H$4=#REF!),BDI!$B$17,IF(AND(#REF!="Padrão",$H$4=#REF!),BDI!#REF!,IF(AND(#REF!="Diferenciado",$H$4=#REF!),BDI!$E$17,IF(AND(#REF!="Diferenciado",$H$4=#REF!),BDI!#REF!,IF(#REF!="ZERO",0))))),"")</f>
        <v>#REF!</v>
      </c>
      <c r="H2682" s="139" t="str">
        <f t="shared" ref="H2682:H2695" si="139">IF(ISNUMBER(E2682),ROUND(E2682*(1+G2682),2),"")</f>
        <v/>
      </c>
      <c r="I2682" s="137" t="str">
        <f t="shared" ref="I2682:I2695" si="140">IF(ISNUMBER(E2682),ROUND(H2682*D2682,2),"")</f>
        <v/>
      </c>
      <c r="J2682" s="117"/>
    </row>
    <row r="2683" spans="1:10" hidden="1" x14ac:dyDescent="0.25">
      <c r="A2683" s="114" t="s">
        <v>5747</v>
      </c>
      <c r="B2683" s="115" t="s">
        <v>5761</v>
      </c>
      <c r="C2683" s="116" t="s">
        <v>69</v>
      </c>
      <c r="D2683" s="116">
        <v>0</v>
      </c>
      <c r="E2683" s="136">
        <f ca="1">OFFSET(INDEX(Composições!A:J,MATCH(Orçamentária!A2683,Composições!A:A,0),8),2,0)</f>
        <v>104.06921299999998</v>
      </c>
      <c r="F2683" s="137">
        <f t="shared" ca="1" si="138"/>
        <v>0</v>
      </c>
      <c r="G2683" s="138" t="e">
        <f>IF(A2683&lt;&gt;"",IF(AND(#REF!="Padrão",$H$4=#REF!),BDI!$B$17,IF(AND(#REF!="Padrão",$H$4=#REF!),BDI!#REF!,IF(AND(#REF!="Diferenciado",$H$4=#REF!),BDI!$E$17,IF(AND(#REF!="Diferenciado",$H$4=#REF!),BDI!#REF!,IF(#REF!="ZERO",0))))),"")</f>
        <v>#REF!</v>
      </c>
      <c r="H2683" s="139" t="e">
        <f t="shared" ca="1" si="139"/>
        <v>#REF!</v>
      </c>
      <c r="I2683" s="137" t="e">
        <f t="shared" ca="1" si="140"/>
        <v>#REF!</v>
      </c>
      <c r="J2683" s="117"/>
    </row>
    <row r="2684" spans="1:10" hidden="1" x14ac:dyDescent="0.25">
      <c r="A2684" s="114" t="s">
        <v>5748</v>
      </c>
      <c r="B2684" s="115" t="s">
        <v>5762</v>
      </c>
      <c r="C2684" s="116" t="s">
        <v>16</v>
      </c>
      <c r="D2684" s="116">
        <v>0</v>
      </c>
      <c r="E2684" s="136">
        <f ca="1">OFFSET(INDEX(Composições!A:J,MATCH(Orçamentária!A2684,Composições!A:A,0),8),2,0)</f>
        <v>80.398499999999999</v>
      </c>
      <c r="F2684" s="137">
        <f t="shared" ca="1" si="138"/>
        <v>0</v>
      </c>
      <c r="G2684" s="138" t="e">
        <f>IF(A2684&lt;&gt;"",IF(AND(#REF!="Padrão",$H$4=#REF!),BDI!$B$17,IF(AND(#REF!="Padrão",$H$4=#REF!),BDI!#REF!,IF(AND(#REF!="Diferenciado",$H$4=#REF!),BDI!$E$17,IF(AND(#REF!="Diferenciado",$H$4=#REF!),BDI!#REF!,IF(#REF!="ZERO",0))))),"")</f>
        <v>#REF!</v>
      </c>
      <c r="H2684" s="139" t="e">
        <f t="shared" ca="1" si="139"/>
        <v>#REF!</v>
      </c>
      <c r="I2684" s="137" t="e">
        <f t="shared" ca="1" si="140"/>
        <v>#REF!</v>
      </c>
      <c r="J2684" s="117"/>
    </row>
    <row r="2685" spans="1:10" hidden="1" x14ac:dyDescent="0.25">
      <c r="A2685" s="114" t="s">
        <v>5749</v>
      </c>
      <c r="B2685" s="115" t="s">
        <v>5763</v>
      </c>
      <c r="C2685" s="116" t="s">
        <v>16</v>
      </c>
      <c r="D2685" s="116">
        <v>0</v>
      </c>
      <c r="E2685" s="136">
        <f ca="1">OFFSET(INDEX(Composições!A:J,MATCH(Orçamentária!A2685,Composições!A:A,0),8),2,0)</f>
        <v>249.42059999999998</v>
      </c>
      <c r="F2685" s="137">
        <f t="shared" ca="1" si="138"/>
        <v>0</v>
      </c>
      <c r="G2685" s="138" t="e">
        <f>IF(A2685&lt;&gt;"",IF(AND(#REF!="Padrão",$H$4=#REF!),BDI!$B$17,IF(AND(#REF!="Padrão",$H$4=#REF!),BDI!#REF!,IF(AND(#REF!="Diferenciado",$H$4=#REF!),BDI!$E$17,IF(AND(#REF!="Diferenciado",$H$4=#REF!),BDI!#REF!,IF(#REF!="ZERO",0))))),"")</f>
        <v>#REF!</v>
      </c>
      <c r="H2685" s="139" t="e">
        <f t="shared" ca="1" si="139"/>
        <v>#REF!</v>
      </c>
      <c r="I2685" s="137" t="e">
        <f t="shared" ca="1" si="140"/>
        <v>#REF!</v>
      </c>
      <c r="J2685" s="117"/>
    </row>
    <row r="2686" spans="1:10" hidden="1" x14ac:dyDescent="0.25">
      <c r="A2686" s="114" t="s">
        <v>5750</v>
      </c>
      <c r="B2686" s="115" t="s">
        <v>5764</v>
      </c>
      <c r="C2686" s="116" t="s">
        <v>16</v>
      </c>
      <c r="D2686" s="116">
        <v>0</v>
      </c>
      <c r="E2686" s="136">
        <f ca="1">OFFSET(INDEX(Composições!A:J,MATCH(Orçamentária!A2686,Composições!A:A,0),8),2,0)</f>
        <v>18.202949999999998</v>
      </c>
      <c r="F2686" s="137">
        <f t="shared" ca="1" si="138"/>
        <v>0</v>
      </c>
      <c r="G2686" s="138" t="e">
        <f>IF(A2686&lt;&gt;"",IF(AND(#REF!="Padrão",$H$4=#REF!),BDI!$B$17,IF(AND(#REF!="Padrão",$H$4=#REF!),BDI!#REF!,IF(AND(#REF!="Diferenciado",$H$4=#REF!),BDI!$E$17,IF(AND(#REF!="Diferenciado",$H$4=#REF!),BDI!#REF!,IF(#REF!="ZERO",0))))),"")</f>
        <v>#REF!</v>
      </c>
      <c r="H2686" s="139" t="e">
        <f t="shared" ca="1" si="139"/>
        <v>#REF!</v>
      </c>
      <c r="I2686" s="137" t="e">
        <f t="shared" ca="1" si="140"/>
        <v>#REF!</v>
      </c>
      <c r="J2686" s="117"/>
    </row>
    <row r="2687" spans="1:10" hidden="1" x14ac:dyDescent="0.25">
      <c r="A2687" s="114" t="s">
        <v>5751</v>
      </c>
      <c r="B2687" s="115" t="s">
        <v>5765</v>
      </c>
      <c r="C2687" s="116" t="s">
        <v>16</v>
      </c>
      <c r="D2687" s="116">
        <v>0</v>
      </c>
      <c r="E2687" s="136">
        <f ca="1">OFFSET(INDEX(Composições!A:J,MATCH(Orçamentária!A2687,Composições!A:A,0),8),2,0)</f>
        <v>27.304424999999998</v>
      </c>
      <c r="F2687" s="137">
        <f t="shared" ca="1" si="138"/>
        <v>0</v>
      </c>
      <c r="G2687" s="138" t="e">
        <f>IF(A2687&lt;&gt;"",IF(AND(#REF!="Padrão",$H$4=#REF!),BDI!$B$17,IF(AND(#REF!="Padrão",$H$4=#REF!),BDI!#REF!,IF(AND(#REF!="Diferenciado",$H$4=#REF!),BDI!$E$17,IF(AND(#REF!="Diferenciado",$H$4=#REF!),BDI!#REF!,IF(#REF!="ZERO",0))))),"")</f>
        <v>#REF!</v>
      </c>
      <c r="H2687" s="139" t="e">
        <f t="shared" ca="1" si="139"/>
        <v>#REF!</v>
      </c>
      <c r="I2687" s="137" t="e">
        <f t="shared" ca="1" si="140"/>
        <v>#REF!</v>
      </c>
      <c r="J2687" s="117"/>
    </row>
    <row r="2688" spans="1:10" hidden="1" x14ac:dyDescent="0.25">
      <c r="A2688" s="114" t="s">
        <v>5752</v>
      </c>
      <c r="B2688" s="115" t="s">
        <v>5766</v>
      </c>
      <c r="C2688" s="116" t="s">
        <v>69</v>
      </c>
      <c r="D2688" s="116">
        <v>0</v>
      </c>
      <c r="E2688" s="136" t="s">
        <v>416</v>
      </c>
      <c r="F2688" s="137" t="str">
        <f t="shared" si="138"/>
        <v/>
      </c>
      <c r="G2688" s="138" t="e">
        <f>IF(A2688&lt;&gt;"",IF(AND(#REF!="Padrão",$H$4=#REF!),BDI!$B$17,IF(AND(#REF!="Padrão",$H$4=#REF!),BDI!#REF!,IF(AND(#REF!="Diferenciado",$H$4=#REF!),BDI!$E$17,IF(AND(#REF!="Diferenciado",$H$4=#REF!),BDI!#REF!,IF(#REF!="ZERO",0))))),"")</f>
        <v>#REF!</v>
      </c>
      <c r="H2688" s="139" t="str">
        <f t="shared" si="139"/>
        <v/>
      </c>
      <c r="I2688" s="137" t="str">
        <f t="shared" si="140"/>
        <v/>
      </c>
      <c r="J2688" s="117"/>
    </row>
    <row r="2689" spans="1:10" hidden="1" x14ac:dyDescent="0.25">
      <c r="A2689" s="114" t="s">
        <v>5753</v>
      </c>
      <c r="B2689" s="115" t="s">
        <v>5767</v>
      </c>
      <c r="C2689" s="116" t="s">
        <v>69</v>
      </c>
      <c r="D2689" s="116">
        <v>0</v>
      </c>
      <c r="E2689" s="136" t="s">
        <v>416</v>
      </c>
      <c r="F2689" s="137" t="str">
        <f t="shared" si="138"/>
        <v/>
      </c>
      <c r="G2689" s="138" t="e">
        <f>IF(A2689&lt;&gt;"",IF(AND(#REF!="Padrão",$H$4=#REF!),BDI!$B$17,IF(AND(#REF!="Padrão",$H$4=#REF!),BDI!#REF!,IF(AND(#REF!="Diferenciado",$H$4=#REF!),BDI!$E$17,IF(AND(#REF!="Diferenciado",$H$4=#REF!),BDI!#REF!,IF(#REF!="ZERO",0))))),"")</f>
        <v>#REF!</v>
      </c>
      <c r="H2689" s="139" t="str">
        <f t="shared" si="139"/>
        <v/>
      </c>
      <c r="I2689" s="137" t="str">
        <f t="shared" si="140"/>
        <v/>
      </c>
      <c r="J2689" s="117"/>
    </row>
    <row r="2690" spans="1:10" ht="25.5" hidden="1" x14ac:dyDescent="0.25">
      <c r="A2690" s="114" t="s">
        <v>5754</v>
      </c>
      <c r="B2690" s="115" t="s">
        <v>5768</v>
      </c>
      <c r="C2690" s="116" t="s">
        <v>16</v>
      </c>
      <c r="D2690" s="116">
        <v>0</v>
      </c>
      <c r="E2690" s="136" t="s">
        <v>416</v>
      </c>
      <c r="F2690" s="137" t="str">
        <f t="shared" si="138"/>
        <v/>
      </c>
      <c r="G2690" s="138" t="e">
        <f>IF(A2690&lt;&gt;"",IF(AND(#REF!="Padrão",$H$4=#REF!),BDI!$B$17,IF(AND(#REF!="Padrão",$H$4=#REF!),BDI!#REF!,IF(AND(#REF!="Diferenciado",$H$4=#REF!),BDI!$E$17,IF(AND(#REF!="Diferenciado",$H$4=#REF!),BDI!#REF!,IF(#REF!="ZERO",0))))),"")</f>
        <v>#REF!</v>
      </c>
      <c r="H2690" s="139" t="str">
        <f t="shared" si="139"/>
        <v/>
      </c>
      <c r="I2690" s="137" t="str">
        <f t="shared" si="140"/>
        <v/>
      </c>
      <c r="J2690" s="117"/>
    </row>
    <row r="2691" spans="1:10" hidden="1" x14ac:dyDescent="0.25">
      <c r="A2691" s="114" t="s">
        <v>5755</v>
      </c>
      <c r="B2691" s="115" t="s">
        <v>5769</v>
      </c>
      <c r="C2691" s="116" t="s">
        <v>16</v>
      </c>
      <c r="D2691" s="116">
        <v>0</v>
      </c>
      <c r="E2691" s="136" t="s">
        <v>416</v>
      </c>
      <c r="F2691" s="137" t="str">
        <f t="shared" si="138"/>
        <v/>
      </c>
      <c r="G2691" s="138" t="e">
        <f>IF(A2691&lt;&gt;"",IF(AND(#REF!="Padrão",$H$4=#REF!),BDI!$B$17,IF(AND(#REF!="Padrão",$H$4=#REF!),BDI!#REF!,IF(AND(#REF!="Diferenciado",$H$4=#REF!),BDI!$E$17,IF(AND(#REF!="Diferenciado",$H$4=#REF!),BDI!#REF!,IF(#REF!="ZERO",0))))),"")</f>
        <v>#REF!</v>
      </c>
      <c r="H2691" s="139" t="str">
        <f t="shared" si="139"/>
        <v/>
      </c>
      <c r="I2691" s="137" t="str">
        <f t="shared" si="140"/>
        <v/>
      </c>
      <c r="J2691" s="117"/>
    </row>
    <row r="2692" spans="1:10" hidden="1" x14ac:dyDescent="0.25">
      <c r="A2692" s="114" t="s">
        <v>5756</v>
      </c>
      <c r="B2692" s="115" t="s">
        <v>5770</v>
      </c>
      <c r="C2692" s="116" t="s">
        <v>16</v>
      </c>
      <c r="D2692" s="116">
        <v>0</v>
      </c>
      <c r="E2692" s="136" t="s">
        <v>416</v>
      </c>
      <c r="F2692" s="137" t="str">
        <f t="shared" si="138"/>
        <v/>
      </c>
      <c r="G2692" s="138" t="e">
        <f>IF(A2692&lt;&gt;"",IF(AND(#REF!="Padrão",$H$4=#REF!),BDI!$B$17,IF(AND(#REF!="Padrão",$H$4=#REF!),BDI!#REF!,IF(AND(#REF!="Diferenciado",$H$4=#REF!),BDI!$E$17,IF(AND(#REF!="Diferenciado",$H$4=#REF!),BDI!#REF!,IF(#REF!="ZERO",0))))),"")</f>
        <v>#REF!</v>
      </c>
      <c r="H2692" s="139" t="str">
        <f t="shared" si="139"/>
        <v/>
      </c>
      <c r="I2692" s="137" t="str">
        <f t="shared" si="140"/>
        <v/>
      </c>
      <c r="J2692" s="117"/>
    </row>
    <row r="2693" spans="1:10" hidden="1" x14ac:dyDescent="0.25">
      <c r="A2693" s="114" t="s">
        <v>5757</v>
      </c>
      <c r="B2693" s="115" t="s">
        <v>5771</v>
      </c>
      <c r="C2693" s="116" t="s">
        <v>16</v>
      </c>
      <c r="D2693" s="116">
        <v>0</v>
      </c>
      <c r="E2693" s="136" t="s">
        <v>416</v>
      </c>
      <c r="F2693" s="137" t="str">
        <f t="shared" si="138"/>
        <v/>
      </c>
      <c r="G2693" s="138" t="e">
        <f>IF(A2693&lt;&gt;"",IF(AND(#REF!="Padrão",$H$4=#REF!),BDI!$B$17,IF(AND(#REF!="Padrão",$H$4=#REF!),BDI!#REF!,IF(AND(#REF!="Diferenciado",$H$4=#REF!),BDI!$E$17,IF(AND(#REF!="Diferenciado",$H$4=#REF!),BDI!#REF!,IF(#REF!="ZERO",0))))),"")</f>
        <v>#REF!</v>
      </c>
      <c r="H2693" s="139" t="str">
        <f t="shared" si="139"/>
        <v/>
      </c>
      <c r="I2693" s="137" t="str">
        <f t="shared" si="140"/>
        <v/>
      </c>
      <c r="J2693" s="117"/>
    </row>
    <row r="2694" spans="1:10" hidden="1" x14ac:dyDescent="0.25">
      <c r="A2694" s="114" t="s">
        <v>5758</v>
      </c>
      <c r="B2694" s="115" t="s">
        <v>5772</v>
      </c>
      <c r="C2694" s="116" t="s">
        <v>70</v>
      </c>
      <c r="D2694" s="116">
        <v>0</v>
      </c>
      <c r="E2694" s="136">
        <f ca="1">OFFSET(INDEX(Composições!A:J,MATCH(Orçamentária!A2694,Composições!A:A,0),8),2,0)</f>
        <v>20.647394999999996</v>
      </c>
      <c r="F2694" s="137">
        <f t="shared" ca="1" si="138"/>
        <v>0</v>
      </c>
      <c r="G2694" s="138" t="e">
        <f>IF(A2694&lt;&gt;"",IF(AND(#REF!="Padrão",$H$4=#REF!),BDI!$B$17,IF(AND(#REF!="Padrão",$H$4=#REF!),BDI!#REF!,IF(AND(#REF!="Diferenciado",$H$4=#REF!),BDI!$E$17,IF(AND(#REF!="Diferenciado",$H$4=#REF!),BDI!#REF!,IF(#REF!="ZERO",0))))),"")</f>
        <v>#REF!</v>
      </c>
      <c r="H2694" s="139" t="e">
        <f t="shared" ca="1" si="139"/>
        <v>#REF!</v>
      </c>
      <c r="I2694" s="137" t="e">
        <f t="shared" ca="1" si="140"/>
        <v>#REF!</v>
      </c>
      <c r="J2694" s="117"/>
    </row>
    <row r="2695" spans="1:10" hidden="1" x14ac:dyDescent="0.25">
      <c r="A2695" s="114" t="s">
        <v>5759</v>
      </c>
      <c r="B2695" s="115" t="s">
        <v>5773</v>
      </c>
      <c r="C2695" s="116" t="s">
        <v>70</v>
      </c>
      <c r="D2695" s="116">
        <v>0</v>
      </c>
      <c r="E2695" s="136">
        <f ca="1">OFFSET(INDEX(Composições!A:J,MATCH(Orçamentária!A2695,Composições!A:A,0),8),2,0)</f>
        <v>3.2755895499999994</v>
      </c>
      <c r="F2695" s="137">
        <f t="shared" ca="1" si="138"/>
        <v>0</v>
      </c>
      <c r="G2695" s="138" t="e">
        <f>IF(A2695&lt;&gt;"",IF(AND(#REF!="Padrão",$H$4=#REF!),BDI!$B$17,IF(AND(#REF!="Padrão",$H$4=#REF!),BDI!#REF!,IF(AND(#REF!="Diferenciado",$H$4=#REF!),BDI!$E$17,IF(AND(#REF!="Diferenciado",$H$4=#REF!),BDI!#REF!,IF(#REF!="ZERO",0))))),"")</f>
        <v>#REF!</v>
      </c>
      <c r="H2695" s="139" t="e">
        <f t="shared" ca="1" si="139"/>
        <v>#REF!</v>
      </c>
      <c r="I2695" s="137" t="e">
        <f t="shared" ca="1" si="140"/>
        <v>#REF!</v>
      </c>
      <c r="J2695" s="117"/>
    </row>
    <row r="2696" spans="1:10" hidden="1" x14ac:dyDescent="0.25">
      <c r="A2696" s="114" t="s">
        <v>5789</v>
      </c>
      <c r="B2696" s="115" t="s">
        <v>6606</v>
      </c>
      <c r="C2696" s="116" t="s">
        <v>70</v>
      </c>
      <c r="D2696" s="116">
        <v>0</v>
      </c>
      <c r="E2696" s="136">
        <f ca="1">OFFSET(INDEX(Composições!A:J,MATCH(Orçamentária!A2696,Composições!A:A,0),8),2,0)</f>
        <v>21.940249999999999</v>
      </c>
      <c r="F2696" s="137">
        <f t="shared" ref="F2696:F2707" ca="1" si="141">IF(ISNUMBER(E2696),D2696*E2696,"")</f>
        <v>0</v>
      </c>
      <c r="G2696" s="138" t="e">
        <f>IF(A2696&lt;&gt;"",IF(AND(#REF!="Padrão",$H$4=#REF!),BDI!$B$17,IF(AND(#REF!="Padrão",$H$4=#REF!),BDI!#REF!,IF(AND(#REF!="Diferenciado",$H$4=#REF!),BDI!$E$17,IF(AND(#REF!="Diferenciado",$H$4=#REF!),BDI!#REF!,IF(#REF!="ZERO",0))))),"")</f>
        <v>#REF!</v>
      </c>
      <c r="H2696" s="139" t="e">
        <f t="shared" ref="H2696:H2707" ca="1" si="142">IF(ISNUMBER(E2696),ROUND(E2696*(1+G2696),2),"")</f>
        <v>#REF!</v>
      </c>
      <c r="I2696" s="137" t="e">
        <f t="shared" ref="I2696:I2707" ca="1" si="143">IF(ISNUMBER(E2696),ROUND(H2696*D2696,2),"")</f>
        <v>#REF!</v>
      </c>
      <c r="J2696" s="117"/>
    </row>
    <row r="2697" spans="1:10" hidden="1" x14ac:dyDescent="0.25">
      <c r="A2697" s="114" t="s">
        <v>5790</v>
      </c>
      <c r="B2697" s="115" t="s">
        <v>3455</v>
      </c>
      <c r="C2697" s="116" t="s">
        <v>16</v>
      </c>
      <c r="D2697" s="116">
        <v>0</v>
      </c>
      <c r="E2697" s="136">
        <f ca="1">OFFSET(INDEX(Composições!A:J,MATCH(Orçamentária!A2697,Composições!A:A,0),8),2,0)</f>
        <v>50.005854899999996</v>
      </c>
      <c r="F2697" s="137">
        <f t="shared" ca="1" si="141"/>
        <v>0</v>
      </c>
      <c r="G2697" s="138" t="e">
        <f>IF(A2697&lt;&gt;"",IF(AND(#REF!="Padrão",$H$4=#REF!),BDI!$B$17,IF(AND(#REF!="Padrão",$H$4=#REF!),BDI!#REF!,IF(AND(#REF!="Diferenciado",$H$4=#REF!),BDI!$E$17,IF(AND(#REF!="Diferenciado",$H$4=#REF!),BDI!#REF!,IF(#REF!="ZERO",0))))),"")</f>
        <v>#REF!</v>
      </c>
      <c r="H2697" s="139" t="e">
        <f t="shared" ca="1" si="142"/>
        <v>#REF!</v>
      </c>
      <c r="I2697" s="137" t="e">
        <f t="shared" ca="1" si="143"/>
        <v>#REF!</v>
      </c>
      <c r="J2697" s="117"/>
    </row>
    <row r="2698" spans="1:10" ht="25.5" hidden="1" x14ac:dyDescent="0.25">
      <c r="A2698" s="114" t="s">
        <v>5791</v>
      </c>
      <c r="B2698" s="115" t="s">
        <v>5802</v>
      </c>
      <c r="C2698" s="116" t="s">
        <v>16</v>
      </c>
      <c r="D2698" s="116">
        <v>0</v>
      </c>
      <c r="E2698" s="136" t="s">
        <v>416</v>
      </c>
      <c r="F2698" s="137" t="str">
        <f t="shared" si="141"/>
        <v/>
      </c>
      <c r="G2698" s="138" t="e">
        <f>IF(A2698&lt;&gt;"",IF(AND(#REF!="Padrão",$H$4=#REF!),BDI!$B$17,IF(AND(#REF!="Padrão",$H$4=#REF!),BDI!#REF!,IF(AND(#REF!="Diferenciado",$H$4=#REF!),BDI!$E$17,IF(AND(#REF!="Diferenciado",$H$4=#REF!),BDI!#REF!,IF(#REF!="ZERO",0))))),"")</f>
        <v>#REF!</v>
      </c>
      <c r="H2698" s="139" t="str">
        <f t="shared" si="142"/>
        <v/>
      </c>
      <c r="I2698" s="137" t="str">
        <f t="shared" si="143"/>
        <v/>
      </c>
      <c r="J2698" s="117"/>
    </row>
    <row r="2699" spans="1:10" hidden="1" x14ac:dyDescent="0.25">
      <c r="A2699" s="114" t="s">
        <v>5792</v>
      </c>
      <c r="B2699" s="115" t="s">
        <v>5803</v>
      </c>
      <c r="C2699" s="116" t="s">
        <v>16</v>
      </c>
      <c r="D2699" s="116">
        <v>0</v>
      </c>
      <c r="E2699" s="136" t="s">
        <v>416</v>
      </c>
      <c r="F2699" s="137" t="str">
        <f t="shared" si="141"/>
        <v/>
      </c>
      <c r="G2699" s="138" t="e">
        <f>IF(A2699&lt;&gt;"",IF(AND(#REF!="Padrão",$H$4=#REF!),BDI!$B$17,IF(AND(#REF!="Padrão",$H$4=#REF!),BDI!#REF!,IF(AND(#REF!="Diferenciado",$H$4=#REF!),BDI!$E$17,IF(AND(#REF!="Diferenciado",$H$4=#REF!),BDI!#REF!,IF(#REF!="ZERO",0))))),"")</f>
        <v>#REF!</v>
      </c>
      <c r="H2699" s="139" t="str">
        <f t="shared" si="142"/>
        <v/>
      </c>
      <c r="I2699" s="137" t="str">
        <f t="shared" si="143"/>
        <v/>
      </c>
      <c r="J2699" s="117"/>
    </row>
    <row r="2700" spans="1:10" hidden="1" x14ac:dyDescent="0.25">
      <c r="A2700" s="114" t="s">
        <v>5793</v>
      </c>
      <c r="B2700" s="115" t="s">
        <v>5804</v>
      </c>
      <c r="C2700" s="116" t="s">
        <v>16</v>
      </c>
      <c r="D2700" s="116">
        <v>0</v>
      </c>
      <c r="E2700" s="136" t="s">
        <v>416</v>
      </c>
      <c r="F2700" s="137" t="str">
        <f t="shared" si="141"/>
        <v/>
      </c>
      <c r="G2700" s="138" t="e">
        <f>IF(A2700&lt;&gt;"",IF(AND(#REF!="Padrão",$H$4=#REF!),BDI!$B$17,IF(AND(#REF!="Padrão",$H$4=#REF!),BDI!#REF!,IF(AND(#REF!="Diferenciado",$H$4=#REF!),BDI!$E$17,IF(AND(#REF!="Diferenciado",$H$4=#REF!),BDI!#REF!,IF(#REF!="ZERO",0))))),"")</f>
        <v>#REF!</v>
      </c>
      <c r="H2700" s="139" t="str">
        <f t="shared" si="142"/>
        <v/>
      </c>
      <c r="I2700" s="137" t="str">
        <f t="shared" si="143"/>
        <v/>
      </c>
      <c r="J2700" s="117"/>
    </row>
    <row r="2701" spans="1:10" ht="25.5" hidden="1" x14ac:dyDescent="0.25">
      <c r="A2701" s="114" t="s">
        <v>5794</v>
      </c>
      <c r="B2701" s="115" t="s">
        <v>5805</v>
      </c>
      <c r="C2701" s="116" t="s">
        <v>4170</v>
      </c>
      <c r="D2701" s="116">
        <v>0</v>
      </c>
      <c r="E2701" s="136" t="s">
        <v>416</v>
      </c>
      <c r="F2701" s="137" t="str">
        <f t="shared" si="141"/>
        <v/>
      </c>
      <c r="G2701" s="138" t="e">
        <f>IF(A2701&lt;&gt;"",IF(AND(#REF!="Padrão",$H$4=#REF!),BDI!$B$17,IF(AND(#REF!="Padrão",$H$4=#REF!),BDI!#REF!,IF(AND(#REF!="Diferenciado",$H$4=#REF!),BDI!$E$17,IF(AND(#REF!="Diferenciado",$H$4=#REF!),BDI!#REF!,IF(#REF!="ZERO",0))))),"")</f>
        <v>#REF!</v>
      </c>
      <c r="H2701" s="139" t="str">
        <f t="shared" si="142"/>
        <v/>
      </c>
      <c r="I2701" s="137" t="str">
        <f t="shared" si="143"/>
        <v/>
      </c>
      <c r="J2701" s="117"/>
    </row>
    <row r="2702" spans="1:10" ht="25.5" hidden="1" x14ac:dyDescent="0.25">
      <c r="A2702" s="114" t="s">
        <v>5795</v>
      </c>
      <c r="B2702" s="115" t="s">
        <v>5806</v>
      </c>
      <c r="C2702" s="116" t="s">
        <v>16</v>
      </c>
      <c r="D2702" s="116">
        <v>0</v>
      </c>
      <c r="E2702" s="136" t="s">
        <v>416</v>
      </c>
      <c r="F2702" s="137" t="str">
        <f t="shared" si="141"/>
        <v/>
      </c>
      <c r="G2702" s="138" t="e">
        <f>IF(A2702&lt;&gt;"",IF(AND(#REF!="Padrão",$H$4=#REF!),BDI!$B$17,IF(AND(#REF!="Padrão",$H$4=#REF!),BDI!#REF!,IF(AND(#REF!="Diferenciado",$H$4=#REF!),BDI!$E$17,IF(AND(#REF!="Diferenciado",$H$4=#REF!),BDI!#REF!,IF(#REF!="ZERO",0))))),"")</f>
        <v>#REF!</v>
      </c>
      <c r="H2702" s="139" t="str">
        <f t="shared" si="142"/>
        <v/>
      </c>
      <c r="I2702" s="137" t="str">
        <f t="shared" si="143"/>
        <v/>
      </c>
      <c r="J2702" s="117"/>
    </row>
    <row r="2703" spans="1:10" hidden="1" x14ac:dyDescent="0.25">
      <c r="A2703" s="114" t="s">
        <v>5796</v>
      </c>
      <c r="B2703" s="115" t="s">
        <v>5807</v>
      </c>
      <c r="C2703" s="116" t="s">
        <v>70</v>
      </c>
      <c r="D2703" s="116">
        <v>0</v>
      </c>
      <c r="E2703" s="136" t="s">
        <v>416</v>
      </c>
      <c r="F2703" s="137" t="str">
        <f t="shared" si="141"/>
        <v/>
      </c>
      <c r="G2703" s="138" t="e">
        <f>IF(A2703&lt;&gt;"",IF(AND(#REF!="Padrão",$H$4=#REF!),BDI!$B$17,IF(AND(#REF!="Padrão",$H$4=#REF!),BDI!#REF!,IF(AND(#REF!="Diferenciado",$H$4=#REF!),BDI!$E$17,IF(AND(#REF!="Diferenciado",$H$4=#REF!),BDI!#REF!,IF(#REF!="ZERO",0))))),"")</f>
        <v>#REF!</v>
      </c>
      <c r="H2703" s="139" t="str">
        <f t="shared" si="142"/>
        <v/>
      </c>
      <c r="I2703" s="137" t="str">
        <f t="shared" si="143"/>
        <v/>
      </c>
      <c r="J2703" s="117"/>
    </row>
    <row r="2704" spans="1:10" hidden="1" x14ac:dyDescent="0.25">
      <c r="A2704" s="114" t="s">
        <v>5797</v>
      </c>
      <c r="B2704" s="115" t="s">
        <v>5808</v>
      </c>
      <c r="C2704" s="116" t="s">
        <v>70</v>
      </c>
      <c r="D2704" s="116">
        <v>0</v>
      </c>
      <c r="E2704" s="136" t="s">
        <v>416</v>
      </c>
      <c r="F2704" s="137" t="str">
        <f t="shared" si="141"/>
        <v/>
      </c>
      <c r="G2704" s="138" t="e">
        <f>IF(A2704&lt;&gt;"",IF(AND(#REF!="Padrão",$H$4=#REF!),BDI!$B$17,IF(AND(#REF!="Padrão",$H$4=#REF!),BDI!#REF!,IF(AND(#REF!="Diferenciado",$H$4=#REF!),BDI!$E$17,IF(AND(#REF!="Diferenciado",$H$4=#REF!),BDI!#REF!,IF(#REF!="ZERO",0))))),"")</f>
        <v>#REF!</v>
      </c>
      <c r="H2704" s="139" t="str">
        <f t="shared" si="142"/>
        <v/>
      </c>
      <c r="I2704" s="137" t="str">
        <f t="shared" si="143"/>
        <v/>
      </c>
      <c r="J2704" s="117"/>
    </row>
    <row r="2705" spans="1:10" hidden="1" x14ac:dyDescent="0.25">
      <c r="A2705" s="114" t="s">
        <v>5798</v>
      </c>
      <c r="B2705" s="115" t="s">
        <v>5809</v>
      </c>
      <c r="C2705" s="116" t="s">
        <v>70</v>
      </c>
      <c r="D2705" s="116">
        <v>0</v>
      </c>
      <c r="E2705" s="136" t="s">
        <v>416</v>
      </c>
      <c r="F2705" s="137" t="str">
        <f t="shared" si="141"/>
        <v/>
      </c>
      <c r="G2705" s="138" t="e">
        <f>IF(A2705&lt;&gt;"",IF(AND(#REF!="Padrão",$H$4=#REF!),BDI!$B$17,IF(AND(#REF!="Padrão",$H$4=#REF!),BDI!#REF!,IF(AND(#REF!="Diferenciado",$H$4=#REF!),BDI!$E$17,IF(AND(#REF!="Diferenciado",$H$4=#REF!),BDI!#REF!,IF(#REF!="ZERO",0))))),"")</f>
        <v>#REF!</v>
      </c>
      <c r="H2705" s="139" t="str">
        <f t="shared" si="142"/>
        <v/>
      </c>
      <c r="I2705" s="137" t="str">
        <f t="shared" si="143"/>
        <v/>
      </c>
      <c r="J2705" s="117"/>
    </row>
    <row r="2706" spans="1:10" x14ac:dyDescent="0.25">
      <c r="A2706" s="189" t="s">
        <v>5799</v>
      </c>
      <c r="B2706" s="190" t="s">
        <v>5810</v>
      </c>
      <c r="C2706" s="191" t="s">
        <v>70</v>
      </c>
      <c r="D2706" s="191">
        <v>15</v>
      </c>
      <c r="E2706" s="136">
        <f ca="1">OFFSET(INDEX(Composições!A:J,MATCH(Orçamentária!A2706,Composições!A:A,0),8),2,0)</f>
        <v>14.735709349999999</v>
      </c>
      <c r="F2706" s="137">
        <f t="shared" ca="1" si="141"/>
        <v>221.03564024999997</v>
      </c>
      <c r="G2706" s="138">
        <f>BDI!$B$17</f>
        <v>0.191</v>
      </c>
      <c r="H2706" s="139">
        <f t="shared" ca="1" si="142"/>
        <v>17.55</v>
      </c>
      <c r="I2706" s="137">
        <f t="shared" ca="1" si="143"/>
        <v>263.25</v>
      </c>
      <c r="J2706" s="117"/>
    </row>
    <row r="2707" spans="1:10" x14ac:dyDescent="0.25">
      <c r="A2707" s="189" t="s">
        <v>5800</v>
      </c>
      <c r="B2707" s="190" t="s">
        <v>5811</v>
      </c>
      <c r="C2707" s="191" t="s">
        <v>70</v>
      </c>
      <c r="D2707" s="191">
        <v>11</v>
      </c>
      <c r="E2707" s="136">
        <f ca="1">OFFSET(INDEX(Composições!A:J,MATCH(Orçamentária!A2707,Composições!A:A,0),8),2,0)</f>
        <v>21.90984525</v>
      </c>
      <c r="F2707" s="137">
        <f t="shared" ca="1" si="141"/>
        <v>241.00829775</v>
      </c>
      <c r="G2707" s="138">
        <f>BDI!$B$17</f>
        <v>0.191</v>
      </c>
      <c r="H2707" s="139">
        <f t="shared" ca="1" si="142"/>
        <v>26.09</v>
      </c>
      <c r="I2707" s="137">
        <f t="shared" ca="1" si="143"/>
        <v>286.99</v>
      </c>
      <c r="J2707" s="117"/>
    </row>
    <row r="2708" spans="1:10" hidden="1" x14ac:dyDescent="0.25">
      <c r="A2708" s="114" t="s">
        <v>5801</v>
      </c>
      <c r="B2708" s="115" t="s">
        <v>7384</v>
      </c>
      <c r="C2708" s="116" t="s">
        <v>16</v>
      </c>
      <c r="D2708" s="116">
        <v>0</v>
      </c>
      <c r="E2708" s="136">
        <f ca="1">OFFSET(INDEX(Composições!A:J,MATCH(Orçamentária!A2708,Composições!A:A,0),8),2,0)</f>
        <v>107.54428829999999</v>
      </c>
      <c r="F2708" s="137">
        <f t="shared" ref="F2708:F2710" ca="1" si="144">IF(ISNUMBER(E2708),D2708*E2708,"")</f>
        <v>0</v>
      </c>
      <c r="G2708" s="138" t="e">
        <f>IF(A2708&lt;&gt;"",IF(AND(#REF!="Padrão",$H$4=#REF!),BDI!$B$17,IF(AND(#REF!="Padrão",$H$4=#REF!),BDI!#REF!,IF(AND(#REF!="Diferenciado",$H$4=#REF!),BDI!$E$17,IF(AND(#REF!="Diferenciado",$H$4=#REF!),BDI!#REF!,IF(#REF!="ZERO",0))))),"")</f>
        <v>#REF!</v>
      </c>
      <c r="H2708" s="139" t="e">
        <f t="shared" ref="H2708:H2710" ca="1" si="145">IF(ISNUMBER(E2708),ROUND(E2708*(1+G2708),2),"")</f>
        <v>#REF!</v>
      </c>
      <c r="I2708" s="137" t="e">
        <f t="shared" ref="I2708:I2710" ca="1" si="146">IF(ISNUMBER(E2708),ROUND(H2708*D2708,2),"")</f>
        <v>#REF!</v>
      </c>
      <c r="J2708" s="117"/>
    </row>
    <row r="2709" spans="1:10" hidden="1" x14ac:dyDescent="0.25">
      <c r="A2709" s="114" t="s">
        <v>5812</v>
      </c>
      <c r="B2709" s="115" t="s">
        <v>5859</v>
      </c>
      <c r="C2709" s="116" t="s">
        <v>16</v>
      </c>
      <c r="D2709" s="116">
        <v>0</v>
      </c>
      <c r="E2709" s="136">
        <f ca="1">OFFSET(INDEX(Composições!A:J,MATCH(Orçamentária!A2709,Composições!A:A,0),8),2,0)</f>
        <v>213.80876699999999</v>
      </c>
      <c r="F2709" s="137">
        <f t="shared" ca="1" si="144"/>
        <v>0</v>
      </c>
      <c r="G2709" s="138" t="e">
        <f>IF(A2709&lt;&gt;"",IF(AND(#REF!="Padrão",$H$4=#REF!),BDI!$B$17,IF(AND(#REF!="Padrão",$H$4=#REF!),BDI!#REF!,IF(AND(#REF!="Diferenciado",$H$4=#REF!),BDI!$E$17,IF(AND(#REF!="Diferenciado",$H$4=#REF!),BDI!#REF!,IF(#REF!="ZERO",0))))),"")</f>
        <v>#REF!</v>
      </c>
      <c r="H2709" s="139" t="e">
        <f t="shared" ca="1" si="145"/>
        <v>#REF!</v>
      </c>
      <c r="I2709" s="137" t="e">
        <f t="shared" ca="1" si="146"/>
        <v>#REF!</v>
      </c>
      <c r="J2709" s="117"/>
    </row>
    <row r="2710" spans="1:10" hidden="1" x14ac:dyDescent="0.25">
      <c r="A2710" s="114" t="s">
        <v>5813</v>
      </c>
      <c r="B2710" s="115" t="s">
        <v>5860</v>
      </c>
      <c r="C2710" s="116" t="s">
        <v>16</v>
      </c>
      <c r="D2710" s="116">
        <v>0</v>
      </c>
      <c r="E2710" s="136">
        <f ca="1">OFFSET(INDEX(Composições!A:J,MATCH(Orçamentária!A2710,Composições!A:A,0),8),2,0)</f>
        <v>47.417608440249602</v>
      </c>
      <c r="F2710" s="137">
        <f t="shared" ca="1" si="144"/>
        <v>0</v>
      </c>
      <c r="G2710" s="138" t="e">
        <f>IF(A2710&lt;&gt;"",IF(AND(#REF!="Padrão",$H$4=#REF!),BDI!$B$17,IF(AND(#REF!="Padrão",$H$4=#REF!),BDI!#REF!,IF(AND(#REF!="Diferenciado",$H$4=#REF!),BDI!$E$17,IF(AND(#REF!="Diferenciado",$H$4=#REF!),BDI!#REF!,IF(#REF!="ZERO",0))))),"")</f>
        <v>#REF!</v>
      </c>
      <c r="H2710" s="139" t="e">
        <f t="shared" ca="1" si="145"/>
        <v>#REF!</v>
      </c>
      <c r="I2710" s="137" t="e">
        <f t="shared" ca="1" si="146"/>
        <v>#REF!</v>
      </c>
      <c r="J2710" s="117"/>
    </row>
    <row r="2711" spans="1:10" hidden="1" x14ac:dyDescent="0.25">
      <c r="A2711" s="114" t="s">
        <v>5814</v>
      </c>
      <c r="B2711" s="115" t="s">
        <v>5864</v>
      </c>
      <c r="C2711" s="116" t="s">
        <v>16</v>
      </c>
      <c r="D2711" s="116">
        <v>0</v>
      </c>
      <c r="E2711" s="136" t="s">
        <v>416</v>
      </c>
      <c r="F2711" s="137" t="str">
        <f t="shared" ref="F2711:F2774" si="147">IF(ISNUMBER(E2711),D2711*E2711,"")</f>
        <v/>
      </c>
      <c r="G2711" s="138" t="e">
        <f>IF(A2711&lt;&gt;"",IF(AND(#REF!="Padrão",$H$4=#REF!),BDI!$B$17,IF(AND(#REF!="Padrão",$H$4=#REF!),BDI!#REF!,IF(AND(#REF!="Diferenciado",$H$4=#REF!),BDI!$E$17,IF(AND(#REF!="Diferenciado",$H$4=#REF!),BDI!#REF!,IF(#REF!="ZERO",0))))),"")</f>
        <v>#REF!</v>
      </c>
      <c r="H2711" s="139" t="str">
        <f t="shared" ref="H2711:H2774" si="148">IF(ISNUMBER(E2711),ROUND(E2711*(1+G2711),2),"")</f>
        <v/>
      </c>
      <c r="I2711" s="137" t="str">
        <f t="shared" ref="I2711:I2774" si="149">IF(ISNUMBER(E2711),ROUND(H2711*D2711,2),"")</f>
        <v/>
      </c>
      <c r="J2711" s="117"/>
    </row>
    <row r="2712" spans="1:10" hidden="1" x14ac:dyDescent="0.25">
      <c r="A2712" s="114" t="s">
        <v>5815</v>
      </c>
      <c r="B2712" s="115" t="s">
        <v>5865</v>
      </c>
      <c r="C2712" s="116" t="s">
        <v>16</v>
      </c>
      <c r="D2712" s="116">
        <v>0</v>
      </c>
      <c r="E2712" s="136" t="s">
        <v>416</v>
      </c>
      <c r="F2712" s="137" t="str">
        <f t="shared" si="147"/>
        <v/>
      </c>
      <c r="G2712" s="138" t="e">
        <f>IF(A2712&lt;&gt;"",IF(AND(#REF!="Padrão",$H$4=#REF!),BDI!$B$17,IF(AND(#REF!="Padrão",$H$4=#REF!),BDI!#REF!,IF(AND(#REF!="Diferenciado",$H$4=#REF!),BDI!$E$17,IF(AND(#REF!="Diferenciado",$H$4=#REF!),BDI!#REF!,IF(#REF!="ZERO",0))))),"")</f>
        <v>#REF!</v>
      </c>
      <c r="H2712" s="139" t="str">
        <f t="shared" si="148"/>
        <v/>
      </c>
      <c r="I2712" s="137" t="str">
        <f t="shared" si="149"/>
        <v/>
      </c>
      <c r="J2712" s="117"/>
    </row>
    <row r="2713" spans="1:10" hidden="1" x14ac:dyDescent="0.25">
      <c r="A2713" s="114" t="s">
        <v>5816</v>
      </c>
      <c r="B2713" s="115" t="s">
        <v>5866</v>
      </c>
      <c r="C2713" s="116" t="s">
        <v>16</v>
      </c>
      <c r="D2713" s="116">
        <v>0</v>
      </c>
      <c r="E2713" s="136" t="s">
        <v>416</v>
      </c>
      <c r="F2713" s="137" t="str">
        <f t="shared" si="147"/>
        <v/>
      </c>
      <c r="G2713" s="138" t="e">
        <f>IF(A2713&lt;&gt;"",IF(AND(#REF!="Padrão",$H$4=#REF!),BDI!$B$17,IF(AND(#REF!="Padrão",$H$4=#REF!),BDI!#REF!,IF(AND(#REF!="Diferenciado",$H$4=#REF!),BDI!$E$17,IF(AND(#REF!="Diferenciado",$H$4=#REF!),BDI!#REF!,IF(#REF!="ZERO",0))))),"")</f>
        <v>#REF!</v>
      </c>
      <c r="H2713" s="139" t="str">
        <f t="shared" si="148"/>
        <v/>
      </c>
      <c r="I2713" s="137" t="str">
        <f t="shared" si="149"/>
        <v/>
      </c>
      <c r="J2713" s="117"/>
    </row>
    <row r="2714" spans="1:10" hidden="1" x14ac:dyDescent="0.25">
      <c r="A2714" s="114" t="s">
        <v>5817</v>
      </c>
      <c r="B2714" s="115" t="s">
        <v>5867</v>
      </c>
      <c r="C2714" s="116" t="s">
        <v>16</v>
      </c>
      <c r="D2714" s="116">
        <v>0</v>
      </c>
      <c r="E2714" s="136">
        <f ca="1">OFFSET(INDEX(Composições!A:J,MATCH(Orçamentária!A2714,Composições!A:A,0),8),2,0)</f>
        <v>47.417608440249602</v>
      </c>
      <c r="F2714" s="137">
        <f t="shared" ca="1" si="147"/>
        <v>0</v>
      </c>
      <c r="G2714" s="138" t="e">
        <f>IF(A2714&lt;&gt;"",IF(AND(#REF!="Padrão",$H$4=#REF!),BDI!$B$17,IF(AND(#REF!="Padrão",$H$4=#REF!),BDI!#REF!,IF(AND(#REF!="Diferenciado",$H$4=#REF!),BDI!$E$17,IF(AND(#REF!="Diferenciado",$H$4=#REF!),BDI!#REF!,IF(#REF!="ZERO",0))))),"")</f>
        <v>#REF!</v>
      </c>
      <c r="H2714" s="139" t="e">
        <f t="shared" ca="1" si="148"/>
        <v>#REF!</v>
      </c>
      <c r="I2714" s="137" t="e">
        <f t="shared" ca="1" si="149"/>
        <v>#REF!</v>
      </c>
      <c r="J2714" s="117"/>
    </row>
    <row r="2715" spans="1:10" hidden="1" x14ac:dyDescent="0.25">
      <c r="A2715" s="114" t="s">
        <v>5818</v>
      </c>
      <c r="B2715" s="115" t="s">
        <v>5868</v>
      </c>
      <c r="C2715" s="116" t="s">
        <v>16</v>
      </c>
      <c r="D2715" s="116">
        <v>0</v>
      </c>
      <c r="E2715" s="136">
        <f ca="1">OFFSET(INDEX(Composições!A:J,MATCH(Orçamentária!A2715,Composições!A:A,0),8),2,0)</f>
        <v>47.417608440249602</v>
      </c>
      <c r="F2715" s="137">
        <f t="shared" ca="1" si="147"/>
        <v>0</v>
      </c>
      <c r="G2715" s="138" t="e">
        <f>IF(A2715&lt;&gt;"",IF(AND(#REF!="Padrão",$H$4=#REF!),BDI!$B$17,IF(AND(#REF!="Padrão",$H$4=#REF!),BDI!#REF!,IF(AND(#REF!="Diferenciado",$H$4=#REF!),BDI!$E$17,IF(AND(#REF!="Diferenciado",$H$4=#REF!),BDI!#REF!,IF(#REF!="ZERO",0))))),"")</f>
        <v>#REF!</v>
      </c>
      <c r="H2715" s="139" t="e">
        <f t="shared" ca="1" si="148"/>
        <v>#REF!</v>
      </c>
      <c r="I2715" s="137" t="e">
        <f t="shared" ca="1" si="149"/>
        <v>#REF!</v>
      </c>
      <c r="J2715" s="117"/>
    </row>
    <row r="2716" spans="1:10" hidden="1" x14ac:dyDescent="0.25">
      <c r="A2716" s="114" t="s">
        <v>5819</v>
      </c>
      <c r="B2716" s="115" t="s">
        <v>5869</v>
      </c>
      <c r="C2716" s="116" t="s">
        <v>16</v>
      </c>
      <c r="D2716" s="116">
        <v>0</v>
      </c>
      <c r="E2716" s="136" t="s">
        <v>416</v>
      </c>
      <c r="F2716" s="137" t="str">
        <f t="shared" si="147"/>
        <v/>
      </c>
      <c r="G2716" s="138" t="e">
        <f>IF(A2716&lt;&gt;"",IF(AND(#REF!="Padrão",$H$4=#REF!),BDI!$B$17,IF(AND(#REF!="Padrão",$H$4=#REF!),BDI!#REF!,IF(AND(#REF!="Diferenciado",$H$4=#REF!),BDI!$E$17,IF(AND(#REF!="Diferenciado",$H$4=#REF!),BDI!#REF!,IF(#REF!="ZERO",0))))),"")</f>
        <v>#REF!</v>
      </c>
      <c r="H2716" s="139" t="str">
        <f t="shared" si="148"/>
        <v/>
      </c>
      <c r="I2716" s="137" t="str">
        <f t="shared" si="149"/>
        <v/>
      </c>
      <c r="J2716" s="117"/>
    </row>
    <row r="2717" spans="1:10" hidden="1" x14ac:dyDescent="0.25">
      <c r="A2717" s="114" t="s">
        <v>5820</v>
      </c>
      <c r="B2717" s="115" t="s">
        <v>5870</v>
      </c>
      <c r="C2717" s="116" t="s">
        <v>16</v>
      </c>
      <c r="D2717" s="116">
        <v>0</v>
      </c>
      <c r="E2717" s="136" t="s">
        <v>416</v>
      </c>
      <c r="F2717" s="137" t="str">
        <f t="shared" si="147"/>
        <v/>
      </c>
      <c r="G2717" s="138" t="e">
        <f>IF(A2717&lt;&gt;"",IF(AND(#REF!="Padrão",$H$4=#REF!),BDI!$B$17,IF(AND(#REF!="Padrão",$H$4=#REF!),BDI!#REF!,IF(AND(#REF!="Diferenciado",$H$4=#REF!),BDI!$E$17,IF(AND(#REF!="Diferenciado",$H$4=#REF!),BDI!#REF!,IF(#REF!="ZERO",0))))),"")</f>
        <v>#REF!</v>
      </c>
      <c r="H2717" s="139" t="str">
        <f t="shared" si="148"/>
        <v/>
      </c>
      <c r="I2717" s="137" t="str">
        <f t="shared" si="149"/>
        <v/>
      </c>
      <c r="J2717" s="117"/>
    </row>
    <row r="2718" spans="1:10" hidden="1" x14ac:dyDescent="0.25">
      <c r="A2718" s="114" t="s">
        <v>5821</v>
      </c>
      <c r="B2718" s="115" t="s">
        <v>5871</v>
      </c>
      <c r="C2718" s="116" t="s">
        <v>16</v>
      </c>
      <c r="D2718" s="116">
        <v>0</v>
      </c>
      <c r="E2718" s="136" t="s">
        <v>416</v>
      </c>
      <c r="F2718" s="137" t="str">
        <f t="shared" si="147"/>
        <v/>
      </c>
      <c r="G2718" s="138" t="e">
        <f>IF(A2718&lt;&gt;"",IF(AND(#REF!="Padrão",$H$4=#REF!),BDI!$B$17,IF(AND(#REF!="Padrão",$H$4=#REF!),BDI!#REF!,IF(AND(#REF!="Diferenciado",$H$4=#REF!),BDI!$E$17,IF(AND(#REF!="Diferenciado",$H$4=#REF!),BDI!#REF!,IF(#REF!="ZERO",0))))),"")</f>
        <v>#REF!</v>
      </c>
      <c r="H2718" s="139" t="str">
        <f t="shared" si="148"/>
        <v/>
      </c>
      <c r="I2718" s="137" t="str">
        <f t="shared" si="149"/>
        <v/>
      </c>
      <c r="J2718" s="117"/>
    </row>
    <row r="2719" spans="1:10" hidden="1" x14ac:dyDescent="0.25">
      <c r="A2719" s="114" t="s">
        <v>5822</v>
      </c>
      <c r="B2719" s="115" t="s">
        <v>5872</v>
      </c>
      <c r="C2719" s="116" t="s">
        <v>16</v>
      </c>
      <c r="D2719" s="116">
        <v>0</v>
      </c>
      <c r="E2719" s="136" t="s">
        <v>416</v>
      </c>
      <c r="F2719" s="137" t="str">
        <f t="shared" si="147"/>
        <v/>
      </c>
      <c r="G2719" s="138" t="e">
        <f>IF(A2719&lt;&gt;"",IF(AND(#REF!="Padrão",$H$4=#REF!),BDI!$B$17,IF(AND(#REF!="Padrão",$H$4=#REF!),BDI!#REF!,IF(AND(#REF!="Diferenciado",$H$4=#REF!),BDI!$E$17,IF(AND(#REF!="Diferenciado",$H$4=#REF!),BDI!#REF!,IF(#REF!="ZERO",0))))),"")</f>
        <v>#REF!</v>
      </c>
      <c r="H2719" s="139" t="str">
        <f t="shared" si="148"/>
        <v/>
      </c>
      <c r="I2719" s="137" t="str">
        <f t="shared" si="149"/>
        <v/>
      </c>
      <c r="J2719" s="117"/>
    </row>
    <row r="2720" spans="1:10" hidden="1" x14ac:dyDescent="0.25">
      <c r="A2720" s="114" t="s">
        <v>5823</v>
      </c>
      <c r="B2720" s="115" t="s">
        <v>5426</v>
      </c>
      <c r="C2720" s="116" t="s">
        <v>16</v>
      </c>
      <c r="D2720" s="116">
        <v>0</v>
      </c>
      <c r="E2720" s="136" t="s">
        <v>416</v>
      </c>
      <c r="F2720" s="137" t="str">
        <f t="shared" si="147"/>
        <v/>
      </c>
      <c r="G2720" s="138" t="e">
        <f>IF(A2720&lt;&gt;"",IF(AND(#REF!="Padrão",$H$4=#REF!),BDI!$B$17,IF(AND(#REF!="Padrão",$H$4=#REF!),BDI!#REF!,IF(AND(#REF!="Diferenciado",$H$4=#REF!),BDI!$E$17,IF(AND(#REF!="Diferenciado",$H$4=#REF!),BDI!#REF!,IF(#REF!="ZERO",0))))),"")</f>
        <v>#REF!</v>
      </c>
      <c r="H2720" s="139" t="str">
        <f t="shared" si="148"/>
        <v/>
      </c>
      <c r="I2720" s="137" t="str">
        <f t="shared" si="149"/>
        <v/>
      </c>
      <c r="J2720" s="117"/>
    </row>
    <row r="2721" spans="1:10" hidden="1" x14ac:dyDescent="0.25">
      <c r="A2721" s="114" t="s">
        <v>5824</v>
      </c>
      <c r="B2721" s="115" t="s">
        <v>5427</v>
      </c>
      <c r="C2721" s="116" t="s">
        <v>16</v>
      </c>
      <c r="D2721" s="116">
        <v>0</v>
      </c>
      <c r="E2721" s="136" t="s">
        <v>416</v>
      </c>
      <c r="F2721" s="137" t="str">
        <f t="shared" si="147"/>
        <v/>
      </c>
      <c r="G2721" s="138" t="e">
        <f>IF(A2721&lt;&gt;"",IF(AND(#REF!="Padrão",$H$4=#REF!),BDI!$B$17,IF(AND(#REF!="Padrão",$H$4=#REF!),BDI!#REF!,IF(AND(#REF!="Diferenciado",$H$4=#REF!),BDI!$E$17,IF(AND(#REF!="Diferenciado",$H$4=#REF!),BDI!#REF!,IF(#REF!="ZERO",0))))),"")</f>
        <v>#REF!</v>
      </c>
      <c r="H2721" s="139" t="str">
        <f t="shared" si="148"/>
        <v/>
      </c>
      <c r="I2721" s="137" t="str">
        <f t="shared" si="149"/>
        <v/>
      </c>
      <c r="J2721" s="117"/>
    </row>
    <row r="2722" spans="1:10" hidden="1" x14ac:dyDescent="0.25">
      <c r="A2722" s="114" t="s">
        <v>5825</v>
      </c>
      <c r="B2722" s="115" t="s">
        <v>5873</v>
      </c>
      <c r="C2722" s="116" t="s">
        <v>16</v>
      </c>
      <c r="D2722" s="116">
        <v>0</v>
      </c>
      <c r="E2722" s="136">
        <f ca="1">OFFSET(INDEX(Composições!A:J,MATCH(Orçamentária!A2722,Composições!A:A,0),8),2,0)</f>
        <v>14.3925</v>
      </c>
      <c r="F2722" s="137">
        <f t="shared" ca="1" si="147"/>
        <v>0</v>
      </c>
      <c r="G2722" s="138" t="e">
        <f>IF(A2722&lt;&gt;"",IF(AND(#REF!="Padrão",$H$4=#REF!),BDI!$B$17,IF(AND(#REF!="Padrão",$H$4=#REF!),BDI!#REF!,IF(AND(#REF!="Diferenciado",$H$4=#REF!),BDI!$E$17,IF(AND(#REF!="Diferenciado",$H$4=#REF!),BDI!#REF!,IF(#REF!="ZERO",0))))),"")</f>
        <v>#REF!</v>
      </c>
      <c r="H2722" s="139" t="e">
        <f t="shared" ca="1" si="148"/>
        <v>#REF!</v>
      </c>
      <c r="I2722" s="137" t="e">
        <f t="shared" ca="1" si="149"/>
        <v>#REF!</v>
      </c>
      <c r="J2722" s="117"/>
    </row>
    <row r="2723" spans="1:10" hidden="1" x14ac:dyDescent="0.25">
      <c r="A2723" s="114" t="s">
        <v>5826</v>
      </c>
      <c r="B2723" s="115" t="s">
        <v>5874</v>
      </c>
      <c r="C2723" s="116" t="s">
        <v>16</v>
      </c>
      <c r="D2723" s="116">
        <v>0</v>
      </c>
      <c r="E2723" s="136" t="s">
        <v>416</v>
      </c>
      <c r="F2723" s="137" t="str">
        <f t="shared" si="147"/>
        <v/>
      </c>
      <c r="G2723" s="138" t="e">
        <f>IF(A2723&lt;&gt;"",IF(AND(#REF!="Padrão",$H$4=#REF!),BDI!$B$17,IF(AND(#REF!="Padrão",$H$4=#REF!),BDI!#REF!,IF(AND(#REF!="Diferenciado",$H$4=#REF!),BDI!$E$17,IF(AND(#REF!="Diferenciado",$H$4=#REF!),BDI!#REF!,IF(#REF!="ZERO",0))))),"")</f>
        <v>#REF!</v>
      </c>
      <c r="H2723" s="139" t="str">
        <f t="shared" si="148"/>
        <v/>
      </c>
      <c r="I2723" s="137" t="str">
        <f t="shared" si="149"/>
        <v/>
      </c>
      <c r="J2723" s="117"/>
    </row>
    <row r="2724" spans="1:10" hidden="1" x14ac:dyDescent="0.25">
      <c r="A2724" s="114" t="s">
        <v>5827</v>
      </c>
      <c r="B2724" s="115" t="s">
        <v>3035</v>
      </c>
      <c r="C2724" s="116" t="s">
        <v>16</v>
      </c>
      <c r="D2724" s="116">
        <v>0</v>
      </c>
      <c r="E2724" s="136">
        <f ca="1">OFFSET(INDEX(Composições!A:J,MATCH(Orçamentária!A2724,Composições!A:A,0),8),2,0)</f>
        <v>2.8499999999999996</v>
      </c>
      <c r="F2724" s="137">
        <f t="shared" ca="1" si="147"/>
        <v>0</v>
      </c>
      <c r="G2724" s="138" t="e">
        <f>IF(A2724&lt;&gt;"",IF(AND(#REF!="Padrão",$H$4=#REF!),BDI!$B$17,IF(AND(#REF!="Padrão",$H$4=#REF!),BDI!#REF!,IF(AND(#REF!="Diferenciado",$H$4=#REF!),BDI!$E$17,IF(AND(#REF!="Diferenciado",$H$4=#REF!),BDI!#REF!,IF(#REF!="ZERO",0))))),"")</f>
        <v>#REF!</v>
      </c>
      <c r="H2724" s="139" t="e">
        <f t="shared" ca="1" si="148"/>
        <v>#REF!</v>
      </c>
      <c r="I2724" s="137" t="e">
        <f t="shared" ca="1" si="149"/>
        <v>#REF!</v>
      </c>
      <c r="J2724" s="117"/>
    </row>
    <row r="2725" spans="1:10" hidden="1" x14ac:dyDescent="0.25">
      <c r="A2725" s="114" t="s">
        <v>5828</v>
      </c>
      <c r="B2725" s="115" t="s">
        <v>5875</v>
      </c>
      <c r="C2725" s="116" t="s">
        <v>28</v>
      </c>
      <c r="D2725" s="116">
        <v>0</v>
      </c>
      <c r="E2725" s="136">
        <f ca="1">OFFSET(INDEX(Composições!A:J,MATCH(Orçamentária!A2725,Composições!A:A,0),8),2,0)</f>
        <v>3.4579999999999997</v>
      </c>
      <c r="F2725" s="137">
        <f t="shared" ca="1" si="147"/>
        <v>0</v>
      </c>
      <c r="G2725" s="138" t="e">
        <f>IF(A2725&lt;&gt;"",IF(AND(#REF!="Padrão",$H$4=#REF!),BDI!$B$17,IF(AND(#REF!="Padrão",$H$4=#REF!),BDI!#REF!,IF(AND(#REF!="Diferenciado",$H$4=#REF!),BDI!$E$17,IF(AND(#REF!="Diferenciado",$H$4=#REF!),BDI!#REF!,IF(#REF!="ZERO",0))))),"")</f>
        <v>#REF!</v>
      </c>
      <c r="H2725" s="139" t="e">
        <f t="shared" ca="1" si="148"/>
        <v>#REF!</v>
      </c>
      <c r="I2725" s="137" t="e">
        <f t="shared" ca="1" si="149"/>
        <v>#REF!</v>
      </c>
      <c r="J2725" s="117"/>
    </row>
    <row r="2726" spans="1:10" hidden="1" x14ac:dyDescent="0.25">
      <c r="A2726" s="114" t="s">
        <v>5829</v>
      </c>
      <c r="B2726" s="115" t="s">
        <v>5876</v>
      </c>
      <c r="C2726" s="116" t="s">
        <v>28</v>
      </c>
      <c r="D2726" s="116">
        <v>0</v>
      </c>
      <c r="E2726" s="136" t="s">
        <v>416</v>
      </c>
      <c r="F2726" s="137" t="str">
        <f t="shared" si="147"/>
        <v/>
      </c>
      <c r="G2726" s="138" t="e">
        <f>IF(A2726&lt;&gt;"",IF(AND(#REF!="Padrão",$H$4=#REF!),BDI!$B$17,IF(AND(#REF!="Padrão",$H$4=#REF!),BDI!#REF!,IF(AND(#REF!="Diferenciado",$H$4=#REF!),BDI!$E$17,IF(AND(#REF!="Diferenciado",$H$4=#REF!),BDI!#REF!,IF(#REF!="ZERO",0))))),"")</f>
        <v>#REF!</v>
      </c>
      <c r="H2726" s="139" t="str">
        <f t="shared" si="148"/>
        <v/>
      </c>
      <c r="I2726" s="137" t="str">
        <f t="shared" si="149"/>
        <v/>
      </c>
      <c r="J2726" s="117"/>
    </row>
    <row r="2727" spans="1:10" hidden="1" x14ac:dyDescent="0.25">
      <c r="A2727" s="114" t="s">
        <v>5830</v>
      </c>
      <c r="B2727" s="115" t="s">
        <v>3045</v>
      </c>
      <c r="C2727" s="116" t="s">
        <v>16</v>
      </c>
      <c r="D2727" s="116">
        <v>0</v>
      </c>
      <c r="E2727" s="136" t="s">
        <v>416</v>
      </c>
      <c r="F2727" s="137" t="str">
        <f t="shared" si="147"/>
        <v/>
      </c>
      <c r="G2727" s="138" t="e">
        <f>IF(A2727&lt;&gt;"",IF(AND(#REF!="Padrão",$H$4=#REF!),BDI!$B$17,IF(AND(#REF!="Padrão",$H$4=#REF!),BDI!#REF!,IF(AND(#REF!="Diferenciado",$H$4=#REF!),BDI!$E$17,IF(AND(#REF!="Diferenciado",$H$4=#REF!),BDI!#REF!,IF(#REF!="ZERO",0))))),"")</f>
        <v>#REF!</v>
      </c>
      <c r="H2727" s="139" t="str">
        <f t="shared" si="148"/>
        <v/>
      </c>
      <c r="I2727" s="137" t="str">
        <f t="shared" si="149"/>
        <v/>
      </c>
      <c r="J2727" s="117"/>
    </row>
    <row r="2728" spans="1:10" hidden="1" x14ac:dyDescent="0.25">
      <c r="A2728" s="114" t="s">
        <v>5831</v>
      </c>
      <c r="B2728" s="115" t="s">
        <v>5877</v>
      </c>
      <c r="C2728" s="116" t="s">
        <v>16</v>
      </c>
      <c r="D2728" s="116">
        <v>0</v>
      </c>
      <c r="E2728" s="136" t="s">
        <v>416</v>
      </c>
      <c r="F2728" s="137" t="str">
        <f t="shared" si="147"/>
        <v/>
      </c>
      <c r="G2728" s="138" t="e">
        <f>IF(A2728&lt;&gt;"",IF(AND(#REF!="Padrão",$H$4=#REF!),BDI!$B$17,IF(AND(#REF!="Padrão",$H$4=#REF!),BDI!#REF!,IF(AND(#REF!="Diferenciado",$H$4=#REF!),BDI!$E$17,IF(AND(#REF!="Diferenciado",$H$4=#REF!),BDI!#REF!,IF(#REF!="ZERO",0))))),"")</f>
        <v>#REF!</v>
      </c>
      <c r="H2728" s="139" t="str">
        <f t="shared" si="148"/>
        <v/>
      </c>
      <c r="I2728" s="137" t="str">
        <f t="shared" si="149"/>
        <v/>
      </c>
      <c r="J2728" s="117"/>
    </row>
    <row r="2729" spans="1:10" hidden="1" x14ac:dyDescent="0.25">
      <c r="A2729" s="114" t="s">
        <v>5832</v>
      </c>
      <c r="B2729" s="115" t="s">
        <v>5423</v>
      </c>
      <c r="C2729" s="116" t="s">
        <v>16</v>
      </c>
      <c r="D2729" s="116">
        <v>0</v>
      </c>
      <c r="E2729" s="136">
        <f ca="1">OFFSET(INDEX(Composições!A:J,MATCH(Orçamentária!A2729,Composições!A:A,0),8),2,0)</f>
        <v>38.949999999999996</v>
      </c>
      <c r="F2729" s="137">
        <f t="shared" ca="1" si="147"/>
        <v>0</v>
      </c>
      <c r="G2729" s="138" t="e">
        <f>IF(A2729&lt;&gt;"",IF(AND(#REF!="Padrão",$H$4=#REF!),BDI!$B$17,IF(AND(#REF!="Padrão",$H$4=#REF!),BDI!#REF!,IF(AND(#REF!="Diferenciado",$H$4=#REF!),BDI!$E$17,IF(AND(#REF!="Diferenciado",$H$4=#REF!),BDI!#REF!,IF(#REF!="ZERO",0))))),"")</f>
        <v>#REF!</v>
      </c>
      <c r="H2729" s="139" t="e">
        <f t="shared" ca="1" si="148"/>
        <v>#REF!</v>
      </c>
      <c r="I2729" s="137" t="e">
        <f t="shared" ca="1" si="149"/>
        <v>#REF!</v>
      </c>
      <c r="J2729" s="117"/>
    </row>
    <row r="2730" spans="1:10" hidden="1" x14ac:dyDescent="0.25">
      <c r="A2730" s="114" t="s">
        <v>5833</v>
      </c>
      <c r="B2730" s="115" t="s">
        <v>2477</v>
      </c>
      <c r="C2730" s="116" t="s">
        <v>16</v>
      </c>
      <c r="D2730" s="116">
        <v>0</v>
      </c>
      <c r="E2730" s="136" t="s">
        <v>416</v>
      </c>
      <c r="F2730" s="137" t="str">
        <f t="shared" si="147"/>
        <v/>
      </c>
      <c r="G2730" s="138" t="e">
        <f>IF(A2730&lt;&gt;"",IF(AND(#REF!="Padrão",$H$4=#REF!),BDI!$B$17,IF(AND(#REF!="Padrão",$H$4=#REF!),BDI!#REF!,IF(AND(#REF!="Diferenciado",$H$4=#REF!),BDI!$E$17,IF(AND(#REF!="Diferenciado",$H$4=#REF!),BDI!#REF!,IF(#REF!="ZERO",0))))),"")</f>
        <v>#REF!</v>
      </c>
      <c r="H2730" s="139" t="str">
        <f t="shared" si="148"/>
        <v/>
      </c>
      <c r="I2730" s="137" t="str">
        <f t="shared" si="149"/>
        <v/>
      </c>
      <c r="J2730" s="117"/>
    </row>
    <row r="2731" spans="1:10" hidden="1" x14ac:dyDescent="0.25">
      <c r="A2731" s="114" t="s">
        <v>5834</v>
      </c>
      <c r="B2731" s="115" t="s">
        <v>5878</v>
      </c>
      <c r="C2731" s="116" t="s">
        <v>16</v>
      </c>
      <c r="D2731" s="116">
        <v>0</v>
      </c>
      <c r="E2731" s="136" t="s">
        <v>416</v>
      </c>
      <c r="F2731" s="137" t="str">
        <f t="shared" si="147"/>
        <v/>
      </c>
      <c r="G2731" s="138" t="e">
        <f>IF(A2731&lt;&gt;"",IF(AND(#REF!="Padrão",$H$4=#REF!),BDI!$B$17,IF(AND(#REF!="Padrão",$H$4=#REF!),BDI!#REF!,IF(AND(#REF!="Diferenciado",$H$4=#REF!),BDI!$E$17,IF(AND(#REF!="Diferenciado",$H$4=#REF!),BDI!#REF!,IF(#REF!="ZERO",0))))),"")</f>
        <v>#REF!</v>
      </c>
      <c r="H2731" s="139" t="str">
        <f t="shared" si="148"/>
        <v/>
      </c>
      <c r="I2731" s="137" t="str">
        <f t="shared" si="149"/>
        <v/>
      </c>
      <c r="J2731" s="117"/>
    </row>
    <row r="2732" spans="1:10" hidden="1" x14ac:dyDescent="0.25">
      <c r="A2732" s="114" t="s">
        <v>5835</v>
      </c>
      <c r="B2732" s="115" t="s">
        <v>5879</v>
      </c>
      <c r="C2732" s="116" t="s">
        <v>16</v>
      </c>
      <c r="D2732" s="116">
        <v>0</v>
      </c>
      <c r="E2732" s="136" t="s">
        <v>416</v>
      </c>
      <c r="F2732" s="137" t="str">
        <f t="shared" si="147"/>
        <v/>
      </c>
      <c r="G2732" s="138" t="e">
        <f>IF(A2732&lt;&gt;"",IF(AND(#REF!="Padrão",$H$4=#REF!),BDI!$B$17,IF(AND(#REF!="Padrão",$H$4=#REF!),BDI!#REF!,IF(AND(#REF!="Diferenciado",$H$4=#REF!),BDI!$E$17,IF(AND(#REF!="Diferenciado",$H$4=#REF!),BDI!#REF!,IF(#REF!="ZERO",0))))),"")</f>
        <v>#REF!</v>
      </c>
      <c r="H2732" s="139" t="str">
        <f t="shared" si="148"/>
        <v/>
      </c>
      <c r="I2732" s="137" t="str">
        <f t="shared" si="149"/>
        <v/>
      </c>
      <c r="J2732" s="117"/>
    </row>
    <row r="2733" spans="1:10" hidden="1" x14ac:dyDescent="0.25">
      <c r="A2733" s="114" t="s">
        <v>5836</v>
      </c>
      <c r="B2733" s="115" t="s">
        <v>7381</v>
      </c>
      <c r="C2733" s="116" t="s">
        <v>16</v>
      </c>
      <c r="D2733" s="116">
        <v>0</v>
      </c>
      <c r="E2733" s="136" t="s">
        <v>416</v>
      </c>
      <c r="F2733" s="137" t="str">
        <f t="shared" si="147"/>
        <v/>
      </c>
      <c r="G2733" s="138" t="e">
        <f>IF(A2733&lt;&gt;"",IF(AND(#REF!="Padrão",$H$4=#REF!),BDI!$B$17,IF(AND(#REF!="Padrão",$H$4=#REF!),BDI!#REF!,IF(AND(#REF!="Diferenciado",$H$4=#REF!),BDI!$E$17,IF(AND(#REF!="Diferenciado",$H$4=#REF!),BDI!#REF!,IF(#REF!="ZERO",0))))),"")</f>
        <v>#REF!</v>
      </c>
      <c r="H2733" s="139" t="str">
        <f t="shared" si="148"/>
        <v/>
      </c>
      <c r="I2733" s="137" t="str">
        <f t="shared" si="149"/>
        <v/>
      </c>
      <c r="J2733" s="117"/>
    </row>
    <row r="2734" spans="1:10" hidden="1" x14ac:dyDescent="0.25">
      <c r="A2734" s="114" t="s">
        <v>5837</v>
      </c>
      <c r="B2734" s="115" t="s">
        <v>7382</v>
      </c>
      <c r="C2734" s="116" t="s">
        <v>16</v>
      </c>
      <c r="D2734" s="116">
        <v>0</v>
      </c>
      <c r="E2734" s="136" t="s">
        <v>416</v>
      </c>
      <c r="F2734" s="137" t="str">
        <f t="shared" si="147"/>
        <v/>
      </c>
      <c r="G2734" s="138" t="e">
        <f>IF(A2734&lt;&gt;"",IF(AND(#REF!="Padrão",$H$4=#REF!),BDI!$B$17,IF(AND(#REF!="Padrão",$H$4=#REF!),BDI!#REF!,IF(AND(#REF!="Diferenciado",$H$4=#REF!),BDI!$E$17,IF(AND(#REF!="Diferenciado",$H$4=#REF!),BDI!#REF!,IF(#REF!="ZERO",0))))),"")</f>
        <v>#REF!</v>
      </c>
      <c r="H2734" s="139" t="str">
        <f t="shared" si="148"/>
        <v/>
      </c>
      <c r="I2734" s="137" t="str">
        <f t="shared" si="149"/>
        <v/>
      </c>
      <c r="J2734" s="117"/>
    </row>
    <row r="2735" spans="1:10" hidden="1" x14ac:dyDescent="0.25">
      <c r="A2735" s="114" t="s">
        <v>5838</v>
      </c>
      <c r="B2735" s="115" t="s">
        <v>5880</v>
      </c>
      <c r="C2735" s="116" t="s">
        <v>16</v>
      </c>
      <c r="D2735" s="116">
        <v>0</v>
      </c>
      <c r="E2735" s="136">
        <f ca="1">OFFSET(INDEX(Composições!A:J,MATCH(Orçamentária!A2735,Composições!A:A,0),8),2,0)</f>
        <v>149.15</v>
      </c>
      <c r="F2735" s="137">
        <f t="shared" ca="1" si="147"/>
        <v>0</v>
      </c>
      <c r="G2735" s="138" t="e">
        <f>IF(A2735&lt;&gt;"",IF(AND(#REF!="Padrão",$H$4=#REF!),BDI!$B$17,IF(AND(#REF!="Padrão",$H$4=#REF!),BDI!#REF!,IF(AND(#REF!="Diferenciado",$H$4=#REF!),BDI!$E$17,IF(AND(#REF!="Diferenciado",$H$4=#REF!),BDI!#REF!,IF(#REF!="ZERO",0))))),"")</f>
        <v>#REF!</v>
      </c>
      <c r="H2735" s="139" t="e">
        <f t="shared" ca="1" si="148"/>
        <v>#REF!</v>
      </c>
      <c r="I2735" s="137" t="e">
        <f t="shared" ca="1" si="149"/>
        <v>#REF!</v>
      </c>
      <c r="J2735" s="117"/>
    </row>
    <row r="2736" spans="1:10" hidden="1" x14ac:dyDescent="0.25">
      <c r="A2736" s="114" t="s">
        <v>5839</v>
      </c>
      <c r="B2736" s="115" t="s">
        <v>5881</v>
      </c>
      <c r="C2736" s="116" t="s">
        <v>16</v>
      </c>
      <c r="D2736" s="116">
        <v>0</v>
      </c>
      <c r="E2736" s="136">
        <f ca="1">OFFSET(INDEX(Composições!A:J,MATCH(Orçamentária!A2736,Composições!A:A,0),8),2,0)</f>
        <v>159.03</v>
      </c>
      <c r="F2736" s="137">
        <f t="shared" ca="1" si="147"/>
        <v>0</v>
      </c>
      <c r="G2736" s="138" t="e">
        <f>IF(A2736&lt;&gt;"",IF(AND(#REF!="Padrão",$H$4=#REF!),BDI!$B$17,IF(AND(#REF!="Padrão",$H$4=#REF!),BDI!#REF!,IF(AND(#REF!="Diferenciado",$H$4=#REF!),BDI!$E$17,IF(AND(#REF!="Diferenciado",$H$4=#REF!),BDI!#REF!,IF(#REF!="ZERO",0))))),"")</f>
        <v>#REF!</v>
      </c>
      <c r="H2736" s="139" t="e">
        <f t="shared" ca="1" si="148"/>
        <v>#REF!</v>
      </c>
      <c r="I2736" s="137" t="e">
        <f t="shared" ca="1" si="149"/>
        <v>#REF!</v>
      </c>
      <c r="J2736" s="117"/>
    </row>
    <row r="2737" spans="1:10" hidden="1" x14ac:dyDescent="0.25">
      <c r="A2737" s="114" t="s">
        <v>5840</v>
      </c>
      <c r="B2737" s="115" t="s">
        <v>7383</v>
      </c>
      <c r="C2737" s="116" t="s">
        <v>16</v>
      </c>
      <c r="D2737" s="116">
        <v>0</v>
      </c>
      <c r="E2737" s="136" t="s">
        <v>416</v>
      </c>
      <c r="F2737" s="137" t="str">
        <f t="shared" si="147"/>
        <v/>
      </c>
      <c r="G2737" s="138" t="e">
        <f>IF(A2737&lt;&gt;"",IF(AND(#REF!="Padrão",$H$4=#REF!),BDI!$B$17,IF(AND(#REF!="Padrão",$H$4=#REF!),BDI!#REF!,IF(AND(#REF!="Diferenciado",$H$4=#REF!),BDI!$E$17,IF(AND(#REF!="Diferenciado",$H$4=#REF!),BDI!#REF!,IF(#REF!="ZERO",0))))),"")</f>
        <v>#REF!</v>
      </c>
      <c r="H2737" s="139" t="str">
        <f t="shared" si="148"/>
        <v/>
      </c>
      <c r="I2737" s="137" t="str">
        <f t="shared" si="149"/>
        <v/>
      </c>
      <c r="J2737" s="117"/>
    </row>
    <row r="2738" spans="1:10" hidden="1" x14ac:dyDescent="0.25">
      <c r="A2738" s="114" t="s">
        <v>5841</v>
      </c>
      <c r="B2738" s="115" t="s">
        <v>5882</v>
      </c>
      <c r="C2738" s="116" t="s">
        <v>16</v>
      </c>
      <c r="D2738" s="116">
        <v>0</v>
      </c>
      <c r="E2738" s="136" t="s">
        <v>416</v>
      </c>
      <c r="F2738" s="137" t="str">
        <f t="shared" si="147"/>
        <v/>
      </c>
      <c r="G2738" s="138" t="e">
        <f>IF(A2738&lt;&gt;"",IF(AND(#REF!="Padrão",$H$4=#REF!),BDI!$B$17,IF(AND(#REF!="Padrão",$H$4=#REF!),BDI!#REF!,IF(AND(#REF!="Diferenciado",$H$4=#REF!),BDI!$E$17,IF(AND(#REF!="Diferenciado",$H$4=#REF!),BDI!#REF!,IF(#REF!="ZERO",0))))),"")</f>
        <v>#REF!</v>
      </c>
      <c r="H2738" s="139" t="str">
        <f t="shared" si="148"/>
        <v/>
      </c>
      <c r="I2738" s="137" t="str">
        <f t="shared" si="149"/>
        <v/>
      </c>
      <c r="J2738" s="117"/>
    </row>
    <row r="2739" spans="1:10" hidden="1" x14ac:dyDescent="0.25">
      <c r="A2739" s="114" t="s">
        <v>5842</v>
      </c>
      <c r="B2739" s="115" t="s">
        <v>5883</v>
      </c>
      <c r="C2739" s="116" t="s">
        <v>16</v>
      </c>
      <c r="D2739" s="116">
        <v>0</v>
      </c>
      <c r="E2739" s="136" t="s">
        <v>416</v>
      </c>
      <c r="F2739" s="137" t="str">
        <f t="shared" si="147"/>
        <v/>
      </c>
      <c r="G2739" s="138" t="e">
        <f>IF(A2739&lt;&gt;"",IF(AND(#REF!="Padrão",$H$4=#REF!),BDI!$B$17,IF(AND(#REF!="Padrão",$H$4=#REF!),BDI!#REF!,IF(AND(#REF!="Diferenciado",$H$4=#REF!),BDI!$E$17,IF(AND(#REF!="Diferenciado",$H$4=#REF!),BDI!#REF!,IF(#REF!="ZERO",0))))),"")</f>
        <v>#REF!</v>
      </c>
      <c r="H2739" s="139" t="str">
        <f t="shared" si="148"/>
        <v/>
      </c>
      <c r="I2739" s="137" t="str">
        <f t="shared" si="149"/>
        <v/>
      </c>
      <c r="J2739" s="117"/>
    </row>
    <row r="2740" spans="1:10" hidden="1" x14ac:dyDescent="0.25">
      <c r="A2740" s="114" t="s">
        <v>5843</v>
      </c>
      <c r="B2740" s="115" t="s">
        <v>5884</v>
      </c>
      <c r="C2740" s="116" t="s">
        <v>16</v>
      </c>
      <c r="D2740" s="116">
        <v>0</v>
      </c>
      <c r="E2740" s="136">
        <f ca="1">OFFSET(INDEX(Composições!A:J,MATCH(Orçamentária!A2740,Composições!A:A,0),8),2,0)</f>
        <v>4.1229999999999993</v>
      </c>
      <c r="F2740" s="137">
        <f t="shared" ca="1" si="147"/>
        <v>0</v>
      </c>
      <c r="G2740" s="138" t="e">
        <f>IF(A2740&lt;&gt;"",IF(AND(#REF!="Padrão",$H$4=#REF!),BDI!$B$17,IF(AND(#REF!="Padrão",$H$4=#REF!),BDI!#REF!,IF(AND(#REF!="Diferenciado",$H$4=#REF!),BDI!$E$17,IF(AND(#REF!="Diferenciado",$H$4=#REF!),BDI!#REF!,IF(#REF!="ZERO",0))))),"")</f>
        <v>#REF!</v>
      </c>
      <c r="H2740" s="139" t="e">
        <f t="shared" ca="1" si="148"/>
        <v>#REF!</v>
      </c>
      <c r="I2740" s="137" t="e">
        <f t="shared" ca="1" si="149"/>
        <v>#REF!</v>
      </c>
      <c r="J2740" s="117"/>
    </row>
    <row r="2741" spans="1:10" hidden="1" x14ac:dyDescent="0.25">
      <c r="A2741" s="114" t="s">
        <v>5844</v>
      </c>
      <c r="B2741" s="115" t="s">
        <v>5885</v>
      </c>
      <c r="C2741" s="116" t="s">
        <v>16</v>
      </c>
      <c r="D2741" s="116">
        <v>0</v>
      </c>
      <c r="E2741" s="136" t="s">
        <v>416</v>
      </c>
      <c r="F2741" s="137" t="str">
        <f t="shared" si="147"/>
        <v/>
      </c>
      <c r="G2741" s="138" t="e">
        <f>IF(A2741&lt;&gt;"",IF(AND(#REF!="Padrão",$H$4=#REF!),BDI!$B$17,IF(AND(#REF!="Padrão",$H$4=#REF!),BDI!#REF!,IF(AND(#REF!="Diferenciado",$H$4=#REF!),BDI!$E$17,IF(AND(#REF!="Diferenciado",$H$4=#REF!),BDI!#REF!,IF(#REF!="ZERO",0))))),"")</f>
        <v>#REF!</v>
      </c>
      <c r="H2741" s="139" t="str">
        <f t="shared" si="148"/>
        <v/>
      </c>
      <c r="I2741" s="137" t="str">
        <f t="shared" si="149"/>
        <v/>
      </c>
      <c r="J2741" s="117"/>
    </row>
    <row r="2742" spans="1:10" hidden="1" x14ac:dyDescent="0.25">
      <c r="A2742" s="114" t="s">
        <v>5845</v>
      </c>
      <c r="B2742" s="115" t="s">
        <v>5886</v>
      </c>
      <c r="C2742" s="116" t="s">
        <v>16</v>
      </c>
      <c r="D2742" s="116">
        <v>0</v>
      </c>
      <c r="E2742" s="136">
        <f ca="1">OFFSET(INDEX(Composições!A:J,MATCH(Orçamentária!A2742,Composições!A:A,0),8),2,0)</f>
        <v>224.98849999999999</v>
      </c>
      <c r="F2742" s="137">
        <f t="shared" ca="1" si="147"/>
        <v>0</v>
      </c>
      <c r="G2742" s="138" t="e">
        <f>IF(A2742&lt;&gt;"",IF(AND(#REF!="Padrão",$H$4=#REF!),BDI!$B$17,IF(AND(#REF!="Padrão",$H$4=#REF!),BDI!#REF!,IF(AND(#REF!="Diferenciado",$H$4=#REF!),BDI!$E$17,IF(AND(#REF!="Diferenciado",$H$4=#REF!),BDI!#REF!,IF(#REF!="ZERO",0))))),"")</f>
        <v>#REF!</v>
      </c>
      <c r="H2742" s="139" t="e">
        <f t="shared" ca="1" si="148"/>
        <v>#REF!</v>
      </c>
      <c r="I2742" s="137" t="e">
        <f t="shared" ca="1" si="149"/>
        <v>#REF!</v>
      </c>
      <c r="J2742" s="117"/>
    </row>
    <row r="2743" spans="1:10" hidden="1" x14ac:dyDescent="0.25">
      <c r="A2743" s="114" t="s">
        <v>5846</v>
      </c>
      <c r="B2743" s="115" t="s">
        <v>5887</v>
      </c>
      <c r="C2743" s="116" t="s">
        <v>16</v>
      </c>
      <c r="D2743" s="116">
        <v>0</v>
      </c>
      <c r="E2743" s="136" t="s">
        <v>416</v>
      </c>
      <c r="F2743" s="137" t="str">
        <f t="shared" si="147"/>
        <v/>
      </c>
      <c r="G2743" s="138" t="e">
        <f>IF(A2743&lt;&gt;"",IF(AND(#REF!="Padrão",$H$4=#REF!),BDI!$B$17,IF(AND(#REF!="Padrão",$H$4=#REF!),BDI!#REF!,IF(AND(#REF!="Diferenciado",$H$4=#REF!),BDI!$E$17,IF(AND(#REF!="Diferenciado",$H$4=#REF!),BDI!#REF!,IF(#REF!="ZERO",0))))),"")</f>
        <v>#REF!</v>
      </c>
      <c r="H2743" s="139" t="str">
        <f t="shared" si="148"/>
        <v/>
      </c>
      <c r="I2743" s="137" t="str">
        <f t="shared" si="149"/>
        <v/>
      </c>
      <c r="J2743" s="117"/>
    </row>
    <row r="2744" spans="1:10" hidden="1" x14ac:dyDescent="0.25">
      <c r="A2744" s="114" t="s">
        <v>5847</v>
      </c>
      <c r="B2744" s="115" t="s">
        <v>5888</v>
      </c>
      <c r="C2744" s="116" t="s">
        <v>16</v>
      </c>
      <c r="D2744" s="116">
        <v>0</v>
      </c>
      <c r="E2744" s="136">
        <f ca="1">OFFSET(INDEX(Composições!A:J,MATCH(Orçamentária!A2744,Composições!A:A,0),8),2,0)</f>
        <v>24.044499999999999</v>
      </c>
      <c r="F2744" s="137">
        <f t="shared" ca="1" si="147"/>
        <v>0</v>
      </c>
      <c r="G2744" s="138" t="e">
        <f>IF(A2744&lt;&gt;"",IF(AND(#REF!="Padrão",$H$4=#REF!),BDI!$B$17,IF(AND(#REF!="Padrão",$H$4=#REF!),BDI!#REF!,IF(AND(#REF!="Diferenciado",$H$4=#REF!),BDI!$E$17,IF(AND(#REF!="Diferenciado",$H$4=#REF!),BDI!#REF!,IF(#REF!="ZERO",0))))),"")</f>
        <v>#REF!</v>
      </c>
      <c r="H2744" s="139" t="e">
        <f t="shared" ca="1" si="148"/>
        <v>#REF!</v>
      </c>
      <c r="I2744" s="137" t="e">
        <f t="shared" ca="1" si="149"/>
        <v>#REF!</v>
      </c>
      <c r="J2744" s="117"/>
    </row>
    <row r="2745" spans="1:10" hidden="1" x14ac:dyDescent="0.25">
      <c r="A2745" s="114" t="s">
        <v>5848</v>
      </c>
      <c r="B2745" s="115" t="s">
        <v>5438</v>
      </c>
      <c r="C2745" s="116" t="s">
        <v>16</v>
      </c>
      <c r="D2745" s="116">
        <v>0</v>
      </c>
      <c r="E2745" s="136" t="s">
        <v>416</v>
      </c>
      <c r="F2745" s="137" t="str">
        <f t="shared" si="147"/>
        <v/>
      </c>
      <c r="G2745" s="138" t="e">
        <f>IF(A2745&lt;&gt;"",IF(AND(#REF!="Padrão",$H$4=#REF!),BDI!$B$17,IF(AND(#REF!="Padrão",$H$4=#REF!),BDI!#REF!,IF(AND(#REF!="Diferenciado",$H$4=#REF!),BDI!$E$17,IF(AND(#REF!="Diferenciado",$H$4=#REF!),BDI!#REF!,IF(#REF!="ZERO",0))))),"")</f>
        <v>#REF!</v>
      </c>
      <c r="H2745" s="139" t="str">
        <f t="shared" si="148"/>
        <v/>
      </c>
      <c r="I2745" s="137" t="str">
        <f t="shared" si="149"/>
        <v/>
      </c>
      <c r="J2745" s="117"/>
    </row>
    <row r="2746" spans="1:10" hidden="1" x14ac:dyDescent="0.25">
      <c r="A2746" s="114" t="s">
        <v>5849</v>
      </c>
      <c r="B2746" s="115" t="s">
        <v>5889</v>
      </c>
      <c r="C2746" s="116" t="s">
        <v>16</v>
      </c>
      <c r="D2746" s="116">
        <v>0</v>
      </c>
      <c r="E2746" s="136" t="s">
        <v>416</v>
      </c>
      <c r="F2746" s="137" t="str">
        <f t="shared" si="147"/>
        <v/>
      </c>
      <c r="G2746" s="138" t="e">
        <f>IF(A2746&lt;&gt;"",IF(AND(#REF!="Padrão",$H$4=#REF!),BDI!$B$17,IF(AND(#REF!="Padrão",$H$4=#REF!),BDI!#REF!,IF(AND(#REF!="Diferenciado",$H$4=#REF!),BDI!$E$17,IF(AND(#REF!="Diferenciado",$H$4=#REF!),BDI!#REF!,IF(#REF!="ZERO",0))))),"")</f>
        <v>#REF!</v>
      </c>
      <c r="H2746" s="139" t="str">
        <f t="shared" si="148"/>
        <v/>
      </c>
      <c r="I2746" s="137" t="str">
        <f t="shared" si="149"/>
        <v/>
      </c>
      <c r="J2746" s="117"/>
    </row>
    <row r="2747" spans="1:10" hidden="1" x14ac:dyDescent="0.25">
      <c r="A2747" s="114" t="s">
        <v>5850</v>
      </c>
      <c r="B2747" s="115" t="s">
        <v>5890</v>
      </c>
      <c r="C2747" s="116" t="s">
        <v>16</v>
      </c>
      <c r="D2747" s="116">
        <v>0</v>
      </c>
      <c r="E2747" s="136">
        <f ca="1">OFFSET(INDEX(Composições!A:J,MATCH(Orçamentária!A2747,Composições!A:A,0),8),2,0)</f>
        <v>47.404999999999994</v>
      </c>
      <c r="F2747" s="137">
        <f t="shared" ca="1" si="147"/>
        <v>0</v>
      </c>
      <c r="G2747" s="138" t="e">
        <f>IF(A2747&lt;&gt;"",IF(AND(#REF!="Padrão",$H$4=#REF!),BDI!$B$17,IF(AND(#REF!="Padrão",$H$4=#REF!),BDI!#REF!,IF(AND(#REF!="Diferenciado",$H$4=#REF!),BDI!$E$17,IF(AND(#REF!="Diferenciado",$H$4=#REF!),BDI!#REF!,IF(#REF!="ZERO",0))))),"")</f>
        <v>#REF!</v>
      </c>
      <c r="H2747" s="139" t="e">
        <f t="shared" ca="1" si="148"/>
        <v>#REF!</v>
      </c>
      <c r="I2747" s="137" t="e">
        <f t="shared" ca="1" si="149"/>
        <v>#REF!</v>
      </c>
      <c r="J2747" s="117"/>
    </row>
    <row r="2748" spans="1:10" hidden="1" x14ac:dyDescent="0.25">
      <c r="A2748" s="114" t="s">
        <v>5851</v>
      </c>
      <c r="B2748" s="115" t="s">
        <v>5891</v>
      </c>
      <c r="C2748" s="116" t="s">
        <v>16</v>
      </c>
      <c r="D2748" s="116">
        <v>0</v>
      </c>
      <c r="E2748" s="136">
        <f ca="1">OFFSET(INDEX(Composições!A:J,MATCH(Orçamentária!A2748,Composições!A:A,0),8),2,0)</f>
        <v>472.38749999999999</v>
      </c>
      <c r="F2748" s="137">
        <f t="shared" ca="1" si="147"/>
        <v>0</v>
      </c>
      <c r="G2748" s="138" t="e">
        <f>IF(A2748&lt;&gt;"",IF(AND(#REF!="Padrão",$H$4=#REF!),BDI!$B$17,IF(AND(#REF!="Padrão",$H$4=#REF!),BDI!#REF!,IF(AND(#REF!="Diferenciado",$H$4=#REF!),BDI!$E$17,IF(AND(#REF!="Diferenciado",$H$4=#REF!),BDI!#REF!,IF(#REF!="ZERO",0))))),"")</f>
        <v>#REF!</v>
      </c>
      <c r="H2748" s="139" t="e">
        <f t="shared" ca="1" si="148"/>
        <v>#REF!</v>
      </c>
      <c r="I2748" s="137" t="e">
        <f t="shared" ca="1" si="149"/>
        <v>#REF!</v>
      </c>
      <c r="J2748" s="117"/>
    </row>
    <row r="2749" spans="1:10" hidden="1" x14ac:dyDescent="0.25">
      <c r="A2749" s="114" t="s">
        <v>5852</v>
      </c>
      <c r="B2749" s="115" t="s">
        <v>7380</v>
      </c>
      <c r="C2749" s="116" t="s">
        <v>16</v>
      </c>
      <c r="D2749" s="116">
        <v>0</v>
      </c>
      <c r="E2749" s="136" t="s">
        <v>416</v>
      </c>
      <c r="F2749" s="137" t="str">
        <f t="shared" si="147"/>
        <v/>
      </c>
      <c r="G2749" s="138" t="e">
        <f>IF(A2749&lt;&gt;"",IF(AND(#REF!="Padrão",$H$4=#REF!),BDI!$B$17,IF(AND(#REF!="Padrão",$H$4=#REF!),BDI!#REF!,IF(AND(#REF!="Diferenciado",$H$4=#REF!),BDI!$E$17,IF(AND(#REF!="Diferenciado",$H$4=#REF!),BDI!#REF!,IF(#REF!="ZERO",0))))),"")</f>
        <v>#REF!</v>
      </c>
      <c r="H2749" s="139" t="str">
        <f t="shared" si="148"/>
        <v/>
      </c>
      <c r="I2749" s="137" t="str">
        <f t="shared" si="149"/>
        <v/>
      </c>
      <c r="J2749" s="117"/>
    </row>
    <row r="2750" spans="1:10" hidden="1" x14ac:dyDescent="0.25">
      <c r="A2750" s="114" t="s">
        <v>5853</v>
      </c>
      <c r="B2750" s="115" t="s">
        <v>5892</v>
      </c>
      <c r="C2750" s="116" t="s">
        <v>16</v>
      </c>
      <c r="D2750" s="116">
        <v>0</v>
      </c>
      <c r="E2750" s="136">
        <f ca="1">OFFSET(INDEX(Composições!A:J,MATCH(Orçamentária!A2750,Composições!A:A,0),8),2,0)</f>
        <v>332.63299999999998</v>
      </c>
      <c r="F2750" s="137">
        <f t="shared" ca="1" si="147"/>
        <v>0</v>
      </c>
      <c r="G2750" s="138" t="e">
        <f>IF(A2750&lt;&gt;"",IF(AND(#REF!="Padrão",$H$4=#REF!),BDI!$B$17,IF(AND(#REF!="Padrão",$H$4=#REF!),BDI!#REF!,IF(AND(#REF!="Diferenciado",$H$4=#REF!),BDI!$E$17,IF(AND(#REF!="Diferenciado",$H$4=#REF!),BDI!#REF!,IF(#REF!="ZERO",0))))),"")</f>
        <v>#REF!</v>
      </c>
      <c r="H2750" s="139" t="e">
        <f t="shared" ca="1" si="148"/>
        <v>#REF!</v>
      </c>
      <c r="I2750" s="137" t="e">
        <f t="shared" ca="1" si="149"/>
        <v>#REF!</v>
      </c>
      <c r="J2750" s="117"/>
    </row>
    <row r="2751" spans="1:10" hidden="1" x14ac:dyDescent="0.25">
      <c r="A2751" s="114" t="s">
        <v>5854</v>
      </c>
      <c r="B2751" s="115" t="s">
        <v>5893</v>
      </c>
      <c r="C2751" s="116" t="s">
        <v>16</v>
      </c>
      <c r="D2751" s="116">
        <v>0</v>
      </c>
      <c r="E2751" s="136" t="s">
        <v>416</v>
      </c>
      <c r="F2751" s="137" t="str">
        <f t="shared" si="147"/>
        <v/>
      </c>
      <c r="G2751" s="138" t="e">
        <f>IF(A2751&lt;&gt;"",IF(AND(#REF!="Padrão",$H$4=#REF!),BDI!$B$17,IF(AND(#REF!="Padrão",$H$4=#REF!),BDI!#REF!,IF(AND(#REF!="Diferenciado",$H$4=#REF!),BDI!$E$17,IF(AND(#REF!="Diferenciado",$H$4=#REF!),BDI!#REF!,IF(#REF!="ZERO",0))))),"")</f>
        <v>#REF!</v>
      </c>
      <c r="H2751" s="139" t="str">
        <f t="shared" si="148"/>
        <v/>
      </c>
      <c r="I2751" s="137" t="str">
        <f t="shared" si="149"/>
        <v/>
      </c>
      <c r="J2751" s="117"/>
    </row>
    <row r="2752" spans="1:10" hidden="1" x14ac:dyDescent="0.25">
      <c r="A2752" s="114" t="s">
        <v>5855</v>
      </c>
      <c r="B2752" s="115" t="s">
        <v>5894</v>
      </c>
      <c r="C2752" s="116" t="s">
        <v>16</v>
      </c>
      <c r="D2752" s="116">
        <v>0</v>
      </c>
      <c r="E2752" s="136">
        <f ca="1">OFFSET(INDEX(Composições!A:J,MATCH(Orçamentária!A2752,Composições!A:A,0),8),2,0)</f>
        <v>67.45</v>
      </c>
      <c r="F2752" s="137">
        <f t="shared" ca="1" si="147"/>
        <v>0</v>
      </c>
      <c r="G2752" s="138" t="e">
        <f>IF(A2752&lt;&gt;"",IF(AND(#REF!="Padrão",$H$4=#REF!),BDI!$B$17,IF(AND(#REF!="Padrão",$H$4=#REF!),BDI!#REF!,IF(AND(#REF!="Diferenciado",$H$4=#REF!),BDI!$E$17,IF(AND(#REF!="Diferenciado",$H$4=#REF!),BDI!#REF!,IF(#REF!="ZERO",0))))),"")</f>
        <v>#REF!</v>
      </c>
      <c r="H2752" s="139" t="e">
        <f t="shared" ca="1" si="148"/>
        <v>#REF!</v>
      </c>
      <c r="I2752" s="137" t="e">
        <f t="shared" ca="1" si="149"/>
        <v>#REF!</v>
      </c>
      <c r="J2752" s="117"/>
    </row>
    <row r="2753" spans="1:10" hidden="1" x14ac:dyDescent="0.25">
      <c r="A2753" s="114" t="s">
        <v>5856</v>
      </c>
      <c r="B2753" s="115" t="s">
        <v>5895</v>
      </c>
      <c r="C2753" s="116" t="s">
        <v>16</v>
      </c>
      <c r="D2753" s="116">
        <v>0</v>
      </c>
      <c r="E2753" s="136">
        <f ca="1">OFFSET(INDEX(Composições!A:J,MATCH(Orçamentária!A2753,Composições!A:A,0),8),2,0)</f>
        <v>125.78</v>
      </c>
      <c r="F2753" s="137">
        <f t="shared" ca="1" si="147"/>
        <v>0</v>
      </c>
      <c r="G2753" s="138" t="e">
        <f>IF(A2753&lt;&gt;"",IF(AND(#REF!="Padrão",$H$4=#REF!),BDI!$B$17,IF(AND(#REF!="Padrão",$H$4=#REF!),BDI!#REF!,IF(AND(#REF!="Diferenciado",$H$4=#REF!),BDI!$E$17,IF(AND(#REF!="Diferenciado",$H$4=#REF!),BDI!#REF!,IF(#REF!="ZERO",0))))),"")</f>
        <v>#REF!</v>
      </c>
      <c r="H2753" s="139" t="e">
        <f t="shared" ca="1" si="148"/>
        <v>#REF!</v>
      </c>
      <c r="I2753" s="137" t="e">
        <f t="shared" ca="1" si="149"/>
        <v>#REF!</v>
      </c>
      <c r="J2753" s="117"/>
    </row>
    <row r="2754" spans="1:10" hidden="1" x14ac:dyDescent="0.25">
      <c r="A2754" s="114" t="s">
        <v>5857</v>
      </c>
      <c r="B2754" s="115" t="s">
        <v>5896</v>
      </c>
      <c r="C2754" s="116" t="s">
        <v>16</v>
      </c>
      <c r="D2754" s="116">
        <v>0</v>
      </c>
      <c r="E2754" s="136" t="s">
        <v>416</v>
      </c>
      <c r="F2754" s="137" t="str">
        <f t="shared" si="147"/>
        <v/>
      </c>
      <c r="G2754" s="138" t="e">
        <f>IF(A2754&lt;&gt;"",IF(AND(#REF!="Padrão",$H$4=#REF!),BDI!$B$17,IF(AND(#REF!="Padrão",$H$4=#REF!),BDI!#REF!,IF(AND(#REF!="Diferenciado",$H$4=#REF!),BDI!$E$17,IF(AND(#REF!="Diferenciado",$H$4=#REF!),BDI!#REF!,IF(#REF!="ZERO",0))))),"")</f>
        <v>#REF!</v>
      </c>
      <c r="H2754" s="139" t="str">
        <f t="shared" si="148"/>
        <v/>
      </c>
      <c r="I2754" s="137" t="str">
        <f t="shared" si="149"/>
        <v/>
      </c>
      <c r="J2754" s="117"/>
    </row>
    <row r="2755" spans="1:10" hidden="1" x14ac:dyDescent="0.25">
      <c r="A2755" s="114" t="s">
        <v>5858</v>
      </c>
      <c r="B2755" s="115" t="s">
        <v>5897</v>
      </c>
      <c r="C2755" s="116" t="s">
        <v>16</v>
      </c>
      <c r="D2755" s="116">
        <v>0</v>
      </c>
      <c r="E2755" s="136" t="s">
        <v>416</v>
      </c>
      <c r="F2755" s="137" t="str">
        <f t="shared" si="147"/>
        <v/>
      </c>
      <c r="G2755" s="138" t="e">
        <f>IF(A2755&lt;&gt;"",IF(AND(#REF!="Padrão",$H$4=#REF!),BDI!$B$17,IF(AND(#REF!="Padrão",$H$4=#REF!),BDI!#REF!,IF(AND(#REF!="Diferenciado",$H$4=#REF!),BDI!$E$17,IF(AND(#REF!="Diferenciado",$H$4=#REF!),BDI!#REF!,IF(#REF!="ZERO",0))))),"")</f>
        <v>#REF!</v>
      </c>
      <c r="H2755" s="139" t="str">
        <f t="shared" si="148"/>
        <v/>
      </c>
      <c r="I2755" s="137" t="str">
        <f t="shared" si="149"/>
        <v/>
      </c>
      <c r="J2755" s="117"/>
    </row>
    <row r="2756" spans="1:10" hidden="1" x14ac:dyDescent="0.25">
      <c r="A2756" s="114" t="s">
        <v>5898</v>
      </c>
      <c r="B2756" s="115" t="s">
        <v>5899</v>
      </c>
      <c r="C2756" s="116" t="s">
        <v>16</v>
      </c>
      <c r="D2756" s="116">
        <v>0</v>
      </c>
      <c r="E2756" s="136" t="s">
        <v>416</v>
      </c>
      <c r="F2756" s="137" t="str">
        <f t="shared" si="147"/>
        <v/>
      </c>
      <c r="G2756" s="138" t="e">
        <f>IF(A2756&lt;&gt;"",IF(AND(#REF!="Padrão",$H$4=#REF!),BDI!$B$17,IF(AND(#REF!="Padrão",$H$4=#REF!),BDI!#REF!,IF(AND(#REF!="Diferenciado",$H$4=#REF!),BDI!$E$17,IF(AND(#REF!="Diferenciado",$H$4=#REF!),BDI!#REF!,IF(#REF!="ZERO",0))))),"")</f>
        <v>#REF!</v>
      </c>
      <c r="H2756" s="139" t="str">
        <f t="shared" si="148"/>
        <v/>
      </c>
      <c r="I2756" s="137" t="str">
        <f t="shared" si="149"/>
        <v/>
      </c>
      <c r="J2756" s="117"/>
    </row>
    <row r="2757" spans="1:10" hidden="1" x14ac:dyDescent="0.25">
      <c r="A2757" s="114" t="s">
        <v>5900</v>
      </c>
      <c r="B2757" s="115" t="s">
        <v>5901</v>
      </c>
      <c r="C2757" s="116" t="s">
        <v>16</v>
      </c>
      <c r="D2757" s="116">
        <v>0</v>
      </c>
      <c r="E2757" s="136">
        <f ca="1">OFFSET(INDEX(Composições!A:J,MATCH(Orçamentária!A2757,Composições!A:A,0),8),2,0)</f>
        <v>73.320999999999998</v>
      </c>
      <c r="F2757" s="137">
        <f t="shared" ca="1" si="147"/>
        <v>0</v>
      </c>
      <c r="G2757" s="138" t="e">
        <f>IF(A2757&lt;&gt;"",IF(AND(#REF!="Padrão",$H$4=#REF!),BDI!$B$17,IF(AND(#REF!="Padrão",$H$4=#REF!),BDI!#REF!,IF(AND(#REF!="Diferenciado",$H$4=#REF!),BDI!$E$17,IF(AND(#REF!="Diferenciado",$H$4=#REF!),BDI!#REF!,IF(#REF!="ZERO",0))))),"")</f>
        <v>#REF!</v>
      </c>
      <c r="H2757" s="139" t="e">
        <f t="shared" ca="1" si="148"/>
        <v>#REF!</v>
      </c>
      <c r="I2757" s="137" t="e">
        <f t="shared" ca="1" si="149"/>
        <v>#REF!</v>
      </c>
      <c r="J2757" s="117"/>
    </row>
    <row r="2758" spans="1:10" hidden="1" x14ac:dyDescent="0.25">
      <c r="A2758" s="114" t="s">
        <v>5902</v>
      </c>
      <c r="B2758" s="115" t="s">
        <v>5903</v>
      </c>
      <c r="C2758" s="116" t="s">
        <v>16</v>
      </c>
      <c r="D2758" s="116">
        <v>0</v>
      </c>
      <c r="E2758" s="136" t="s">
        <v>416</v>
      </c>
      <c r="F2758" s="137" t="str">
        <f t="shared" si="147"/>
        <v/>
      </c>
      <c r="G2758" s="138" t="e">
        <f>IF(A2758&lt;&gt;"",IF(AND(#REF!="Padrão",$H$4=#REF!),BDI!$B$17,IF(AND(#REF!="Padrão",$H$4=#REF!),BDI!#REF!,IF(AND(#REF!="Diferenciado",$H$4=#REF!),BDI!$E$17,IF(AND(#REF!="Diferenciado",$H$4=#REF!),BDI!#REF!,IF(#REF!="ZERO",0))))),"")</f>
        <v>#REF!</v>
      </c>
      <c r="H2758" s="139" t="str">
        <f t="shared" si="148"/>
        <v/>
      </c>
      <c r="I2758" s="137" t="str">
        <f t="shared" si="149"/>
        <v/>
      </c>
      <c r="J2758" s="117"/>
    </row>
    <row r="2759" spans="1:10" hidden="1" x14ac:dyDescent="0.25">
      <c r="A2759" s="114" t="s">
        <v>5904</v>
      </c>
      <c r="B2759" s="115" t="s">
        <v>3025</v>
      </c>
      <c r="C2759" s="116" t="s">
        <v>16</v>
      </c>
      <c r="D2759" s="116">
        <v>0</v>
      </c>
      <c r="E2759" s="136" t="s">
        <v>416</v>
      </c>
      <c r="F2759" s="137" t="str">
        <f t="shared" si="147"/>
        <v/>
      </c>
      <c r="G2759" s="138" t="e">
        <f>IF(A2759&lt;&gt;"",IF(AND(#REF!="Padrão",$H$4=#REF!),BDI!$B$17,IF(AND(#REF!="Padrão",$H$4=#REF!),BDI!#REF!,IF(AND(#REF!="Diferenciado",$H$4=#REF!),BDI!$E$17,IF(AND(#REF!="Diferenciado",$H$4=#REF!),BDI!#REF!,IF(#REF!="ZERO",0))))),"")</f>
        <v>#REF!</v>
      </c>
      <c r="H2759" s="139" t="str">
        <f t="shared" si="148"/>
        <v/>
      </c>
      <c r="I2759" s="137" t="str">
        <f t="shared" si="149"/>
        <v/>
      </c>
      <c r="J2759" s="117"/>
    </row>
    <row r="2760" spans="1:10" hidden="1" x14ac:dyDescent="0.25">
      <c r="A2760" s="114" t="s">
        <v>5905</v>
      </c>
      <c r="B2760" s="115" t="s">
        <v>5906</v>
      </c>
      <c r="C2760" s="116" t="s">
        <v>16</v>
      </c>
      <c r="D2760" s="116">
        <v>0</v>
      </c>
      <c r="E2760" s="136" t="s">
        <v>416</v>
      </c>
      <c r="F2760" s="137" t="str">
        <f t="shared" si="147"/>
        <v/>
      </c>
      <c r="G2760" s="138" t="e">
        <f>IF(A2760&lt;&gt;"",IF(AND(#REF!="Padrão",$H$4=#REF!),BDI!$B$17,IF(AND(#REF!="Padrão",$H$4=#REF!),BDI!#REF!,IF(AND(#REF!="Diferenciado",$H$4=#REF!),BDI!$E$17,IF(AND(#REF!="Diferenciado",$H$4=#REF!),BDI!#REF!,IF(#REF!="ZERO",0))))),"")</f>
        <v>#REF!</v>
      </c>
      <c r="H2760" s="139" t="str">
        <f t="shared" si="148"/>
        <v/>
      </c>
      <c r="I2760" s="137" t="str">
        <f t="shared" si="149"/>
        <v/>
      </c>
      <c r="J2760" s="117"/>
    </row>
    <row r="2761" spans="1:10" hidden="1" x14ac:dyDescent="0.25">
      <c r="A2761" s="114" t="s">
        <v>5907</v>
      </c>
      <c r="B2761" s="115" t="s">
        <v>5908</v>
      </c>
      <c r="C2761" s="116" t="s">
        <v>16</v>
      </c>
      <c r="D2761" s="116">
        <v>0</v>
      </c>
      <c r="E2761" s="136" t="s">
        <v>416</v>
      </c>
      <c r="F2761" s="137" t="str">
        <f t="shared" si="147"/>
        <v/>
      </c>
      <c r="G2761" s="138" t="e">
        <f>IF(A2761&lt;&gt;"",IF(AND(#REF!="Padrão",$H$4=#REF!),BDI!$B$17,IF(AND(#REF!="Padrão",$H$4=#REF!),BDI!#REF!,IF(AND(#REF!="Diferenciado",$H$4=#REF!),BDI!$E$17,IF(AND(#REF!="Diferenciado",$H$4=#REF!),BDI!#REF!,IF(#REF!="ZERO",0))))),"")</f>
        <v>#REF!</v>
      </c>
      <c r="H2761" s="139" t="str">
        <f t="shared" si="148"/>
        <v/>
      </c>
      <c r="I2761" s="137" t="str">
        <f t="shared" si="149"/>
        <v/>
      </c>
      <c r="J2761" s="117"/>
    </row>
    <row r="2762" spans="1:10" hidden="1" x14ac:dyDescent="0.25">
      <c r="A2762" s="114" t="s">
        <v>5909</v>
      </c>
      <c r="B2762" s="115" t="s">
        <v>5910</v>
      </c>
      <c r="C2762" s="116" t="s">
        <v>16</v>
      </c>
      <c r="D2762" s="116">
        <v>0</v>
      </c>
      <c r="E2762" s="136" t="s">
        <v>416</v>
      </c>
      <c r="F2762" s="137" t="str">
        <f t="shared" si="147"/>
        <v/>
      </c>
      <c r="G2762" s="138" t="e">
        <f>IF(A2762&lt;&gt;"",IF(AND(#REF!="Padrão",$H$4=#REF!),BDI!$B$17,IF(AND(#REF!="Padrão",$H$4=#REF!),BDI!#REF!,IF(AND(#REF!="Diferenciado",$H$4=#REF!),BDI!$E$17,IF(AND(#REF!="Diferenciado",$H$4=#REF!),BDI!#REF!,IF(#REF!="ZERO",0))))),"")</f>
        <v>#REF!</v>
      </c>
      <c r="H2762" s="139" t="str">
        <f t="shared" si="148"/>
        <v/>
      </c>
      <c r="I2762" s="137" t="str">
        <f t="shared" si="149"/>
        <v/>
      </c>
      <c r="J2762" s="117"/>
    </row>
    <row r="2763" spans="1:10" hidden="1" x14ac:dyDescent="0.25">
      <c r="A2763" s="114" t="s">
        <v>5911</v>
      </c>
      <c r="B2763" s="115" t="s">
        <v>5912</v>
      </c>
      <c r="C2763" s="116" t="s">
        <v>16</v>
      </c>
      <c r="D2763" s="116">
        <v>0</v>
      </c>
      <c r="E2763" s="136" t="s">
        <v>416</v>
      </c>
      <c r="F2763" s="137" t="str">
        <f t="shared" si="147"/>
        <v/>
      </c>
      <c r="G2763" s="138" t="e">
        <f>IF(A2763&lt;&gt;"",IF(AND(#REF!="Padrão",$H$4=#REF!),BDI!$B$17,IF(AND(#REF!="Padrão",$H$4=#REF!),BDI!#REF!,IF(AND(#REF!="Diferenciado",$H$4=#REF!),BDI!$E$17,IF(AND(#REF!="Diferenciado",$H$4=#REF!),BDI!#REF!,IF(#REF!="ZERO",0))))),"")</f>
        <v>#REF!</v>
      </c>
      <c r="H2763" s="139" t="str">
        <f t="shared" si="148"/>
        <v/>
      </c>
      <c r="I2763" s="137" t="str">
        <f t="shared" si="149"/>
        <v/>
      </c>
      <c r="J2763" s="117"/>
    </row>
    <row r="2764" spans="1:10" hidden="1" x14ac:dyDescent="0.25">
      <c r="A2764" s="114" t="s">
        <v>5913</v>
      </c>
      <c r="B2764" s="115" t="s">
        <v>1463</v>
      </c>
      <c r="C2764" s="116" t="s">
        <v>16</v>
      </c>
      <c r="D2764" s="116">
        <v>0</v>
      </c>
      <c r="E2764" s="136" t="s">
        <v>416</v>
      </c>
      <c r="F2764" s="137" t="str">
        <f t="shared" si="147"/>
        <v/>
      </c>
      <c r="G2764" s="138" t="e">
        <f>IF(A2764&lt;&gt;"",IF(AND(#REF!="Padrão",$H$4=#REF!),BDI!$B$17,IF(AND(#REF!="Padrão",$H$4=#REF!),BDI!#REF!,IF(AND(#REF!="Diferenciado",$H$4=#REF!),BDI!$E$17,IF(AND(#REF!="Diferenciado",$H$4=#REF!),BDI!#REF!,IF(#REF!="ZERO",0))))),"")</f>
        <v>#REF!</v>
      </c>
      <c r="H2764" s="139" t="str">
        <f t="shared" si="148"/>
        <v/>
      </c>
      <c r="I2764" s="137" t="str">
        <f t="shared" si="149"/>
        <v/>
      </c>
      <c r="J2764" s="117"/>
    </row>
    <row r="2765" spans="1:10" hidden="1" x14ac:dyDescent="0.25">
      <c r="A2765" s="114" t="s">
        <v>5914</v>
      </c>
      <c r="B2765" s="115" t="s">
        <v>5424</v>
      </c>
      <c r="C2765" s="116" t="s">
        <v>16</v>
      </c>
      <c r="D2765" s="116">
        <v>0</v>
      </c>
      <c r="E2765" s="136">
        <f ca="1">OFFSET(INDEX(Composições!A:J,MATCH(Orçamentária!A2765,Composições!A:A,0),8),2,0)</f>
        <v>122.71149999999999</v>
      </c>
      <c r="F2765" s="137">
        <f t="shared" ca="1" si="147"/>
        <v>0</v>
      </c>
      <c r="G2765" s="138" t="e">
        <f>IF(A2765&lt;&gt;"",IF(AND(#REF!="Padrão",$H$4=#REF!),BDI!$B$17,IF(AND(#REF!="Padrão",$H$4=#REF!),BDI!#REF!,IF(AND(#REF!="Diferenciado",$H$4=#REF!),BDI!$E$17,IF(AND(#REF!="Diferenciado",$H$4=#REF!),BDI!#REF!,IF(#REF!="ZERO",0))))),"")</f>
        <v>#REF!</v>
      </c>
      <c r="H2765" s="139" t="e">
        <f t="shared" ca="1" si="148"/>
        <v>#REF!</v>
      </c>
      <c r="I2765" s="137" t="e">
        <f t="shared" ca="1" si="149"/>
        <v>#REF!</v>
      </c>
      <c r="J2765" s="117"/>
    </row>
    <row r="2766" spans="1:10" hidden="1" x14ac:dyDescent="0.25">
      <c r="A2766" s="114" t="s">
        <v>5915</v>
      </c>
      <c r="B2766" s="115" t="s">
        <v>1464</v>
      </c>
      <c r="C2766" s="116" t="s">
        <v>16</v>
      </c>
      <c r="D2766" s="116">
        <v>0</v>
      </c>
      <c r="E2766" s="136" t="s">
        <v>416</v>
      </c>
      <c r="F2766" s="137" t="str">
        <f t="shared" si="147"/>
        <v/>
      </c>
      <c r="G2766" s="138" t="e">
        <f>IF(A2766&lt;&gt;"",IF(AND(#REF!="Padrão",$H$4=#REF!),BDI!$B$17,IF(AND(#REF!="Padrão",$H$4=#REF!),BDI!#REF!,IF(AND(#REF!="Diferenciado",$H$4=#REF!),BDI!$E$17,IF(AND(#REF!="Diferenciado",$H$4=#REF!),BDI!#REF!,IF(#REF!="ZERO",0))))),"")</f>
        <v>#REF!</v>
      </c>
      <c r="H2766" s="139" t="str">
        <f t="shared" si="148"/>
        <v/>
      </c>
      <c r="I2766" s="137" t="str">
        <f t="shared" si="149"/>
        <v/>
      </c>
      <c r="J2766" s="117"/>
    </row>
    <row r="2767" spans="1:10" hidden="1" x14ac:dyDescent="0.25">
      <c r="A2767" s="114" t="s">
        <v>5916</v>
      </c>
      <c r="B2767" s="115" t="s">
        <v>5428</v>
      </c>
      <c r="C2767" s="116" t="s">
        <v>16</v>
      </c>
      <c r="D2767" s="116">
        <v>0</v>
      </c>
      <c r="E2767" s="136" t="s">
        <v>416</v>
      </c>
      <c r="F2767" s="137" t="str">
        <f t="shared" si="147"/>
        <v/>
      </c>
      <c r="G2767" s="138" t="e">
        <f>IF(A2767&lt;&gt;"",IF(AND(#REF!="Padrão",$H$4=#REF!),BDI!$B$17,IF(AND(#REF!="Padrão",$H$4=#REF!),BDI!#REF!,IF(AND(#REF!="Diferenciado",$H$4=#REF!),BDI!$E$17,IF(AND(#REF!="Diferenciado",$H$4=#REF!),BDI!#REF!,IF(#REF!="ZERO",0))))),"")</f>
        <v>#REF!</v>
      </c>
      <c r="H2767" s="139" t="str">
        <f t="shared" si="148"/>
        <v/>
      </c>
      <c r="I2767" s="137" t="str">
        <f t="shared" si="149"/>
        <v/>
      </c>
      <c r="J2767" s="117"/>
    </row>
    <row r="2768" spans="1:10" hidden="1" x14ac:dyDescent="0.25">
      <c r="A2768" s="114" t="s">
        <v>5917</v>
      </c>
      <c r="B2768" s="115" t="s">
        <v>5429</v>
      </c>
      <c r="C2768" s="116" t="s">
        <v>16</v>
      </c>
      <c r="D2768" s="116">
        <v>0</v>
      </c>
      <c r="E2768" s="136" t="s">
        <v>416</v>
      </c>
      <c r="F2768" s="137" t="str">
        <f t="shared" si="147"/>
        <v/>
      </c>
      <c r="G2768" s="138" t="e">
        <f>IF(A2768&lt;&gt;"",IF(AND(#REF!="Padrão",$H$4=#REF!),BDI!$B$17,IF(AND(#REF!="Padrão",$H$4=#REF!),BDI!#REF!,IF(AND(#REF!="Diferenciado",$H$4=#REF!),BDI!$E$17,IF(AND(#REF!="Diferenciado",$H$4=#REF!),BDI!#REF!,IF(#REF!="ZERO",0))))),"")</f>
        <v>#REF!</v>
      </c>
      <c r="H2768" s="139" t="str">
        <f t="shared" si="148"/>
        <v/>
      </c>
      <c r="I2768" s="137" t="str">
        <f t="shared" si="149"/>
        <v/>
      </c>
      <c r="J2768" s="117"/>
    </row>
    <row r="2769" spans="1:10" hidden="1" x14ac:dyDescent="0.25">
      <c r="A2769" s="114" t="s">
        <v>5918</v>
      </c>
      <c r="B2769" s="115" t="s">
        <v>7379</v>
      </c>
      <c r="C2769" s="116" t="s">
        <v>16</v>
      </c>
      <c r="D2769" s="116">
        <v>0</v>
      </c>
      <c r="E2769" s="136" t="s">
        <v>416</v>
      </c>
      <c r="F2769" s="137" t="str">
        <f t="shared" si="147"/>
        <v/>
      </c>
      <c r="G2769" s="138" t="e">
        <f>IF(A2769&lt;&gt;"",IF(AND(#REF!="Padrão",$H$4=#REF!),BDI!$B$17,IF(AND(#REF!="Padrão",$H$4=#REF!),BDI!#REF!,IF(AND(#REF!="Diferenciado",$H$4=#REF!),BDI!$E$17,IF(AND(#REF!="Diferenciado",$H$4=#REF!),BDI!#REF!,IF(#REF!="ZERO",0))))),"")</f>
        <v>#REF!</v>
      </c>
      <c r="H2769" s="139" t="str">
        <f t="shared" si="148"/>
        <v/>
      </c>
      <c r="I2769" s="137" t="str">
        <f t="shared" si="149"/>
        <v/>
      </c>
      <c r="J2769" s="117"/>
    </row>
    <row r="2770" spans="1:10" hidden="1" x14ac:dyDescent="0.25">
      <c r="A2770" s="114" t="s">
        <v>5919</v>
      </c>
      <c r="B2770" s="115" t="s">
        <v>5920</v>
      </c>
      <c r="C2770" s="116" t="s">
        <v>16</v>
      </c>
      <c r="D2770" s="116">
        <v>0</v>
      </c>
      <c r="E2770" s="136" t="s">
        <v>416</v>
      </c>
      <c r="F2770" s="137" t="str">
        <f t="shared" si="147"/>
        <v/>
      </c>
      <c r="G2770" s="138" t="e">
        <f>IF(A2770&lt;&gt;"",IF(AND(#REF!="Padrão",$H$4=#REF!),BDI!$B$17,IF(AND(#REF!="Padrão",$H$4=#REF!),BDI!#REF!,IF(AND(#REF!="Diferenciado",$H$4=#REF!),BDI!$E$17,IF(AND(#REF!="Diferenciado",$H$4=#REF!),BDI!#REF!,IF(#REF!="ZERO",0))))),"")</f>
        <v>#REF!</v>
      </c>
      <c r="H2770" s="139" t="str">
        <f t="shared" si="148"/>
        <v/>
      </c>
      <c r="I2770" s="137" t="str">
        <f t="shared" si="149"/>
        <v/>
      </c>
      <c r="J2770" s="117"/>
    </row>
    <row r="2771" spans="1:10" hidden="1" x14ac:dyDescent="0.25">
      <c r="A2771" s="114" t="s">
        <v>5921</v>
      </c>
      <c r="B2771" s="115" t="s">
        <v>5922</v>
      </c>
      <c r="C2771" s="116" t="s">
        <v>16</v>
      </c>
      <c r="D2771" s="116">
        <v>0</v>
      </c>
      <c r="E2771" s="136" t="s">
        <v>416</v>
      </c>
      <c r="F2771" s="137" t="str">
        <f t="shared" si="147"/>
        <v/>
      </c>
      <c r="G2771" s="138" t="e">
        <f>IF(A2771&lt;&gt;"",IF(AND(#REF!="Padrão",$H$4=#REF!),BDI!$B$17,IF(AND(#REF!="Padrão",$H$4=#REF!),BDI!#REF!,IF(AND(#REF!="Diferenciado",$H$4=#REF!),BDI!$E$17,IF(AND(#REF!="Diferenciado",$H$4=#REF!),BDI!#REF!,IF(#REF!="ZERO",0))))),"")</f>
        <v>#REF!</v>
      </c>
      <c r="H2771" s="139" t="str">
        <f t="shared" si="148"/>
        <v/>
      </c>
      <c r="I2771" s="137" t="str">
        <f t="shared" si="149"/>
        <v/>
      </c>
      <c r="J2771" s="117"/>
    </row>
    <row r="2772" spans="1:10" hidden="1" x14ac:dyDescent="0.25">
      <c r="A2772" s="114" t="s">
        <v>5923</v>
      </c>
      <c r="B2772" s="115" t="s">
        <v>5924</v>
      </c>
      <c r="C2772" s="116" t="s">
        <v>16</v>
      </c>
      <c r="D2772" s="116">
        <v>0</v>
      </c>
      <c r="E2772" s="136" t="s">
        <v>416</v>
      </c>
      <c r="F2772" s="137" t="str">
        <f t="shared" si="147"/>
        <v/>
      </c>
      <c r="G2772" s="138" t="e">
        <f>IF(A2772&lt;&gt;"",IF(AND(#REF!="Padrão",$H$4=#REF!),BDI!$B$17,IF(AND(#REF!="Padrão",$H$4=#REF!),BDI!#REF!,IF(AND(#REF!="Diferenciado",$H$4=#REF!),BDI!$E$17,IF(AND(#REF!="Diferenciado",$H$4=#REF!),BDI!#REF!,IF(#REF!="ZERO",0))))),"")</f>
        <v>#REF!</v>
      </c>
      <c r="H2772" s="139" t="str">
        <f t="shared" si="148"/>
        <v/>
      </c>
      <c r="I2772" s="137" t="str">
        <f t="shared" si="149"/>
        <v/>
      </c>
      <c r="J2772" s="117"/>
    </row>
    <row r="2773" spans="1:10" hidden="1" x14ac:dyDescent="0.25">
      <c r="A2773" s="114" t="s">
        <v>5925</v>
      </c>
      <c r="B2773" s="115" t="s">
        <v>5926</v>
      </c>
      <c r="C2773" s="116" t="s">
        <v>16</v>
      </c>
      <c r="D2773" s="116">
        <v>0</v>
      </c>
      <c r="E2773" s="136" t="s">
        <v>416</v>
      </c>
      <c r="F2773" s="137" t="str">
        <f t="shared" si="147"/>
        <v/>
      </c>
      <c r="G2773" s="138" t="e">
        <f>IF(A2773&lt;&gt;"",IF(AND(#REF!="Padrão",$H$4=#REF!),BDI!$B$17,IF(AND(#REF!="Padrão",$H$4=#REF!),BDI!#REF!,IF(AND(#REF!="Diferenciado",$H$4=#REF!),BDI!$E$17,IF(AND(#REF!="Diferenciado",$H$4=#REF!),BDI!#REF!,IF(#REF!="ZERO",0))))),"")</f>
        <v>#REF!</v>
      </c>
      <c r="H2773" s="139" t="str">
        <f t="shared" si="148"/>
        <v/>
      </c>
      <c r="I2773" s="137" t="str">
        <f t="shared" si="149"/>
        <v/>
      </c>
      <c r="J2773" s="117"/>
    </row>
    <row r="2774" spans="1:10" hidden="1" x14ac:dyDescent="0.25">
      <c r="A2774" s="114" t="s">
        <v>5927</v>
      </c>
      <c r="B2774" s="115" t="s">
        <v>5928</v>
      </c>
      <c r="C2774" s="116" t="s">
        <v>16</v>
      </c>
      <c r="D2774" s="116">
        <v>0</v>
      </c>
      <c r="E2774" s="136" t="s">
        <v>416</v>
      </c>
      <c r="F2774" s="137" t="str">
        <f t="shared" si="147"/>
        <v/>
      </c>
      <c r="G2774" s="138" t="e">
        <f>IF(A2774&lt;&gt;"",IF(AND(#REF!="Padrão",$H$4=#REF!),BDI!$B$17,IF(AND(#REF!="Padrão",$H$4=#REF!),BDI!#REF!,IF(AND(#REF!="Diferenciado",$H$4=#REF!),BDI!$E$17,IF(AND(#REF!="Diferenciado",$H$4=#REF!),BDI!#REF!,IF(#REF!="ZERO",0))))),"")</f>
        <v>#REF!</v>
      </c>
      <c r="H2774" s="139" t="str">
        <f t="shared" si="148"/>
        <v/>
      </c>
      <c r="I2774" s="137" t="str">
        <f t="shared" si="149"/>
        <v/>
      </c>
      <c r="J2774" s="117"/>
    </row>
    <row r="2775" spans="1:10" hidden="1" x14ac:dyDescent="0.25">
      <c r="A2775" s="114" t="s">
        <v>5929</v>
      </c>
      <c r="B2775" s="115" t="s">
        <v>7378</v>
      </c>
      <c r="C2775" s="116" t="s">
        <v>16</v>
      </c>
      <c r="D2775" s="116">
        <v>0</v>
      </c>
      <c r="E2775" s="136" t="s">
        <v>416</v>
      </c>
      <c r="F2775" s="137" t="str">
        <f t="shared" ref="F2775:F2838" si="150">IF(ISNUMBER(E2775),D2775*E2775,"")</f>
        <v/>
      </c>
      <c r="G2775" s="138" t="e">
        <f>IF(A2775&lt;&gt;"",IF(AND(#REF!="Padrão",$H$4=#REF!),BDI!$B$17,IF(AND(#REF!="Padrão",$H$4=#REF!),BDI!#REF!,IF(AND(#REF!="Diferenciado",$H$4=#REF!),BDI!$E$17,IF(AND(#REF!="Diferenciado",$H$4=#REF!),BDI!#REF!,IF(#REF!="ZERO",0))))),"")</f>
        <v>#REF!</v>
      </c>
      <c r="H2775" s="139" t="str">
        <f t="shared" ref="H2775:H2838" si="151">IF(ISNUMBER(E2775),ROUND(E2775*(1+G2775),2),"")</f>
        <v/>
      </c>
      <c r="I2775" s="137" t="str">
        <f t="shared" ref="I2775:I2838" si="152">IF(ISNUMBER(E2775),ROUND(H2775*D2775,2),"")</f>
        <v/>
      </c>
      <c r="J2775" s="117"/>
    </row>
    <row r="2776" spans="1:10" hidden="1" x14ac:dyDescent="0.25">
      <c r="A2776" s="114" t="s">
        <v>5930</v>
      </c>
      <c r="B2776" s="115" t="s">
        <v>7377</v>
      </c>
      <c r="C2776" s="116" t="s">
        <v>16</v>
      </c>
      <c r="D2776" s="116">
        <v>0</v>
      </c>
      <c r="E2776" s="136" t="s">
        <v>416</v>
      </c>
      <c r="F2776" s="137" t="str">
        <f t="shared" si="150"/>
        <v/>
      </c>
      <c r="G2776" s="138" t="e">
        <f>IF(A2776&lt;&gt;"",IF(AND(#REF!="Padrão",$H$4=#REF!),BDI!$B$17,IF(AND(#REF!="Padrão",$H$4=#REF!),BDI!#REF!,IF(AND(#REF!="Diferenciado",$H$4=#REF!),BDI!$E$17,IF(AND(#REF!="Diferenciado",$H$4=#REF!),BDI!#REF!,IF(#REF!="ZERO",0))))),"")</f>
        <v>#REF!</v>
      </c>
      <c r="H2776" s="139" t="str">
        <f t="shared" si="151"/>
        <v/>
      </c>
      <c r="I2776" s="137" t="str">
        <f t="shared" si="152"/>
        <v/>
      </c>
      <c r="J2776" s="117"/>
    </row>
    <row r="2777" spans="1:10" hidden="1" x14ac:dyDescent="0.25">
      <c r="A2777" s="114" t="s">
        <v>5931</v>
      </c>
      <c r="B2777" s="115" t="s">
        <v>5932</v>
      </c>
      <c r="C2777" s="116" t="s">
        <v>16</v>
      </c>
      <c r="D2777" s="116">
        <v>0</v>
      </c>
      <c r="E2777" s="136" t="s">
        <v>416</v>
      </c>
      <c r="F2777" s="137" t="str">
        <f t="shared" si="150"/>
        <v/>
      </c>
      <c r="G2777" s="138" t="e">
        <f>IF(A2777&lt;&gt;"",IF(AND(#REF!="Padrão",$H$4=#REF!),BDI!$B$17,IF(AND(#REF!="Padrão",$H$4=#REF!),BDI!#REF!,IF(AND(#REF!="Diferenciado",$H$4=#REF!),BDI!$E$17,IF(AND(#REF!="Diferenciado",$H$4=#REF!),BDI!#REF!,IF(#REF!="ZERO",0))))),"")</f>
        <v>#REF!</v>
      </c>
      <c r="H2777" s="139" t="str">
        <f t="shared" si="151"/>
        <v/>
      </c>
      <c r="I2777" s="137" t="str">
        <f t="shared" si="152"/>
        <v/>
      </c>
      <c r="J2777" s="117"/>
    </row>
    <row r="2778" spans="1:10" hidden="1" x14ac:dyDescent="0.25">
      <c r="A2778" s="114" t="s">
        <v>5933</v>
      </c>
      <c r="B2778" s="115" t="s">
        <v>1478</v>
      </c>
      <c r="C2778" s="116" t="s">
        <v>16</v>
      </c>
      <c r="D2778" s="116">
        <v>0</v>
      </c>
      <c r="E2778" s="136" t="s">
        <v>416</v>
      </c>
      <c r="F2778" s="137" t="str">
        <f t="shared" si="150"/>
        <v/>
      </c>
      <c r="G2778" s="138" t="e">
        <f>IF(A2778&lt;&gt;"",IF(AND(#REF!="Padrão",$H$4=#REF!),BDI!$B$17,IF(AND(#REF!="Padrão",$H$4=#REF!),BDI!#REF!,IF(AND(#REF!="Diferenciado",$H$4=#REF!),BDI!$E$17,IF(AND(#REF!="Diferenciado",$H$4=#REF!),BDI!#REF!,IF(#REF!="ZERO",0))))),"")</f>
        <v>#REF!</v>
      </c>
      <c r="H2778" s="139" t="str">
        <f t="shared" si="151"/>
        <v/>
      </c>
      <c r="I2778" s="137" t="str">
        <f t="shared" si="152"/>
        <v/>
      </c>
      <c r="J2778" s="117"/>
    </row>
    <row r="2779" spans="1:10" hidden="1" x14ac:dyDescent="0.25">
      <c r="A2779" s="114" t="s">
        <v>5934</v>
      </c>
      <c r="B2779" s="115" t="s">
        <v>5935</v>
      </c>
      <c r="C2779" s="116" t="s">
        <v>16</v>
      </c>
      <c r="D2779" s="116">
        <v>0</v>
      </c>
      <c r="E2779" s="136" t="s">
        <v>416</v>
      </c>
      <c r="F2779" s="137" t="str">
        <f t="shared" si="150"/>
        <v/>
      </c>
      <c r="G2779" s="138" t="e">
        <f>IF(A2779&lt;&gt;"",IF(AND(#REF!="Padrão",$H$4=#REF!),BDI!$B$17,IF(AND(#REF!="Padrão",$H$4=#REF!),BDI!#REF!,IF(AND(#REF!="Diferenciado",$H$4=#REF!),BDI!$E$17,IF(AND(#REF!="Diferenciado",$H$4=#REF!),BDI!#REF!,IF(#REF!="ZERO",0))))),"")</f>
        <v>#REF!</v>
      </c>
      <c r="H2779" s="139" t="str">
        <f t="shared" si="151"/>
        <v/>
      </c>
      <c r="I2779" s="137" t="str">
        <f t="shared" si="152"/>
        <v/>
      </c>
      <c r="J2779" s="117"/>
    </row>
    <row r="2780" spans="1:10" hidden="1" x14ac:dyDescent="0.25">
      <c r="A2780" s="114" t="s">
        <v>5936</v>
      </c>
      <c r="B2780" s="115" t="s">
        <v>5937</v>
      </c>
      <c r="C2780" s="116" t="s">
        <v>16</v>
      </c>
      <c r="D2780" s="116">
        <v>0</v>
      </c>
      <c r="E2780" s="136" t="s">
        <v>416</v>
      </c>
      <c r="F2780" s="137" t="str">
        <f t="shared" si="150"/>
        <v/>
      </c>
      <c r="G2780" s="138" t="e">
        <f>IF(A2780&lt;&gt;"",IF(AND(#REF!="Padrão",$H$4=#REF!),BDI!$B$17,IF(AND(#REF!="Padrão",$H$4=#REF!),BDI!#REF!,IF(AND(#REF!="Diferenciado",$H$4=#REF!),BDI!$E$17,IF(AND(#REF!="Diferenciado",$H$4=#REF!),BDI!#REF!,IF(#REF!="ZERO",0))))),"")</f>
        <v>#REF!</v>
      </c>
      <c r="H2780" s="139" t="str">
        <f t="shared" si="151"/>
        <v/>
      </c>
      <c r="I2780" s="137" t="str">
        <f t="shared" si="152"/>
        <v/>
      </c>
      <c r="J2780" s="117"/>
    </row>
    <row r="2781" spans="1:10" hidden="1" x14ac:dyDescent="0.25">
      <c r="A2781" s="114" t="s">
        <v>5938</v>
      </c>
      <c r="B2781" s="115" t="s">
        <v>7374</v>
      </c>
      <c r="C2781" s="116" t="s">
        <v>16</v>
      </c>
      <c r="D2781" s="116">
        <v>0</v>
      </c>
      <c r="E2781" s="136" t="s">
        <v>416</v>
      </c>
      <c r="F2781" s="137" t="str">
        <f t="shared" si="150"/>
        <v/>
      </c>
      <c r="G2781" s="138" t="e">
        <f>IF(A2781&lt;&gt;"",IF(AND(#REF!="Padrão",$H$4=#REF!),BDI!$B$17,IF(AND(#REF!="Padrão",$H$4=#REF!),BDI!#REF!,IF(AND(#REF!="Diferenciado",$H$4=#REF!),BDI!$E$17,IF(AND(#REF!="Diferenciado",$H$4=#REF!),BDI!#REF!,IF(#REF!="ZERO",0))))),"")</f>
        <v>#REF!</v>
      </c>
      <c r="H2781" s="139" t="str">
        <f t="shared" si="151"/>
        <v/>
      </c>
      <c r="I2781" s="137" t="str">
        <f t="shared" si="152"/>
        <v/>
      </c>
      <c r="J2781" s="117"/>
    </row>
    <row r="2782" spans="1:10" hidden="1" x14ac:dyDescent="0.25">
      <c r="A2782" s="114" t="s">
        <v>5939</v>
      </c>
      <c r="B2782" s="115" t="s">
        <v>7375</v>
      </c>
      <c r="C2782" s="116" t="s">
        <v>16</v>
      </c>
      <c r="D2782" s="116">
        <v>0</v>
      </c>
      <c r="E2782" s="136" t="s">
        <v>416</v>
      </c>
      <c r="F2782" s="137" t="str">
        <f t="shared" si="150"/>
        <v/>
      </c>
      <c r="G2782" s="138" t="e">
        <f>IF(A2782&lt;&gt;"",IF(AND(#REF!="Padrão",$H$4=#REF!),BDI!$B$17,IF(AND(#REF!="Padrão",$H$4=#REF!),BDI!#REF!,IF(AND(#REF!="Diferenciado",$H$4=#REF!),BDI!$E$17,IF(AND(#REF!="Diferenciado",$H$4=#REF!),BDI!#REF!,IF(#REF!="ZERO",0))))),"")</f>
        <v>#REF!</v>
      </c>
      <c r="H2782" s="139" t="str">
        <f t="shared" si="151"/>
        <v/>
      </c>
      <c r="I2782" s="137" t="str">
        <f t="shared" si="152"/>
        <v/>
      </c>
      <c r="J2782" s="117"/>
    </row>
    <row r="2783" spans="1:10" hidden="1" x14ac:dyDescent="0.25">
      <c r="A2783" s="114" t="s">
        <v>5940</v>
      </c>
      <c r="B2783" s="115" t="s">
        <v>7376</v>
      </c>
      <c r="C2783" s="116" t="s">
        <v>16</v>
      </c>
      <c r="D2783" s="116">
        <v>0</v>
      </c>
      <c r="E2783" s="136">
        <f ca="1">OFFSET(INDEX(Composições!A:J,MATCH(Orçamentária!A2783,Composições!A:A,0),8),2,0)</f>
        <v>108.82249999999999</v>
      </c>
      <c r="F2783" s="137">
        <f t="shared" ca="1" si="150"/>
        <v>0</v>
      </c>
      <c r="G2783" s="138" t="e">
        <f>IF(A2783&lt;&gt;"",IF(AND(#REF!="Padrão",$H$4=#REF!),BDI!$B$17,IF(AND(#REF!="Padrão",$H$4=#REF!),BDI!#REF!,IF(AND(#REF!="Diferenciado",$H$4=#REF!),BDI!$E$17,IF(AND(#REF!="Diferenciado",$H$4=#REF!),BDI!#REF!,IF(#REF!="ZERO",0))))),"")</f>
        <v>#REF!</v>
      </c>
      <c r="H2783" s="139" t="e">
        <f t="shared" ca="1" si="151"/>
        <v>#REF!</v>
      </c>
      <c r="I2783" s="137" t="e">
        <f t="shared" ca="1" si="152"/>
        <v>#REF!</v>
      </c>
      <c r="J2783" s="117"/>
    </row>
    <row r="2784" spans="1:10" hidden="1" x14ac:dyDescent="0.25">
      <c r="A2784" s="114" t="s">
        <v>5941</v>
      </c>
      <c r="B2784" s="115" t="s">
        <v>5942</v>
      </c>
      <c r="C2784" s="116" t="s">
        <v>16</v>
      </c>
      <c r="D2784" s="116">
        <v>0</v>
      </c>
      <c r="E2784" s="136" t="s">
        <v>416</v>
      </c>
      <c r="F2784" s="137" t="str">
        <f t="shared" si="150"/>
        <v/>
      </c>
      <c r="G2784" s="138" t="e">
        <f>IF(A2784&lt;&gt;"",IF(AND(#REF!="Padrão",$H$4=#REF!),BDI!$B$17,IF(AND(#REF!="Padrão",$H$4=#REF!),BDI!#REF!,IF(AND(#REF!="Diferenciado",$H$4=#REF!),BDI!$E$17,IF(AND(#REF!="Diferenciado",$H$4=#REF!),BDI!#REF!,IF(#REF!="ZERO",0))))),"")</f>
        <v>#REF!</v>
      </c>
      <c r="H2784" s="139" t="str">
        <f t="shared" si="151"/>
        <v/>
      </c>
      <c r="I2784" s="137" t="str">
        <f t="shared" si="152"/>
        <v/>
      </c>
      <c r="J2784" s="117"/>
    </row>
    <row r="2785" spans="1:10" hidden="1" x14ac:dyDescent="0.25">
      <c r="A2785" s="114" t="s">
        <v>5943</v>
      </c>
      <c r="B2785" s="115" t="s">
        <v>5944</v>
      </c>
      <c r="C2785" s="116" t="s">
        <v>16</v>
      </c>
      <c r="D2785" s="116">
        <v>0</v>
      </c>
      <c r="E2785" s="136" t="s">
        <v>416</v>
      </c>
      <c r="F2785" s="137" t="str">
        <f t="shared" si="150"/>
        <v/>
      </c>
      <c r="G2785" s="138" t="e">
        <f>IF(A2785&lt;&gt;"",IF(AND(#REF!="Padrão",$H$4=#REF!),BDI!$B$17,IF(AND(#REF!="Padrão",$H$4=#REF!),BDI!#REF!,IF(AND(#REF!="Diferenciado",$H$4=#REF!),BDI!$E$17,IF(AND(#REF!="Diferenciado",$H$4=#REF!),BDI!#REF!,IF(#REF!="ZERO",0))))),"")</f>
        <v>#REF!</v>
      </c>
      <c r="H2785" s="139" t="str">
        <f t="shared" si="151"/>
        <v/>
      </c>
      <c r="I2785" s="137" t="str">
        <f t="shared" si="152"/>
        <v/>
      </c>
      <c r="J2785" s="117"/>
    </row>
    <row r="2786" spans="1:10" hidden="1" x14ac:dyDescent="0.25">
      <c r="A2786" s="114" t="s">
        <v>5945</v>
      </c>
      <c r="B2786" s="115" t="s">
        <v>5946</v>
      </c>
      <c r="C2786" s="116" t="s">
        <v>16</v>
      </c>
      <c r="D2786" s="116">
        <v>0</v>
      </c>
      <c r="E2786" s="136" t="s">
        <v>416</v>
      </c>
      <c r="F2786" s="137" t="str">
        <f t="shared" si="150"/>
        <v/>
      </c>
      <c r="G2786" s="138" t="e">
        <f>IF(A2786&lt;&gt;"",IF(AND(#REF!="Padrão",$H$4=#REF!),BDI!$B$17,IF(AND(#REF!="Padrão",$H$4=#REF!),BDI!#REF!,IF(AND(#REF!="Diferenciado",$H$4=#REF!),BDI!$E$17,IF(AND(#REF!="Diferenciado",$H$4=#REF!),BDI!#REF!,IF(#REF!="ZERO",0))))),"")</f>
        <v>#REF!</v>
      </c>
      <c r="H2786" s="139" t="str">
        <f t="shared" si="151"/>
        <v/>
      </c>
      <c r="I2786" s="137" t="str">
        <f t="shared" si="152"/>
        <v/>
      </c>
      <c r="J2786" s="117"/>
    </row>
    <row r="2787" spans="1:10" hidden="1" x14ac:dyDescent="0.25">
      <c r="A2787" s="114" t="s">
        <v>5947</v>
      </c>
      <c r="B2787" s="115" t="s">
        <v>5948</v>
      </c>
      <c r="C2787" s="116" t="s">
        <v>16</v>
      </c>
      <c r="D2787" s="116">
        <v>0</v>
      </c>
      <c r="E2787" s="136" t="s">
        <v>416</v>
      </c>
      <c r="F2787" s="137" t="str">
        <f t="shared" si="150"/>
        <v/>
      </c>
      <c r="G2787" s="138" t="e">
        <f>IF(A2787&lt;&gt;"",IF(AND(#REF!="Padrão",$H$4=#REF!),BDI!$B$17,IF(AND(#REF!="Padrão",$H$4=#REF!),BDI!#REF!,IF(AND(#REF!="Diferenciado",$H$4=#REF!),BDI!$E$17,IF(AND(#REF!="Diferenciado",$H$4=#REF!),BDI!#REF!,IF(#REF!="ZERO",0))))),"")</f>
        <v>#REF!</v>
      </c>
      <c r="H2787" s="139" t="str">
        <f t="shared" si="151"/>
        <v/>
      </c>
      <c r="I2787" s="137" t="str">
        <f t="shared" si="152"/>
        <v/>
      </c>
      <c r="J2787" s="117"/>
    </row>
    <row r="2788" spans="1:10" hidden="1" x14ac:dyDescent="0.25">
      <c r="A2788" s="114" t="s">
        <v>5949</v>
      </c>
      <c r="B2788" s="115" t="s">
        <v>5950</v>
      </c>
      <c r="C2788" s="116" t="s">
        <v>16</v>
      </c>
      <c r="D2788" s="116">
        <v>0</v>
      </c>
      <c r="E2788" s="136" t="s">
        <v>416</v>
      </c>
      <c r="F2788" s="137" t="str">
        <f t="shared" si="150"/>
        <v/>
      </c>
      <c r="G2788" s="138" t="e">
        <f>IF(A2788&lt;&gt;"",IF(AND(#REF!="Padrão",$H$4=#REF!),BDI!$B$17,IF(AND(#REF!="Padrão",$H$4=#REF!),BDI!#REF!,IF(AND(#REF!="Diferenciado",$H$4=#REF!),BDI!$E$17,IF(AND(#REF!="Diferenciado",$H$4=#REF!),BDI!#REF!,IF(#REF!="ZERO",0))))),"")</f>
        <v>#REF!</v>
      </c>
      <c r="H2788" s="139" t="str">
        <f t="shared" si="151"/>
        <v/>
      </c>
      <c r="I2788" s="137" t="str">
        <f t="shared" si="152"/>
        <v/>
      </c>
      <c r="J2788" s="117"/>
    </row>
    <row r="2789" spans="1:10" hidden="1" x14ac:dyDescent="0.25">
      <c r="A2789" s="114" t="s">
        <v>5951</v>
      </c>
      <c r="B2789" s="115" t="s">
        <v>3032</v>
      </c>
      <c r="C2789" s="116" t="s">
        <v>16</v>
      </c>
      <c r="D2789" s="116">
        <v>0</v>
      </c>
      <c r="E2789" s="136">
        <f ca="1">OFFSET(INDEX(Composições!A:J,MATCH(Orçamentária!A2789,Composições!A:A,0),8),2,0)</f>
        <v>182.38099999999997</v>
      </c>
      <c r="F2789" s="137">
        <f t="shared" ca="1" si="150"/>
        <v>0</v>
      </c>
      <c r="G2789" s="138" t="e">
        <f>IF(A2789&lt;&gt;"",IF(AND(#REF!="Padrão",$H$4=#REF!),BDI!$B$17,IF(AND(#REF!="Padrão",$H$4=#REF!),BDI!#REF!,IF(AND(#REF!="Diferenciado",$H$4=#REF!),BDI!$E$17,IF(AND(#REF!="Diferenciado",$H$4=#REF!),BDI!#REF!,IF(#REF!="ZERO",0))))),"")</f>
        <v>#REF!</v>
      </c>
      <c r="H2789" s="139" t="e">
        <f t="shared" ca="1" si="151"/>
        <v>#REF!</v>
      </c>
      <c r="I2789" s="137" t="e">
        <f t="shared" ca="1" si="152"/>
        <v>#REF!</v>
      </c>
      <c r="J2789" s="117"/>
    </row>
    <row r="2790" spans="1:10" hidden="1" x14ac:dyDescent="0.25">
      <c r="A2790" s="114" t="s">
        <v>5952</v>
      </c>
      <c r="B2790" s="115" t="s">
        <v>3026</v>
      </c>
      <c r="C2790" s="116" t="s">
        <v>16</v>
      </c>
      <c r="D2790" s="116">
        <v>0</v>
      </c>
      <c r="E2790" s="136" t="s">
        <v>416</v>
      </c>
      <c r="F2790" s="137" t="str">
        <f t="shared" si="150"/>
        <v/>
      </c>
      <c r="G2790" s="138" t="e">
        <f>IF(A2790&lt;&gt;"",IF(AND(#REF!="Padrão",$H$4=#REF!),BDI!$B$17,IF(AND(#REF!="Padrão",$H$4=#REF!),BDI!#REF!,IF(AND(#REF!="Diferenciado",$H$4=#REF!),BDI!$E$17,IF(AND(#REF!="Diferenciado",$H$4=#REF!),BDI!#REF!,IF(#REF!="ZERO",0))))),"")</f>
        <v>#REF!</v>
      </c>
      <c r="H2790" s="139" t="str">
        <f t="shared" si="151"/>
        <v/>
      </c>
      <c r="I2790" s="137" t="str">
        <f t="shared" si="152"/>
        <v/>
      </c>
      <c r="J2790" s="117"/>
    </row>
    <row r="2791" spans="1:10" hidden="1" x14ac:dyDescent="0.25">
      <c r="A2791" s="114" t="s">
        <v>5953</v>
      </c>
      <c r="B2791" s="115" t="s">
        <v>3027</v>
      </c>
      <c r="C2791" s="116" t="s">
        <v>16</v>
      </c>
      <c r="D2791" s="116">
        <v>0</v>
      </c>
      <c r="E2791" s="136" t="s">
        <v>416</v>
      </c>
      <c r="F2791" s="137" t="str">
        <f t="shared" si="150"/>
        <v/>
      </c>
      <c r="G2791" s="138" t="e">
        <f>IF(A2791&lt;&gt;"",IF(AND(#REF!="Padrão",$H$4=#REF!),BDI!$B$17,IF(AND(#REF!="Padrão",$H$4=#REF!),BDI!#REF!,IF(AND(#REF!="Diferenciado",$H$4=#REF!),BDI!$E$17,IF(AND(#REF!="Diferenciado",$H$4=#REF!),BDI!#REF!,IF(#REF!="ZERO",0))))),"")</f>
        <v>#REF!</v>
      </c>
      <c r="H2791" s="139" t="str">
        <f t="shared" si="151"/>
        <v/>
      </c>
      <c r="I2791" s="137" t="str">
        <f t="shared" si="152"/>
        <v/>
      </c>
      <c r="J2791" s="117"/>
    </row>
    <row r="2792" spans="1:10" hidden="1" x14ac:dyDescent="0.25">
      <c r="A2792" s="114" t="s">
        <v>5954</v>
      </c>
      <c r="B2792" s="115" t="s">
        <v>3029</v>
      </c>
      <c r="C2792" s="116" t="s">
        <v>16</v>
      </c>
      <c r="D2792" s="116">
        <v>0</v>
      </c>
      <c r="E2792" s="136" t="s">
        <v>416</v>
      </c>
      <c r="F2792" s="137" t="str">
        <f t="shared" si="150"/>
        <v/>
      </c>
      <c r="G2792" s="138" t="e">
        <f>IF(A2792&lt;&gt;"",IF(AND(#REF!="Padrão",$H$4=#REF!),BDI!$B$17,IF(AND(#REF!="Padrão",$H$4=#REF!),BDI!#REF!,IF(AND(#REF!="Diferenciado",$H$4=#REF!),BDI!$E$17,IF(AND(#REF!="Diferenciado",$H$4=#REF!),BDI!#REF!,IF(#REF!="ZERO",0))))),"")</f>
        <v>#REF!</v>
      </c>
      <c r="H2792" s="139" t="str">
        <f t="shared" si="151"/>
        <v/>
      </c>
      <c r="I2792" s="137" t="str">
        <f t="shared" si="152"/>
        <v/>
      </c>
      <c r="J2792" s="117"/>
    </row>
    <row r="2793" spans="1:10" hidden="1" x14ac:dyDescent="0.25">
      <c r="A2793" s="114" t="s">
        <v>5955</v>
      </c>
      <c r="B2793" s="115" t="s">
        <v>3028</v>
      </c>
      <c r="C2793" s="116" t="s">
        <v>16</v>
      </c>
      <c r="D2793" s="116">
        <v>0</v>
      </c>
      <c r="E2793" s="136" t="s">
        <v>416</v>
      </c>
      <c r="F2793" s="137" t="str">
        <f t="shared" si="150"/>
        <v/>
      </c>
      <c r="G2793" s="138" t="e">
        <f>IF(A2793&lt;&gt;"",IF(AND(#REF!="Padrão",$H$4=#REF!),BDI!$B$17,IF(AND(#REF!="Padrão",$H$4=#REF!),BDI!#REF!,IF(AND(#REF!="Diferenciado",$H$4=#REF!),BDI!$E$17,IF(AND(#REF!="Diferenciado",$H$4=#REF!),BDI!#REF!,IF(#REF!="ZERO",0))))),"")</f>
        <v>#REF!</v>
      </c>
      <c r="H2793" s="139" t="str">
        <f t="shared" si="151"/>
        <v/>
      </c>
      <c r="I2793" s="137" t="str">
        <f t="shared" si="152"/>
        <v/>
      </c>
      <c r="J2793" s="117"/>
    </row>
    <row r="2794" spans="1:10" hidden="1" x14ac:dyDescent="0.25">
      <c r="A2794" s="114" t="s">
        <v>5956</v>
      </c>
      <c r="B2794" s="115" t="s">
        <v>5439</v>
      </c>
      <c r="C2794" s="116" t="s">
        <v>16</v>
      </c>
      <c r="D2794" s="116">
        <v>0</v>
      </c>
      <c r="E2794" s="136" t="s">
        <v>416</v>
      </c>
      <c r="F2794" s="137" t="str">
        <f t="shared" si="150"/>
        <v/>
      </c>
      <c r="G2794" s="138" t="e">
        <f>IF(A2794&lt;&gt;"",IF(AND(#REF!="Padrão",$H$4=#REF!),BDI!$B$17,IF(AND(#REF!="Padrão",$H$4=#REF!),BDI!#REF!,IF(AND(#REF!="Diferenciado",$H$4=#REF!),BDI!$E$17,IF(AND(#REF!="Diferenciado",$H$4=#REF!),BDI!#REF!,IF(#REF!="ZERO",0))))),"")</f>
        <v>#REF!</v>
      </c>
      <c r="H2794" s="139" t="str">
        <f t="shared" si="151"/>
        <v/>
      </c>
      <c r="I2794" s="137" t="str">
        <f t="shared" si="152"/>
        <v/>
      </c>
      <c r="J2794" s="117"/>
    </row>
    <row r="2795" spans="1:10" hidden="1" x14ac:dyDescent="0.25">
      <c r="A2795" s="114" t="s">
        <v>5957</v>
      </c>
      <c r="B2795" s="115" t="s">
        <v>5958</v>
      </c>
      <c r="C2795" s="116" t="s">
        <v>16</v>
      </c>
      <c r="D2795" s="116">
        <v>0</v>
      </c>
      <c r="E2795" s="136" t="s">
        <v>416</v>
      </c>
      <c r="F2795" s="137" t="str">
        <f t="shared" si="150"/>
        <v/>
      </c>
      <c r="G2795" s="138" t="e">
        <f>IF(A2795&lt;&gt;"",IF(AND(#REF!="Padrão",$H$4=#REF!),BDI!$B$17,IF(AND(#REF!="Padrão",$H$4=#REF!),BDI!#REF!,IF(AND(#REF!="Diferenciado",$H$4=#REF!),BDI!$E$17,IF(AND(#REF!="Diferenciado",$H$4=#REF!),BDI!#REF!,IF(#REF!="ZERO",0))))),"")</f>
        <v>#REF!</v>
      </c>
      <c r="H2795" s="139" t="str">
        <f t="shared" si="151"/>
        <v/>
      </c>
      <c r="I2795" s="137" t="str">
        <f t="shared" si="152"/>
        <v/>
      </c>
      <c r="J2795" s="117"/>
    </row>
    <row r="2796" spans="1:10" hidden="1" x14ac:dyDescent="0.25">
      <c r="A2796" s="114" t="s">
        <v>5959</v>
      </c>
      <c r="B2796" s="115" t="s">
        <v>5960</v>
      </c>
      <c r="C2796" s="116" t="s">
        <v>16</v>
      </c>
      <c r="D2796" s="116">
        <v>0</v>
      </c>
      <c r="E2796" s="136" t="s">
        <v>416</v>
      </c>
      <c r="F2796" s="137" t="str">
        <f t="shared" si="150"/>
        <v/>
      </c>
      <c r="G2796" s="138" t="e">
        <f>IF(A2796&lt;&gt;"",IF(AND(#REF!="Padrão",$H$4=#REF!),BDI!$B$17,IF(AND(#REF!="Padrão",$H$4=#REF!),BDI!#REF!,IF(AND(#REF!="Diferenciado",$H$4=#REF!),BDI!$E$17,IF(AND(#REF!="Diferenciado",$H$4=#REF!),BDI!#REF!,IF(#REF!="ZERO",0))))),"")</f>
        <v>#REF!</v>
      </c>
      <c r="H2796" s="139" t="str">
        <f t="shared" si="151"/>
        <v/>
      </c>
      <c r="I2796" s="137" t="str">
        <f t="shared" si="152"/>
        <v/>
      </c>
      <c r="J2796" s="117"/>
    </row>
    <row r="2797" spans="1:10" hidden="1" x14ac:dyDescent="0.25">
      <c r="A2797" s="114" t="s">
        <v>5961</v>
      </c>
      <c r="B2797" s="115" t="s">
        <v>5962</v>
      </c>
      <c r="C2797" s="116" t="s">
        <v>16</v>
      </c>
      <c r="D2797" s="116">
        <v>0</v>
      </c>
      <c r="E2797" s="136" t="s">
        <v>416</v>
      </c>
      <c r="F2797" s="137" t="str">
        <f t="shared" si="150"/>
        <v/>
      </c>
      <c r="G2797" s="138" t="e">
        <f>IF(A2797&lt;&gt;"",IF(AND(#REF!="Padrão",$H$4=#REF!),BDI!$B$17,IF(AND(#REF!="Padrão",$H$4=#REF!),BDI!#REF!,IF(AND(#REF!="Diferenciado",$H$4=#REF!),BDI!$E$17,IF(AND(#REF!="Diferenciado",$H$4=#REF!),BDI!#REF!,IF(#REF!="ZERO",0))))),"")</f>
        <v>#REF!</v>
      </c>
      <c r="H2797" s="139" t="str">
        <f t="shared" si="151"/>
        <v/>
      </c>
      <c r="I2797" s="137" t="str">
        <f t="shared" si="152"/>
        <v/>
      </c>
      <c r="J2797" s="117"/>
    </row>
    <row r="2798" spans="1:10" hidden="1" x14ac:dyDescent="0.25">
      <c r="A2798" s="114" t="s">
        <v>5963</v>
      </c>
      <c r="B2798" s="115" t="s">
        <v>5964</v>
      </c>
      <c r="C2798" s="116" t="s">
        <v>16</v>
      </c>
      <c r="D2798" s="116">
        <v>0</v>
      </c>
      <c r="E2798" s="136" t="s">
        <v>416</v>
      </c>
      <c r="F2798" s="137" t="str">
        <f t="shared" si="150"/>
        <v/>
      </c>
      <c r="G2798" s="138" t="e">
        <f>IF(A2798&lt;&gt;"",IF(AND(#REF!="Padrão",$H$4=#REF!),BDI!$B$17,IF(AND(#REF!="Padrão",$H$4=#REF!),BDI!#REF!,IF(AND(#REF!="Diferenciado",$H$4=#REF!),BDI!$E$17,IF(AND(#REF!="Diferenciado",$H$4=#REF!),BDI!#REF!,IF(#REF!="ZERO",0))))),"")</f>
        <v>#REF!</v>
      </c>
      <c r="H2798" s="139" t="str">
        <f t="shared" si="151"/>
        <v/>
      </c>
      <c r="I2798" s="137" t="str">
        <f t="shared" si="152"/>
        <v/>
      </c>
      <c r="J2798" s="117"/>
    </row>
    <row r="2799" spans="1:10" hidden="1" x14ac:dyDescent="0.25">
      <c r="A2799" s="114" t="s">
        <v>5965</v>
      </c>
      <c r="B2799" s="115" t="s">
        <v>5440</v>
      </c>
      <c r="C2799" s="116" t="s">
        <v>16</v>
      </c>
      <c r="D2799" s="116">
        <v>0</v>
      </c>
      <c r="E2799" s="136" t="s">
        <v>416</v>
      </c>
      <c r="F2799" s="137" t="str">
        <f t="shared" si="150"/>
        <v/>
      </c>
      <c r="G2799" s="138" t="e">
        <f>IF(A2799&lt;&gt;"",IF(AND(#REF!="Padrão",$H$4=#REF!),BDI!$B$17,IF(AND(#REF!="Padrão",$H$4=#REF!),BDI!#REF!,IF(AND(#REF!="Diferenciado",$H$4=#REF!),BDI!$E$17,IF(AND(#REF!="Diferenciado",$H$4=#REF!),BDI!#REF!,IF(#REF!="ZERO",0))))),"")</f>
        <v>#REF!</v>
      </c>
      <c r="H2799" s="139" t="str">
        <f t="shared" si="151"/>
        <v/>
      </c>
      <c r="I2799" s="137" t="str">
        <f t="shared" si="152"/>
        <v/>
      </c>
      <c r="J2799" s="117"/>
    </row>
    <row r="2800" spans="1:10" hidden="1" x14ac:dyDescent="0.25">
      <c r="A2800" s="114" t="s">
        <v>5966</v>
      </c>
      <c r="B2800" s="115" t="s">
        <v>5441</v>
      </c>
      <c r="C2800" s="116" t="s">
        <v>16</v>
      </c>
      <c r="D2800" s="116">
        <v>0</v>
      </c>
      <c r="E2800" s="136" t="s">
        <v>416</v>
      </c>
      <c r="F2800" s="137" t="str">
        <f t="shared" si="150"/>
        <v/>
      </c>
      <c r="G2800" s="138" t="e">
        <f>IF(A2800&lt;&gt;"",IF(AND(#REF!="Padrão",$H$4=#REF!),BDI!$B$17,IF(AND(#REF!="Padrão",$H$4=#REF!),BDI!#REF!,IF(AND(#REF!="Diferenciado",$H$4=#REF!),BDI!$E$17,IF(AND(#REF!="Diferenciado",$H$4=#REF!),BDI!#REF!,IF(#REF!="ZERO",0))))),"")</f>
        <v>#REF!</v>
      </c>
      <c r="H2800" s="139" t="str">
        <f t="shared" si="151"/>
        <v/>
      </c>
      <c r="I2800" s="137" t="str">
        <f t="shared" si="152"/>
        <v/>
      </c>
      <c r="J2800" s="117"/>
    </row>
    <row r="2801" spans="1:10" hidden="1" x14ac:dyDescent="0.25">
      <c r="A2801" s="114" t="s">
        <v>5967</v>
      </c>
      <c r="B2801" s="115" t="s">
        <v>3048</v>
      </c>
      <c r="C2801" s="116" t="s">
        <v>16</v>
      </c>
      <c r="D2801" s="116">
        <v>0</v>
      </c>
      <c r="E2801" s="136" t="s">
        <v>416</v>
      </c>
      <c r="F2801" s="137" t="str">
        <f t="shared" si="150"/>
        <v/>
      </c>
      <c r="G2801" s="138" t="e">
        <f>IF(A2801&lt;&gt;"",IF(AND(#REF!="Padrão",$H$4=#REF!),BDI!$B$17,IF(AND(#REF!="Padrão",$H$4=#REF!),BDI!#REF!,IF(AND(#REF!="Diferenciado",$H$4=#REF!),BDI!$E$17,IF(AND(#REF!="Diferenciado",$H$4=#REF!),BDI!#REF!,IF(#REF!="ZERO",0))))),"")</f>
        <v>#REF!</v>
      </c>
      <c r="H2801" s="139" t="str">
        <f t="shared" si="151"/>
        <v/>
      </c>
      <c r="I2801" s="137" t="str">
        <f t="shared" si="152"/>
        <v/>
      </c>
      <c r="J2801" s="117"/>
    </row>
    <row r="2802" spans="1:10" hidden="1" x14ac:dyDescent="0.25">
      <c r="A2802" s="114" t="s">
        <v>5968</v>
      </c>
      <c r="B2802" s="115" t="s">
        <v>5969</v>
      </c>
      <c r="C2802" s="116" t="s">
        <v>16</v>
      </c>
      <c r="D2802" s="116">
        <v>0</v>
      </c>
      <c r="E2802" s="136" t="s">
        <v>416</v>
      </c>
      <c r="F2802" s="137" t="str">
        <f t="shared" si="150"/>
        <v/>
      </c>
      <c r="G2802" s="138" t="e">
        <f>IF(A2802&lt;&gt;"",IF(AND(#REF!="Padrão",$H$4=#REF!),BDI!$B$17,IF(AND(#REF!="Padrão",$H$4=#REF!),BDI!#REF!,IF(AND(#REF!="Diferenciado",$H$4=#REF!),BDI!$E$17,IF(AND(#REF!="Diferenciado",$H$4=#REF!),BDI!#REF!,IF(#REF!="ZERO",0))))),"")</f>
        <v>#REF!</v>
      </c>
      <c r="H2802" s="139" t="str">
        <f t="shared" si="151"/>
        <v/>
      </c>
      <c r="I2802" s="137" t="str">
        <f t="shared" si="152"/>
        <v/>
      </c>
      <c r="J2802" s="117"/>
    </row>
    <row r="2803" spans="1:10" hidden="1" x14ac:dyDescent="0.25">
      <c r="A2803" s="114" t="s">
        <v>5970</v>
      </c>
      <c r="B2803" s="115" t="s">
        <v>5971</v>
      </c>
      <c r="C2803" s="116" t="s">
        <v>16</v>
      </c>
      <c r="D2803" s="116">
        <v>0</v>
      </c>
      <c r="E2803" s="136" t="s">
        <v>416</v>
      </c>
      <c r="F2803" s="137" t="str">
        <f t="shared" si="150"/>
        <v/>
      </c>
      <c r="G2803" s="138" t="e">
        <f>IF(A2803&lt;&gt;"",IF(AND(#REF!="Padrão",$H$4=#REF!),BDI!$B$17,IF(AND(#REF!="Padrão",$H$4=#REF!),BDI!#REF!,IF(AND(#REF!="Diferenciado",$H$4=#REF!),BDI!$E$17,IF(AND(#REF!="Diferenciado",$H$4=#REF!),BDI!#REF!,IF(#REF!="ZERO",0))))),"")</f>
        <v>#REF!</v>
      </c>
      <c r="H2803" s="139" t="str">
        <f t="shared" si="151"/>
        <v/>
      </c>
      <c r="I2803" s="137" t="str">
        <f t="shared" si="152"/>
        <v/>
      </c>
      <c r="J2803" s="117"/>
    </row>
    <row r="2804" spans="1:10" hidden="1" x14ac:dyDescent="0.25">
      <c r="A2804" s="114" t="s">
        <v>5972</v>
      </c>
      <c r="B2804" s="115" t="s">
        <v>5973</v>
      </c>
      <c r="C2804" s="116" t="s">
        <v>16</v>
      </c>
      <c r="D2804" s="116">
        <v>0</v>
      </c>
      <c r="E2804" s="136" t="s">
        <v>416</v>
      </c>
      <c r="F2804" s="137" t="str">
        <f t="shared" si="150"/>
        <v/>
      </c>
      <c r="G2804" s="138" t="e">
        <f>IF(A2804&lt;&gt;"",IF(AND(#REF!="Padrão",$H$4=#REF!),BDI!$B$17,IF(AND(#REF!="Padrão",$H$4=#REF!),BDI!#REF!,IF(AND(#REF!="Diferenciado",$H$4=#REF!),BDI!$E$17,IF(AND(#REF!="Diferenciado",$H$4=#REF!),BDI!#REF!,IF(#REF!="ZERO",0))))),"")</f>
        <v>#REF!</v>
      </c>
      <c r="H2804" s="139" t="str">
        <f t="shared" si="151"/>
        <v/>
      </c>
      <c r="I2804" s="137" t="str">
        <f t="shared" si="152"/>
        <v/>
      </c>
      <c r="J2804" s="117"/>
    </row>
    <row r="2805" spans="1:10" hidden="1" x14ac:dyDescent="0.25">
      <c r="A2805" s="114" t="s">
        <v>5974</v>
      </c>
      <c r="B2805" s="115" t="s">
        <v>7373</v>
      </c>
      <c r="C2805" s="116" t="s">
        <v>16</v>
      </c>
      <c r="D2805" s="116">
        <v>0</v>
      </c>
      <c r="E2805" s="136" t="s">
        <v>416</v>
      </c>
      <c r="F2805" s="137" t="str">
        <f t="shared" si="150"/>
        <v/>
      </c>
      <c r="G2805" s="138" t="e">
        <f>IF(A2805&lt;&gt;"",IF(AND(#REF!="Padrão",$H$4=#REF!),BDI!$B$17,IF(AND(#REF!="Padrão",$H$4=#REF!),BDI!#REF!,IF(AND(#REF!="Diferenciado",$H$4=#REF!),BDI!$E$17,IF(AND(#REF!="Diferenciado",$H$4=#REF!),BDI!#REF!,IF(#REF!="ZERO",0))))),"")</f>
        <v>#REF!</v>
      </c>
      <c r="H2805" s="139" t="str">
        <f t="shared" si="151"/>
        <v/>
      </c>
      <c r="I2805" s="137" t="str">
        <f t="shared" si="152"/>
        <v/>
      </c>
      <c r="J2805" s="117"/>
    </row>
    <row r="2806" spans="1:10" hidden="1" x14ac:dyDescent="0.25">
      <c r="A2806" s="114" t="s">
        <v>5975</v>
      </c>
      <c r="B2806" s="115" t="s">
        <v>5976</v>
      </c>
      <c r="C2806" s="116" t="s">
        <v>16</v>
      </c>
      <c r="D2806" s="116">
        <v>0</v>
      </c>
      <c r="E2806" s="136">
        <f ca="1">OFFSET(INDEX(Composições!A:J,MATCH(Orçamentária!A2806,Composições!A:A,0),8),2,0)</f>
        <v>23.284500000000001</v>
      </c>
      <c r="F2806" s="137">
        <f t="shared" ca="1" si="150"/>
        <v>0</v>
      </c>
      <c r="G2806" s="138" t="e">
        <f>IF(A2806&lt;&gt;"",IF(AND(#REF!="Padrão",$H$4=#REF!),BDI!$B$17,IF(AND(#REF!="Padrão",$H$4=#REF!),BDI!#REF!,IF(AND(#REF!="Diferenciado",$H$4=#REF!),BDI!$E$17,IF(AND(#REF!="Diferenciado",$H$4=#REF!),BDI!#REF!,IF(#REF!="ZERO",0))))),"")</f>
        <v>#REF!</v>
      </c>
      <c r="H2806" s="139" t="e">
        <f t="shared" ca="1" si="151"/>
        <v>#REF!</v>
      </c>
      <c r="I2806" s="137" t="e">
        <f t="shared" ca="1" si="152"/>
        <v>#REF!</v>
      </c>
      <c r="J2806" s="117"/>
    </row>
    <row r="2807" spans="1:10" hidden="1" x14ac:dyDescent="0.25">
      <c r="A2807" s="114" t="s">
        <v>5977</v>
      </c>
      <c r="B2807" s="115" t="s">
        <v>5978</v>
      </c>
      <c r="C2807" s="116" t="s">
        <v>16</v>
      </c>
      <c r="D2807" s="116">
        <v>0</v>
      </c>
      <c r="E2807" s="136" t="s">
        <v>416</v>
      </c>
      <c r="F2807" s="137" t="str">
        <f t="shared" si="150"/>
        <v/>
      </c>
      <c r="G2807" s="138" t="e">
        <f>IF(A2807&lt;&gt;"",IF(AND(#REF!="Padrão",$H$4=#REF!),BDI!$B$17,IF(AND(#REF!="Padrão",$H$4=#REF!),BDI!#REF!,IF(AND(#REF!="Diferenciado",$H$4=#REF!),BDI!$E$17,IF(AND(#REF!="Diferenciado",$H$4=#REF!),BDI!#REF!,IF(#REF!="ZERO",0))))),"")</f>
        <v>#REF!</v>
      </c>
      <c r="H2807" s="139" t="str">
        <f t="shared" si="151"/>
        <v/>
      </c>
      <c r="I2807" s="137" t="str">
        <f t="shared" si="152"/>
        <v/>
      </c>
      <c r="J2807" s="117"/>
    </row>
    <row r="2808" spans="1:10" hidden="1" x14ac:dyDescent="0.25">
      <c r="A2808" s="114" t="s">
        <v>5979</v>
      </c>
      <c r="B2808" s="115" t="s">
        <v>5980</v>
      </c>
      <c r="C2808" s="116" t="s">
        <v>16</v>
      </c>
      <c r="D2808" s="116">
        <v>0</v>
      </c>
      <c r="E2808" s="136" t="s">
        <v>416</v>
      </c>
      <c r="F2808" s="137" t="str">
        <f t="shared" si="150"/>
        <v/>
      </c>
      <c r="G2808" s="138" t="e">
        <f>IF(A2808&lt;&gt;"",IF(AND(#REF!="Padrão",$H$4=#REF!),BDI!$B$17,IF(AND(#REF!="Padrão",$H$4=#REF!),BDI!#REF!,IF(AND(#REF!="Diferenciado",$H$4=#REF!),BDI!$E$17,IF(AND(#REF!="Diferenciado",$H$4=#REF!),BDI!#REF!,IF(#REF!="ZERO",0))))),"")</f>
        <v>#REF!</v>
      </c>
      <c r="H2808" s="139" t="str">
        <f t="shared" si="151"/>
        <v/>
      </c>
      <c r="I2808" s="137" t="str">
        <f t="shared" si="152"/>
        <v/>
      </c>
      <c r="J2808" s="117"/>
    </row>
    <row r="2809" spans="1:10" hidden="1" x14ac:dyDescent="0.25">
      <c r="A2809" s="114" t="s">
        <v>5981</v>
      </c>
      <c r="B2809" s="115" t="s">
        <v>5982</v>
      </c>
      <c r="C2809" s="116" t="s">
        <v>16</v>
      </c>
      <c r="D2809" s="116">
        <v>0</v>
      </c>
      <c r="E2809" s="136" t="s">
        <v>416</v>
      </c>
      <c r="F2809" s="137" t="str">
        <f t="shared" si="150"/>
        <v/>
      </c>
      <c r="G2809" s="138" t="e">
        <f>IF(A2809&lt;&gt;"",IF(AND(#REF!="Padrão",$H$4=#REF!),BDI!$B$17,IF(AND(#REF!="Padrão",$H$4=#REF!),BDI!#REF!,IF(AND(#REF!="Diferenciado",$H$4=#REF!),BDI!$E$17,IF(AND(#REF!="Diferenciado",$H$4=#REF!),BDI!#REF!,IF(#REF!="ZERO",0))))),"")</f>
        <v>#REF!</v>
      </c>
      <c r="H2809" s="139" t="str">
        <f t="shared" si="151"/>
        <v/>
      </c>
      <c r="I2809" s="137" t="str">
        <f t="shared" si="152"/>
        <v/>
      </c>
      <c r="J2809" s="117"/>
    </row>
    <row r="2810" spans="1:10" hidden="1" x14ac:dyDescent="0.25">
      <c r="A2810" s="114" t="s">
        <v>5983</v>
      </c>
      <c r="B2810" s="115" t="s">
        <v>5984</v>
      </c>
      <c r="C2810" s="116" t="s">
        <v>16</v>
      </c>
      <c r="D2810" s="116">
        <v>0</v>
      </c>
      <c r="E2810" s="136" t="s">
        <v>416</v>
      </c>
      <c r="F2810" s="137" t="str">
        <f t="shared" si="150"/>
        <v/>
      </c>
      <c r="G2810" s="138" t="e">
        <f>IF(A2810&lt;&gt;"",IF(AND(#REF!="Padrão",$H$4=#REF!),BDI!$B$17,IF(AND(#REF!="Padrão",$H$4=#REF!),BDI!#REF!,IF(AND(#REF!="Diferenciado",$H$4=#REF!),BDI!$E$17,IF(AND(#REF!="Diferenciado",$H$4=#REF!),BDI!#REF!,IF(#REF!="ZERO",0))))),"")</f>
        <v>#REF!</v>
      </c>
      <c r="H2810" s="139" t="str">
        <f t="shared" si="151"/>
        <v/>
      </c>
      <c r="I2810" s="137" t="str">
        <f t="shared" si="152"/>
        <v/>
      </c>
      <c r="J2810" s="117"/>
    </row>
    <row r="2811" spans="1:10" hidden="1" x14ac:dyDescent="0.25">
      <c r="A2811" s="114" t="s">
        <v>5985</v>
      </c>
      <c r="B2811" s="115" t="s">
        <v>5986</v>
      </c>
      <c r="C2811" s="116" t="s">
        <v>16</v>
      </c>
      <c r="D2811" s="116">
        <v>0</v>
      </c>
      <c r="E2811" s="136" t="s">
        <v>416</v>
      </c>
      <c r="F2811" s="137" t="str">
        <f t="shared" si="150"/>
        <v/>
      </c>
      <c r="G2811" s="138" t="e">
        <f>IF(A2811&lt;&gt;"",IF(AND(#REF!="Padrão",$H$4=#REF!),BDI!$B$17,IF(AND(#REF!="Padrão",$H$4=#REF!),BDI!#REF!,IF(AND(#REF!="Diferenciado",$H$4=#REF!),BDI!$E$17,IF(AND(#REF!="Diferenciado",$H$4=#REF!),BDI!#REF!,IF(#REF!="ZERO",0))))),"")</f>
        <v>#REF!</v>
      </c>
      <c r="H2811" s="139" t="str">
        <f t="shared" si="151"/>
        <v/>
      </c>
      <c r="I2811" s="137" t="str">
        <f t="shared" si="152"/>
        <v/>
      </c>
      <c r="J2811" s="117"/>
    </row>
    <row r="2812" spans="1:10" hidden="1" x14ac:dyDescent="0.25">
      <c r="A2812" s="114" t="s">
        <v>5987</v>
      </c>
      <c r="B2812" s="115" t="s">
        <v>3183</v>
      </c>
      <c r="C2812" s="116" t="s">
        <v>16</v>
      </c>
      <c r="D2812" s="116">
        <v>0</v>
      </c>
      <c r="E2812" s="136">
        <f ca="1">OFFSET(INDEX(Composições!A:J,MATCH(Orçamentária!A2812,Composições!A:A,0),8),2,0)</f>
        <v>53.399499999999996</v>
      </c>
      <c r="F2812" s="137">
        <f t="shared" ca="1" si="150"/>
        <v>0</v>
      </c>
      <c r="G2812" s="138" t="e">
        <f>IF(A2812&lt;&gt;"",IF(AND(#REF!="Padrão",$H$4=#REF!),BDI!$B$17,IF(AND(#REF!="Padrão",$H$4=#REF!),BDI!#REF!,IF(AND(#REF!="Diferenciado",$H$4=#REF!),BDI!$E$17,IF(AND(#REF!="Diferenciado",$H$4=#REF!),BDI!#REF!,IF(#REF!="ZERO",0))))),"")</f>
        <v>#REF!</v>
      </c>
      <c r="H2812" s="139" t="e">
        <f t="shared" ca="1" si="151"/>
        <v>#REF!</v>
      </c>
      <c r="I2812" s="137" t="e">
        <f t="shared" ca="1" si="152"/>
        <v>#REF!</v>
      </c>
      <c r="J2812" s="117"/>
    </row>
    <row r="2813" spans="1:10" hidden="1" x14ac:dyDescent="0.25">
      <c r="A2813" s="114" t="s">
        <v>5988</v>
      </c>
      <c r="B2813" s="115" t="s">
        <v>5989</v>
      </c>
      <c r="C2813" s="116" t="s">
        <v>16</v>
      </c>
      <c r="D2813" s="116">
        <v>0</v>
      </c>
      <c r="E2813" s="136">
        <f ca="1">OFFSET(INDEX(Composições!A:J,MATCH(Orçamentária!A2813,Composições!A:A,0),8),2,0)</f>
        <v>61.645499999999998</v>
      </c>
      <c r="F2813" s="137">
        <f t="shared" ca="1" si="150"/>
        <v>0</v>
      </c>
      <c r="G2813" s="138" t="e">
        <f>IF(A2813&lt;&gt;"",IF(AND(#REF!="Padrão",$H$4=#REF!),BDI!$B$17,IF(AND(#REF!="Padrão",$H$4=#REF!),BDI!#REF!,IF(AND(#REF!="Diferenciado",$H$4=#REF!),BDI!$E$17,IF(AND(#REF!="Diferenciado",$H$4=#REF!),BDI!#REF!,IF(#REF!="ZERO",0))))),"")</f>
        <v>#REF!</v>
      </c>
      <c r="H2813" s="139" t="e">
        <f t="shared" ca="1" si="151"/>
        <v>#REF!</v>
      </c>
      <c r="I2813" s="137" t="e">
        <f t="shared" ca="1" si="152"/>
        <v>#REF!</v>
      </c>
      <c r="J2813" s="117"/>
    </row>
    <row r="2814" spans="1:10" hidden="1" x14ac:dyDescent="0.25">
      <c r="A2814" s="114" t="s">
        <v>5990</v>
      </c>
      <c r="B2814" s="115" t="s">
        <v>5991</v>
      </c>
      <c r="C2814" s="116" t="s">
        <v>16</v>
      </c>
      <c r="D2814" s="116">
        <v>0</v>
      </c>
      <c r="E2814" s="136">
        <f ca="1">OFFSET(INDEX(Composições!A:J,MATCH(Orçamentária!A2814,Composições!A:A,0),8),2,0)</f>
        <v>149.46350000000001</v>
      </c>
      <c r="F2814" s="137">
        <f t="shared" ca="1" si="150"/>
        <v>0</v>
      </c>
      <c r="G2814" s="138" t="e">
        <f>IF(A2814&lt;&gt;"",IF(AND(#REF!="Padrão",$H$4=#REF!),BDI!$B$17,IF(AND(#REF!="Padrão",$H$4=#REF!),BDI!#REF!,IF(AND(#REF!="Diferenciado",$H$4=#REF!),BDI!$E$17,IF(AND(#REF!="Diferenciado",$H$4=#REF!),BDI!#REF!,IF(#REF!="ZERO",0))))),"")</f>
        <v>#REF!</v>
      </c>
      <c r="H2814" s="139" t="e">
        <f t="shared" ca="1" si="151"/>
        <v>#REF!</v>
      </c>
      <c r="I2814" s="137" t="e">
        <f t="shared" ca="1" si="152"/>
        <v>#REF!</v>
      </c>
      <c r="J2814" s="117"/>
    </row>
    <row r="2815" spans="1:10" hidden="1" x14ac:dyDescent="0.25">
      <c r="A2815" s="114" t="s">
        <v>5992</v>
      </c>
      <c r="B2815" s="115" t="s">
        <v>5993</v>
      </c>
      <c r="C2815" s="116" t="s">
        <v>16</v>
      </c>
      <c r="D2815" s="116">
        <v>0</v>
      </c>
      <c r="E2815" s="136">
        <f ca="1">OFFSET(INDEX(Composições!A:J,MATCH(Orçamentária!A2815,Composições!A:A,0),8),2,0)</f>
        <v>230.4795</v>
      </c>
      <c r="F2815" s="137">
        <f t="shared" ca="1" si="150"/>
        <v>0</v>
      </c>
      <c r="G2815" s="138" t="e">
        <f>IF(A2815&lt;&gt;"",IF(AND(#REF!="Padrão",$H$4=#REF!),BDI!$B$17,IF(AND(#REF!="Padrão",$H$4=#REF!),BDI!#REF!,IF(AND(#REF!="Diferenciado",$H$4=#REF!),BDI!$E$17,IF(AND(#REF!="Diferenciado",$H$4=#REF!),BDI!#REF!,IF(#REF!="ZERO",0))))),"")</f>
        <v>#REF!</v>
      </c>
      <c r="H2815" s="139" t="e">
        <f t="shared" ca="1" si="151"/>
        <v>#REF!</v>
      </c>
      <c r="I2815" s="137" t="e">
        <f t="shared" ca="1" si="152"/>
        <v>#REF!</v>
      </c>
      <c r="J2815" s="117"/>
    </row>
    <row r="2816" spans="1:10" hidden="1" x14ac:dyDescent="0.25">
      <c r="A2816" s="114" t="s">
        <v>5994</v>
      </c>
      <c r="B2816" s="115" t="s">
        <v>5995</v>
      </c>
      <c r="C2816" s="116" t="s">
        <v>16</v>
      </c>
      <c r="D2816" s="116">
        <v>0</v>
      </c>
      <c r="E2816" s="136">
        <f ca="1">OFFSET(INDEX(Composições!A:J,MATCH(Orçamentária!A2816,Composições!A:A,0),8),2,0)</f>
        <v>53.399499999999996</v>
      </c>
      <c r="F2816" s="137">
        <f t="shared" ca="1" si="150"/>
        <v>0</v>
      </c>
      <c r="G2816" s="138" t="e">
        <f>IF(A2816&lt;&gt;"",IF(AND(#REF!="Padrão",$H$4=#REF!),BDI!$B$17,IF(AND(#REF!="Padrão",$H$4=#REF!),BDI!#REF!,IF(AND(#REF!="Diferenciado",$H$4=#REF!),BDI!$E$17,IF(AND(#REF!="Diferenciado",$H$4=#REF!),BDI!#REF!,IF(#REF!="ZERO",0))))),"")</f>
        <v>#REF!</v>
      </c>
      <c r="H2816" s="139" t="e">
        <f t="shared" ca="1" si="151"/>
        <v>#REF!</v>
      </c>
      <c r="I2816" s="137" t="e">
        <f t="shared" ca="1" si="152"/>
        <v>#REF!</v>
      </c>
      <c r="J2816" s="117"/>
    </row>
    <row r="2817" spans="1:10" hidden="1" x14ac:dyDescent="0.25">
      <c r="A2817" s="114" t="s">
        <v>5996</v>
      </c>
      <c r="B2817" s="115" t="s">
        <v>5997</v>
      </c>
      <c r="C2817" s="116" t="s">
        <v>16</v>
      </c>
      <c r="D2817" s="116">
        <v>0</v>
      </c>
      <c r="E2817" s="136">
        <f ca="1">OFFSET(INDEX(Composições!A:J,MATCH(Orçamentária!A2817,Composições!A:A,0),8),2,0)</f>
        <v>102.0585</v>
      </c>
      <c r="F2817" s="137">
        <f t="shared" ca="1" si="150"/>
        <v>0</v>
      </c>
      <c r="G2817" s="138" t="e">
        <f>IF(A2817&lt;&gt;"",IF(AND(#REF!="Padrão",$H$4=#REF!),BDI!$B$17,IF(AND(#REF!="Padrão",$H$4=#REF!),BDI!#REF!,IF(AND(#REF!="Diferenciado",$H$4=#REF!),BDI!$E$17,IF(AND(#REF!="Diferenciado",$H$4=#REF!),BDI!#REF!,IF(#REF!="ZERO",0))))),"")</f>
        <v>#REF!</v>
      </c>
      <c r="H2817" s="139" t="e">
        <f t="shared" ca="1" si="151"/>
        <v>#REF!</v>
      </c>
      <c r="I2817" s="137" t="e">
        <f t="shared" ca="1" si="152"/>
        <v>#REF!</v>
      </c>
      <c r="J2817" s="117"/>
    </row>
    <row r="2818" spans="1:10" hidden="1" x14ac:dyDescent="0.25">
      <c r="A2818" s="114" t="s">
        <v>5998</v>
      </c>
      <c r="B2818" s="115" t="s">
        <v>5999</v>
      </c>
      <c r="C2818" s="116" t="s">
        <v>16</v>
      </c>
      <c r="D2818" s="116">
        <v>0</v>
      </c>
      <c r="E2818" s="136">
        <f ca="1">OFFSET(INDEX(Composições!A:J,MATCH(Orçamentária!A2818,Composições!A:A,0),8),2,0)</f>
        <v>80.835499999999996</v>
      </c>
      <c r="F2818" s="137">
        <f t="shared" ca="1" si="150"/>
        <v>0</v>
      </c>
      <c r="G2818" s="138" t="e">
        <f>IF(A2818&lt;&gt;"",IF(AND(#REF!="Padrão",$H$4=#REF!),BDI!$B$17,IF(AND(#REF!="Padrão",$H$4=#REF!),BDI!#REF!,IF(AND(#REF!="Diferenciado",$H$4=#REF!),BDI!$E$17,IF(AND(#REF!="Diferenciado",$H$4=#REF!),BDI!#REF!,IF(#REF!="ZERO",0))))),"")</f>
        <v>#REF!</v>
      </c>
      <c r="H2818" s="139" t="e">
        <f t="shared" ca="1" si="151"/>
        <v>#REF!</v>
      </c>
      <c r="I2818" s="137" t="e">
        <f t="shared" ca="1" si="152"/>
        <v>#REF!</v>
      </c>
      <c r="J2818" s="117"/>
    </row>
    <row r="2819" spans="1:10" hidden="1" x14ac:dyDescent="0.25">
      <c r="A2819" s="114" t="s">
        <v>6000</v>
      </c>
      <c r="B2819" s="115" t="s">
        <v>6001</v>
      </c>
      <c r="C2819" s="116" t="s">
        <v>16</v>
      </c>
      <c r="D2819" s="116">
        <v>0</v>
      </c>
      <c r="E2819" s="136">
        <f ca="1">OFFSET(INDEX(Composições!A:J,MATCH(Orçamentária!A2819,Composições!A:A,0),8),2,0)</f>
        <v>59.317999999999998</v>
      </c>
      <c r="F2819" s="137">
        <f t="shared" ca="1" si="150"/>
        <v>0</v>
      </c>
      <c r="G2819" s="138" t="e">
        <f>IF(A2819&lt;&gt;"",IF(AND(#REF!="Padrão",$H$4=#REF!),BDI!$B$17,IF(AND(#REF!="Padrão",$H$4=#REF!),BDI!#REF!,IF(AND(#REF!="Diferenciado",$H$4=#REF!),BDI!$E$17,IF(AND(#REF!="Diferenciado",$H$4=#REF!),BDI!#REF!,IF(#REF!="ZERO",0))))),"")</f>
        <v>#REF!</v>
      </c>
      <c r="H2819" s="139" t="e">
        <f t="shared" ca="1" si="151"/>
        <v>#REF!</v>
      </c>
      <c r="I2819" s="137" t="e">
        <f t="shared" ca="1" si="152"/>
        <v>#REF!</v>
      </c>
      <c r="J2819" s="117"/>
    </row>
    <row r="2820" spans="1:10" hidden="1" x14ac:dyDescent="0.25">
      <c r="A2820" s="114" t="s">
        <v>6002</v>
      </c>
      <c r="B2820" s="115" t="s">
        <v>6003</v>
      </c>
      <c r="C2820" s="116" t="s">
        <v>16</v>
      </c>
      <c r="D2820" s="116">
        <v>0</v>
      </c>
      <c r="E2820" s="136">
        <f ca="1">OFFSET(INDEX(Composições!A:J,MATCH(Orçamentária!A2820,Composições!A:A,0),8),2,0)</f>
        <v>35.625</v>
      </c>
      <c r="F2820" s="137">
        <f t="shared" ca="1" si="150"/>
        <v>0</v>
      </c>
      <c r="G2820" s="138" t="e">
        <f>IF(A2820&lt;&gt;"",IF(AND(#REF!="Padrão",$H$4=#REF!),BDI!$B$17,IF(AND(#REF!="Padrão",$H$4=#REF!),BDI!#REF!,IF(AND(#REF!="Diferenciado",$H$4=#REF!),BDI!$E$17,IF(AND(#REF!="Diferenciado",$H$4=#REF!),BDI!#REF!,IF(#REF!="ZERO",0))))),"")</f>
        <v>#REF!</v>
      </c>
      <c r="H2820" s="139" t="e">
        <f t="shared" ca="1" si="151"/>
        <v>#REF!</v>
      </c>
      <c r="I2820" s="137" t="e">
        <f t="shared" ca="1" si="152"/>
        <v>#REF!</v>
      </c>
      <c r="J2820" s="117"/>
    </row>
    <row r="2821" spans="1:10" hidden="1" x14ac:dyDescent="0.25">
      <c r="A2821" s="114" t="s">
        <v>6004</v>
      </c>
      <c r="B2821" s="115" t="s">
        <v>6005</v>
      </c>
      <c r="C2821" s="116" t="s">
        <v>16</v>
      </c>
      <c r="D2821" s="116">
        <v>0</v>
      </c>
      <c r="E2821" s="136">
        <f ca="1">OFFSET(INDEX(Composições!A:J,MATCH(Orçamentária!A2821,Composições!A:A,0),8),2,0)</f>
        <v>294.81349999999998</v>
      </c>
      <c r="F2821" s="137">
        <f t="shared" ca="1" si="150"/>
        <v>0</v>
      </c>
      <c r="G2821" s="138" t="e">
        <f>IF(A2821&lt;&gt;"",IF(AND(#REF!="Padrão",$H$4=#REF!),BDI!$B$17,IF(AND(#REF!="Padrão",$H$4=#REF!),BDI!#REF!,IF(AND(#REF!="Diferenciado",$H$4=#REF!),BDI!$E$17,IF(AND(#REF!="Diferenciado",$H$4=#REF!),BDI!#REF!,IF(#REF!="ZERO",0))))),"")</f>
        <v>#REF!</v>
      </c>
      <c r="H2821" s="139" t="e">
        <f t="shared" ca="1" si="151"/>
        <v>#REF!</v>
      </c>
      <c r="I2821" s="137" t="e">
        <f t="shared" ca="1" si="152"/>
        <v>#REF!</v>
      </c>
      <c r="J2821" s="117"/>
    </row>
    <row r="2822" spans="1:10" hidden="1" x14ac:dyDescent="0.25">
      <c r="A2822" s="114" t="s">
        <v>6006</v>
      </c>
      <c r="B2822" s="115" t="s">
        <v>6007</v>
      </c>
      <c r="C2822" s="116" t="s">
        <v>16</v>
      </c>
      <c r="D2822" s="116">
        <v>0</v>
      </c>
      <c r="E2822" s="136">
        <f ca="1">OFFSET(INDEX(Composições!A:J,MATCH(Orçamentária!A2822,Composições!A:A,0),8),2,0)</f>
        <v>142.14849999999998</v>
      </c>
      <c r="F2822" s="137">
        <f t="shared" ca="1" si="150"/>
        <v>0</v>
      </c>
      <c r="G2822" s="138" t="e">
        <f>IF(A2822&lt;&gt;"",IF(AND(#REF!="Padrão",$H$4=#REF!),BDI!$B$17,IF(AND(#REF!="Padrão",$H$4=#REF!),BDI!#REF!,IF(AND(#REF!="Diferenciado",$H$4=#REF!),BDI!$E$17,IF(AND(#REF!="Diferenciado",$H$4=#REF!),BDI!#REF!,IF(#REF!="ZERO",0))))),"")</f>
        <v>#REF!</v>
      </c>
      <c r="H2822" s="139" t="e">
        <f t="shared" ca="1" si="151"/>
        <v>#REF!</v>
      </c>
      <c r="I2822" s="137" t="e">
        <f t="shared" ca="1" si="152"/>
        <v>#REF!</v>
      </c>
      <c r="J2822" s="117"/>
    </row>
    <row r="2823" spans="1:10" hidden="1" x14ac:dyDescent="0.25">
      <c r="A2823" s="114" t="s">
        <v>6008</v>
      </c>
      <c r="B2823" s="115" t="s">
        <v>6009</v>
      </c>
      <c r="C2823" s="116" t="s">
        <v>16</v>
      </c>
      <c r="D2823" s="116">
        <v>0</v>
      </c>
      <c r="E2823" s="136">
        <f ca="1">OFFSET(INDEX(Composições!A:J,MATCH(Orçamentária!A2823,Composições!A:A,0),8),2,0)</f>
        <v>356.92449999999997</v>
      </c>
      <c r="F2823" s="137">
        <f t="shared" ca="1" si="150"/>
        <v>0</v>
      </c>
      <c r="G2823" s="138" t="e">
        <f>IF(A2823&lt;&gt;"",IF(AND(#REF!="Padrão",$H$4=#REF!),BDI!$B$17,IF(AND(#REF!="Padrão",$H$4=#REF!),BDI!#REF!,IF(AND(#REF!="Diferenciado",$H$4=#REF!),BDI!$E$17,IF(AND(#REF!="Diferenciado",$H$4=#REF!),BDI!#REF!,IF(#REF!="ZERO",0))))),"")</f>
        <v>#REF!</v>
      </c>
      <c r="H2823" s="139" t="e">
        <f t="shared" ca="1" si="151"/>
        <v>#REF!</v>
      </c>
      <c r="I2823" s="137" t="e">
        <f t="shared" ca="1" si="152"/>
        <v>#REF!</v>
      </c>
      <c r="J2823" s="117"/>
    </row>
    <row r="2824" spans="1:10" hidden="1" x14ac:dyDescent="0.25">
      <c r="A2824" s="114" t="s">
        <v>6010</v>
      </c>
      <c r="B2824" s="115" t="s">
        <v>6011</v>
      </c>
      <c r="C2824" s="116" t="s">
        <v>16</v>
      </c>
      <c r="D2824" s="116">
        <v>0</v>
      </c>
      <c r="E2824" s="136">
        <f ca="1">OFFSET(INDEX(Composições!A:J,MATCH(Orçamentária!A2824,Composições!A:A,0),8),2,0)</f>
        <v>37.572499999999998</v>
      </c>
      <c r="F2824" s="137">
        <f t="shared" ca="1" si="150"/>
        <v>0</v>
      </c>
      <c r="G2824" s="138" t="e">
        <f>IF(A2824&lt;&gt;"",IF(AND(#REF!="Padrão",$H$4=#REF!),BDI!$B$17,IF(AND(#REF!="Padrão",$H$4=#REF!),BDI!#REF!,IF(AND(#REF!="Diferenciado",$H$4=#REF!),BDI!$E$17,IF(AND(#REF!="Diferenciado",$H$4=#REF!),BDI!#REF!,IF(#REF!="ZERO",0))))),"")</f>
        <v>#REF!</v>
      </c>
      <c r="H2824" s="139" t="e">
        <f t="shared" ca="1" si="151"/>
        <v>#REF!</v>
      </c>
      <c r="I2824" s="137" t="e">
        <f t="shared" ca="1" si="152"/>
        <v>#REF!</v>
      </c>
      <c r="J2824" s="117"/>
    </row>
    <row r="2825" spans="1:10" hidden="1" x14ac:dyDescent="0.25">
      <c r="A2825" s="114" t="s">
        <v>6012</v>
      </c>
      <c r="B2825" s="115" t="s">
        <v>6013</v>
      </c>
      <c r="C2825" s="116" t="s">
        <v>16</v>
      </c>
      <c r="D2825" s="116">
        <v>0</v>
      </c>
      <c r="E2825" s="136">
        <f ca="1">OFFSET(INDEX(Composições!A:J,MATCH(Orçamentária!A2825,Composições!A:A,0),8),2,0)</f>
        <v>743.69799999999998</v>
      </c>
      <c r="F2825" s="137">
        <f t="shared" ca="1" si="150"/>
        <v>0</v>
      </c>
      <c r="G2825" s="138" t="e">
        <f>IF(A2825&lt;&gt;"",IF(AND(#REF!="Padrão",$H$4=#REF!),BDI!$B$17,IF(AND(#REF!="Padrão",$H$4=#REF!),BDI!#REF!,IF(AND(#REF!="Diferenciado",$H$4=#REF!),BDI!$E$17,IF(AND(#REF!="Diferenciado",$H$4=#REF!),BDI!#REF!,IF(#REF!="ZERO",0))))),"")</f>
        <v>#REF!</v>
      </c>
      <c r="H2825" s="139" t="e">
        <f t="shared" ca="1" si="151"/>
        <v>#REF!</v>
      </c>
      <c r="I2825" s="137" t="e">
        <f t="shared" ca="1" si="152"/>
        <v>#REF!</v>
      </c>
      <c r="J2825" s="117"/>
    </row>
    <row r="2826" spans="1:10" hidden="1" x14ac:dyDescent="0.25">
      <c r="A2826" s="114" t="s">
        <v>6014</v>
      </c>
      <c r="B2826" s="115" t="s">
        <v>6015</v>
      </c>
      <c r="C2826" s="116" t="s">
        <v>16</v>
      </c>
      <c r="D2826" s="116">
        <v>0</v>
      </c>
      <c r="E2826" s="136" t="s">
        <v>416</v>
      </c>
      <c r="F2826" s="137" t="str">
        <f t="shared" si="150"/>
        <v/>
      </c>
      <c r="G2826" s="138" t="e">
        <f>IF(A2826&lt;&gt;"",IF(AND(#REF!="Padrão",$H$4=#REF!),BDI!$B$17,IF(AND(#REF!="Padrão",$H$4=#REF!),BDI!#REF!,IF(AND(#REF!="Diferenciado",$H$4=#REF!),BDI!$E$17,IF(AND(#REF!="Diferenciado",$H$4=#REF!),BDI!#REF!,IF(#REF!="ZERO",0))))),"")</f>
        <v>#REF!</v>
      </c>
      <c r="H2826" s="139" t="str">
        <f t="shared" si="151"/>
        <v/>
      </c>
      <c r="I2826" s="137" t="str">
        <f t="shared" si="152"/>
        <v/>
      </c>
      <c r="J2826" s="117"/>
    </row>
    <row r="2827" spans="1:10" hidden="1" x14ac:dyDescent="0.25">
      <c r="A2827" s="114" t="s">
        <v>6016</v>
      </c>
      <c r="B2827" s="115" t="s">
        <v>6017</v>
      </c>
      <c r="C2827" s="116" t="s">
        <v>16</v>
      </c>
      <c r="D2827" s="116">
        <v>0</v>
      </c>
      <c r="E2827" s="136" t="s">
        <v>416</v>
      </c>
      <c r="F2827" s="137" t="str">
        <f t="shared" si="150"/>
        <v/>
      </c>
      <c r="G2827" s="138" t="e">
        <f>IF(A2827&lt;&gt;"",IF(AND(#REF!="Padrão",$H$4=#REF!),BDI!$B$17,IF(AND(#REF!="Padrão",$H$4=#REF!),BDI!#REF!,IF(AND(#REF!="Diferenciado",$H$4=#REF!),BDI!$E$17,IF(AND(#REF!="Diferenciado",$H$4=#REF!),BDI!#REF!,IF(#REF!="ZERO",0))))),"")</f>
        <v>#REF!</v>
      </c>
      <c r="H2827" s="139" t="str">
        <f t="shared" si="151"/>
        <v/>
      </c>
      <c r="I2827" s="137" t="str">
        <f t="shared" si="152"/>
        <v/>
      </c>
      <c r="J2827" s="117"/>
    </row>
    <row r="2828" spans="1:10" hidden="1" x14ac:dyDescent="0.25">
      <c r="A2828" s="114" t="s">
        <v>6018</v>
      </c>
      <c r="B2828" s="115" t="s">
        <v>6019</v>
      </c>
      <c r="C2828" s="116" t="s">
        <v>16</v>
      </c>
      <c r="D2828" s="116">
        <v>0</v>
      </c>
      <c r="E2828" s="136">
        <f ca="1">OFFSET(INDEX(Composições!A:J,MATCH(Orçamentária!A2828,Composições!A:A,0),8),2,0)</f>
        <v>25.241499999999998</v>
      </c>
      <c r="F2828" s="137">
        <f t="shared" ca="1" si="150"/>
        <v>0</v>
      </c>
      <c r="G2828" s="138" t="e">
        <f>IF(A2828&lt;&gt;"",IF(AND(#REF!="Padrão",$H$4=#REF!),BDI!$B$17,IF(AND(#REF!="Padrão",$H$4=#REF!),BDI!#REF!,IF(AND(#REF!="Diferenciado",$H$4=#REF!),BDI!$E$17,IF(AND(#REF!="Diferenciado",$H$4=#REF!),BDI!#REF!,IF(#REF!="ZERO",0))))),"")</f>
        <v>#REF!</v>
      </c>
      <c r="H2828" s="139" t="e">
        <f t="shared" ca="1" si="151"/>
        <v>#REF!</v>
      </c>
      <c r="I2828" s="137" t="e">
        <f t="shared" ca="1" si="152"/>
        <v>#REF!</v>
      </c>
      <c r="J2828" s="117"/>
    </row>
    <row r="2829" spans="1:10" hidden="1" x14ac:dyDescent="0.25">
      <c r="A2829" s="114" t="s">
        <v>6020</v>
      </c>
      <c r="B2829" s="115" t="s">
        <v>6021</v>
      </c>
      <c r="C2829" s="116" t="s">
        <v>16</v>
      </c>
      <c r="D2829" s="116">
        <v>0</v>
      </c>
      <c r="E2829" s="136">
        <f ca="1">OFFSET(INDEX(Composições!A:J,MATCH(Orçamentária!A2829,Composições!A:A,0),8),2,0)</f>
        <v>30.1435</v>
      </c>
      <c r="F2829" s="137">
        <f t="shared" ca="1" si="150"/>
        <v>0</v>
      </c>
      <c r="G2829" s="138" t="e">
        <f>IF(A2829&lt;&gt;"",IF(AND(#REF!="Padrão",$H$4=#REF!),BDI!$B$17,IF(AND(#REF!="Padrão",$H$4=#REF!),BDI!#REF!,IF(AND(#REF!="Diferenciado",$H$4=#REF!),BDI!$E$17,IF(AND(#REF!="Diferenciado",$H$4=#REF!),BDI!#REF!,IF(#REF!="ZERO",0))))),"")</f>
        <v>#REF!</v>
      </c>
      <c r="H2829" s="139" t="e">
        <f t="shared" ca="1" si="151"/>
        <v>#REF!</v>
      </c>
      <c r="I2829" s="137" t="e">
        <f t="shared" ca="1" si="152"/>
        <v>#REF!</v>
      </c>
      <c r="J2829" s="117"/>
    </row>
    <row r="2830" spans="1:10" hidden="1" x14ac:dyDescent="0.25">
      <c r="A2830" s="114" t="s">
        <v>6022</v>
      </c>
      <c r="B2830" s="115" t="s">
        <v>6023</v>
      </c>
      <c r="C2830" s="116" t="s">
        <v>16</v>
      </c>
      <c r="D2830" s="116">
        <v>0</v>
      </c>
      <c r="E2830" s="136">
        <f ca="1">OFFSET(INDEX(Composições!A:J,MATCH(Orçamentária!A2830,Composições!A:A,0),8),2,0)</f>
        <v>23.588499999999996</v>
      </c>
      <c r="F2830" s="137">
        <f t="shared" ca="1" si="150"/>
        <v>0</v>
      </c>
      <c r="G2830" s="138" t="e">
        <f>IF(A2830&lt;&gt;"",IF(AND(#REF!="Padrão",$H$4=#REF!),BDI!$B$17,IF(AND(#REF!="Padrão",$H$4=#REF!),BDI!#REF!,IF(AND(#REF!="Diferenciado",$H$4=#REF!),BDI!$E$17,IF(AND(#REF!="Diferenciado",$H$4=#REF!),BDI!#REF!,IF(#REF!="ZERO",0))))),"")</f>
        <v>#REF!</v>
      </c>
      <c r="H2830" s="139" t="e">
        <f t="shared" ca="1" si="151"/>
        <v>#REF!</v>
      </c>
      <c r="I2830" s="137" t="e">
        <f t="shared" ca="1" si="152"/>
        <v>#REF!</v>
      </c>
      <c r="J2830" s="117"/>
    </row>
    <row r="2831" spans="1:10" hidden="1" x14ac:dyDescent="0.25">
      <c r="A2831" s="114" t="s">
        <v>6024</v>
      </c>
      <c r="B2831" s="115" t="s">
        <v>6025</v>
      </c>
      <c r="C2831" s="116" t="s">
        <v>16</v>
      </c>
      <c r="D2831" s="116">
        <v>0</v>
      </c>
      <c r="E2831" s="136">
        <f ca="1">OFFSET(INDEX(Composições!A:J,MATCH(Orçamentária!A2831,Composições!A:A,0),8),2,0)</f>
        <v>64.656999999999996</v>
      </c>
      <c r="F2831" s="137">
        <f t="shared" ca="1" si="150"/>
        <v>0</v>
      </c>
      <c r="G2831" s="138" t="e">
        <f>IF(A2831&lt;&gt;"",IF(AND(#REF!="Padrão",$H$4=#REF!),BDI!$B$17,IF(AND(#REF!="Padrão",$H$4=#REF!),BDI!#REF!,IF(AND(#REF!="Diferenciado",$H$4=#REF!),BDI!$E$17,IF(AND(#REF!="Diferenciado",$H$4=#REF!),BDI!#REF!,IF(#REF!="ZERO",0))))),"")</f>
        <v>#REF!</v>
      </c>
      <c r="H2831" s="139" t="e">
        <f t="shared" ca="1" si="151"/>
        <v>#REF!</v>
      </c>
      <c r="I2831" s="137" t="e">
        <f t="shared" ca="1" si="152"/>
        <v>#REF!</v>
      </c>
      <c r="J2831" s="117"/>
    </row>
    <row r="2832" spans="1:10" hidden="1" x14ac:dyDescent="0.25">
      <c r="A2832" s="114" t="s">
        <v>6026</v>
      </c>
      <c r="B2832" s="115" t="s">
        <v>7372</v>
      </c>
      <c r="C2832" s="116" t="s">
        <v>16</v>
      </c>
      <c r="D2832" s="116">
        <v>0</v>
      </c>
      <c r="E2832" s="136">
        <f ca="1">OFFSET(INDEX(Composições!A:J,MATCH(Orçamentária!A2832,Composições!A:A,0),8),2,0)</f>
        <v>115.10199999999999</v>
      </c>
      <c r="F2832" s="137">
        <f t="shared" ca="1" si="150"/>
        <v>0</v>
      </c>
      <c r="G2832" s="138" t="e">
        <f>IF(A2832&lt;&gt;"",IF(AND(#REF!="Padrão",$H$4=#REF!),BDI!$B$17,IF(AND(#REF!="Padrão",$H$4=#REF!),BDI!#REF!,IF(AND(#REF!="Diferenciado",$H$4=#REF!),BDI!$E$17,IF(AND(#REF!="Diferenciado",$H$4=#REF!),BDI!#REF!,IF(#REF!="ZERO",0))))),"")</f>
        <v>#REF!</v>
      </c>
      <c r="H2832" s="139" t="e">
        <f t="shared" ca="1" si="151"/>
        <v>#REF!</v>
      </c>
      <c r="I2832" s="137" t="e">
        <f t="shared" ca="1" si="152"/>
        <v>#REF!</v>
      </c>
      <c r="J2832" s="117"/>
    </row>
    <row r="2833" spans="1:10" hidden="1" x14ac:dyDescent="0.25">
      <c r="A2833" s="114" t="s">
        <v>6027</v>
      </c>
      <c r="B2833" s="115" t="s">
        <v>6028</v>
      </c>
      <c r="C2833" s="116" t="s">
        <v>16</v>
      </c>
      <c r="D2833" s="116">
        <v>0</v>
      </c>
      <c r="E2833" s="136">
        <f ca="1">OFFSET(INDEX(Composições!A:J,MATCH(Orçamentária!A2833,Composições!A:A,0),8),2,0)</f>
        <v>171</v>
      </c>
      <c r="F2833" s="137">
        <f t="shared" ca="1" si="150"/>
        <v>0</v>
      </c>
      <c r="G2833" s="138" t="e">
        <f>IF(A2833&lt;&gt;"",IF(AND(#REF!="Padrão",$H$4=#REF!),BDI!$B$17,IF(AND(#REF!="Padrão",$H$4=#REF!),BDI!#REF!,IF(AND(#REF!="Diferenciado",$H$4=#REF!),BDI!$E$17,IF(AND(#REF!="Diferenciado",$H$4=#REF!),BDI!#REF!,IF(#REF!="ZERO",0))))),"")</f>
        <v>#REF!</v>
      </c>
      <c r="H2833" s="139" t="e">
        <f t="shared" ca="1" si="151"/>
        <v>#REF!</v>
      </c>
      <c r="I2833" s="137" t="e">
        <f t="shared" ca="1" si="152"/>
        <v>#REF!</v>
      </c>
      <c r="J2833" s="117"/>
    </row>
    <row r="2834" spans="1:10" hidden="1" x14ac:dyDescent="0.25">
      <c r="A2834" s="114" t="s">
        <v>6029</v>
      </c>
      <c r="B2834" s="115" t="s">
        <v>6030</v>
      </c>
      <c r="C2834" s="116" t="s">
        <v>16</v>
      </c>
      <c r="D2834" s="116">
        <v>0</v>
      </c>
      <c r="E2834" s="136" t="s">
        <v>416</v>
      </c>
      <c r="F2834" s="137" t="str">
        <f t="shared" si="150"/>
        <v/>
      </c>
      <c r="G2834" s="138" t="e">
        <f>IF(A2834&lt;&gt;"",IF(AND(#REF!="Padrão",$H$4=#REF!),BDI!$B$17,IF(AND(#REF!="Padrão",$H$4=#REF!),BDI!#REF!,IF(AND(#REF!="Diferenciado",$H$4=#REF!),BDI!$E$17,IF(AND(#REF!="Diferenciado",$H$4=#REF!),BDI!#REF!,IF(#REF!="ZERO",0))))),"")</f>
        <v>#REF!</v>
      </c>
      <c r="H2834" s="139" t="str">
        <f t="shared" si="151"/>
        <v/>
      </c>
      <c r="I2834" s="137" t="str">
        <f t="shared" si="152"/>
        <v/>
      </c>
      <c r="J2834" s="117"/>
    </row>
    <row r="2835" spans="1:10" hidden="1" x14ac:dyDescent="0.25">
      <c r="A2835" s="114" t="s">
        <v>6031</v>
      </c>
      <c r="B2835" s="115" t="s">
        <v>6032</v>
      </c>
      <c r="C2835" s="116" t="s">
        <v>16</v>
      </c>
      <c r="D2835" s="116">
        <v>0</v>
      </c>
      <c r="E2835" s="136" t="s">
        <v>416</v>
      </c>
      <c r="F2835" s="137" t="str">
        <f t="shared" si="150"/>
        <v/>
      </c>
      <c r="G2835" s="138" t="e">
        <f>IF(A2835&lt;&gt;"",IF(AND(#REF!="Padrão",$H$4=#REF!),BDI!$B$17,IF(AND(#REF!="Padrão",$H$4=#REF!),BDI!#REF!,IF(AND(#REF!="Diferenciado",$H$4=#REF!),BDI!$E$17,IF(AND(#REF!="Diferenciado",$H$4=#REF!),BDI!#REF!,IF(#REF!="ZERO",0))))),"")</f>
        <v>#REF!</v>
      </c>
      <c r="H2835" s="139" t="str">
        <f t="shared" si="151"/>
        <v/>
      </c>
      <c r="I2835" s="137" t="str">
        <f t="shared" si="152"/>
        <v/>
      </c>
      <c r="J2835" s="117"/>
    </row>
    <row r="2836" spans="1:10" hidden="1" x14ac:dyDescent="0.25">
      <c r="A2836" s="114" t="s">
        <v>6033</v>
      </c>
      <c r="B2836" s="115" t="s">
        <v>6034</v>
      </c>
      <c r="C2836" s="116" t="s">
        <v>16</v>
      </c>
      <c r="D2836" s="116">
        <v>0</v>
      </c>
      <c r="E2836" s="136" t="s">
        <v>416</v>
      </c>
      <c r="F2836" s="137" t="str">
        <f t="shared" si="150"/>
        <v/>
      </c>
      <c r="G2836" s="138" t="e">
        <f>IF(A2836&lt;&gt;"",IF(AND(#REF!="Padrão",$H$4=#REF!),BDI!$B$17,IF(AND(#REF!="Padrão",$H$4=#REF!),BDI!#REF!,IF(AND(#REF!="Diferenciado",$H$4=#REF!),BDI!$E$17,IF(AND(#REF!="Diferenciado",$H$4=#REF!),BDI!#REF!,IF(#REF!="ZERO",0))))),"")</f>
        <v>#REF!</v>
      </c>
      <c r="H2836" s="139" t="str">
        <f t="shared" si="151"/>
        <v/>
      </c>
      <c r="I2836" s="137" t="str">
        <f t="shared" si="152"/>
        <v/>
      </c>
      <c r="J2836" s="117"/>
    </row>
    <row r="2837" spans="1:10" hidden="1" x14ac:dyDescent="0.25">
      <c r="A2837" s="114" t="s">
        <v>6035</v>
      </c>
      <c r="B2837" s="115" t="s">
        <v>6036</v>
      </c>
      <c r="C2837" s="116" t="s">
        <v>16</v>
      </c>
      <c r="D2837" s="116">
        <v>0</v>
      </c>
      <c r="E2837" s="136" t="s">
        <v>416</v>
      </c>
      <c r="F2837" s="137" t="str">
        <f t="shared" si="150"/>
        <v/>
      </c>
      <c r="G2837" s="138" t="e">
        <f>IF(A2837&lt;&gt;"",IF(AND(#REF!="Padrão",$H$4=#REF!),BDI!$B$17,IF(AND(#REF!="Padrão",$H$4=#REF!),BDI!#REF!,IF(AND(#REF!="Diferenciado",$H$4=#REF!),BDI!$E$17,IF(AND(#REF!="Diferenciado",$H$4=#REF!),BDI!#REF!,IF(#REF!="ZERO",0))))),"")</f>
        <v>#REF!</v>
      </c>
      <c r="H2837" s="139" t="str">
        <f t="shared" si="151"/>
        <v/>
      </c>
      <c r="I2837" s="137" t="str">
        <f t="shared" si="152"/>
        <v/>
      </c>
      <c r="J2837" s="117"/>
    </row>
    <row r="2838" spans="1:10" hidden="1" x14ac:dyDescent="0.25">
      <c r="A2838" s="114" t="s">
        <v>6037</v>
      </c>
      <c r="B2838" s="115" t="s">
        <v>6038</v>
      </c>
      <c r="C2838" s="116" t="s">
        <v>16</v>
      </c>
      <c r="D2838" s="116">
        <v>0</v>
      </c>
      <c r="E2838" s="136" t="s">
        <v>416</v>
      </c>
      <c r="F2838" s="137" t="str">
        <f t="shared" si="150"/>
        <v/>
      </c>
      <c r="G2838" s="138" t="e">
        <f>IF(A2838&lt;&gt;"",IF(AND(#REF!="Padrão",$H$4=#REF!),BDI!$B$17,IF(AND(#REF!="Padrão",$H$4=#REF!),BDI!#REF!,IF(AND(#REF!="Diferenciado",$H$4=#REF!),BDI!$E$17,IF(AND(#REF!="Diferenciado",$H$4=#REF!),BDI!#REF!,IF(#REF!="ZERO",0))))),"")</f>
        <v>#REF!</v>
      </c>
      <c r="H2838" s="139" t="str">
        <f t="shared" si="151"/>
        <v/>
      </c>
      <c r="I2838" s="137" t="str">
        <f t="shared" si="152"/>
        <v/>
      </c>
      <c r="J2838" s="117"/>
    </row>
    <row r="2839" spans="1:10" hidden="1" x14ac:dyDescent="0.25">
      <c r="A2839" s="114" t="s">
        <v>6039</v>
      </c>
      <c r="B2839" s="115" t="s">
        <v>6040</v>
      </c>
      <c r="C2839" s="116" t="s">
        <v>16</v>
      </c>
      <c r="D2839" s="116">
        <v>0</v>
      </c>
      <c r="E2839" s="136" t="s">
        <v>416</v>
      </c>
      <c r="F2839" s="137" t="str">
        <f t="shared" ref="F2839:F2902" si="153">IF(ISNUMBER(E2839),D2839*E2839,"")</f>
        <v/>
      </c>
      <c r="G2839" s="138" t="e">
        <f>IF(A2839&lt;&gt;"",IF(AND(#REF!="Padrão",$H$4=#REF!),BDI!$B$17,IF(AND(#REF!="Padrão",$H$4=#REF!),BDI!#REF!,IF(AND(#REF!="Diferenciado",$H$4=#REF!),BDI!$E$17,IF(AND(#REF!="Diferenciado",$H$4=#REF!),BDI!#REF!,IF(#REF!="ZERO",0))))),"")</f>
        <v>#REF!</v>
      </c>
      <c r="H2839" s="139" t="str">
        <f t="shared" ref="H2839:H2902" si="154">IF(ISNUMBER(E2839),ROUND(E2839*(1+G2839),2),"")</f>
        <v/>
      </c>
      <c r="I2839" s="137" t="str">
        <f t="shared" ref="I2839:I2902" si="155">IF(ISNUMBER(E2839),ROUND(H2839*D2839,2),"")</f>
        <v/>
      </c>
      <c r="J2839" s="117"/>
    </row>
    <row r="2840" spans="1:10" ht="25.5" hidden="1" x14ac:dyDescent="0.25">
      <c r="A2840" s="114" t="s">
        <v>6041</v>
      </c>
      <c r="B2840" s="115" t="s">
        <v>6042</v>
      </c>
      <c r="C2840" s="116" t="s">
        <v>16</v>
      </c>
      <c r="D2840" s="116">
        <v>0</v>
      </c>
      <c r="E2840" s="136" t="s">
        <v>416</v>
      </c>
      <c r="F2840" s="137" t="str">
        <f t="shared" si="153"/>
        <v/>
      </c>
      <c r="G2840" s="138" t="e">
        <f>IF(A2840&lt;&gt;"",IF(AND(#REF!="Padrão",$H$4=#REF!),BDI!$B$17,IF(AND(#REF!="Padrão",$H$4=#REF!),BDI!#REF!,IF(AND(#REF!="Diferenciado",$H$4=#REF!),BDI!$E$17,IF(AND(#REF!="Diferenciado",$H$4=#REF!),BDI!#REF!,IF(#REF!="ZERO",0))))),"")</f>
        <v>#REF!</v>
      </c>
      <c r="H2840" s="139" t="str">
        <f t="shared" si="154"/>
        <v/>
      </c>
      <c r="I2840" s="137" t="str">
        <f t="shared" si="155"/>
        <v/>
      </c>
      <c r="J2840" s="117"/>
    </row>
    <row r="2841" spans="1:10" ht="25.5" hidden="1" x14ac:dyDescent="0.25">
      <c r="A2841" s="114" t="s">
        <v>6043</v>
      </c>
      <c r="B2841" s="115" t="s">
        <v>6044</v>
      </c>
      <c r="C2841" s="116" t="s">
        <v>16</v>
      </c>
      <c r="D2841" s="116">
        <v>0</v>
      </c>
      <c r="E2841" s="136" t="s">
        <v>416</v>
      </c>
      <c r="F2841" s="137" t="str">
        <f t="shared" si="153"/>
        <v/>
      </c>
      <c r="G2841" s="138" t="e">
        <f>IF(A2841&lt;&gt;"",IF(AND(#REF!="Padrão",$H$4=#REF!),BDI!$B$17,IF(AND(#REF!="Padrão",$H$4=#REF!),BDI!#REF!,IF(AND(#REF!="Diferenciado",$H$4=#REF!),BDI!$E$17,IF(AND(#REF!="Diferenciado",$H$4=#REF!),BDI!#REF!,IF(#REF!="ZERO",0))))),"")</f>
        <v>#REF!</v>
      </c>
      <c r="H2841" s="139" t="str">
        <f t="shared" si="154"/>
        <v/>
      </c>
      <c r="I2841" s="137" t="str">
        <f t="shared" si="155"/>
        <v/>
      </c>
      <c r="J2841" s="117"/>
    </row>
    <row r="2842" spans="1:10" hidden="1" x14ac:dyDescent="0.25">
      <c r="A2842" s="114" t="s">
        <v>6045</v>
      </c>
      <c r="B2842" s="115" t="s">
        <v>3049</v>
      </c>
      <c r="C2842" s="116" t="s">
        <v>16</v>
      </c>
      <c r="D2842" s="116">
        <v>0</v>
      </c>
      <c r="E2842" s="136" t="s">
        <v>416</v>
      </c>
      <c r="F2842" s="137" t="str">
        <f t="shared" si="153"/>
        <v/>
      </c>
      <c r="G2842" s="138" t="e">
        <f>IF(A2842&lt;&gt;"",IF(AND(#REF!="Padrão",$H$4=#REF!),BDI!$B$17,IF(AND(#REF!="Padrão",$H$4=#REF!),BDI!#REF!,IF(AND(#REF!="Diferenciado",$H$4=#REF!),BDI!$E$17,IF(AND(#REF!="Diferenciado",$H$4=#REF!),BDI!#REF!,IF(#REF!="ZERO",0))))),"")</f>
        <v>#REF!</v>
      </c>
      <c r="H2842" s="139" t="str">
        <f t="shared" si="154"/>
        <v/>
      </c>
      <c r="I2842" s="137" t="str">
        <f t="shared" si="155"/>
        <v/>
      </c>
      <c r="J2842" s="117"/>
    </row>
    <row r="2843" spans="1:10" hidden="1" x14ac:dyDescent="0.25">
      <c r="A2843" s="114" t="s">
        <v>6046</v>
      </c>
      <c r="B2843" s="115" t="s">
        <v>5430</v>
      </c>
      <c r="C2843" s="116" t="s">
        <v>16</v>
      </c>
      <c r="D2843" s="116">
        <v>0</v>
      </c>
      <c r="E2843" s="136" t="s">
        <v>416</v>
      </c>
      <c r="F2843" s="137" t="str">
        <f t="shared" si="153"/>
        <v/>
      </c>
      <c r="G2843" s="138" t="e">
        <f>IF(A2843&lt;&gt;"",IF(AND(#REF!="Padrão",$H$4=#REF!),BDI!$B$17,IF(AND(#REF!="Padrão",$H$4=#REF!),BDI!#REF!,IF(AND(#REF!="Diferenciado",$H$4=#REF!),BDI!$E$17,IF(AND(#REF!="Diferenciado",$H$4=#REF!),BDI!#REF!,IF(#REF!="ZERO",0))))),"")</f>
        <v>#REF!</v>
      </c>
      <c r="H2843" s="139" t="str">
        <f t="shared" si="154"/>
        <v/>
      </c>
      <c r="I2843" s="137" t="str">
        <f t="shared" si="155"/>
        <v/>
      </c>
      <c r="J2843" s="117"/>
    </row>
    <row r="2844" spans="1:10" hidden="1" x14ac:dyDescent="0.25">
      <c r="A2844" s="114" t="s">
        <v>6047</v>
      </c>
      <c r="B2844" s="115" t="s">
        <v>6048</v>
      </c>
      <c r="C2844" s="116" t="s">
        <v>16</v>
      </c>
      <c r="D2844" s="116">
        <v>0</v>
      </c>
      <c r="E2844" s="136" t="s">
        <v>416</v>
      </c>
      <c r="F2844" s="137" t="str">
        <f t="shared" si="153"/>
        <v/>
      </c>
      <c r="G2844" s="138" t="e">
        <f>IF(A2844&lt;&gt;"",IF(AND(#REF!="Padrão",$H$4=#REF!),BDI!$B$17,IF(AND(#REF!="Padrão",$H$4=#REF!),BDI!#REF!,IF(AND(#REF!="Diferenciado",$H$4=#REF!),BDI!$E$17,IF(AND(#REF!="Diferenciado",$H$4=#REF!),BDI!#REF!,IF(#REF!="ZERO",0))))),"")</f>
        <v>#REF!</v>
      </c>
      <c r="H2844" s="139" t="str">
        <f t="shared" si="154"/>
        <v/>
      </c>
      <c r="I2844" s="137" t="str">
        <f t="shared" si="155"/>
        <v/>
      </c>
      <c r="J2844" s="117"/>
    </row>
    <row r="2845" spans="1:10" hidden="1" x14ac:dyDescent="0.25">
      <c r="A2845" s="114" t="s">
        <v>6049</v>
      </c>
      <c r="B2845" s="115" t="s">
        <v>6050</v>
      </c>
      <c r="C2845" s="116" t="s">
        <v>16</v>
      </c>
      <c r="D2845" s="116">
        <v>0</v>
      </c>
      <c r="E2845" s="136" t="s">
        <v>416</v>
      </c>
      <c r="F2845" s="137" t="str">
        <f t="shared" si="153"/>
        <v/>
      </c>
      <c r="G2845" s="138" t="e">
        <f>IF(A2845&lt;&gt;"",IF(AND(#REF!="Padrão",$H$4=#REF!),BDI!$B$17,IF(AND(#REF!="Padrão",$H$4=#REF!),BDI!#REF!,IF(AND(#REF!="Diferenciado",$H$4=#REF!),BDI!$E$17,IF(AND(#REF!="Diferenciado",$H$4=#REF!),BDI!#REF!,IF(#REF!="ZERO",0))))),"")</f>
        <v>#REF!</v>
      </c>
      <c r="H2845" s="139" t="str">
        <f t="shared" si="154"/>
        <v/>
      </c>
      <c r="I2845" s="137" t="str">
        <f t="shared" si="155"/>
        <v/>
      </c>
      <c r="J2845" s="117"/>
    </row>
    <row r="2846" spans="1:10" hidden="1" x14ac:dyDescent="0.25">
      <c r="A2846" s="114" t="s">
        <v>6051</v>
      </c>
      <c r="B2846" s="115" t="s">
        <v>6052</v>
      </c>
      <c r="C2846" s="116" t="s">
        <v>16</v>
      </c>
      <c r="D2846" s="116">
        <v>0</v>
      </c>
      <c r="E2846" s="136" t="s">
        <v>416</v>
      </c>
      <c r="F2846" s="137" t="str">
        <f t="shared" si="153"/>
        <v/>
      </c>
      <c r="G2846" s="138" t="e">
        <f>IF(A2846&lt;&gt;"",IF(AND(#REF!="Padrão",$H$4=#REF!),BDI!$B$17,IF(AND(#REF!="Padrão",$H$4=#REF!),BDI!#REF!,IF(AND(#REF!="Diferenciado",$H$4=#REF!),BDI!$E$17,IF(AND(#REF!="Diferenciado",$H$4=#REF!),BDI!#REF!,IF(#REF!="ZERO",0))))),"")</f>
        <v>#REF!</v>
      </c>
      <c r="H2846" s="139" t="str">
        <f t="shared" si="154"/>
        <v/>
      </c>
      <c r="I2846" s="137" t="str">
        <f t="shared" si="155"/>
        <v/>
      </c>
      <c r="J2846" s="117"/>
    </row>
    <row r="2847" spans="1:10" hidden="1" x14ac:dyDescent="0.25">
      <c r="A2847" s="114" t="s">
        <v>6053</v>
      </c>
      <c r="B2847" s="115" t="s">
        <v>6054</v>
      </c>
      <c r="C2847" s="116" t="s">
        <v>16</v>
      </c>
      <c r="D2847" s="116">
        <v>0</v>
      </c>
      <c r="E2847" s="136" t="s">
        <v>416</v>
      </c>
      <c r="F2847" s="137" t="str">
        <f t="shared" si="153"/>
        <v/>
      </c>
      <c r="G2847" s="138" t="e">
        <f>IF(A2847&lt;&gt;"",IF(AND(#REF!="Padrão",$H$4=#REF!),BDI!$B$17,IF(AND(#REF!="Padrão",$H$4=#REF!),BDI!#REF!,IF(AND(#REF!="Diferenciado",$H$4=#REF!),BDI!$E$17,IF(AND(#REF!="Diferenciado",$H$4=#REF!),BDI!#REF!,IF(#REF!="ZERO",0))))),"")</f>
        <v>#REF!</v>
      </c>
      <c r="H2847" s="139" t="str">
        <f t="shared" si="154"/>
        <v/>
      </c>
      <c r="I2847" s="137" t="str">
        <f t="shared" si="155"/>
        <v/>
      </c>
      <c r="J2847" s="117"/>
    </row>
    <row r="2848" spans="1:10" hidden="1" x14ac:dyDescent="0.25">
      <c r="A2848" s="114" t="s">
        <v>6055</v>
      </c>
      <c r="B2848" s="115" t="s">
        <v>6056</v>
      </c>
      <c r="C2848" s="116" t="s">
        <v>16</v>
      </c>
      <c r="D2848" s="116">
        <v>0</v>
      </c>
      <c r="E2848" s="136" t="s">
        <v>416</v>
      </c>
      <c r="F2848" s="137" t="str">
        <f t="shared" si="153"/>
        <v/>
      </c>
      <c r="G2848" s="138" t="e">
        <f>IF(A2848&lt;&gt;"",IF(AND(#REF!="Padrão",$H$4=#REF!),BDI!$B$17,IF(AND(#REF!="Padrão",$H$4=#REF!),BDI!#REF!,IF(AND(#REF!="Diferenciado",$H$4=#REF!),BDI!$E$17,IF(AND(#REF!="Diferenciado",$H$4=#REF!),BDI!#REF!,IF(#REF!="ZERO",0))))),"")</f>
        <v>#REF!</v>
      </c>
      <c r="H2848" s="139" t="str">
        <f t="shared" si="154"/>
        <v/>
      </c>
      <c r="I2848" s="137" t="str">
        <f t="shared" si="155"/>
        <v/>
      </c>
      <c r="J2848" s="117"/>
    </row>
    <row r="2849" spans="1:10" hidden="1" x14ac:dyDescent="0.25">
      <c r="A2849" s="114" t="s">
        <v>6057</v>
      </c>
      <c r="B2849" s="115" t="s">
        <v>6058</v>
      </c>
      <c r="C2849" s="116" t="s">
        <v>16</v>
      </c>
      <c r="D2849" s="116">
        <v>0</v>
      </c>
      <c r="E2849" s="136" t="s">
        <v>416</v>
      </c>
      <c r="F2849" s="137" t="str">
        <f t="shared" si="153"/>
        <v/>
      </c>
      <c r="G2849" s="138" t="e">
        <f>IF(A2849&lt;&gt;"",IF(AND(#REF!="Padrão",$H$4=#REF!),BDI!$B$17,IF(AND(#REF!="Padrão",$H$4=#REF!),BDI!#REF!,IF(AND(#REF!="Diferenciado",$H$4=#REF!),BDI!$E$17,IF(AND(#REF!="Diferenciado",$H$4=#REF!),BDI!#REF!,IF(#REF!="ZERO",0))))),"")</f>
        <v>#REF!</v>
      </c>
      <c r="H2849" s="139" t="str">
        <f t="shared" si="154"/>
        <v/>
      </c>
      <c r="I2849" s="137" t="str">
        <f t="shared" si="155"/>
        <v/>
      </c>
      <c r="J2849" s="117"/>
    </row>
    <row r="2850" spans="1:10" hidden="1" x14ac:dyDescent="0.25">
      <c r="A2850" s="114" t="s">
        <v>6059</v>
      </c>
      <c r="B2850" s="115" t="s">
        <v>6060</v>
      </c>
      <c r="C2850" s="116" t="s">
        <v>16</v>
      </c>
      <c r="D2850" s="116">
        <v>0</v>
      </c>
      <c r="E2850" s="136" t="s">
        <v>416</v>
      </c>
      <c r="F2850" s="137" t="str">
        <f t="shared" si="153"/>
        <v/>
      </c>
      <c r="G2850" s="138" t="e">
        <f>IF(A2850&lt;&gt;"",IF(AND(#REF!="Padrão",$H$4=#REF!),BDI!$B$17,IF(AND(#REF!="Padrão",$H$4=#REF!),BDI!#REF!,IF(AND(#REF!="Diferenciado",$H$4=#REF!),BDI!$E$17,IF(AND(#REF!="Diferenciado",$H$4=#REF!),BDI!#REF!,IF(#REF!="ZERO",0))))),"")</f>
        <v>#REF!</v>
      </c>
      <c r="H2850" s="139" t="str">
        <f t="shared" si="154"/>
        <v/>
      </c>
      <c r="I2850" s="137" t="str">
        <f t="shared" si="155"/>
        <v/>
      </c>
      <c r="J2850" s="117"/>
    </row>
    <row r="2851" spans="1:10" hidden="1" x14ac:dyDescent="0.25">
      <c r="A2851" s="114" t="s">
        <v>6061</v>
      </c>
      <c r="B2851" s="115" t="s">
        <v>5425</v>
      </c>
      <c r="C2851" s="116" t="s">
        <v>16</v>
      </c>
      <c r="D2851" s="116">
        <v>0</v>
      </c>
      <c r="E2851" s="136" t="s">
        <v>416</v>
      </c>
      <c r="F2851" s="137" t="str">
        <f t="shared" si="153"/>
        <v/>
      </c>
      <c r="G2851" s="138" t="e">
        <f>IF(A2851&lt;&gt;"",IF(AND(#REF!="Padrão",$H$4=#REF!),BDI!$B$17,IF(AND(#REF!="Padrão",$H$4=#REF!),BDI!#REF!,IF(AND(#REF!="Diferenciado",$H$4=#REF!),BDI!$E$17,IF(AND(#REF!="Diferenciado",$H$4=#REF!),BDI!#REF!,IF(#REF!="ZERO",0))))),"")</f>
        <v>#REF!</v>
      </c>
      <c r="H2851" s="139" t="str">
        <f t="shared" si="154"/>
        <v/>
      </c>
      <c r="I2851" s="137" t="str">
        <f t="shared" si="155"/>
        <v/>
      </c>
      <c r="J2851" s="117"/>
    </row>
    <row r="2852" spans="1:10" hidden="1" x14ac:dyDescent="0.25">
      <c r="A2852" s="114" t="s">
        <v>6062</v>
      </c>
      <c r="B2852" s="115" t="s">
        <v>6063</v>
      </c>
      <c r="C2852" s="116" t="s">
        <v>16</v>
      </c>
      <c r="D2852" s="116">
        <v>0</v>
      </c>
      <c r="E2852" s="136" t="s">
        <v>416</v>
      </c>
      <c r="F2852" s="137" t="str">
        <f t="shared" si="153"/>
        <v/>
      </c>
      <c r="G2852" s="138" t="e">
        <f>IF(A2852&lt;&gt;"",IF(AND(#REF!="Padrão",$H$4=#REF!),BDI!$B$17,IF(AND(#REF!="Padrão",$H$4=#REF!),BDI!#REF!,IF(AND(#REF!="Diferenciado",$H$4=#REF!),BDI!$E$17,IF(AND(#REF!="Diferenciado",$H$4=#REF!),BDI!#REF!,IF(#REF!="ZERO",0))))),"")</f>
        <v>#REF!</v>
      </c>
      <c r="H2852" s="139" t="str">
        <f t="shared" si="154"/>
        <v/>
      </c>
      <c r="I2852" s="137" t="str">
        <f t="shared" si="155"/>
        <v/>
      </c>
      <c r="J2852" s="117"/>
    </row>
    <row r="2853" spans="1:10" hidden="1" x14ac:dyDescent="0.25">
      <c r="A2853" s="114" t="s">
        <v>6064</v>
      </c>
      <c r="B2853" s="115" t="s">
        <v>6065</v>
      </c>
      <c r="C2853" s="116" t="s">
        <v>16</v>
      </c>
      <c r="D2853" s="116">
        <v>0</v>
      </c>
      <c r="E2853" s="136">
        <f ca="1">OFFSET(INDEX(Composições!A:J,MATCH(Orçamentária!A2853,Composições!A:A,0),8),2,0)</f>
        <v>21.555499999999999</v>
      </c>
      <c r="F2853" s="137">
        <f t="shared" ca="1" si="153"/>
        <v>0</v>
      </c>
      <c r="G2853" s="138" t="e">
        <f>IF(A2853&lt;&gt;"",IF(AND(#REF!="Padrão",$H$4=#REF!),BDI!$B$17,IF(AND(#REF!="Padrão",$H$4=#REF!),BDI!#REF!,IF(AND(#REF!="Diferenciado",$H$4=#REF!),BDI!$E$17,IF(AND(#REF!="Diferenciado",$H$4=#REF!),BDI!#REF!,IF(#REF!="ZERO",0))))),"")</f>
        <v>#REF!</v>
      </c>
      <c r="H2853" s="139" t="e">
        <f t="shared" ca="1" si="154"/>
        <v>#REF!</v>
      </c>
      <c r="I2853" s="137" t="e">
        <f t="shared" ca="1" si="155"/>
        <v>#REF!</v>
      </c>
      <c r="J2853" s="117"/>
    </row>
    <row r="2854" spans="1:10" hidden="1" x14ac:dyDescent="0.25">
      <c r="A2854" s="114" t="s">
        <v>6066</v>
      </c>
      <c r="B2854" s="115" t="s">
        <v>6067</v>
      </c>
      <c r="C2854" s="116" t="s">
        <v>16</v>
      </c>
      <c r="D2854" s="116">
        <v>0</v>
      </c>
      <c r="E2854" s="136">
        <f ca="1">OFFSET(INDEX(Composições!A:J,MATCH(Orçamentária!A2854,Composições!A:A,0),8),2,0)</f>
        <v>8.968</v>
      </c>
      <c r="F2854" s="137">
        <f t="shared" ca="1" si="153"/>
        <v>0</v>
      </c>
      <c r="G2854" s="138" t="e">
        <f>IF(A2854&lt;&gt;"",IF(AND(#REF!="Padrão",$H$4=#REF!),BDI!$B$17,IF(AND(#REF!="Padrão",$H$4=#REF!),BDI!#REF!,IF(AND(#REF!="Diferenciado",$H$4=#REF!),BDI!$E$17,IF(AND(#REF!="Diferenciado",$H$4=#REF!),BDI!#REF!,IF(#REF!="ZERO",0))))),"")</f>
        <v>#REF!</v>
      </c>
      <c r="H2854" s="139" t="e">
        <f t="shared" ca="1" si="154"/>
        <v>#REF!</v>
      </c>
      <c r="I2854" s="137" t="e">
        <f t="shared" ca="1" si="155"/>
        <v>#REF!</v>
      </c>
      <c r="J2854" s="117"/>
    </row>
    <row r="2855" spans="1:10" hidden="1" x14ac:dyDescent="0.25">
      <c r="A2855" s="114" t="s">
        <v>6068</v>
      </c>
      <c r="B2855" s="115" t="s">
        <v>6069</v>
      </c>
      <c r="C2855" s="116" t="s">
        <v>16</v>
      </c>
      <c r="D2855" s="116">
        <v>0</v>
      </c>
      <c r="E2855" s="136">
        <f ca="1">OFFSET(INDEX(Composições!A:J,MATCH(Orçamentária!A2855,Composições!A:A,0),8),2,0)</f>
        <v>17.242499999999996</v>
      </c>
      <c r="F2855" s="137">
        <f t="shared" ca="1" si="153"/>
        <v>0</v>
      </c>
      <c r="G2855" s="138" t="e">
        <f>IF(A2855&lt;&gt;"",IF(AND(#REF!="Padrão",$H$4=#REF!),BDI!$B$17,IF(AND(#REF!="Padrão",$H$4=#REF!),BDI!#REF!,IF(AND(#REF!="Diferenciado",$H$4=#REF!),BDI!$E$17,IF(AND(#REF!="Diferenciado",$H$4=#REF!),BDI!#REF!,IF(#REF!="ZERO",0))))),"")</f>
        <v>#REF!</v>
      </c>
      <c r="H2855" s="139" t="e">
        <f t="shared" ca="1" si="154"/>
        <v>#REF!</v>
      </c>
      <c r="I2855" s="137" t="e">
        <f t="shared" ca="1" si="155"/>
        <v>#REF!</v>
      </c>
      <c r="J2855" s="117"/>
    </row>
    <row r="2856" spans="1:10" hidden="1" x14ac:dyDescent="0.25">
      <c r="A2856" s="114" t="s">
        <v>6070</v>
      </c>
      <c r="B2856" s="115" t="s">
        <v>6071</v>
      </c>
      <c r="C2856" s="116" t="s">
        <v>16</v>
      </c>
      <c r="D2856" s="116">
        <v>0</v>
      </c>
      <c r="E2856" s="136" t="s">
        <v>416</v>
      </c>
      <c r="F2856" s="137" t="str">
        <f t="shared" si="153"/>
        <v/>
      </c>
      <c r="G2856" s="138" t="e">
        <f>IF(A2856&lt;&gt;"",IF(AND(#REF!="Padrão",$H$4=#REF!),BDI!$B$17,IF(AND(#REF!="Padrão",$H$4=#REF!),BDI!#REF!,IF(AND(#REF!="Diferenciado",$H$4=#REF!),BDI!$E$17,IF(AND(#REF!="Diferenciado",$H$4=#REF!),BDI!#REF!,IF(#REF!="ZERO",0))))),"")</f>
        <v>#REF!</v>
      </c>
      <c r="H2856" s="139" t="str">
        <f t="shared" si="154"/>
        <v/>
      </c>
      <c r="I2856" s="137" t="str">
        <f t="shared" si="155"/>
        <v/>
      </c>
      <c r="J2856" s="117"/>
    </row>
    <row r="2857" spans="1:10" hidden="1" x14ac:dyDescent="0.25">
      <c r="A2857" s="114" t="s">
        <v>6072</v>
      </c>
      <c r="B2857" s="115" t="s">
        <v>6073</v>
      </c>
      <c r="C2857" s="116" t="s">
        <v>16</v>
      </c>
      <c r="D2857" s="116">
        <v>0</v>
      </c>
      <c r="E2857" s="136">
        <f ca="1">OFFSET(INDEX(Composições!A:J,MATCH(Orçamentária!A2857,Composições!A:A,0),8),2,0)</f>
        <v>439.60300000000001</v>
      </c>
      <c r="F2857" s="137">
        <f t="shared" ca="1" si="153"/>
        <v>0</v>
      </c>
      <c r="G2857" s="138" t="e">
        <f>IF(A2857&lt;&gt;"",IF(AND(#REF!="Padrão",$H$4=#REF!),BDI!$B$17,IF(AND(#REF!="Padrão",$H$4=#REF!),BDI!#REF!,IF(AND(#REF!="Diferenciado",$H$4=#REF!),BDI!$E$17,IF(AND(#REF!="Diferenciado",$H$4=#REF!),BDI!#REF!,IF(#REF!="ZERO",0))))),"")</f>
        <v>#REF!</v>
      </c>
      <c r="H2857" s="139" t="e">
        <f t="shared" ca="1" si="154"/>
        <v>#REF!</v>
      </c>
      <c r="I2857" s="137" t="e">
        <f t="shared" ca="1" si="155"/>
        <v>#REF!</v>
      </c>
      <c r="J2857" s="117"/>
    </row>
    <row r="2858" spans="1:10" hidden="1" x14ac:dyDescent="0.25">
      <c r="A2858" s="114" t="s">
        <v>6074</v>
      </c>
      <c r="B2858" s="115" t="s">
        <v>6075</v>
      </c>
      <c r="C2858" s="116" t="s">
        <v>16</v>
      </c>
      <c r="D2858" s="116">
        <v>0</v>
      </c>
      <c r="E2858" s="136">
        <f ca="1">OFFSET(INDEX(Composições!A:J,MATCH(Orçamentária!A2858,Composições!A:A,0),8),2,0)</f>
        <v>360.66749999999996</v>
      </c>
      <c r="F2858" s="137">
        <f t="shared" ca="1" si="153"/>
        <v>0</v>
      </c>
      <c r="G2858" s="138" t="e">
        <f>IF(A2858&lt;&gt;"",IF(AND(#REF!="Padrão",$H$4=#REF!),BDI!$B$17,IF(AND(#REF!="Padrão",$H$4=#REF!),BDI!#REF!,IF(AND(#REF!="Diferenciado",$H$4=#REF!),BDI!$E$17,IF(AND(#REF!="Diferenciado",$H$4=#REF!),BDI!#REF!,IF(#REF!="ZERO",0))))),"")</f>
        <v>#REF!</v>
      </c>
      <c r="H2858" s="139" t="e">
        <f t="shared" ca="1" si="154"/>
        <v>#REF!</v>
      </c>
      <c r="I2858" s="137" t="e">
        <f t="shared" ca="1" si="155"/>
        <v>#REF!</v>
      </c>
      <c r="J2858" s="117"/>
    </row>
    <row r="2859" spans="1:10" hidden="1" x14ac:dyDescent="0.25">
      <c r="A2859" s="114" t="s">
        <v>6076</v>
      </c>
      <c r="B2859" s="115" t="s">
        <v>6077</v>
      </c>
      <c r="C2859" s="116" t="s">
        <v>16</v>
      </c>
      <c r="D2859" s="116">
        <v>0</v>
      </c>
      <c r="E2859" s="136">
        <f ca="1">OFFSET(INDEX(Composições!A:J,MATCH(Orçamentária!A2859,Composições!A:A,0),8),2,0)</f>
        <v>211.77399999999997</v>
      </c>
      <c r="F2859" s="137">
        <f t="shared" ca="1" si="153"/>
        <v>0</v>
      </c>
      <c r="G2859" s="138" t="e">
        <f>IF(A2859&lt;&gt;"",IF(AND(#REF!="Padrão",$H$4=#REF!),BDI!$B$17,IF(AND(#REF!="Padrão",$H$4=#REF!),BDI!#REF!,IF(AND(#REF!="Diferenciado",$H$4=#REF!),BDI!$E$17,IF(AND(#REF!="Diferenciado",$H$4=#REF!),BDI!#REF!,IF(#REF!="ZERO",0))))),"")</f>
        <v>#REF!</v>
      </c>
      <c r="H2859" s="139" t="e">
        <f t="shared" ca="1" si="154"/>
        <v>#REF!</v>
      </c>
      <c r="I2859" s="137" t="e">
        <f t="shared" ca="1" si="155"/>
        <v>#REF!</v>
      </c>
      <c r="J2859" s="117"/>
    </row>
    <row r="2860" spans="1:10" hidden="1" x14ac:dyDescent="0.25">
      <c r="A2860" s="114" t="s">
        <v>6078</v>
      </c>
      <c r="B2860" s="115" t="s">
        <v>6079</v>
      </c>
      <c r="C2860" s="116" t="s">
        <v>16</v>
      </c>
      <c r="D2860" s="116">
        <v>0</v>
      </c>
      <c r="E2860" s="136">
        <f ca="1">OFFSET(INDEX(Composições!A:J,MATCH(Orçamentária!A2860,Composições!A:A,0),8),2,0)</f>
        <v>564.03399999999999</v>
      </c>
      <c r="F2860" s="137">
        <f t="shared" ca="1" si="153"/>
        <v>0</v>
      </c>
      <c r="G2860" s="138" t="e">
        <f>IF(A2860&lt;&gt;"",IF(AND(#REF!="Padrão",$H$4=#REF!),BDI!$B$17,IF(AND(#REF!="Padrão",$H$4=#REF!),BDI!#REF!,IF(AND(#REF!="Diferenciado",$H$4=#REF!),BDI!$E$17,IF(AND(#REF!="Diferenciado",$H$4=#REF!),BDI!#REF!,IF(#REF!="ZERO",0))))),"")</f>
        <v>#REF!</v>
      </c>
      <c r="H2860" s="139" t="e">
        <f t="shared" ca="1" si="154"/>
        <v>#REF!</v>
      </c>
      <c r="I2860" s="137" t="e">
        <f t="shared" ca="1" si="155"/>
        <v>#REF!</v>
      </c>
      <c r="J2860" s="117"/>
    </row>
    <row r="2861" spans="1:10" hidden="1" x14ac:dyDescent="0.25">
      <c r="A2861" s="114" t="s">
        <v>6080</v>
      </c>
      <c r="B2861" s="115" t="s">
        <v>6081</v>
      </c>
      <c r="C2861" s="116" t="s">
        <v>16</v>
      </c>
      <c r="D2861" s="116">
        <v>0</v>
      </c>
      <c r="E2861" s="136">
        <f ca="1">OFFSET(INDEX(Composições!A:J,MATCH(Orçamentária!A2861,Composições!A:A,0),8),2,0)</f>
        <v>94.135499999999993</v>
      </c>
      <c r="F2861" s="137">
        <f t="shared" ca="1" si="153"/>
        <v>0</v>
      </c>
      <c r="G2861" s="138" t="e">
        <f>IF(A2861&lt;&gt;"",IF(AND(#REF!="Padrão",$H$4=#REF!),BDI!$B$17,IF(AND(#REF!="Padrão",$H$4=#REF!),BDI!#REF!,IF(AND(#REF!="Diferenciado",$H$4=#REF!),BDI!$E$17,IF(AND(#REF!="Diferenciado",$H$4=#REF!),BDI!#REF!,IF(#REF!="ZERO",0))))),"")</f>
        <v>#REF!</v>
      </c>
      <c r="H2861" s="139" t="e">
        <f t="shared" ca="1" si="154"/>
        <v>#REF!</v>
      </c>
      <c r="I2861" s="137" t="e">
        <f t="shared" ca="1" si="155"/>
        <v>#REF!</v>
      </c>
      <c r="J2861" s="117"/>
    </row>
    <row r="2862" spans="1:10" hidden="1" x14ac:dyDescent="0.25">
      <c r="A2862" s="114" t="s">
        <v>6082</v>
      </c>
      <c r="B2862" s="115" t="s">
        <v>5436</v>
      </c>
      <c r="C2862" s="116" t="s">
        <v>16</v>
      </c>
      <c r="D2862" s="116">
        <v>0</v>
      </c>
      <c r="E2862" s="136" t="s">
        <v>416</v>
      </c>
      <c r="F2862" s="137" t="str">
        <f t="shared" si="153"/>
        <v/>
      </c>
      <c r="G2862" s="138" t="e">
        <f>IF(A2862&lt;&gt;"",IF(AND(#REF!="Padrão",$H$4=#REF!),BDI!$B$17,IF(AND(#REF!="Padrão",$H$4=#REF!),BDI!#REF!,IF(AND(#REF!="Diferenciado",$H$4=#REF!),BDI!$E$17,IF(AND(#REF!="Diferenciado",$H$4=#REF!),BDI!#REF!,IF(#REF!="ZERO",0))))),"")</f>
        <v>#REF!</v>
      </c>
      <c r="H2862" s="139" t="str">
        <f t="shared" si="154"/>
        <v/>
      </c>
      <c r="I2862" s="137" t="str">
        <f t="shared" si="155"/>
        <v/>
      </c>
      <c r="J2862" s="117"/>
    </row>
    <row r="2863" spans="1:10" hidden="1" x14ac:dyDescent="0.25">
      <c r="A2863" s="114" t="s">
        <v>6083</v>
      </c>
      <c r="B2863" s="115" t="s">
        <v>5435</v>
      </c>
      <c r="C2863" s="116" t="s">
        <v>16</v>
      </c>
      <c r="D2863" s="116">
        <v>0</v>
      </c>
      <c r="E2863" s="136" t="s">
        <v>416</v>
      </c>
      <c r="F2863" s="137" t="str">
        <f t="shared" si="153"/>
        <v/>
      </c>
      <c r="G2863" s="138" t="e">
        <f>IF(A2863&lt;&gt;"",IF(AND(#REF!="Padrão",$H$4=#REF!),BDI!$B$17,IF(AND(#REF!="Padrão",$H$4=#REF!),BDI!#REF!,IF(AND(#REF!="Diferenciado",$H$4=#REF!),BDI!$E$17,IF(AND(#REF!="Diferenciado",$H$4=#REF!),BDI!#REF!,IF(#REF!="ZERO",0))))),"")</f>
        <v>#REF!</v>
      </c>
      <c r="H2863" s="139" t="str">
        <f t="shared" si="154"/>
        <v/>
      </c>
      <c r="I2863" s="137" t="str">
        <f t="shared" si="155"/>
        <v/>
      </c>
      <c r="J2863" s="117"/>
    </row>
    <row r="2864" spans="1:10" hidden="1" x14ac:dyDescent="0.25">
      <c r="A2864" s="114" t="s">
        <v>6084</v>
      </c>
      <c r="B2864" s="115" t="s">
        <v>1472</v>
      </c>
      <c r="C2864" s="116" t="s">
        <v>16</v>
      </c>
      <c r="D2864" s="116">
        <v>0</v>
      </c>
      <c r="E2864" s="136" t="s">
        <v>416</v>
      </c>
      <c r="F2864" s="137" t="str">
        <f t="shared" si="153"/>
        <v/>
      </c>
      <c r="G2864" s="138" t="e">
        <f>IF(A2864&lt;&gt;"",IF(AND(#REF!="Padrão",$H$4=#REF!),BDI!$B$17,IF(AND(#REF!="Padrão",$H$4=#REF!),BDI!#REF!,IF(AND(#REF!="Diferenciado",$H$4=#REF!),BDI!$E$17,IF(AND(#REF!="Diferenciado",$H$4=#REF!),BDI!#REF!,IF(#REF!="ZERO",0))))),"")</f>
        <v>#REF!</v>
      </c>
      <c r="H2864" s="139" t="str">
        <f t="shared" si="154"/>
        <v/>
      </c>
      <c r="I2864" s="137" t="str">
        <f t="shared" si="155"/>
        <v/>
      </c>
      <c r="J2864" s="117"/>
    </row>
    <row r="2865" spans="1:10" hidden="1" x14ac:dyDescent="0.25">
      <c r="A2865" s="114" t="s">
        <v>6085</v>
      </c>
      <c r="B2865" s="115" t="s">
        <v>5433</v>
      </c>
      <c r="C2865" s="116" t="s">
        <v>16</v>
      </c>
      <c r="D2865" s="116">
        <v>0</v>
      </c>
      <c r="E2865" s="136" t="s">
        <v>416</v>
      </c>
      <c r="F2865" s="137" t="str">
        <f t="shared" si="153"/>
        <v/>
      </c>
      <c r="G2865" s="138" t="e">
        <f>IF(A2865&lt;&gt;"",IF(AND(#REF!="Padrão",$H$4=#REF!),BDI!$B$17,IF(AND(#REF!="Padrão",$H$4=#REF!),BDI!#REF!,IF(AND(#REF!="Diferenciado",$H$4=#REF!),BDI!$E$17,IF(AND(#REF!="Diferenciado",$H$4=#REF!),BDI!#REF!,IF(#REF!="ZERO",0))))),"")</f>
        <v>#REF!</v>
      </c>
      <c r="H2865" s="139" t="str">
        <f t="shared" si="154"/>
        <v/>
      </c>
      <c r="I2865" s="137" t="str">
        <f t="shared" si="155"/>
        <v/>
      </c>
      <c r="J2865" s="117"/>
    </row>
    <row r="2866" spans="1:10" hidden="1" x14ac:dyDescent="0.25">
      <c r="A2866" s="114" t="s">
        <v>6086</v>
      </c>
      <c r="B2866" s="115" t="s">
        <v>1474</v>
      </c>
      <c r="C2866" s="116" t="s">
        <v>16</v>
      </c>
      <c r="D2866" s="116">
        <v>0</v>
      </c>
      <c r="E2866" s="136" t="s">
        <v>416</v>
      </c>
      <c r="F2866" s="137" t="str">
        <f t="shared" si="153"/>
        <v/>
      </c>
      <c r="G2866" s="138" t="e">
        <f>IF(A2866&lt;&gt;"",IF(AND(#REF!="Padrão",$H$4=#REF!),BDI!$B$17,IF(AND(#REF!="Padrão",$H$4=#REF!),BDI!#REF!,IF(AND(#REF!="Diferenciado",$H$4=#REF!),BDI!$E$17,IF(AND(#REF!="Diferenciado",$H$4=#REF!),BDI!#REF!,IF(#REF!="ZERO",0))))),"")</f>
        <v>#REF!</v>
      </c>
      <c r="H2866" s="139" t="str">
        <f t="shared" si="154"/>
        <v/>
      </c>
      <c r="I2866" s="137" t="str">
        <f t="shared" si="155"/>
        <v/>
      </c>
      <c r="J2866" s="117"/>
    </row>
    <row r="2867" spans="1:10" hidden="1" x14ac:dyDescent="0.25">
      <c r="A2867" s="114" t="s">
        <v>6087</v>
      </c>
      <c r="B2867" s="115" t="s">
        <v>1473</v>
      </c>
      <c r="C2867" s="116" t="s">
        <v>16</v>
      </c>
      <c r="D2867" s="116">
        <v>0</v>
      </c>
      <c r="E2867" s="136" t="s">
        <v>416</v>
      </c>
      <c r="F2867" s="137" t="str">
        <f t="shared" si="153"/>
        <v/>
      </c>
      <c r="G2867" s="138" t="e">
        <f>IF(A2867&lt;&gt;"",IF(AND(#REF!="Padrão",$H$4=#REF!),BDI!$B$17,IF(AND(#REF!="Padrão",$H$4=#REF!),BDI!#REF!,IF(AND(#REF!="Diferenciado",$H$4=#REF!),BDI!$E$17,IF(AND(#REF!="Diferenciado",$H$4=#REF!),BDI!#REF!,IF(#REF!="ZERO",0))))),"")</f>
        <v>#REF!</v>
      </c>
      <c r="H2867" s="139" t="str">
        <f t="shared" si="154"/>
        <v/>
      </c>
      <c r="I2867" s="137" t="str">
        <f t="shared" si="155"/>
        <v/>
      </c>
      <c r="J2867" s="117"/>
    </row>
    <row r="2868" spans="1:10" hidden="1" x14ac:dyDescent="0.25">
      <c r="A2868" s="114" t="s">
        <v>6088</v>
      </c>
      <c r="B2868" s="115" t="s">
        <v>7365</v>
      </c>
      <c r="C2868" s="116" t="s">
        <v>69</v>
      </c>
      <c r="D2868" s="116">
        <v>0</v>
      </c>
      <c r="E2868" s="136">
        <f ca="1">OFFSET(INDEX(Composições!A:J,MATCH(Orçamentária!A2868,Composições!A:A,0),8),2,0)</f>
        <v>56.097499999999997</v>
      </c>
      <c r="F2868" s="137">
        <f t="shared" ca="1" si="153"/>
        <v>0</v>
      </c>
      <c r="G2868" s="138" t="e">
        <f>IF(A2868&lt;&gt;"",IF(AND(#REF!="Padrão",$H$4=#REF!),BDI!$B$17,IF(AND(#REF!="Padrão",$H$4=#REF!),BDI!#REF!,IF(AND(#REF!="Diferenciado",$H$4=#REF!),BDI!$E$17,IF(AND(#REF!="Diferenciado",$H$4=#REF!),BDI!#REF!,IF(#REF!="ZERO",0))))),"")</f>
        <v>#REF!</v>
      </c>
      <c r="H2868" s="139" t="e">
        <f t="shared" ca="1" si="154"/>
        <v>#REF!</v>
      </c>
      <c r="I2868" s="137" t="e">
        <f t="shared" ca="1" si="155"/>
        <v>#REF!</v>
      </c>
      <c r="J2868" s="117"/>
    </row>
    <row r="2869" spans="1:10" hidden="1" x14ac:dyDescent="0.25">
      <c r="A2869" s="114" t="s">
        <v>6089</v>
      </c>
      <c r="B2869" s="115" t="s">
        <v>6090</v>
      </c>
      <c r="C2869" s="116" t="s">
        <v>69</v>
      </c>
      <c r="D2869" s="116">
        <v>0</v>
      </c>
      <c r="E2869" s="136">
        <f ca="1">OFFSET(INDEX(Composições!A:J,MATCH(Orçamentária!A2869,Composições!A:A,0),8),2,0)</f>
        <v>71.202500000000001</v>
      </c>
      <c r="F2869" s="137">
        <f t="shared" ca="1" si="153"/>
        <v>0</v>
      </c>
      <c r="G2869" s="138" t="e">
        <f>IF(A2869&lt;&gt;"",IF(AND(#REF!="Padrão",$H$4=#REF!),BDI!$B$17,IF(AND(#REF!="Padrão",$H$4=#REF!),BDI!#REF!,IF(AND(#REF!="Diferenciado",$H$4=#REF!),BDI!$E$17,IF(AND(#REF!="Diferenciado",$H$4=#REF!),BDI!#REF!,IF(#REF!="ZERO",0))))),"")</f>
        <v>#REF!</v>
      </c>
      <c r="H2869" s="139" t="e">
        <f t="shared" ca="1" si="154"/>
        <v>#REF!</v>
      </c>
      <c r="I2869" s="137" t="e">
        <f t="shared" ca="1" si="155"/>
        <v>#REF!</v>
      </c>
      <c r="J2869" s="117"/>
    </row>
    <row r="2870" spans="1:10" hidden="1" x14ac:dyDescent="0.25">
      <c r="A2870" s="114" t="s">
        <v>6091</v>
      </c>
      <c r="B2870" s="115" t="s">
        <v>7366</v>
      </c>
      <c r="C2870" s="116" t="s">
        <v>69</v>
      </c>
      <c r="D2870" s="116">
        <v>0</v>
      </c>
      <c r="E2870" s="136">
        <f ca="1">OFFSET(INDEX(Composições!A:J,MATCH(Orçamentária!A2870,Composições!A:A,0),8),2,0)</f>
        <v>139.63099999999997</v>
      </c>
      <c r="F2870" s="137">
        <f t="shared" ca="1" si="153"/>
        <v>0</v>
      </c>
      <c r="G2870" s="138" t="e">
        <f>IF(A2870&lt;&gt;"",IF(AND(#REF!="Padrão",$H$4=#REF!),BDI!$B$17,IF(AND(#REF!="Padrão",$H$4=#REF!),BDI!#REF!,IF(AND(#REF!="Diferenciado",$H$4=#REF!),BDI!$E$17,IF(AND(#REF!="Diferenciado",$H$4=#REF!),BDI!#REF!,IF(#REF!="ZERO",0))))),"")</f>
        <v>#REF!</v>
      </c>
      <c r="H2870" s="139" t="e">
        <f t="shared" ca="1" si="154"/>
        <v>#REF!</v>
      </c>
      <c r="I2870" s="137" t="e">
        <f t="shared" ca="1" si="155"/>
        <v>#REF!</v>
      </c>
      <c r="J2870" s="117"/>
    </row>
    <row r="2871" spans="1:10" hidden="1" x14ac:dyDescent="0.25">
      <c r="A2871" s="114" t="s">
        <v>6092</v>
      </c>
      <c r="B2871" s="115" t="s">
        <v>7367</v>
      </c>
      <c r="C2871" s="116" t="s">
        <v>69</v>
      </c>
      <c r="D2871" s="116">
        <v>0</v>
      </c>
      <c r="E2871" s="136">
        <f ca="1">OFFSET(INDEX(Composições!A:J,MATCH(Orçamentária!A2871,Composições!A:A,0),8),2,0)</f>
        <v>103.398</v>
      </c>
      <c r="F2871" s="137">
        <f t="shared" ca="1" si="153"/>
        <v>0</v>
      </c>
      <c r="G2871" s="138" t="e">
        <f>IF(A2871&lt;&gt;"",IF(AND(#REF!="Padrão",$H$4=#REF!),BDI!$B$17,IF(AND(#REF!="Padrão",$H$4=#REF!),BDI!#REF!,IF(AND(#REF!="Diferenciado",$H$4=#REF!),BDI!$E$17,IF(AND(#REF!="Diferenciado",$H$4=#REF!),BDI!#REF!,IF(#REF!="ZERO",0))))),"")</f>
        <v>#REF!</v>
      </c>
      <c r="H2871" s="139" t="e">
        <f t="shared" ca="1" si="154"/>
        <v>#REF!</v>
      </c>
      <c r="I2871" s="137" t="e">
        <f t="shared" ca="1" si="155"/>
        <v>#REF!</v>
      </c>
      <c r="J2871" s="117"/>
    </row>
    <row r="2872" spans="1:10" hidden="1" x14ac:dyDescent="0.25">
      <c r="A2872" s="114" t="s">
        <v>6093</v>
      </c>
      <c r="B2872" s="115" t="s">
        <v>7368</v>
      </c>
      <c r="C2872" s="116" t="s">
        <v>69</v>
      </c>
      <c r="D2872" s="116">
        <v>0</v>
      </c>
      <c r="E2872" s="136">
        <f ca="1">OFFSET(INDEX(Composições!A:J,MATCH(Orçamentária!A2872,Composições!A:A,0),8),2,0)</f>
        <v>202.49250000000001</v>
      </c>
      <c r="F2872" s="137">
        <f t="shared" ca="1" si="153"/>
        <v>0</v>
      </c>
      <c r="G2872" s="138" t="e">
        <f>IF(A2872&lt;&gt;"",IF(AND(#REF!="Padrão",$H$4=#REF!),BDI!$B$17,IF(AND(#REF!="Padrão",$H$4=#REF!),BDI!#REF!,IF(AND(#REF!="Diferenciado",$H$4=#REF!),BDI!$E$17,IF(AND(#REF!="Diferenciado",$H$4=#REF!),BDI!#REF!,IF(#REF!="ZERO",0))))),"")</f>
        <v>#REF!</v>
      </c>
      <c r="H2872" s="139" t="e">
        <f t="shared" ca="1" si="154"/>
        <v>#REF!</v>
      </c>
      <c r="I2872" s="137" t="e">
        <f t="shared" ca="1" si="155"/>
        <v>#REF!</v>
      </c>
      <c r="J2872" s="117"/>
    </row>
    <row r="2873" spans="1:10" hidden="1" x14ac:dyDescent="0.25">
      <c r="A2873" s="114" t="s">
        <v>6094</v>
      </c>
      <c r="B2873" s="115" t="s">
        <v>7369</v>
      </c>
      <c r="C2873" s="116" t="s">
        <v>69</v>
      </c>
      <c r="D2873" s="116">
        <v>0</v>
      </c>
      <c r="E2873" s="136">
        <f ca="1">OFFSET(INDEX(Composições!A:J,MATCH(Orçamentária!A2873,Composições!A:A,0),8),2,0)</f>
        <v>285.27550000000002</v>
      </c>
      <c r="F2873" s="137">
        <f t="shared" ca="1" si="153"/>
        <v>0</v>
      </c>
      <c r="G2873" s="138" t="e">
        <f>IF(A2873&lt;&gt;"",IF(AND(#REF!="Padrão",$H$4=#REF!),BDI!$B$17,IF(AND(#REF!="Padrão",$H$4=#REF!),BDI!#REF!,IF(AND(#REF!="Diferenciado",$H$4=#REF!),BDI!$E$17,IF(AND(#REF!="Diferenciado",$H$4=#REF!),BDI!#REF!,IF(#REF!="ZERO",0))))),"")</f>
        <v>#REF!</v>
      </c>
      <c r="H2873" s="139" t="e">
        <f t="shared" ca="1" si="154"/>
        <v>#REF!</v>
      </c>
      <c r="I2873" s="137" t="e">
        <f t="shared" ca="1" si="155"/>
        <v>#REF!</v>
      </c>
      <c r="J2873" s="117"/>
    </row>
    <row r="2874" spans="1:10" hidden="1" x14ac:dyDescent="0.25">
      <c r="A2874" s="114" t="s">
        <v>6095</v>
      </c>
      <c r="B2874" s="115" t="s">
        <v>7370</v>
      </c>
      <c r="C2874" s="116" t="s">
        <v>69</v>
      </c>
      <c r="D2874" s="116">
        <v>0</v>
      </c>
      <c r="E2874" s="136">
        <f ca="1">OFFSET(INDEX(Composições!A:J,MATCH(Orçamentária!A2874,Composições!A:A,0),8),2,0)</f>
        <v>417.0215</v>
      </c>
      <c r="F2874" s="137">
        <f t="shared" ca="1" si="153"/>
        <v>0</v>
      </c>
      <c r="G2874" s="138" t="e">
        <f>IF(A2874&lt;&gt;"",IF(AND(#REF!="Padrão",$H$4=#REF!),BDI!$B$17,IF(AND(#REF!="Padrão",$H$4=#REF!),BDI!#REF!,IF(AND(#REF!="Diferenciado",$H$4=#REF!),BDI!$E$17,IF(AND(#REF!="Diferenciado",$H$4=#REF!),BDI!#REF!,IF(#REF!="ZERO",0))))),"")</f>
        <v>#REF!</v>
      </c>
      <c r="H2874" s="139" t="e">
        <f t="shared" ca="1" si="154"/>
        <v>#REF!</v>
      </c>
      <c r="I2874" s="137" t="e">
        <f t="shared" ca="1" si="155"/>
        <v>#REF!</v>
      </c>
      <c r="J2874" s="117"/>
    </row>
    <row r="2875" spans="1:10" hidden="1" x14ac:dyDescent="0.25">
      <c r="A2875" s="114" t="s">
        <v>6096</v>
      </c>
      <c r="B2875" s="115" t="s">
        <v>7371</v>
      </c>
      <c r="C2875" s="116" t="s">
        <v>69</v>
      </c>
      <c r="D2875" s="116">
        <v>0</v>
      </c>
      <c r="E2875" s="136">
        <f ca="1">OFFSET(INDEX(Composições!A:J,MATCH(Orçamentária!A2875,Composições!A:A,0),8),2,0)</f>
        <v>614.92549999999994</v>
      </c>
      <c r="F2875" s="137">
        <f t="shared" ca="1" si="153"/>
        <v>0</v>
      </c>
      <c r="G2875" s="138" t="e">
        <f>IF(A2875&lt;&gt;"",IF(AND(#REF!="Padrão",$H$4=#REF!),BDI!$B$17,IF(AND(#REF!="Padrão",$H$4=#REF!),BDI!#REF!,IF(AND(#REF!="Diferenciado",$H$4=#REF!),BDI!$E$17,IF(AND(#REF!="Diferenciado",$H$4=#REF!),BDI!#REF!,IF(#REF!="ZERO",0))))),"")</f>
        <v>#REF!</v>
      </c>
      <c r="H2875" s="139" t="e">
        <f t="shared" ca="1" si="154"/>
        <v>#REF!</v>
      </c>
      <c r="I2875" s="137" t="e">
        <f t="shared" ca="1" si="155"/>
        <v>#REF!</v>
      </c>
      <c r="J2875" s="117"/>
    </row>
    <row r="2876" spans="1:10" hidden="1" x14ac:dyDescent="0.25">
      <c r="A2876" s="114" t="s">
        <v>6097</v>
      </c>
      <c r="B2876" s="115" t="s">
        <v>6098</v>
      </c>
      <c r="C2876" s="116" t="s">
        <v>69</v>
      </c>
      <c r="D2876" s="116">
        <v>0</v>
      </c>
      <c r="E2876" s="136">
        <f ca="1">OFFSET(INDEX(Composições!A:J,MATCH(Orçamentária!A2876,Composições!A:A,0),8),2,0)</f>
        <v>13.034000000000001</v>
      </c>
      <c r="F2876" s="137">
        <f t="shared" ca="1" si="153"/>
        <v>0</v>
      </c>
      <c r="G2876" s="138" t="e">
        <f>IF(A2876&lt;&gt;"",IF(AND(#REF!="Padrão",$H$4=#REF!),BDI!$B$17,IF(AND(#REF!="Padrão",$H$4=#REF!),BDI!#REF!,IF(AND(#REF!="Diferenciado",$H$4=#REF!),BDI!$E$17,IF(AND(#REF!="Diferenciado",$H$4=#REF!),BDI!#REF!,IF(#REF!="ZERO",0))))),"")</f>
        <v>#REF!</v>
      </c>
      <c r="H2876" s="139" t="e">
        <f t="shared" ca="1" si="154"/>
        <v>#REF!</v>
      </c>
      <c r="I2876" s="137" t="e">
        <f t="shared" ca="1" si="155"/>
        <v>#REF!</v>
      </c>
      <c r="J2876" s="117"/>
    </row>
    <row r="2877" spans="1:10" hidden="1" x14ac:dyDescent="0.25">
      <c r="A2877" s="114" t="s">
        <v>6099</v>
      </c>
      <c r="B2877" s="115" t="s">
        <v>6100</v>
      </c>
      <c r="C2877" s="116" t="s">
        <v>69</v>
      </c>
      <c r="D2877" s="116">
        <v>0</v>
      </c>
      <c r="E2877" s="136">
        <f ca="1">OFFSET(INDEX(Composições!A:J,MATCH(Orçamentária!A2877,Composições!A:A,0),8),2,0)</f>
        <v>22.448499999999999</v>
      </c>
      <c r="F2877" s="137">
        <f t="shared" ca="1" si="153"/>
        <v>0</v>
      </c>
      <c r="G2877" s="138" t="e">
        <f>IF(A2877&lt;&gt;"",IF(AND(#REF!="Padrão",$H$4=#REF!),BDI!$B$17,IF(AND(#REF!="Padrão",$H$4=#REF!),BDI!#REF!,IF(AND(#REF!="Diferenciado",$H$4=#REF!),BDI!$E$17,IF(AND(#REF!="Diferenciado",$H$4=#REF!),BDI!#REF!,IF(#REF!="ZERO",0))))),"")</f>
        <v>#REF!</v>
      </c>
      <c r="H2877" s="139" t="e">
        <f t="shared" ca="1" si="154"/>
        <v>#REF!</v>
      </c>
      <c r="I2877" s="137" t="e">
        <f t="shared" ca="1" si="155"/>
        <v>#REF!</v>
      </c>
      <c r="J2877" s="117"/>
    </row>
    <row r="2878" spans="1:10" hidden="1" x14ac:dyDescent="0.25">
      <c r="A2878" s="114" t="s">
        <v>6101</v>
      </c>
      <c r="B2878" s="115" t="s">
        <v>6102</v>
      </c>
      <c r="C2878" s="116" t="s">
        <v>69</v>
      </c>
      <c r="D2878" s="116">
        <v>0</v>
      </c>
      <c r="E2878" s="136">
        <f ca="1">OFFSET(INDEX(Composições!A:J,MATCH(Orçamentária!A2878,Composições!A:A,0),8),2,0)</f>
        <v>49.580499999999994</v>
      </c>
      <c r="F2878" s="137">
        <f t="shared" ca="1" si="153"/>
        <v>0</v>
      </c>
      <c r="G2878" s="138" t="e">
        <f>IF(A2878&lt;&gt;"",IF(AND(#REF!="Padrão",$H$4=#REF!),BDI!$B$17,IF(AND(#REF!="Padrão",$H$4=#REF!),BDI!#REF!,IF(AND(#REF!="Diferenciado",$H$4=#REF!),BDI!$E$17,IF(AND(#REF!="Diferenciado",$H$4=#REF!),BDI!#REF!,IF(#REF!="ZERO",0))))),"")</f>
        <v>#REF!</v>
      </c>
      <c r="H2878" s="139" t="e">
        <f t="shared" ca="1" si="154"/>
        <v>#REF!</v>
      </c>
      <c r="I2878" s="137" t="e">
        <f t="shared" ca="1" si="155"/>
        <v>#REF!</v>
      </c>
      <c r="J2878" s="117"/>
    </row>
    <row r="2879" spans="1:10" hidden="1" x14ac:dyDescent="0.25">
      <c r="A2879" s="114" t="s">
        <v>6103</v>
      </c>
      <c r="B2879" s="115" t="s">
        <v>6104</v>
      </c>
      <c r="C2879" s="116" t="s">
        <v>69</v>
      </c>
      <c r="D2879" s="116">
        <v>0</v>
      </c>
      <c r="E2879" s="136">
        <f ca="1">OFFSET(INDEX(Composições!A:J,MATCH(Orçamentária!A2879,Composições!A:A,0),8),2,0)</f>
        <v>19.456</v>
      </c>
      <c r="F2879" s="137">
        <f t="shared" ca="1" si="153"/>
        <v>0</v>
      </c>
      <c r="G2879" s="138" t="e">
        <f>IF(A2879&lt;&gt;"",IF(AND(#REF!="Padrão",$H$4=#REF!),BDI!$B$17,IF(AND(#REF!="Padrão",$H$4=#REF!),BDI!#REF!,IF(AND(#REF!="Diferenciado",$H$4=#REF!),BDI!$E$17,IF(AND(#REF!="Diferenciado",$H$4=#REF!),BDI!#REF!,IF(#REF!="ZERO",0))))),"")</f>
        <v>#REF!</v>
      </c>
      <c r="H2879" s="139" t="e">
        <f t="shared" ca="1" si="154"/>
        <v>#REF!</v>
      </c>
      <c r="I2879" s="137" t="e">
        <f t="shared" ca="1" si="155"/>
        <v>#REF!</v>
      </c>
      <c r="J2879" s="117"/>
    </row>
    <row r="2880" spans="1:10" hidden="1" x14ac:dyDescent="0.25">
      <c r="A2880" s="114" t="s">
        <v>6105</v>
      </c>
      <c r="B2880" s="115" t="s">
        <v>6106</v>
      </c>
      <c r="C2880" s="116" t="s">
        <v>69</v>
      </c>
      <c r="D2880" s="116">
        <v>0</v>
      </c>
      <c r="E2880" s="136">
        <f ca="1">OFFSET(INDEX(Composições!A:J,MATCH(Orçamentária!A2880,Composições!A:A,0),8),2,0)</f>
        <v>25.336500000000001</v>
      </c>
      <c r="F2880" s="137">
        <f t="shared" ca="1" si="153"/>
        <v>0</v>
      </c>
      <c r="G2880" s="138" t="e">
        <f>IF(A2880&lt;&gt;"",IF(AND(#REF!="Padrão",$H$4=#REF!),BDI!$B$17,IF(AND(#REF!="Padrão",$H$4=#REF!),BDI!#REF!,IF(AND(#REF!="Diferenciado",$H$4=#REF!),BDI!$E$17,IF(AND(#REF!="Diferenciado",$H$4=#REF!),BDI!#REF!,IF(#REF!="ZERO",0))))),"")</f>
        <v>#REF!</v>
      </c>
      <c r="H2880" s="139" t="e">
        <f t="shared" ca="1" si="154"/>
        <v>#REF!</v>
      </c>
      <c r="I2880" s="137" t="e">
        <f t="shared" ca="1" si="155"/>
        <v>#REF!</v>
      </c>
      <c r="J2880" s="117"/>
    </row>
    <row r="2881" spans="1:10" hidden="1" x14ac:dyDescent="0.25">
      <c r="A2881" s="114" t="s">
        <v>6107</v>
      </c>
      <c r="B2881" s="115" t="s">
        <v>6108</v>
      </c>
      <c r="C2881" s="116" t="s">
        <v>69</v>
      </c>
      <c r="D2881" s="116">
        <v>0</v>
      </c>
      <c r="E2881" s="136">
        <f ca="1">OFFSET(INDEX(Composições!A:J,MATCH(Orçamentária!A2881,Composições!A:A,0),8),2,0)</f>
        <v>34.019500000000001</v>
      </c>
      <c r="F2881" s="137">
        <f t="shared" ca="1" si="153"/>
        <v>0</v>
      </c>
      <c r="G2881" s="138" t="e">
        <f>IF(A2881&lt;&gt;"",IF(AND(#REF!="Padrão",$H$4=#REF!),BDI!$B$17,IF(AND(#REF!="Padrão",$H$4=#REF!),BDI!#REF!,IF(AND(#REF!="Diferenciado",$H$4=#REF!),BDI!$E$17,IF(AND(#REF!="Diferenciado",$H$4=#REF!),BDI!#REF!,IF(#REF!="ZERO",0))))),"")</f>
        <v>#REF!</v>
      </c>
      <c r="H2881" s="139" t="e">
        <f t="shared" ca="1" si="154"/>
        <v>#REF!</v>
      </c>
      <c r="I2881" s="137" t="e">
        <f t="shared" ca="1" si="155"/>
        <v>#REF!</v>
      </c>
      <c r="J2881" s="117"/>
    </row>
    <row r="2882" spans="1:10" hidden="1" x14ac:dyDescent="0.25">
      <c r="A2882" s="114" t="s">
        <v>6109</v>
      </c>
      <c r="B2882" s="115" t="s">
        <v>6110</v>
      </c>
      <c r="C2882" s="116" t="s">
        <v>69</v>
      </c>
      <c r="D2882" s="116">
        <v>0</v>
      </c>
      <c r="E2882" s="136">
        <f ca="1">OFFSET(INDEX(Composições!A:J,MATCH(Orçamentária!A2882,Composições!A:A,0),8),2,0)</f>
        <v>71.497</v>
      </c>
      <c r="F2882" s="137">
        <f t="shared" ca="1" si="153"/>
        <v>0</v>
      </c>
      <c r="G2882" s="138" t="e">
        <f>IF(A2882&lt;&gt;"",IF(AND(#REF!="Padrão",$H$4=#REF!),BDI!$B$17,IF(AND(#REF!="Padrão",$H$4=#REF!),BDI!#REF!,IF(AND(#REF!="Diferenciado",$H$4=#REF!),BDI!$E$17,IF(AND(#REF!="Diferenciado",$H$4=#REF!),BDI!#REF!,IF(#REF!="ZERO",0))))),"")</f>
        <v>#REF!</v>
      </c>
      <c r="H2882" s="139" t="e">
        <f t="shared" ca="1" si="154"/>
        <v>#REF!</v>
      </c>
      <c r="I2882" s="137" t="e">
        <f t="shared" ca="1" si="155"/>
        <v>#REF!</v>
      </c>
      <c r="J2882" s="117"/>
    </row>
    <row r="2883" spans="1:10" hidden="1" x14ac:dyDescent="0.25">
      <c r="A2883" s="114" t="s">
        <v>6111</v>
      </c>
      <c r="B2883" s="115" t="s">
        <v>6112</v>
      </c>
      <c r="C2883" s="116" t="s">
        <v>69</v>
      </c>
      <c r="D2883" s="116">
        <v>0</v>
      </c>
      <c r="E2883" s="136">
        <f ca="1">OFFSET(INDEX(Composições!A:J,MATCH(Orçamentária!A2883,Composições!A:A,0),8),2,0)</f>
        <v>100.0445</v>
      </c>
      <c r="F2883" s="137">
        <f t="shared" ca="1" si="153"/>
        <v>0</v>
      </c>
      <c r="G2883" s="138" t="e">
        <f>IF(A2883&lt;&gt;"",IF(AND(#REF!="Padrão",$H$4=#REF!),BDI!$B$17,IF(AND(#REF!="Padrão",$H$4=#REF!),BDI!#REF!,IF(AND(#REF!="Diferenciado",$H$4=#REF!),BDI!$E$17,IF(AND(#REF!="Diferenciado",$H$4=#REF!),BDI!#REF!,IF(#REF!="ZERO",0))))),"")</f>
        <v>#REF!</v>
      </c>
      <c r="H2883" s="139" t="e">
        <f t="shared" ca="1" si="154"/>
        <v>#REF!</v>
      </c>
      <c r="I2883" s="137" t="e">
        <f t="shared" ca="1" si="155"/>
        <v>#REF!</v>
      </c>
      <c r="J2883" s="117"/>
    </row>
    <row r="2884" spans="1:10" hidden="1" x14ac:dyDescent="0.25">
      <c r="A2884" s="114" t="s">
        <v>6113</v>
      </c>
      <c r="B2884" s="115" t="s">
        <v>6114</v>
      </c>
      <c r="C2884" s="116" t="s">
        <v>69</v>
      </c>
      <c r="D2884" s="116">
        <v>0</v>
      </c>
      <c r="E2884" s="136">
        <f ca="1">OFFSET(INDEX(Composições!A:J,MATCH(Orçamentária!A2884,Composições!A:A,0),8),2,0)</f>
        <v>114.94049999999999</v>
      </c>
      <c r="F2884" s="137">
        <f t="shared" ca="1" si="153"/>
        <v>0</v>
      </c>
      <c r="G2884" s="138" t="e">
        <f>IF(A2884&lt;&gt;"",IF(AND(#REF!="Padrão",$H$4=#REF!),BDI!$B$17,IF(AND(#REF!="Padrão",$H$4=#REF!),BDI!#REF!,IF(AND(#REF!="Diferenciado",$H$4=#REF!),BDI!$E$17,IF(AND(#REF!="Diferenciado",$H$4=#REF!),BDI!#REF!,IF(#REF!="ZERO",0))))),"")</f>
        <v>#REF!</v>
      </c>
      <c r="H2884" s="139" t="e">
        <f t="shared" ca="1" si="154"/>
        <v>#REF!</v>
      </c>
      <c r="I2884" s="137" t="e">
        <f t="shared" ca="1" si="155"/>
        <v>#REF!</v>
      </c>
      <c r="J2884" s="117"/>
    </row>
    <row r="2885" spans="1:10" hidden="1" x14ac:dyDescent="0.25">
      <c r="A2885" s="114" t="s">
        <v>6115</v>
      </c>
      <c r="B2885" s="115" t="s">
        <v>6116</v>
      </c>
      <c r="C2885" s="116" t="s">
        <v>16</v>
      </c>
      <c r="D2885" s="116">
        <v>0</v>
      </c>
      <c r="E2885" s="136">
        <f ca="1">OFFSET(INDEX(Composições!A:J,MATCH(Orçamentária!A2885,Composições!A:A,0),8),2,0)</f>
        <v>35.0075</v>
      </c>
      <c r="F2885" s="137">
        <f t="shared" ca="1" si="153"/>
        <v>0</v>
      </c>
      <c r="G2885" s="138" t="e">
        <f>IF(A2885&lt;&gt;"",IF(AND(#REF!="Padrão",$H$4=#REF!),BDI!$B$17,IF(AND(#REF!="Padrão",$H$4=#REF!),BDI!#REF!,IF(AND(#REF!="Diferenciado",$H$4=#REF!),BDI!$E$17,IF(AND(#REF!="Diferenciado",$H$4=#REF!),BDI!#REF!,IF(#REF!="ZERO",0))))),"")</f>
        <v>#REF!</v>
      </c>
      <c r="H2885" s="139" t="e">
        <f t="shared" ca="1" si="154"/>
        <v>#REF!</v>
      </c>
      <c r="I2885" s="137" t="e">
        <f t="shared" ca="1" si="155"/>
        <v>#REF!</v>
      </c>
      <c r="J2885" s="117"/>
    </row>
    <row r="2886" spans="1:10" hidden="1" x14ac:dyDescent="0.25">
      <c r="A2886" s="114" t="s">
        <v>6117</v>
      </c>
      <c r="B2886" s="115" t="s">
        <v>6118</v>
      </c>
      <c r="C2886" s="116" t="s">
        <v>16</v>
      </c>
      <c r="D2886" s="116">
        <v>0</v>
      </c>
      <c r="E2886" s="136">
        <f ca="1">OFFSET(INDEX(Composições!A:J,MATCH(Orçamentária!A2886,Composições!A:A,0),8),2,0)</f>
        <v>53.58</v>
      </c>
      <c r="F2886" s="137">
        <f t="shared" ca="1" si="153"/>
        <v>0</v>
      </c>
      <c r="G2886" s="138" t="e">
        <f>IF(A2886&lt;&gt;"",IF(AND(#REF!="Padrão",$H$4=#REF!),BDI!$B$17,IF(AND(#REF!="Padrão",$H$4=#REF!),BDI!#REF!,IF(AND(#REF!="Diferenciado",$H$4=#REF!),BDI!$E$17,IF(AND(#REF!="Diferenciado",$H$4=#REF!),BDI!#REF!,IF(#REF!="ZERO",0))))),"")</f>
        <v>#REF!</v>
      </c>
      <c r="H2886" s="139" t="e">
        <f t="shared" ca="1" si="154"/>
        <v>#REF!</v>
      </c>
      <c r="I2886" s="137" t="e">
        <f t="shared" ca="1" si="155"/>
        <v>#REF!</v>
      </c>
      <c r="J2886" s="117"/>
    </row>
    <row r="2887" spans="1:10" hidden="1" x14ac:dyDescent="0.25">
      <c r="A2887" s="114" t="s">
        <v>6119</v>
      </c>
      <c r="B2887" s="115" t="s">
        <v>6120</v>
      </c>
      <c r="C2887" s="116" t="s">
        <v>16</v>
      </c>
      <c r="D2887" s="116">
        <v>0</v>
      </c>
      <c r="E2887" s="136">
        <f ca="1">OFFSET(INDEX(Composições!A:J,MATCH(Orçamentária!A2887,Composições!A:A,0),8),2,0)</f>
        <v>87.162499999999994</v>
      </c>
      <c r="F2887" s="137">
        <f t="shared" ca="1" si="153"/>
        <v>0</v>
      </c>
      <c r="G2887" s="138" t="e">
        <f>IF(A2887&lt;&gt;"",IF(AND(#REF!="Padrão",$H$4=#REF!),BDI!$B$17,IF(AND(#REF!="Padrão",$H$4=#REF!),BDI!#REF!,IF(AND(#REF!="Diferenciado",$H$4=#REF!),BDI!$E$17,IF(AND(#REF!="Diferenciado",$H$4=#REF!),BDI!#REF!,IF(#REF!="ZERO",0))))),"")</f>
        <v>#REF!</v>
      </c>
      <c r="H2887" s="139" t="e">
        <f t="shared" ca="1" si="154"/>
        <v>#REF!</v>
      </c>
      <c r="I2887" s="137" t="e">
        <f t="shared" ca="1" si="155"/>
        <v>#REF!</v>
      </c>
      <c r="J2887" s="117"/>
    </row>
    <row r="2888" spans="1:10" hidden="1" x14ac:dyDescent="0.25">
      <c r="A2888" s="114" t="s">
        <v>6121</v>
      </c>
      <c r="B2888" s="115" t="s">
        <v>6122</v>
      </c>
      <c r="C2888" s="116" t="s">
        <v>16</v>
      </c>
      <c r="D2888" s="116">
        <v>0</v>
      </c>
      <c r="E2888" s="136" t="s">
        <v>416</v>
      </c>
      <c r="F2888" s="137" t="str">
        <f t="shared" si="153"/>
        <v/>
      </c>
      <c r="G2888" s="138" t="e">
        <f>IF(A2888&lt;&gt;"",IF(AND(#REF!="Padrão",$H$4=#REF!),BDI!$B$17,IF(AND(#REF!="Padrão",$H$4=#REF!),BDI!#REF!,IF(AND(#REF!="Diferenciado",$H$4=#REF!),BDI!$E$17,IF(AND(#REF!="Diferenciado",$H$4=#REF!),BDI!#REF!,IF(#REF!="ZERO",0))))),"")</f>
        <v>#REF!</v>
      </c>
      <c r="H2888" s="139" t="str">
        <f t="shared" si="154"/>
        <v/>
      </c>
      <c r="I2888" s="137" t="str">
        <f t="shared" si="155"/>
        <v/>
      </c>
      <c r="J2888" s="117"/>
    </row>
    <row r="2889" spans="1:10" hidden="1" x14ac:dyDescent="0.25">
      <c r="A2889" s="114" t="s">
        <v>6123</v>
      </c>
      <c r="B2889" s="115" t="s">
        <v>6124</v>
      </c>
      <c r="C2889" s="116" t="s">
        <v>16</v>
      </c>
      <c r="D2889" s="116">
        <v>0</v>
      </c>
      <c r="E2889" s="136" t="s">
        <v>416</v>
      </c>
      <c r="F2889" s="137" t="str">
        <f t="shared" si="153"/>
        <v/>
      </c>
      <c r="G2889" s="138" t="e">
        <f>IF(A2889&lt;&gt;"",IF(AND(#REF!="Padrão",$H$4=#REF!),BDI!$B$17,IF(AND(#REF!="Padrão",$H$4=#REF!),BDI!#REF!,IF(AND(#REF!="Diferenciado",$H$4=#REF!),BDI!$E$17,IF(AND(#REF!="Diferenciado",$H$4=#REF!),BDI!#REF!,IF(#REF!="ZERO",0))))),"")</f>
        <v>#REF!</v>
      </c>
      <c r="H2889" s="139" t="str">
        <f t="shared" si="154"/>
        <v/>
      </c>
      <c r="I2889" s="137" t="str">
        <f t="shared" si="155"/>
        <v/>
      </c>
      <c r="J2889" s="117"/>
    </row>
    <row r="2890" spans="1:10" hidden="1" x14ac:dyDescent="0.25">
      <c r="A2890" s="114" t="s">
        <v>6125</v>
      </c>
      <c r="B2890" s="115" t="s">
        <v>6126</v>
      </c>
      <c r="C2890" s="116" t="s">
        <v>69</v>
      </c>
      <c r="D2890" s="116">
        <v>0</v>
      </c>
      <c r="E2890" s="136">
        <f ca="1">OFFSET(INDEX(Composições!A:J,MATCH(Orçamentária!A2890,Composições!A:A,0),8),2,0)</f>
        <v>316.77749999999997</v>
      </c>
      <c r="F2890" s="137">
        <f t="shared" ca="1" si="153"/>
        <v>0</v>
      </c>
      <c r="G2890" s="138" t="e">
        <f>IF(A2890&lt;&gt;"",IF(AND(#REF!="Padrão",$H$4=#REF!),BDI!$B$17,IF(AND(#REF!="Padrão",$H$4=#REF!),BDI!#REF!,IF(AND(#REF!="Diferenciado",$H$4=#REF!),BDI!$E$17,IF(AND(#REF!="Diferenciado",$H$4=#REF!),BDI!#REF!,IF(#REF!="ZERO",0))))),"")</f>
        <v>#REF!</v>
      </c>
      <c r="H2890" s="139" t="e">
        <f t="shared" ca="1" si="154"/>
        <v>#REF!</v>
      </c>
      <c r="I2890" s="137" t="e">
        <f t="shared" ca="1" si="155"/>
        <v>#REF!</v>
      </c>
      <c r="J2890" s="117"/>
    </row>
    <row r="2891" spans="1:10" hidden="1" x14ac:dyDescent="0.25">
      <c r="A2891" s="114" t="s">
        <v>6127</v>
      </c>
      <c r="B2891" s="115" t="s">
        <v>7361</v>
      </c>
      <c r="C2891" s="116" t="s">
        <v>69</v>
      </c>
      <c r="D2891" s="116">
        <v>0</v>
      </c>
      <c r="E2891" s="136">
        <f ca="1">OFFSET(INDEX(Composições!A:J,MATCH(Orçamentária!A2891,Composições!A:A,0),8),2,0)</f>
        <v>14.648999999999999</v>
      </c>
      <c r="F2891" s="137">
        <f t="shared" ca="1" si="153"/>
        <v>0</v>
      </c>
      <c r="G2891" s="138" t="e">
        <f>IF(A2891&lt;&gt;"",IF(AND(#REF!="Padrão",$H$4=#REF!),BDI!$B$17,IF(AND(#REF!="Padrão",$H$4=#REF!),BDI!#REF!,IF(AND(#REF!="Diferenciado",$H$4=#REF!),BDI!$E$17,IF(AND(#REF!="Diferenciado",$H$4=#REF!),BDI!#REF!,IF(#REF!="ZERO",0))))),"")</f>
        <v>#REF!</v>
      </c>
      <c r="H2891" s="139" t="e">
        <f t="shared" ca="1" si="154"/>
        <v>#REF!</v>
      </c>
      <c r="I2891" s="137" t="e">
        <f t="shared" ca="1" si="155"/>
        <v>#REF!</v>
      </c>
      <c r="J2891" s="117"/>
    </row>
    <row r="2892" spans="1:10" hidden="1" x14ac:dyDescent="0.25">
      <c r="A2892" s="114" t="s">
        <v>6128</v>
      </c>
      <c r="B2892" s="115" t="s">
        <v>7362</v>
      </c>
      <c r="C2892" s="116" t="s">
        <v>69</v>
      </c>
      <c r="D2892" s="116">
        <v>0</v>
      </c>
      <c r="E2892" s="136">
        <f ca="1">OFFSET(INDEX(Composições!A:J,MATCH(Orçamentária!A2892,Composições!A:A,0),8),2,0)</f>
        <v>38.294499999999999</v>
      </c>
      <c r="F2892" s="137">
        <f t="shared" ca="1" si="153"/>
        <v>0</v>
      </c>
      <c r="G2892" s="138" t="e">
        <f>IF(A2892&lt;&gt;"",IF(AND(#REF!="Padrão",$H$4=#REF!),BDI!$B$17,IF(AND(#REF!="Padrão",$H$4=#REF!),BDI!#REF!,IF(AND(#REF!="Diferenciado",$H$4=#REF!),BDI!$E$17,IF(AND(#REF!="Diferenciado",$H$4=#REF!),BDI!#REF!,IF(#REF!="ZERO",0))))),"")</f>
        <v>#REF!</v>
      </c>
      <c r="H2892" s="139" t="e">
        <f t="shared" ca="1" si="154"/>
        <v>#REF!</v>
      </c>
      <c r="I2892" s="137" t="e">
        <f t="shared" ca="1" si="155"/>
        <v>#REF!</v>
      </c>
      <c r="J2892" s="117"/>
    </row>
    <row r="2893" spans="1:10" hidden="1" x14ac:dyDescent="0.25">
      <c r="A2893" s="114" t="s">
        <v>6129</v>
      </c>
      <c r="B2893" s="115" t="s">
        <v>6130</v>
      </c>
      <c r="C2893" s="116" t="s">
        <v>69</v>
      </c>
      <c r="D2893" s="116">
        <v>0</v>
      </c>
      <c r="E2893" s="136">
        <f ca="1">OFFSET(INDEX(Composições!A:J,MATCH(Orçamentária!A2893,Composições!A:A,0),8),2,0)</f>
        <v>6.4029999999999996</v>
      </c>
      <c r="F2893" s="137">
        <f t="shared" ca="1" si="153"/>
        <v>0</v>
      </c>
      <c r="G2893" s="138" t="e">
        <f>IF(A2893&lt;&gt;"",IF(AND(#REF!="Padrão",$H$4=#REF!),BDI!$B$17,IF(AND(#REF!="Padrão",$H$4=#REF!),BDI!#REF!,IF(AND(#REF!="Diferenciado",$H$4=#REF!),BDI!$E$17,IF(AND(#REF!="Diferenciado",$H$4=#REF!),BDI!#REF!,IF(#REF!="ZERO",0))))),"")</f>
        <v>#REF!</v>
      </c>
      <c r="H2893" s="139" t="e">
        <f t="shared" ca="1" si="154"/>
        <v>#REF!</v>
      </c>
      <c r="I2893" s="137" t="e">
        <f t="shared" ca="1" si="155"/>
        <v>#REF!</v>
      </c>
      <c r="J2893" s="117"/>
    </row>
    <row r="2894" spans="1:10" hidden="1" x14ac:dyDescent="0.25">
      <c r="A2894" s="114" t="s">
        <v>6131</v>
      </c>
      <c r="B2894" s="115" t="s">
        <v>7363</v>
      </c>
      <c r="C2894" s="116" t="s">
        <v>69</v>
      </c>
      <c r="D2894" s="116">
        <v>0</v>
      </c>
      <c r="E2894" s="136">
        <f ca="1">OFFSET(INDEX(Composições!A:J,MATCH(Orçamentária!A2894,Composições!A:A,0),8),2,0)</f>
        <v>10.563999999999998</v>
      </c>
      <c r="F2894" s="137">
        <f t="shared" ca="1" si="153"/>
        <v>0</v>
      </c>
      <c r="G2894" s="138" t="e">
        <f>IF(A2894&lt;&gt;"",IF(AND(#REF!="Padrão",$H$4=#REF!),BDI!$B$17,IF(AND(#REF!="Padrão",$H$4=#REF!),BDI!#REF!,IF(AND(#REF!="Diferenciado",$H$4=#REF!),BDI!$E$17,IF(AND(#REF!="Diferenciado",$H$4=#REF!),BDI!#REF!,IF(#REF!="ZERO",0))))),"")</f>
        <v>#REF!</v>
      </c>
      <c r="H2894" s="139" t="e">
        <f t="shared" ca="1" si="154"/>
        <v>#REF!</v>
      </c>
      <c r="I2894" s="137" t="e">
        <f t="shared" ca="1" si="155"/>
        <v>#REF!</v>
      </c>
      <c r="J2894" s="117"/>
    </row>
    <row r="2895" spans="1:10" hidden="1" x14ac:dyDescent="0.25">
      <c r="A2895" s="114" t="s">
        <v>6132</v>
      </c>
      <c r="B2895" s="115" t="s">
        <v>7364</v>
      </c>
      <c r="C2895" s="116" t="s">
        <v>69</v>
      </c>
      <c r="D2895" s="116">
        <v>0</v>
      </c>
      <c r="E2895" s="136">
        <f ca="1">OFFSET(INDEX(Composições!A:J,MATCH(Orçamentária!A2895,Composições!A:A,0),8),2,0)</f>
        <v>13.87</v>
      </c>
      <c r="F2895" s="137">
        <f t="shared" ca="1" si="153"/>
        <v>0</v>
      </c>
      <c r="G2895" s="138" t="e">
        <f>IF(A2895&lt;&gt;"",IF(AND(#REF!="Padrão",$H$4=#REF!),BDI!$B$17,IF(AND(#REF!="Padrão",$H$4=#REF!),BDI!#REF!,IF(AND(#REF!="Diferenciado",$H$4=#REF!),BDI!$E$17,IF(AND(#REF!="Diferenciado",$H$4=#REF!),BDI!#REF!,IF(#REF!="ZERO",0))))),"")</f>
        <v>#REF!</v>
      </c>
      <c r="H2895" s="139" t="e">
        <f t="shared" ca="1" si="154"/>
        <v>#REF!</v>
      </c>
      <c r="I2895" s="137" t="e">
        <f t="shared" ca="1" si="155"/>
        <v>#REF!</v>
      </c>
      <c r="J2895" s="117"/>
    </row>
    <row r="2896" spans="1:10" hidden="1" x14ac:dyDescent="0.25">
      <c r="A2896" s="114" t="s">
        <v>6133</v>
      </c>
      <c r="B2896" s="115" t="s">
        <v>6134</v>
      </c>
      <c r="C2896" s="116" t="s">
        <v>69</v>
      </c>
      <c r="D2896" s="116">
        <v>0</v>
      </c>
      <c r="E2896" s="136">
        <f ca="1">OFFSET(INDEX(Composições!A:J,MATCH(Orçamentária!A2896,Composições!A:A,0),8),2,0)</f>
        <v>30.960500000000003</v>
      </c>
      <c r="F2896" s="137">
        <f t="shared" ca="1" si="153"/>
        <v>0</v>
      </c>
      <c r="G2896" s="138" t="e">
        <f>IF(A2896&lt;&gt;"",IF(AND(#REF!="Padrão",$H$4=#REF!),BDI!$B$17,IF(AND(#REF!="Padrão",$H$4=#REF!),BDI!#REF!,IF(AND(#REF!="Diferenciado",$H$4=#REF!),BDI!$E$17,IF(AND(#REF!="Diferenciado",$H$4=#REF!),BDI!#REF!,IF(#REF!="ZERO",0))))),"")</f>
        <v>#REF!</v>
      </c>
      <c r="H2896" s="139" t="e">
        <f t="shared" ca="1" si="154"/>
        <v>#REF!</v>
      </c>
      <c r="I2896" s="137" t="e">
        <f t="shared" ca="1" si="155"/>
        <v>#REF!</v>
      </c>
      <c r="J2896" s="117"/>
    </row>
    <row r="2897" spans="1:10" hidden="1" x14ac:dyDescent="0.25">
      <c r="A2897" s="114" t="s">
        <v>6135</v>
      </c>
      <c r="B2897" s="115" t="s">
        <v>6136</v>
      </c>
      <c r="C2897" s="116" t="s">
        <v>69</v>
      </c>
      <c r="D2897" s="116">
        <v>0</v>
      </c>
      <c r="E2897" s="136">
        <f ca="1">OFFSET(INDEX(Composições!A:J,MATCH(Orçamentária!A2897,Composições!A:A,0),8),2,0)</f>
        <v>20.985499999999998</v>
      </c>
      <c r="F2897" s="137">
        <f t="shared" ca="1" si="153"/>
        <v>0</v>
      </c>
      <c r="G2897" s="138" t="e">
        <f>IF(A2897&lt;&gt;"",IF(AND(#REF!="Padrão",$H$4=#REF!),BDI!$B$17,IF(AND(#REF!="Padrão",$H$4=#REF!),BDI!#REF!,IF(AND(#REF!="Diferenciado",$H$4=#REF!),BDI!$E$17,IF(AND(#REF!="Diferenciado",$H$4=#REF!),BDI!#REF!,IF(#REF!="ZERO",0))))),"")</f>
        <v>#REF!</v>
      </c>
      <c r="H2897" s="139" t="e">
        <f t="shared" ca="1" si="154"/>
        <v>#REF!</v>
      </c>
      <c r="I2897" s="137" t="e">
        <f t="shared" ca="1" si="155"/>
        <v>#REF!</v>
      </c>
      <c r="J2897" s="117"/>
    </row>
    <row r="2898" spans="1:10" hidden="1" x14ac:dyDescent="0.25">
      <c r="A2898" s="114" t="s">
        <v>6137</v>
      </c>
      <c r="B2898" s="115" t="s">
        <v>6138</v>
      </c>
      <c r="C2898" s="116" t="s">
        <v>69</v>
      </c>
      <c r="D2898" s="116">
        <v>0</v>
      </c>
      <c r="E2898" s="136">
        <f ca="1">OFFSET(INDEX(Composições!A:J,MATCH(Orçamentária!A2898,Composições!A:A,0),8),2,0)</f>
        <v>60.704999999999998</v>
      </c>
      <c r="F2898" s="137">
        <f t="shared" ca="1" si="153"/>
        <v>0</v>
      </c>
      <c r="G2898" s="138" t="e">
        <f>IF(A2898&lt;&gt;"",IF(AND(#REF!="Padrão",$H$4=#REF!),BDI!$B$17,IF(AND(#REF!="Padrão",$H$4=#REF!),BDI!#REF!,IF(AND(#REF!="Diferenciado",$H$4=#REF!),BDI!$E$17,IF(AND(#REF!="Diferenciado",$H$4=#REF!),BDI!#REF!,IF(#REF!="ZERO",0))))),"")</f>
        <v>#REF!</v>
      </c>
      <c r="H2898" s="139" t="e">
        <f t="shared" ca="1" si="154"/>
        <v>#REF!</v>
      </c>
      <c r="I2898" s="137" t="e">
        <f t="shared" ca="1" si="155"/>
        <v>#REF!</v>
      </c>
      <c r="J2898" s="117"/>
    </row>
    <row r="2899" spans="1:10" hidden="1" x14ac:dyDescent="0.25">
      <c r="A2899" s="114" t="s">
        <v>6139</v>
      </c>
      <c r="B2899" s="115" t="s">
        <v>6140</v>
      </c>
      <c r="C2899" s="116" t="s">
        <v>69</v>
      </c>
      <c r="D2899" s="116">
        <v>0</v>
      </c>
      <c r="E2899" s="136">
        <f ca="1">OFFSET(INDEX(Composições!A:J,MATCH(Orçamentária!A2899,Composições!A:A,0),8),2,0)</f>
        <v>44.308</v>
      </c>
      <c r="F2899" s="137">
        <f t="shared" ca="1" si="153"/>
        <v>0</v>
      </c>
      <c r="G2899" s="138" t="e">
        <f>IF(A2899&lt;&gt;"",IF(AND(#REF!="Padrão",$H$4=#REF!),BDI!$B$17,IF(AND(#REF!="Padrão",$H$4=#REF!),BDI!#REF!,IF(AND(#REF!="Diferenciado",$H$4=#REF!),BDI!$E$17,IF(AND(#REF!="Diferenciado",$H$4=#REF!),BDI!#REF!,IF(#REF!="ZERO",0))))),"")</f>
        <v>#REF!</v>
      </c>
      <c r="H2899" s="139" t="e">
        <f t="shared" ca="1" si="154"/>
        <v>#REF!</v>
      </c>
      <c r="I2899" s="137" t="e">
        <f t="shared" ca="1" si="155"/>
        <v>#REF!</v>
      </c>
      <c r="J2899" s="117"/>
    </row>
    <row r="2900" spans="1:10" hidden="1" x14ac:dyDescent="0.25">
      <c r="A2900" s="114" t="s">
        <v>6141</v>
      </c>
      <c r="B2900" s="115" t="s">
        <v>6142</v>
      </c>
      <c r="C2900" s="116" t="s">
        <v>69</v>
      </c>
      <c r="D2900" s="116">
        <v>0</v>
      </c>
      <c r="E2900" s="136">
        <f ca="1">OFFSET(INDEX(Composições!A:J,MATCH(Orçamentária!A2900,Composições!A:A,0),8),2,0)</f>
        <v>0</v>
      </c>
      <c r="F2900" s="137">
        <f t="shared" ca="1" si="153"/>
        <v>0</v>
      </c>
      <c r="G2900" s="138" t="e">
        <f>IF(A2900&lt;&gt;"",IF(AND(#REF!="Padrão",$H$4=#REF!),BDI!$B$17,IF(AND(#REF!="Padrão",$H$4=#REF!),BDI!#REF!,IF(AND(#REF!="Diferenciado",$H$4=#REF!),BDI!$E$17,IF(AND(#REF!="Diferenciado",$H$4=#REF!),BDI!#REF!,IF(#REF!="ZERO",0))))),"")</f>
        <v>#REF!</v>
      </c>
      <c r="H2900" s="139" t="e">
        <f t="shared" ca="1" si="154"/>
        <v>#REF!</v>
      </c>
      <c r="I2900" s="137" t="e">
        <f t="shared" ca="1" si="155"/>
        <v>#REF!</v>
      </c>
      <c r="J2900" s="117"/>
    </row>
    <row r="2901" spans="1:10" hidden="1" x14ac:dyDescent="0.25">
      <c r="A2901" s="114" t="s">
        <v>6143</v>
      </c>
      <c r="B2901" s="115" t="s">
        <v>6144</v>
      </c>
      <c r="C2901" s="116" t="s">
        <v>69</v>
      </c>
      <c r="D2901" s="116">
        <v>0</v>
      </c>
      <c r="E2901" s="136">
        <f ca="1">OFFSET(INDEX(Composições!A:J,MATCH(Orçamentária!A2901,Composições!A:A,0),8),2,0)</f>
        <v>10.041499999999999</v>
      </c>
      <c r="F2901" s="137">
        <f t="shared" ca="1" si="153"/>
        <v>0</v>
      </c>
      <c r="G2901" s="138" t="e">
        <f>IF(A2901&lt;&gt;"",IF(AND(#REF!="Padrão",$H$4=#REF!),BDI!$B$17,IF(AND(#REF!="Padrão",$H$4=#REF!),BDI!#REF!,IF(AND(#REF!="Diferenciado",$H$4=#REF!),BDI!$E$17,IF(AND(#REF!="Diferenciado",$H$4=#REF!),BDI!#REF!,IF(#REF!="ZERO",0))))),"")</f>
        <v>#REF!</v>
      </c>
      <c r="H2901" s="139" t="e">
        <f t="shared" ca="1" si="154"/>
        <v>#REF!</v>
      </c>
      <c r="I2901" s="137" t="e">
        <f t="shared" ca="1" si="155"/>
        <v>#REF!</v>
      </c>
      <c r="J2901" s="117"/>
    </row>
    <row r="2902" spans="1:10" hidden="1" x14ac:dyDescent="0.25">
      <c r="A2902" s="114" t="s">
        <v>6145</v>
      </c>
      <c r="B2902" s="115" t="s">
        <v>6146</v>
      </c>
      <c r="C2902" s="116" t="s">
        <v>69</v>
      </c>
      <c r="D2902" s="116">
        <v>0</v>
      </c>
      <c r="E2902" s="136">
        <f ca="1">OFFSET(INDEX(Composições!A:J,MATCH(Orçamentária!A2902,Composições!A:A,0),8),2,0)</f>
        <v>0</v>
      </c>
      <c r="F2902" s="137">
        <f t="shared" ca="1" si="153"/>
        <v>0</v>
      </c>
      <c r="G2902" s="138" t="e">
        <f>IF(A2902&lt;&gt;"",IF(AND(#REF!="Padrão",$H$4=#REF!),BDI!$B$17,IF(AND(#REF!="Padrão",$H$4=#REF!),BDI!#REF!,IF(AND(#REF!="Diferenciado",$H$4=#REF!),BDI!$E$17,IF(AND(#REF!="Diferenciado",$H$4=#REF!),BDI!#REF!,IF(#REF!="ZERO",0))))),"")</f>
        <v>#REF!</v>
      </c>
      <c r="H2902" s="139" t="e">
        <f t="shared" ca="1" si="154"/>
        <v>#REF!</v>
      </c>
      <c r="I2902" s="137" t="e">
        <f t="shared" ca="1" si="155"/>
        <v>#REF!</v>
      </c>
      <c r="J2902" s="117"/>
    </row>
    <row r="2903" spans="1:10" hidden="1" x14ac:dyDescent="0.25">
      <c r="A2903" s="114" t="s">
        <v>6147</v>
      </c>
      <c r="B2903" s="115" t="s">
        <v>6148</v>
      </c>
      <c r="C2903" s="116" t="s">
        <v>69</v>
      </c>
      <c r="D2903" s="116">
        <v>0</v>
      </c>
      <c r="E2903" s="136" t="s">
        <v>416</v>
      </c>
      <c r="F2903" s="137" t="str">
        <f t="shared" ref="F2903:F2966" si="156">IF(ISNUMBER(E2903),D2903*E2903,"")</f>
        <v/>
      </c>
      <c r="G2903" s="138" t="e">
        <f>IF(A2903&lt;&gt;"",IF(AND(#REF!="Padrão",$H$4=#REF!),BDI!$B$17,IF(AND(#REF!="Padrão",$H$4=#REF!),BDI!#REF!,IF(AND(#REF!="Diferenciado",$H$4=#REF!),BDI!$E$17,IF(AND(#REF!="Diferenciado",$H$4=#REF!),BDI!#REF!,IF(#REF!="ZERO",0))))),"")</f>
        <v>#REF!</v>
      </c>
      <c r="H2903" s="139" t="str">
        <f t="shared" ref="H2903:H2966" si="157">IF(ISNUMBER(E2903),ROUND(E2903*(1+G2903),2),"")</f>
        <v/>
      </c>
      <c r="I2903" s="137" t="str">
        <f t="shared" ref="I2903:I2966" si="158">IF(ISNUMBER(E2903),ROUND(H2903*D2903,2),"")</f>
        <v/>
      </c>
      <c r="J2903" s="117"/>
    </row>
    <row r="2904" spans="1:10" hidden="1" x14ac:dyDescent="0.25">
      <c r="A2904" s="114" t="s">
        <v>6149</v>
      </c>
      <c r="B2904" s="115" t="s">
        <v>7355</v>
      </c>
      <c r="C2904" s="116" t="s">
        <v>69</v>
      </c>
      <c r="D2904" s="116">
        <v>0</v>
      </c>
      <c r="E2904" s="136">
        <f ca="1">OFFSET(INDEX(Composições!A:J,MATCH(Orçamentária!A2904,Composições!A:A,0),8),2,0)</f>
        <v>3.6385000000000001</v>
      </c>
      <c r="F2904" s="137">
        <f t="shared" ca="1" si="156"/>
        <v>0</v>
      </c>
      <c r="G2904" s="138" t="e">
        <f>IF(A2904&lt;&gt;"",IF(AND(#REF!="Padrão",$H$4=#REF!),BDI!$B$17,IF(AND(#REF!="Padrão",$H$4=#REF!),BDI!#REF!,IF(AND(#REF!="Diferenciado",$H$4=#REF!),BDI!$E$17,IF(AND(#REF!="Diferenciado",$H$4=#REF!),BDI!#REF!,IF(#REF!="ZERO",0))))),"")</f>
        <v>#REF!</v>
      </c>
      <c r="H2904" s="139" t="e">
        <f t="shared" ca="1" si="157"/>
        <v>#REF!</v>
      </c>
      <c r="I2904" s="137" t="e">
        <f t="shared" ca="1" si="158"/>
        <v>#REF!</v>
      </c>
      <c r="J2904" s="117"/>
    </row>
    <row r="2905" spans="1:10" hidden="1" x14ac:dyDescent="0.25">
      <c r="A2905" s="114" t="s">
        <v>6150</v>
      </c>
      <c r="B2905" s="115" t="s">
        <v>7356</v>
      </c>
      <c r="C2905" s="116" t="s">
        <v>69</v>
      </c>
      <c r="D2905" s="116">
        <v>0</v>
      </c>
      <c r="E2905" s="136">
        <f ca="1">OFFSET(INDEX(Composições!A:J,MATCH(Orçamentária!A2905,Composições!A:A,0),8),2,0)</f>
        <v>4.1040000000000001</v>
      </c>
      <c r="F2905" s="137">
        <f t="shared" ca="1" si="156"/>
        <v>0</v>
      </c>
      <c r="G2905" s="138" t="e">
        <f>IF(A2905&lt;&gt;"",IF(AND(#REF!="Padrão",$H$4=#REF!),BDI!$B$17,IF(AND(#REF!="Padrão",$H$4=#REF!),BDI!#REF!,IF(AND(#REF!="Diferenciado",$H$4=#REF!),BDI!$E$17,IF(AND(#REF!="Diferenciado",$H$4=#REF!),BDI!#REF!,IF(#REF!="ZERO",0))))),"")</f>
        <v>#REF!</v>
      </c>
      <c r="H2905" s="139" t="e">
        <f t="shared" ca="1" si="157"/>
        <v>#REF!</v>
      </c>
      <c r="I2905" s="137" t="e">
        <f t="shared" ca="1" si="158"/>
        <v>#REF!</v>
      </c>
      <c r="J2905" s="117"/>
    </row>
    <row r="2906" spans="1:10" hidden="1" x14ac:dyDescent="0.25">
      <c r="A2906" s="114" t="s">
        <v>6151</v>
      </c>
      <c r="B2906" s="115" t="s">
        <v>7357</v>
      </c>
      <c r="C2906" s="116" t="s">
        <v>69</v>
      </c>
      <c r="D2906" s="116">
        <v>0</v>
      </c>
      <c r="E2906" s="136">
        <f ca="1">OFFSET(INDEX(Composições!A:J,MATCH(Orçamentária!A2906,Composições!A:A,0),8),2,0)</f>
        <v>8.8539999999999992</v>
      </c>
      <c r="F2906" s="137">
        <f t="shared" ca="1" si="156"/>
        <v>0</v>
      </c>
      <c r="G2906" s="138" t="e">
        <f>IF(A2906&lt;&gt;"",IF(AND(#REF!="Padrão",$H$4=#REF!),BDI!$B$17,IF(AND(#REF!="Padrão",$H$4=#REF!),BDI!#REF!,IF(AND(#REF!="Diferenciado",$H$4=#REF!),BDI!$E$17,IF(AND(#REF!="Diferenciado",$H$4=#REF!),BDI!#REF!,IF(#REF!="ZERO",0))))),"")</f>
        <v>#REF!</v>
      </c>
      <c r="H2906" s="139" t="e">
        <f t="shared" ca="1" si="157"/>
        <v>#REF!</v>
      </c>
      <c r="I2906" s="137" t="e">
        <f t="shared" ca="1" si="158"/>
        <v>#REF!</v>
      </c>
      <c r="J2906" s="117"/>
    </row>
    <row r="2907" spans="1:10" hidden="1" x14ac:dyDescent="0.25">
      <c r="A2907" s="114" t="s">
        <v>6152</v>
      </c>
      <c r="B2907" s="115" t="s">
        <v>7358</v>
      </c>
      <c r="C2907" s="116" t="s">
        <v>69</v>
      </c>
      <c r="D2907" s="116">
        <v>0</v>
      </c>
      <c r="E2907" s="136">
        <f ca="1">OFFSET(INDEX(Composições!A:J,MATCH(Orçamentária!A2907,Composições!A:A,0),8),2,0)</f>
        <v>13.907999999999999</v>
      </c>
      <c r="F2907" s="137">
        <f t="shared" ca="1" si="156"/>
        <v>0</v>
      </c>
      <c r="G2907" s="138" t="e">
        <f>IF(A2907&lt;&gt;"",IF(AND(#REF!="Padrão",$H$4=#REF!),BDI!$B$17,IF(AND(#REF!="Padrão",$H$4=#REF!),BDI!#REF!,IF(AND(#REF!="Diferenciado",$H$4=#REF!),BDI!$E$17,IF(AND(#REF!="Diferenciado",$H$4=#REF!),BDI!#REF!,IF(#REF!="ZERO",0))))),"")</f>
        <v>#REF!</v>
      </c>
      <c r="H2907" s="139" t="e">
        <f t="shared" ca="1" si="157"/>
        <v>#REF!</v>
      </c>
      <c r="I2907" s="137" t="e">
        <f t="shared" ca="1" si="158"/>
        <v>#REF!</v>
      </c>
      <c r="J2907" s="117"/>
    </row>
    <row r="2908" spans="1:10" hidden="1" x14ac:dyDescent="0.25">
      <c r="A2908" s="114" t="s">
        <v>6153</v>
      </c>
      <c r="B2908" s="115" t="s">
        <v>7359</v>
      </c>
      <c r="C2908" s="116" t="s">
        <v>69</v>
      </c>
      <c r="D2908" s="116">
        <v>0</v>
      </c>
      <c r="E2908" s="136">
        <f ca="1">OFFSET(INDEX(Composições!A:J,MATCH(Orçamentária!A2908,Composições!A:A,0),8),2,0)</f>
        <v>15.256999999999998</v>
      </c>
      <c r="F2908" s="137">
        <f t="shared" ca="1" si="156"/>
        <v>0</v>
      </c>
      <c r="G2908" s="138" t="e">
        <f>IF(A2908&lt;&gt;"",IF(AND(#REF!="Padrão",$H$4=#REF!),BDI!$B$17,IF(AND(#REF!="Padrão",$H$4=#REF!),BDI!#REF!,IF(AND(#REF!="Diferenciado",$H$4=#REF!),BDI!$E$17,IF(AND(#REF!="Diferenciado",$H$4=#REF!),BDI!#REF!,IF(#REF!="ZERO",0))))),"")</f>
        <v>#REF!</v>
      </c>
      <c r="H2908" s="139" t="e">
        <f t="shared" ca="1" si="157"/>
        <v>#REF!</v>
      </c>
      <c r="I2908" s="137" t="e">
        <f t="shared" ca="1" si="158"/>
        <v>#REF!</v>
      </c>
      <c r="J2908" s="117"/>
    </row>
    <row r="2909" spans="1:10" hidden="1" x14ac:dyDescent="0.25">
      <c r="A2909" s="114" t="s">
        <v>6154</v>
      </c>
      <c r="B2909" s="115" t="s">
        <v>7360</v>
      </c>
      <c r="C2909" s="116" t="s">
        <v>69</v>
      </c>
      <c r="D2909" s="116">
        <v>0</v>
      </c>
      <c r="E2909" s="136">
        <f ca="1">OFFSET(INDEX(Composições!A:J,MATCH(Orçamentária!A2909,Composições!A:A,0),8),2,0)</f>
        <v>25.099</v>
      </c>
      <c r="F2909" s="137">
        <f t="shared" ca="1" si="156"/>
        <v>0</v>
      </c>
      <c r="G2909" s="138" t="e">
        <f>IF(A2909&lt;&gt;"",IF(AND(#REF!="Padrão",$H$4=#REF!),BDI!$B$17,IF(AND(#REF!="Padrão",$H$4=#REF!),BDI!#REF!,IF(AND(#REF!="Diferenciado",$H$4=#REF!),BDI!$E$17,IF(AND(#REF!="Diferenciado",$H$4=#REF!),BDI!#REF!,IF(#REF!="ZERO",0))))),"")</f>
        <v>#REF!</v>
      </c>
      <c r="H2909" s="139" t="e">
        <f t="shared" ca="1" si="157"/>
        <v>#REF!</v>
      </c>
      <c r="I2909" s="137" t="e">
        <f t="shared" ca="1" si="158"/>
        <v>#REF!</v>
      </c>
      <c r="J2909" s="117"/>
    </row>
    <row r="2910" spans="1:10" hidden="1" x14ac:dyDescent="0.25">
      <c r="A2910" s="114" t="s">
        <v>6155</v>
      </c>
      <c r="B2910" s="115" t="s">
        <v>6156</v>
      </c>
      <c r="C2910" s="116" t="s">
        <v>69</v>
      </c>
      <c r="D2910" s="116">
        <v>0</v>
      </c>
      <c r="E2910" s="136">
        <f ca="1">OFFSET(INDEX(Composições!A:J,MATCH(Orçamentária!A2910,Composições!A:A,0),8),2,0)</f>
        <v>41.581499999999998</v>
      </c>
      <c r="F2910" s="137">
        <f t="shared" ca="1" si="156"/>
        <v>0</v>
      </c>
      <c r="G2910" s="138" t="e">
        <f>IF(A2910&lt;&gt;"",IF(AND(#REF!="Padrão",$H$4=#REF!),BDI!$B$17,IF(AND(#REF!="Padrão",$H$4=#REF!),BDI!#REF!,IF(AND(#REF!="Diferenciado",$H$4=#REF!),BDI!$E$17,IF(AND(#REF!="Diferenciado",$H$4=#REF!),BDI!#REF!,IF(#REF!="ZERO",0))))),"")</f>
        <v>#REF!</v>
      </c>
      <c r="H2910" s="139" t="e">
        <f t="shared" ca="1" si="157"/>
        <v>#REF!</v>
      </c>
      <c r="I2910" s="137" t="e">
        <f t="shared" ca="1" si="158"/>
        <v>#REF!</v>
      </c>
      <c r="J2910" s="117"/>
    </row>
    <row r="2911" spans="1:10" hidden="1" x14ac:dyDescent="0.25">
      <c r="A2911" s="114" t="s">
        <v>6157</v>
      </c>
      <c r="B2911" s="115" t="s">
        <v>6158</v>
      </c>
      <c r="C2911" s="116" t="s">
        <v>69</v>
      </c>
      <c r="D2911" s="116">
        <v>0</v>
      </c>
      <c r="E2911" s="136">
        <f ca="1">OFFSET(INDEX(Composições!A:J,MATCH(Orçamentária!A2911,Composições!A:A,0),8),2,0)</f>
        <v>57.854999999999997</v>
      </c>
      <c r="F2911" s="137">
        <f t="shared" ca="1" si="156"/>
        <v>0</v>
      </c>
      <c r="G2911" s="138" t="e">
        <f>IF(A2911&lt;&gt;"",IF(AND(#REF!="Padrão",$H$4=#REF!),BDI!$B$17,IF(AND(#REF!="Padrão",$H$4=#REF!),BDI!#REF!,IF(AND(#REF!="Diferenciado",$H$4=#REF!),BDI!$E$17,IF(AND(#REF!="Diferenciado",$H$4=#REF!),BDI!#REF!,IF(#REF!="ZERO",0))))),"")</f>
        <v>#REF!</v>
      </c>
      <c r="H2911" s="139" t="e">
        <f t="shared" ca="1" si="157"/>
        <v>#REF!</v>
      </c>
      <c r="I2911" s="137" t="e">
        <f t="shared" ca="1" si="158"/>
        <v>#REF!</v>
      </c>
      <c r="J2911" s="117"/>
    </row>
    <row r="2912" spans="1:10" hidden="1" x14ac:dyDescent="0.25">
      <c r="A2912" s="114" t="s">
        <v>6159</v>
      </c>
      <c r="B2912" s="115" t="s">
        <v>6160</v>
      </c>
      <c r="C2912" s="116" t="s">
        <v>69</v>
      </c>
      <c r="D2912" s="116">
        <v>0</v>
      </c>
      <c r="E2912" s="136">
        <f ca="1">OFFSET(INDEX(Composições!A:J,MATCH(Orçamentária!A2912,Composições!A:A,0),8),2,0)</f>
        <v>90.534999999999997</v>
      </c>
      <c r="F2912" s="137">
        <f t="shared" ca="1" si="156"/>
        <v>0</v>
      </c>
      <c r="G2912" s="138" t="e">
        <f>IF(A2912&lt;&gt;"",IF(AND(#REF!="Padrão",$H$4=#REF!),BDI!$B$17,IF(AND(#REF!="Padrão",$H$4=#REF!),BDI!#REF!,IF(AND(#REF!="Diferenciado",$H$4=#REF!),BDI!$E$17,IF(AND(#REF!="Diferenciado",$H$4=#REF!),BDI!#REF!,IF(#REF!="ZERO",0))))),"")</f>
        <v>#REF!</v>
      </c>
      <c r="H2912" s="139" t="e">
        <f t="shared" ca="1" si="157"/>
        <v>#REF!</v>
      </c>
      <c r="I2912" s="137" t="e">
        <f t="shared" ca="1" si="158"/>
        <v>#REF!</v>
      </c>
      <c r="J2912" s="117"/>
    </row>
    <row r="2913" spans="1:10" hidden="1" x14ac:dyDescent="0.25">
      <c r="A2913" s="114" t="s">
        <v>6161</v>
      </c>
      <c r="B2913" s="115" t="s">
        <v>6162</v>
      </c>
      <c r="C2913" s="116" t="s">
        <v>16</v>
      </c>
      <c r="D2913" s="116">
        <v>0</v>
      </c>
      <c r="E2913" s="136" t="s">
        <v>416</v>
      </c>
      <c r="F2913" s="137" t="str">
        <f t="shared" si="156"/>
        <v/>
      </c>
      <c r="G2913" s="138" t="e">
        <f>IF(A2913&lt;&gt;"",IF(AND(#REF!="Padrão",$H$4=#REF!),BDI!$B$17,IF(AND(#REF!="Padrão",$H$4=#REF!),BDI!#REF!,IF(AND(#REF!="Diferenciado",$H$4=#REF!),BDI!$E$17,IF(AND(#REF!="Diferenciado",$H$4=#REF!),BDI!#REF!,IF(#REF!="ZERO",0))))),"")</f>
        <v>#REF!</v>
      </c>
      <c r="H2913" s="139" t="str">
        <f t="shared" si="157"/>
        <v/>
      </c>
      <c r="I2913" s="137" t="str">
        <f t="shared" si="158"/>
        <v/>
      </c>
      <c r="J2913" s="117"/>
    </row>
    <row r="2914" spans="1:10" hidden="1" x14ac:dyDescent="0.25">
      <c r="A2914" s="114" t="s">
        <v>6163</v>
      </c>
      <c r="B2914" s="115" t="s">
        <v>6164</v>
      </c>
      <c r="C2914" s="116" t="s">
        <v>16</v>
      </c>
      <c r="D2914" s="116">
        <v>0</v>
      </c>
      <c r="E2914" s="136" t="s">
        <v>416</v>
      </c>
      <c r="F2914" s="137" t="str">
        <f t="shared" si="156"/>
        <v/>
      </c>
      <c r="G2914" s="138" t="e">
        <f>IF(A2914&lt;&gt;"",IF(AND(#REF!="Padrão",$H$4=#REF!),BDI!$B$17,IF(AND(#REF!="Padrão",$H$4=#REF!),BDI!#REF!,IF(AND(#REF!="Diferenciado",$H$4=#REF!),BDI!$E$17,IF(AND(#REF!="Diferenciado",$H$4=#REF!),BDI!#REF!,IF(#REF!="ZERO",0))))),"")</f>
        <v>#REF!</v>
      </c>
      <c r="H2914" s="139" t="str">
        <f t="shared" si="157"/>
        <v/>
      </c>
      <c r="I2914" s="137" t="str">
        <f t="shared" si="158"/>
        <v/>
      </c>
      <c r="J2914" s="117"/>
    </row>
    <row r="2915" spans="1:10" hidden="1" x14ac:dyDescent="0.25">
      <c r="A2915" s="114" t="s">
        <v>6165</v>
      </c>
      <c r="B2915" s="115" t="s">
        <v>6166</v>
      </c>
      <c r="C2915" s="116" t="s">
        <v>16</v>
      </c>
      <c r="D2915" s="116">
        <v>0</v>
      </c>
      <c r="E2915" s="136" t="s">
        <v>416</v>
      </c>
      <c r="F2915" s="137" t="str">
        <f t="shared" si="156"/>
        <v/>
      </c>
      <c r="G2915" s="138" t="e">
        <f>IF(A2915&lt;&gt;"",IF(AND(#REF!="Padrão",$H$4=#REF!),BDI!$B$17,IF(AND(#REF!="Padrão",$H$4=#REF!),BDI!#REF!,IF(AND(#REF!="Diferenciado",$H$4=#REF!),BDI!$E$17,IF(AND(#REF!="Diferenciado",$H$4=#REF!),BDI!#REF!,IF(#REF!="ZERO",0))))),"")</f>
        <v>#REF!</v>
      </c>
      <c r="H2915" s="139" t="str">
        <f t="shared" si="157"/>
        <v/>
      </c>
      <c r="I2915" s="137" t="str">
        <f t="shared" si="158"/>
        <v/>
      </c>
      <c r="J2915" s="117"/>
    </row>
    <row r="2916" spans="1:10" hidden="1" x14ac:dyDescent="0.25">
      <c r="A2916" s="114" t="s">
        <v>6167</v>
      </c>
      <c r="B2916" s="115" t="s">
        <v>6168</v>
      </c>
      <c r="C2916" s="116" t="s">
        <v>16</v>
      </c>
      <c r="D2916" s="116">
        <v>0</v>
      </c>
      <c r="E2916" s="136" t="s">
        <v>416</v>
      </c>
      <c r="F2916" s="137" t="str">
        <f t="shared" si="156"/>
        <v/>
      </c>
      <c r="G2916" s="138" t="e">
        <f>IF(A2916&lt;&gt;"",IF(AND(#REF!="Padrão",$H$4=#REF!),BDI!$B$17,IF(AND(#REF!="Padrão",$H$4=#REF!),BDI!#REF!,IF(AND(#REF!="Diferenciado",$H$4=#REF!),BDI!$E$17,IF(AND(#REF!="Diferenciado",$H$4=#REF!),BDI!#REF!,IF(#REF!="ZERO",0))))),"")</f>
        <v>#REF!</v>
      </c>
      <c r="H2916" s="139" t="str">
        <f t="shared" si="157"/>
        <v/>
      </c>
      <c r="I2916" s="137" t="str">
        <f t="shared" si="158"/>
        <v/>
      </c>
      <c r="J2916" s="117"/>
    </row>
    <row r="2917" spans="1:10" hidden="1" x14ac:dyDescent="0.25">
      <c r="A2917" s="114" t="s">
        <v>6169</v>
      </c>
      <c r="B2917" s="115" t="s">
        <v>6170</v>
      </c>
      <c r="C2917" s="116" t="s">
        <v>16</v>
      </c>
      <c r="D2917" s="116">
        <v>0</v>
      </c>
      <c r="E2917" s="136" t="s">
        <v>416</v>
      </c>
      <c r="F2917" s="137" t="str">
        <f t="shared" si="156"/>
        <v/>
      </c>
      <c r="G2917" s="138" t="e">
        <f>IF(A2917&lt;&gt;"",IF(AND(#REF!="Padrão",$H$4=#REF!),BDI!$B$17,IF(AND(#REF!="Padrão",$H$4=#REF!),BDI!#REF!,IF(AND(#REF!="Diferenciado",$H$4=#REF!),BDI!$E$17,IF(AND(#REF!="Diferenciado",$H$4=#REF!),BDI!#REF!,IF(#REF!="ZERO",0))))),"")</f>
        <v>#REF!</v>
      </c>
      <c r="H2917" s="139" t="str">
        <f t="shared" si="157"/>
        <v/>
      </c>
      <c r="I2917" s="137" t="str">
        <f t="shared" si="158"/>
        <v/>
      </c>
      <c r="J2917" s="117"/>
    </row>
    <row r="2918" spans="1:10" hidden="1" x14ac:dyDescent="0.25">
      <c r="A2918" s="114" t="s">
        <v>6171</v>
      </c>
      <c r="B2918" s="115" t="s">
        <v>6587</v>
      </c>
      <c r="C2918" s="116" t="s">
        <v>1683</v>
      </c>
      <c r="D2918" s="116">
        <v>0</v>
      </c>
      <c r="E2918" s="136" t="s">
        <v>416</v>
      </c>
      <c r="F2918" s="137" t="str">
        <f t="shared" si="156"/>
        <v/>
      </c>
      <c r="G2918" s="138" t="e">
        <f>IF(A2918&lt;&gt;"",IF(AND(#REF!="Padrão",$H$4=#REF!),BDI!$B$17,IF(AND(#REF!="Padrão",$H$4=#REF!),BDI!#REF!,IF(AND(#REF!="Diferenciado",$H$4=#REF!),BDI!$E$17,IF(AND(#REF!="Diferenciado",$H$4=#REF!),BDI!#REF!,IF(#REF!="ZERO",0))))),"")</f>
        <v>#REF!</v>
      </c>
      <c r="H2918" s="139" t="str">
        <f t="shared" si="157"/>
        <v/>
      </c>
      <c r="I2918" s="137" t="str">
        <f t="shared" si="158"/>
        <v/>
      </c>
      <c r="J2918" s="117"/>
    </row>
    <row r="2919" spans="1:10" hidden="1" x14ac:dyDescent="0.25">
      <c r="A2919" s="114" t="s">
        <v>6172</v>
      </c>
      <c r="B2919" s="115" t="s">
        <v>6173</v>
      </c>
      <c r="C2919" s="116" t="s">
        <v>16</v>
      </c>
      <c r="D2919" s="116">
        <v>0</v>
      </c>
      <c r="E2919" s="136" t="s">
        <v>416</v>
      </c>
      <c r="F2919" s="137" t="str">
        <f t="shared" si="156"/>
        <v/>
      </c>
      <c r="G2919" s="138" t="e">
        <f>IF(A2919&lt;&gt;"",IF(AND(#REF!="Padrão",$H$4=#REF!),BDI!$B$17,IF(AND(#REF!="Padrão",$H$4=#REF!),BDI!#REF!,IF(AND(#REF!="Diferenciado",$H$4=#REF!),BDI!$E$17,IF(AND(#REF!="Diferenciado",$H$4=#REF!),BDI!#REF!,IF(#REF!="ZERO",0))))),"")</f>
        <v>#REF!</v>
      </c>
      <c r="H2919" s="139" t="str">
        <f t="shared" si="157"/>
        <v/>
      </c>
      <c r="I2919" s="137" t="str">
        <f t="shared" si="158"/>
        <v/>
      </c>
      <c r="J2919" s="117"/>
    </row>
    <row r="2920" spans="1:10" hidden="1" x14ac:dyDescent="0.25">
      <c r="A2920" s="114" t="s">
        <v>6174</v>
      </c>
      <c r="B2920" s="115" t="s">
        <v>6175</v>
      </c>
      <c r="C2920" s="116" t="s">
        <v>16</v>
      </c>
      <c r="D2920" s="116">
        <v>0</v>
      </c>
      <c r="E2920" s="136" t="s">
        <v>416</v>
      </c>
      <c r="F2920" s="137" t="str">
        <f t="shared" si="156"/>
        <v/>
      </c>
      <c r="G2920" s="138" t="e">
        <f>IF(A2920&lt;&gt;"",IF(AND(#REF!="Padrão",$H$4=#REF!),BDI!$B$17,IF(AND(#REF!="Padrão",$H$4=#REF!),BDI!#REF!,IF(AND(#REF!="Diferenciado",$H$4=#REF!),BDI!$E$17,IF(AND(#REF!="Diferenciado",$H$4=#REF!),BDI!#REF!,IF(#REF!="ZERO",0))))),"")</f>
        <v>#REF!</v>
      </c>
      <c r="H2920" s="139" t="str">
        <f t="shared" si="157"/>
        <v/>
      </c>
      <c r="I2920" s="137" t="str">
        <f t="shared" si="158"/>
        <v/>
      </c>
      <c r="J2920" s="117"/>
    </row>
    <row r="2921" spans="1:10" hidden="1" x14ac:dyDescent="0.25">
      <c r="A2921" s="114" t="s">
        <v>6176</v>
      </c>
      <c r="B2921" s="115" t="s">
        <v>3033</v>
      </c>
      <c r="C2921" s="116" t="s">
        <v>16</v>
      </c>
      <c r="D2921" s="116">
        <v>0</v>
      </c>
      <c r="E2921" s="136" t="s">
        <v>416</v>
      </c>
      <c r="F2921" s="137" t="str">
        <f t="shared" si="156"/>
        <v/>
      </c>
      <c r="G2921" s="138" t="e">
        <f>IF(A2921&lt;&gt;"",IF(AND(#REF!="Padrão",$H$4=#REF!),BDI!$B$17,IF(AND(#REF!="Padrão",$H$4=#REF!),BDI!#REF!,IF(AND(#REF!="Diferenciado",$H$4=#REF!),BDI!$E$17,IF(AND(#REF!="Diferenciado",$H$4=#REF!),BDI!#REF!,IF(#REF!="ZERO",0))))),"")</f>
        <v>#REF!</v>
      </c>
      <c r="H2921" s="139" t="str">
        <f t="shared" si="157"/>
        <v/>
      </c>
      <c r="I2921" s="137" t="str">
        <f t="shared" si="158"/>
        <v/>
      </c>
      <c r="J2921" s="117"/>
    </row>
    <row r="2922" spans="1:10" hidden="1" x14ac:dyDescent="0.25">
      <c r="A2922" s="114" t="s">
        <v>6177</v>
      </c>
      <c r="B2922" s="115" t="s">
        <v>3034</v>
      </c>
      <c r="C2922" s="116" t="s">
        <v>16</v>
      </c>
      <c r="D2922" s="116">
        <v>0</v>
      </c>
      <c r="E2922" s="136" t="s">
        <v>416</v>
      </c>
      <c r="F2922" s="137" t="str">
        <f t="shared" si="156"/>
        <v/>
      </c>
      <c r="G2922" s="138" t="e">
        <f>IF(A2922&lt;&gt;"",IF(AND(#REF!="Padrão",$H$4=#REF!),BDI!$B$17,IF(AND(#REF!="Padrão",$H$4=#REF!),BDI!#REF!,IF(AND(#REF!="Diferenciado",$H$4=#REF!),BDI!$E$17,IF(AND(#REF!="Diferenciado",$H$4=#REF!),BDI!#REF!,IF(#REF!="ZERO",0))))),"")</f>
        <v>#REF!</v>
      </c>
      <c r="H2922" s="139" t="str">
        <f t="shared" si="157"/>
        <v/>
      </c>
      <c r="I2922" s="137" t="str">
        <f t="shared" si="158"/>
        <v/>
      </c>
      <c r="J2922" s="117"/>
    </row>
    <row r="2923" spans="1:10" hidden="1" x14ac:dyDescent="0.25">
      <c r="A2923" s="114" t="s">
        <v>6178</v>
      </c>
      <c r="B2923" s="115" t="s">
        <v>6179</v>
      </c>
      <c r="C2923" s="116" t="s">
        <v>16</v>
      </c>
      <c r="D2923" s="116">
        <v>0</v>
      </c>
      <c r="E2923" s="136">
        <f ca="1">OFFSET(INDEX(Composições!A:J,MATCH(Orçamentária!A2923,Composições!A:A,0),8),2,0)</f>
        <v>37.173500000000004</v>
      </c>
      <c r="F2923" s="137">
        <f t="shared" ca="1" si="156"/>
        <v>0</v>
      </c>
      <c r="G2923" s="138" t="e">
        <f>IF(A2923&lt;&gt;"",IF(AND(#REF!="Padrão",$H$4=#REF!),BDI!$B$17,IF(AND(#REF!="Padrão",$H$4=#REF!),BDI!#REF!,IF(AND(#REF!="Diferenciado",$H$4=#REF!),BDI!$E$17,IF(AND(#REF!="Diferenciado",$H$4=#REF!),BDI!#REF!,IF(#REF!="ZERO",0))))),"")</f>
        <v>#REF!</v>
      </c>
      <c r="H2923" s="139" t="e">
        <f t="shared" ca="1" si="157"/>
        <v>#REF!</v>
      </c>
      <c r="I2923" s="137" t="e">
        <f t="shared" ca="1" si="158"/>
        <v>#REF!</v>
      </c>
      <c r="J2923" s="117"/>
    </row>
    <row r="2924" spans="1:10" hidden="1" x14ac:dyDescent="0.25">
      <c r="A2924" s="114" t="s">
        <v>6180</v>
      </c>
      <c r="B2924" s="115" t="s">
        <v>6181</v>
      </c>
      <c r="C2924" s="116" t="s">
        <v>16</v>
      </c>
      <c r="D2924" s="116">
        <v>0</v>
      </c>
      <c r="E2924" s="136">
        <f ca="1">OFFSET(INDEX(Composições!A:J,MATCH(Orçamentária!A2924,Composições!A:A,0),8),2,0)</f>
        <v>50.786999999999999</v>
      </c>
      <c r="F2924" s="137">
        <f t="shared" ca="1" si="156"/>
        <v>0</v>
      </c>
      <c r="G2924" s="138" t="e">
        <f>IF(A2924&lt;&gt;"",IF(AND(#REF!="Padrão",$H$4=#REF!),BDI!$B$17,IF(AND(#REF!="Padrão",$H$4=#REF!),BDI!#REF!,IF(AND(#REF!="Diferenciado",$H$4=#REF!),BDI!$E$17,IF(AND(#REF!="Diferenciado",$H$4=#REF!),BDI!#REF!,IF(#REF!="ZERO",0))))),"")</f>
        <v>#REF!</v>
      </c>
      <c r="H2924" s="139" t="e">
        <f t="shared" ca="1" si="157"/>
        <v>#REF!</v>
      </c>
      <c r="I2924" s="137" t="e">
        <f t="shared" ca="1" si="158"/>
        <v>#REF!</v>
      </c>
      <c r="J2924" s="117"/>
    </row>
    <row r="2925" spans="1:10" hidden="1" x14ac:dyDescent="0.25">
      <c r="A2925" s="114" t="s">
        <v>6182</v>
      </c>
      <c r="B2925" s="115" t="s">
        <v>1475</v>
      </c>
      <c r="C2925" s="116" t="s">
        <v>16</v>
      </c>
      <c r="D2925" s="116">
        <v>0</v>
      </c>
      <c r="E2925" s="136" t="s">
        <v>416</v>
      </c>
      <c r="F2925" s="137" t="str">
        <f t="shared" si="156"/>
        <v/>
      </c>
      <c r="G2925" s="138" t="e">
        <f>IF(A2925&lt;&gt;"",IF(AND(#REF!="Padrão",$H$4=#REF!),BDI!$B$17,IF(AND(#REF!="Padrão",$H$4=#REF!),BDI!#REF!,IF(AND(#REF!="Diferenciado",$H$4=#REF!),BDI!$E$17,IF(AND(#REF!="Diferenciado",$H$4=#REF!),BDI!#REF!,IF(#REF!="ZERO",0))))),"")</f>
        <v>#REF!</v>
      </c>
      <c r="H2925" s="139" t="str">
        <f t="shared" si="157"/>
        <v/>
      </c>
      <c r="I2925" s="137" t="str">
        <f t="shared" si="158"/>
        <v/>
      </c>
      <c r="J2925" s="117"/>
    </row>
    <row r="2926" spans="1:10" hidden="1" x14ac:dyDescent="0.25">
      <c r="A2926" s="114" t="s">
        <v>6183</v>
      </c>
      <c r="B2926" s="115" t="s">
        <v>6184</v>
      </c>
      <c r="C2926" s="116" t="s">
        <v>16</v>
      </c>
      <c r="D2926" s="116">
        <v>0</v>
      </c>
      <c r="E2926" s="136">
        <f ca="1">OFFSET(INDEX(Composições!A:J,MATCH(Orçamentária!A2926,Composições!A:A,0),8),2,0)</f>
        <v>56.439499999999995</v>
      </c>
      <c r="F2926" s="137">
        <f t="shared" ca="1" si="156"/>
        <v>0</v>
      </c>
      <c r="G2926" s="138" t="e">
        <f>IF(A2926&lt;&gt;"",IF(AND(#REF!="Padrão",$H$4=#REF!),BDI!$B$17,IF(AND(#REF!="Padrão",$H$4=#REF!),BDI!#REF!,IF(AND(#REF!="Diferenciado",$H$4=#REF!),BDI!$E$17,IF(AND(#REF!="Diferenciado",$H$4=#REF!),BDI!#REF!,IF(#REF!="ZERO",0))))),"")</f>
        <v>#REF!</v>
      </c>
      <c r="H2926" s="139" t="e">
        <f t="shared" ca="1" si="157"/>
        <v>#REF!</v>
      </c>
      <c r="I2926" s="137" t="e">
        <f t="shared" ca="1" si="158"/>
        <v>#REF!</v>
      </c>
      <c r="J2926" s="117"/>
    </row>
    <row r="2927" spans="1:10" hidden="1" x14ac:dyDescent="0.25">
      <c r="A2927" s="114" t="s">
        <v>6185</v>
      </c>
      <c r="B2927" s="115" t="s">
        <v>6186</v>
      </c>
      <c r="C2927" s="116" t="s">
        <v>16</v>
      </c>
      <c r="D2927" s="116">
        <v>0</v>
      </c>
      <c r="E2927" s="136">
        <f ca="1">OFFSET(INDEX(Composições!A:J,MATCH(Orçamentária!A2927,Composições!A:A,0),8),2,0)</f>
        <v>144.82749999999999</v>
      </c>
      <c r="F2927" s="137">
        <f t="shared" ca="1" si="156"/>
        <v>0</v>
      </c>
      <c r="G2927" s="138" t="e">
        <f>IF(A2927&lt;&gt;"",IF(AND(#REF!="Padrão",$H$4=#REF!),BDI!$B$17,IF(AND(#REF!="Padrão",$H$4=#REF!),BDI!#REF!,IF(AND(#REF!="Diferenciado",$H$4=#REF!),BDI!$E$17,IF(AND(#REF!="Diferenciado",$H$4=#REF!),BDI!#REF!,IF(#REF!="ZERO",0))))),"")</f>
        <v>#REF!</v>
      </c>
      <c r="H2927" s="139" t="e">
        <f t="shared" ca="1" si="157"/>
        <v>#REF!</v>
      </c>
      <c r="I2927" s="137" t="e">
        <f t="shared" ca="1" si="158"/>
        <v>#REF!</v>
      </c>
      <c r="J2927" s="117"/>
    </row>
    <row r="2928" spans="1:10" hidden="1" x14ac:dyDescent="0.25">
      <c r="A2928" s="114" t="s">
        <v>6187</v>
      </c>
      <c r="B2928" s="115" t="s">
        <v>6188</v>
      </c>
      <c r="C2928" s="116" t="s">
        <v>16</v>
      </c>
      <c r="D2928" s="116">
        <v>0</v>
      </c>
      <c r="E2928" s="136" t="s">
        <v>416</v>
      </c>
      <c r="F2928" s="137" t="str">
        <f t="shared" si="156"/>
        <v/>
      </c>
      <c r="G2928" s="138" t="e">
        <f>IF(A2928&lt;&gt;"",IF(AND(#REF!="Padrão",$H$4=#REF!),BDI!$B$17,IF(AND(#REF!="Padrão",$H$4=#REF!),BDI!#REF!,IF(AND(#REF!="Diferenciado",$H$4=#REF!),BDI!$E$17,IF(AND(#REF!="Diferenciado",$H$4=#REF!),BDI!#REF!,IF(#REF!="ZERO",0))))),"")</f>
        <v>#REF!</v>
      </c>
      <c r="H2928" s="139" t="str">
        <f t="shared" si="157"/>
        <v/>
      </c>
      <c r="I2928" s="137" t="str">
        <f t="shared" si="158"/>
        <v/>
      </c>
      <c r="J2928" s="117"/>
    </row>
    <row r="2929" spans="1:10" hidden="1" x14ac:dyDescent="0.25">
      <c r="A2929" s="114" t="s">
        <v>6189</v>
      </c>
      <c r="B2929" s="115" t="s">
        <v>6190</v>
      </c>
      <c r="C2929" s="116" t="s">
        <v>16</v>
      </c>
      <c r="D2929" s="116">
        <v>0</v>
      </c>
      <c r="E2929" s="136">
        <f ca="1">OFFSET(INDEX(Composições!A:J,MATCH(Orçamentária!A2929,Composições!A:A,0),8),2,0)</f>
        <v>81.585999999999999</v>
      </c>
      <c r="F2929" s="137">
        <f t="shared" ca="1" si="156"/>
        <v>0</v>
      </c>
      <c r="G2929" s="138" t="e">
        <f>IF(A2929&lt;&gt;"",IF(AND(#REF!="Padrão",$H$4=#REF!),BDI!$B$17,IF(AND(#REF!="Padrão",$H$4=#REF!),BDI!#REF!,IF(AND(#REF!="Diferenciado",$H$4=#REF!),BDI!$E$17,IF(AND(#REF!="Diferenciado",$H$4=#REF!),BDI!#REF!,IF(#REF!="ZERO",0))))),"")</f>
        <v>#REF!</v>
      </c>
      <c r="H2929" s="139" t="e">
        <f t="shared" ca="1" si="157"/>
        <v>#REF!</v>
      </c>
      <c r="I2929" s="137" t="e">
        <f t="shared" ca="1" si="158"/>
        <v>#REF!</v>
      </c>
      <c r="J2929" s="117"/>
    </row>
    <row r="2930" spans="1:10" hidden="1" x14ac:dyDescent="0.25">
      <c r="A2930" s="114" t="s">
        <v>6191</v>
      </c>
      <c r="B2930" s="115" t="s">
        <v>6192</v>
      </c>
      <c r="C2930" s="116" t="s">
        <v>16</v>
      </c>
      <c r="D2930" s="116">
        <v>0</v>
      </c>
      <c r="E2930" s="136">
        <f ca="1">OFFSET(INDEX(Composições!A:J,MATCH(Orçamentária!A2930,Composições!A:A,0),8),2,0)</f>
        <v>259.90099999999995</v>
      </c>
      <c r="F2930" s="137">
        <f t="shared" ca="1" si="156"/>
        <v>0</v>
      </c>
      <c r="G2930" s="138" t="e">
        <f>IF(A2930&lt;&gt;"",IF(AND(#REF!="Padrão",$H$4=#REF!),BDI!$B$17,IF(AND(#REF!="Padrão",$H$4=#REF!),BDI!#REF!,IF(AND(#REF!="Diferenciado",$H$4=#REF!),BDI!$E$17,IF(AND(#REF!="Diferenciado",$H$4=#REF!),BDI!#REF!,IF(#REF!="ZERO",0))))),"")</f>
        <v>#REF!</v>
      </c>
      <c r="H2930" s="139" t="e">
        <f t="shared" ca="1" si="157"/>
        <v>#REF!</v>
      </c>
      <c r="I2930" s="137" t="e">
        <f t="shared" ca="1" si="158"/>
        <v>#REF!</v>
      </c>
      <c r="J2930" s="117"/>
    </row>
    <row r="2931" spans="1:10" hidden="1" x14ac:dyDescent="0.25">
      <c r="A2931" s="114" t="s">
        <v>6193</v>
      </c>
      <c r="B2931" s="115" t="s">
        <v>6194</v>
      </c>
      <c r="C2931" s="116" t="s">
        <v>16</v>
      </c>
      <c r="D2931" s="116">
        <v>0</v>
      </c>
      <c r="E2931" s="136">
        <f ca="1">OFFSET(INDEX(Composições!A:J,MATCH(Orçamentária!A2931,Composições!A:A,0),8),2,0)</f>
        <v>314.88699999999994</v>
      </c>
      <c r="F2931" s="137">
        <f t="shared" ca="1" si="156"/>
        <v>0</v>
      </c>
      <c r="G2931" s="138" t="e">
        <f>IF(A2931&lt;&gt;"",IF(AND(#REF!="Padrão",$H$4=#REF!),BDI!$B$17,IF(AND(#REF!="Padrão",$H$4=#REF!),BDI!#REF!,IF(AND(#REF!="Diferenciado",$H$4=#REF!),BDI!$E$17,IF(AND(#REF!="Diferenciado",$H$4=#REF!),BDI!#REF!,IF(#REF!="ZERO",0))))),"")</f>
        <v>#REF!</v>
      </c>
      <c r="H2931" s="139" t="e">
        <f t="shared" ca="1" si="157"/>
        <v>#REF!</v>
      </c>
      <c r="I2931" s="137" t="e">
        <f t="shared" ca="1" si="158"/>
        <v>#REF!</v>
      </c>
      <c r="J2931" s="117"/>
    </row>
    <row r="2932" spans="1:10" hidden="1" x14ac:dyDescent="0.25">
      <c r="A2932" s="114" t="s">
        <v>6195</v>
      </c>
      <c r="B2932" s="115" t="s">
        <v>6196</v>
      </c>
      <c r="C2932" s="116" t="s">
        <v>16</v>
      </c>
      <c r="D2932" s="116">
        <v>0</v>
      </c>
      <c r="E2932" s="136">
        <f ca="1">OFFSET(INDEX(Composições!A:J,MATCH(Orçamentária!A2932,Composições!A:A,0),8),2,0)</f>
        <v>546.49699999999996</v>
      </c>
      <c r="F2932" s="137">
        <f t="shared" ca="1" si="156"/>
        <v>0</v>
      </c>
      <c r="G2932" s="138" t="e">
        <f>IF(A2932&lt;&gt;"",IF(AND(#REF!="Padrão",$H$4=#REF!),BDI!$B$17,IF(AND(#REF!="Padrão",$H$4=#REF!),BDI!#REF!,IF(AND(#REF!="Diferenciado",$H$4=#REF!),BDI!$E$17,IF(AND(#REF!="Diferenciado",$H$4=#REF!),BDI!#REF!,IF(#REF!="ZERO",0))))),"")</f>
        <v>#REF!</v>
      </c>
      <c r="H2932" s="139" t="e">
        <f t="shared" ca="1" si="157"/>
        <v>#REF!</v>
      </c>
      <c r="I2932" s="137" t="e">
        <f t="shared" ca="1" si="158"/>
        <v>#REF!</v>
      </c>
      <c r="J2932" s="117"/>
    </row>
    <row r="2933" spans="1:10" hidden="1" x14ac:dyDescent="0.25">
      <c r="A2933" s="114" t="s">
        <v>6197</v>
      </c>
      <c r="B2933" s="115" t="s">
        <v>6198</v>
      </c>
      <c r="C2933" s="116" t="s">
        <v>16</v>
      </c>
      <c r="D2933" s="116">
        <v>0</v>
      </c>
      <c r="E2933" s="136">
        <f ca="1">OFFSET(INDEX(Composições!A:J,MATCH(Orçamentária!A2933,Composições!A:A,0),8),2,0)</f>
        <v>143.8965</v>
      </c>
      <c r="F2933" s="137">
        <f t="shared" ca="1" si="156"/>
        <v>0</v>
      </c>
      <c r="G2933" s="138" t="e">
        <f>IF(A2933&lt;&gt;"",IF(AND(#REF!="Padrão",$H$4=#REF!),BDI!$B$17,IF(AND(#REF!="Padrão",$H$4=#REF!),BDI!#REF!,IF(AND(#REF!="Diferenciado",$H$4=#REF!),BDI!$E$17,IF(AND(#REF!="Diferenciado",$H$4=#REF!),BDI!#REF!,IF(#REF!="ZERO",0))))),"")</f>
        <v>#REF!</v>
      </c>
      <c r="H2933" s="139" t="e">
        <f t="shared" ca="1" si="157"/>
        <v>#REF!</v>
      </c>
      <c r="I2933" s="137" t="e">
        <f t="shared" ca="1" si="158"/>
        <v>#REF!</v>
      </c>
      <c r="J2933" s="117"/>
    </row>
    <row r="2934" spans="1:10" hidden="1" x14ac:dyDescent="0.25">
      <c r="A2934" s="114" t="s">
        <v>6199</v>
      </c>
      <c r="B2934" s="115" t="s">
        <v>6200</v>
      </c>
      <c r="C2934" s="116" t="s">
        <v>16</v>
      </c>
      <c r="D2934" s="116">
        <v>0</v>
      </c>
      <c r="E2934" s="136">
        <f ca="1">OFFSET(INDEX(Composições!A:J,MATCH(Orçamentária!A2934,Composições!A:A,0),8),2,0)</f>
        <v>230.58399999999997</v>
      </c>
      <c r="F2934" s="137">
        <f t="shared" ca="1" si="156"/>
        <v>0</v>
      </c>
      <c r="G2934" s="138" t="e">
        <f>IF(A2934&lt;&gt;"",IF(AND(#REF!="Padrão",$H$4=#REF!),BDI!$B$17,IF(AND(#REF!="Padrão",$H$4=#REF!),BDI!#REF!,IF(AND(#REF!="Diferenciado",$H$4=#REF!),BDI!$E$17,IF(AND(#REF!="Diferenciado",$H$4=#REF!),BDI!#REF!,IF(#REF!="ZERO",0))))),"")</f>
        <v>#REF!</v>
      </c>
      <c r="H2934" s="139" t="e">
        <f t="shared" ca="1" si="157"/>
        <v>#REF!</v>
      </c>
      <c r="I2934" s="137" t="e">
        <f t="shared" ca="1" si="158"/>
        <v>#REF!</v>
      </c>
      <c r="J2934" s="117"/>
    </row>
    <row r="2935" spans="1:10" hidden="1" x14ac:dyDescent="0.25">
      <c r="A2935" s="114" t="s">
        <v>6201</v>
      </c>
      <c r="B2935" s="115" t="s">
        <v>6202</v>
      </c>
      <c r="C2935" s="116" t="s">
        <v>16</v>
      </c>
      <c r="D2935" s="116">
        <v>0</v>
      </c>
      <c r="E2935" s="136" t="s">
        <v>416</v>
      </c>
      <c r="F2935" s="137" t="str">
        <f t="shared" si="156"/>
        <v/>
      </c>
      <c r="G2935" s="138" t="e">
        <f>IF(A2935&lt;&gt;"",IF(AND(#REF!="Padrão",$H$4=#REF!),BDI!$B$17,IF(AND(#REF!="Padrão",$H$4=#REF!),BDI!#REF!,IF(AND(#REF!="Diferenciado",$H$4=#REF!),BDI!$E$17,IF(AND(#REF!="Diferenciado",$H$4=#REF!),BDI!#REF!,IF(#REF!="ZERO",0))))),"")</f>
        <v>#REF!</v>
      </c>
      <c r="H2935" s="139" t="str">
        <f t="shared" si="157"/>
        <v/>
      </c>
      <c r="I2935" s="137" t="str">
        <f t="shared" si="158"/>
        <v/>
      </c>
      <c r="J2935" s="117"/>
    </row>
    <row r="2936" spans="1:10" hidden="1" x14ac:dyDescent="0.25">
      <c r="A2936" s="114" t="s">
        <v>6203</v>
      </c>
      <c r="B2936" s="115" t="s">
        <v>5437</v>
      </c>
      <c r="C2936" s="116" t="s">
        <v>16</v>
      </c>
      <c r="D2936" s="116">
        <v>0</v>
      </c>
      <c r="E2936" s="136">
        <f ca="1">OFFSET(INDEX(Composições!A:J,MATCH(Orçamentária!A2936,Composições!A:A,0),8),2,0)</f>
        <v>46.777999999999999</v>
      </c>
      <c r="F2936" s="137">
        <f t="shared" ca="1" si="156"/>
        <v>0</v>
      </c>
      <c r="G2936" s="138" t="e">
        <f>IF(A2936&lt;&gt;"",IF(AND(#REF!="Padrão",$H$4=#REF!),BDI!$B$17,IF(AND(#REF!="Padrão",$H$4=#REF!),BDI!#REF!,IF(AND(#REF!="Diferenciado",$H$4=#REF!),BDI!$E$17,IF(AND(#REF!="Diferenciado",$H$4=#REF!),BDI!#REF!,IF(#REF!="ZERO",0))))),"")</f>
        <v>#REF!</v>
      </c>
      <c r="H2936" s="139" t="e">
        <f t="shared" ca="1" si="157"/>
        <v>#REF!</v>
      </c>
      <c r="I2936" s="137" t="e">
        <f t="shared" ca="1" si="158"/>
        <v>#REF!</v>
      </c>
      <c r="J2936" s="117"/>
    </row>
    <row r="2937" spans="1:10" hidden="1" x14ac:dyDescent="0.25">
      <c r="A2937" s="114" t="s">
        <v>6204</v>
      </c>
      <c r="B2937" s="115" t="s">
        <v>5431</v>
      </c>
      <c r="C2937" s="116" t="s">
        <v>16</v>
      </c>
      <c r="D2937" s="116">
        <v>0</v>
      </c>
      <c r="E2937" s="136">
        <f ca="1">OFFSET(INDEX(Composições!A:J,MATCH(Orçamentária!A2937,Composições!A:A,0),8),2,0)</f>
        <v>157.49099999999999</v>
      </c>
      <c r="F2937" s="137">
        <f t="shared" ca="1" si="156"/>
        <v>0</v>
      </c>
      <c r="G2937" s="138" t="e">
        <f>IF(A2937&lt;&gt;"",IF(AND(#REF!="Padrão",$H$4=#REF!),BDI!$B$17,IF(AND(#REF!="Padrão",$H$4=#REF!),BDI!#REF!,IF(AND(#REF!="Diferenciado",$H$4=#REF!),BDI!$E$17,IF(AND(#REF!="Diferenciado",$H$4=#REF!),BDI!#REF!,IF(#REF!="ZERO",0))))),"")</f>
        <v>#REF!</v>
      </c>
      <c r="H2937" s="139" t="e">
        <f t="shared" ca="1" si="157"/>
        <v>#REF!</v>
      </c>
      <c r="I2937" s="137" t="e">
        <f t="shared" ca="1" si="158"/>
        <v>#REF!</v>
      </c>
      <c r="J2937" s="117"/>
    </row>
    <row r="2938" spans="1:10" hidden="1" x14ac:dyDescent="0.25">
      <c r="A2938" s="114" t="s">
        <v>6205</v>
      </c>
      <c r="B2938" s="115" t="s">
        <v>2658</v>
      </c>
      <c r="C2938" s="116" t="s">
        <v>16</v>
      </c>
      <c r="D2938" s="116">
        <v>0</v>
      </c>
      <c r="E2938" s="136">
        <f ca="1">OFFSET(INDEX(Composições!A:J,MATCH(Orçamentária!A2938,Composições!A:A,0),8),2,0)</f>
        <v>94.847999999999999</v>
      </c>
      <c r="F2938" s="137">
        <f t="shared" ca="1" si="156"/>
        <v>0</v>
      </c>
      <c r="G2938" s="138" t="e">
        <f>IF(A2938&lt;&gt;"",IF(AND(#REF!="Padrão",$H$4=#REF!),BDI!$B$17,IF(AND(#REF!="Padrão",$H$4=#REF!),BDI!#REF!,IF(AND(#REF!="Diferenciado",$H$4=#REF!),BDI!$E$17,IF(AND(#REF!="Diferenciado",$H$4=#REF!),BDI!#REF!,IF(#REF!="ZERO",0))))),"")</f>
        <v>#REF!</v>
      </c>
      <c r="H2938" s="139" t="e">
        <f t="shared" ca="1" si="157"/>
        <v>#REF!</v>
      </c>
      <c r="I2938" s="137" t="e">
        <f t="shared" ca="1" si="158"/>
        <v>#REF!</v>
      </c>
      <c r="J2938" s="117"/>
    </row>
    <row r="2939" spans="1:10" hidden="1" x14ac:dyDescent="0.25">
      <c r="A2939" s="114" t="s">
        <v>6206</v>
      </c>
      <c r="B2939" s="115" t="s">
        <v>7354</v>
      </c>
      <c r="C2939" s="116" t="s">
        <v>16</v>
      </c>
      <c r="D2939" s="116">
        <v>0</v>
      </c>
      <c r="E2939" s="136" t="s">
        <v>416</v>
      </c>
      <c r="F2939" s="137" t="str">
        <f t="shared" si="156"/>
        <v/>
      </c>
      <c r="G2939" s="138" t="e">
        <f>IF(A2939&lt;&gt;"",IF(AND(#REF!="Padrão",$H$4=#REF!),BDI!$B$17,IF(AND(#REF!="Padrão",$H$4=#REF!),BDI!#REF!,IF(AND(#REF!="Diferenciado",$H$4=#REF!),BDI!$E$17,IF(AND(#REF!="Diferenciado",$H$4=#REF!),BDI!#REF!,IF(#REF!="ZERO",0))))),"")</f>
        <v>#REF!</v>
      </c>
      <c r="H2939" s="139" t="str">
        <f t="shared" si="157"/>
        <v/>
      </c>
      <c r="I2939" s="137" t="str">
        <f t="shared" si="158"/>
        <v/>
      </c>
      <c r="J2939" s="117"/>
    </row>
    <row r="2940" spans="1:10" hidden="1" x14ac:dyDescent="0.25">
      <c r="A2940" s="114" t="s">
        <v>6207</v>
      </c>
      <c r="B2940" s="115" t="s">
        <v>7353</v>
      </c>
      <c r="C2940" s="116" t="s">
        <v>16</v>
      </c>
      <c r="D2940" s="116">
        <v>0</v>
      </c>
      <c r="E2940" s="136">
        <f ca="1">OFFSET(INDEX(Composições!A:J,MATCH(Orçamentária!A2940,Composições!A:A,0),8),2,0)</f>
        <v>301.72000000000003</v>
      </c>
      <c r="F2940" s="137">
        <f t="shared" ca="1" si="156"/>
        <v>0</v>
      </c>
      <c r="G2940" s="138" t="e">
        <f>IF(A2940&lt;&gt;"",IF(AND(#REF!="Padrão",$H$4=#REF!),BDI!$B$17,IF(AND(#REF!="Padrão",$H$4=#REF!),BDI!#REF!,IF(AND(#REF!="Diferenciado",$H$4=#REF!),BDI!$E$17,IF(AND(#REF!="Diferenciado",$H$4=#REF!),BDI!#REF!,IF(#REF!="ZERO",0))))),"")</f>
        <v>#REF!</v>
      </c>
      <c r="H2940" s="139" t="e">
        <f t="shared" ca="1" si="157"/>
        <v>#REF!</v>
      </c>
      <c r="I2940" s="137" t="e">
        <f t="shared" ca="1" si="158"/>
        <v>#REF!</v>
      </c>
      <c r="J2940" s="117"/>
    </row>
    <row r="2941" spans="1:10" hidden="1" x14ac:dyDescent="0.25">
      <c r="A2941" s="114" t="s">
        <v>6208</v>
      </c>
      <c r="B2941" s="115" t="s">
        <v>6209</v>
      </c>
      <c r="C2941" s="116" t="s">
        <v>16</v>
      </c>
      <c r="D2941" s="116">
        <v>0</v>
      </c>
      <c r="E2941" s="136" t="s">
        <v>416</v>
      </c>
      <c r="F2941" s="137" t="str">
        <f t="shared" si="156"/>
        <v/>
      </c>
      <c r="G2941" s="138" t="e">
        <f>IF(A2941&lt;&gt;"",IF(AND(#REF!="Padrão",$H$4=#REF!),BDI!$B$17,IF(AND(#REF!="Padrão",$H$4=#REF!),BDI!#REF!,IF(AND(#REF!="Diferenciado",$H$4=#REF!),BDI!$E$17,IF(AND(#REF!="Diferenciado",$H$4=#REF!),BDI!#REF!,IF(#REF!="ZERO",0))))),"")</f>
        <v>#REF!</v>
      </c>
      <c r="H2941" s="139" t="str">
        <f t="shared" si="157"/>
        <v/>
      </c>
      <c r="I2941" s="137" t="str">
        <f t="shared" si="158"/>
        <v/>
      </c>
      <c r="J2941" s="117"/>
    </row>
    <row r="2942" spans="1:10" hidden="1" x14ac:dyDescent="0.25">
      <c r="A2942" s="114" t="s">
        <v>6210</v>
      </c>
      <c r="B2942" s="115" t="s">
        <v>6211</v>
      </c>
      <c r="C2942" s="116" t="s">
        <v>16</v>
      </c>
      <c r="D2942" s="116">
        <v>0</v>
      </c>
      <c r="E2942" s="136" t="s">
        <v>416</v>
      </c>
      <c r="F2942" s="137" t="str">
        <f t="shared" si="156"/>
        <v/>
      </c>
      <c r="G2942" s="138" t="e">
        <f>IF(A2942&lt;&gt;"",IF(AND(#REF!="Padrão",$H$4=#REF!),BDI!$B$17,IF(AND(#REF!="Padrão",$H$4=#REF!),BDI!#REF!,IF(AND(#REF!="Diferenciado",$H$4=#REF!),BDI!$E$17,IF(AND(#REF!="Diferenciado",$H$4=#REF!),BDI!#REF!,IF(#REF!="ZERO",0))))),"")</f>
        <v>#REF!</v>
      </c>
      <c r="H2942" s="139" t="str">
        <f t="shared" si="157"/>
        <v/>
      </c>
      <c r="I2942" s="137" t="str">
        <f t="shared" si="158"/>
        <v/>
      </c>
      <c r="J2942" s="117"/>
    </row>
    <row r="2943" spans="1:10" hidden="1" x14ac:dyDescent="0.25">
      <c r="A2943" s="114" t="s">
        <v>6212</v>
      </c>
      <c r="B2943" s="115" t="s">
        <v>7352</v>
      </c>
      <c r="C2943" s="116" t="s">
        <v>16</v>
      </c>
      <c r="D2943" s="116">
        <v>0</v>
      </c>
      <c r="E2943" s="136" t="s">
        <v>416</v>
      </c>
      <c r="F2943" s="137" t="str">
        <f t="shared" si="156"/>
        <v/>
      </c>
      <c r="G2943" s="138" t="e">
        <f>IF(A2943&lt;&gt;"",IF(AND(#REF!="Padrão",$H$4=#REF!),BDI!$B$17,IF(AND(#REF!="Padrão",$H$4=#REF!),BDI!#REF!,IF(AND(#REF!="Diferenciado",$H$4=#REF!),BDI!$E$17,IF(AND(#REF!="Diferenciado",$H$4=#REF!),BDI!#REF!,IF(#REF!="ZERO",0))))),"")</f>
        <v>#REF!</v>
      </c>
      <c r="H2943" s="139" t="str">
        <f t="shared" si="157"/>
        <v/>
      </c>
      <c r="I2943" s="137" t="str">
        <f t="shared" si="158"/>
        <v/>
      </c>
      <c r="J2943" s="117"/>
    </row>
    <row r="2944" spans="1:10" hidden="1" x14ac:dyDescent="0.25">
      <c r="A2944" s="114" t="s">
        <v>6213</v>
      </c>
      <c r="B2944" s="115" t="s">
        <v>6214</v>
      </c>
      <c r="C2944" s="116" t="s">
        <v>16</v>
      </c>
      <c r="D2944" s="116">
        <v>0</v>
      </c>
      <c r="E2944" s="136" t="s">
        <v>416</v>
      </c>
      <c r="F2944" s="137" t="str">
        <f t="shared" si="156"/>
        <v/>
      </c>
      <c r="G2944" s="138" t="e">
        <f>IF(A2944&lt;&gt;"",IF(AND(#REF!="Padrão",$H$4=#REF!),BDI!$B$17,IF(AND(#REF!="Padrão",$H$4=#REF!),BDI!#REF!,IF(AND(#REF!="Diferenciado",$H$4=#REF!),BDI!$E$17,IF(AND(#REF!="Diferenciado",$H$4=#REF!),BDI!#REF!,IF(#REF!="ZERO",0))))),"")</f>
        <v>#REF!</v>
      </c>
      <c r="H2944" s="139" t="str">
        <f t="shared" si="157"/>
        <v/>
      </c>
      <c r="I2944" s="137" t="str">
        <f t="shared" si="158"/>
        <v/>
      </c>
      <c r="J2944" s="117"/>
    </row>
    <row r="2945" spans="1:10" hidden="1" x14ac:dyDescent="0.25">
      <c r="A2945" s="114" t="s">
        <v>6215</v>
      </c>
      <c r="B2945" s="115" t="s">
        <v>6216</v>
      </c>
      <c r="C2945" s="116" t="s">
        <v>16</v>
      </c>
      <c r="D2945" s="116">
        <v>0</v>
      </c>
      <c r="E2945" s="136">
        <f ca="1">OFFSET(INDEX(Composições!A:J,MATCH(Orçamentária!A2945,Composições!A:A,0),8),2,0)</f>
        <v>11.038999999999998</v>
      </c>
      <c r="F2945" s="137">
        <f t="shared" ca="1" si="156"/>
        <v>0</v>
      </c>
      <c r="G2945" s="138" t="e">
        <f>IF(A2945&lt;&gt;"",IF(AND(#REF!="Padrão",$H$4=#REF!),BDI!$B$17,IF(AND(#REF!="Padrão",$H$4=#REF!),BDI!#REF!,IF(AND(#REF!="Diferenciado",$H$4=#REF!),BDI!$E$17,IF(AND(#REF!="Diferenciado",$H$4=#REF!),BDI!#REF!,IF(#REF!="ZERO",0))))),"")</f>
        <v>#REF!</v>
      </c>
      <c r="H2945" s="139" t="e">
        <f t="shared" ca="1" si="157"/>
        <v>#REF!</v>
      </c>
      <c r="I2945" s="137" t="e">
        <f t="shared" ca="1" si="158"/>
        <v>#REF!</v>
      </c>
      <c r="J2945" s="117"/>
    </row>
    <row r="2946" spans="1:10" hidden="1" x14ac:dyDescent="0.25">
      <c r="A2946" s="114" t="s">
        <v>6217</v>
      </c>
      <c r="B2946" s="115" t="s">
        <v>7351</v>
      </c>
      <c r="C2946" s="116" t="s">
        <v>16</v>
      </c>
      <c r="D2946" s="116">
        <v>0</v>
      </c>
      <c r="E2946" s="136">
        <f ca="1">OFFSET(INDEX(Composições!A:J,MATCH(Orçamentária!A2946,Composições!A:A,0),8),2,0)</f>
        <v>278.39749999999998</v>
      </c>
      <c r="F2946" s="137">
        <f t="shared" ca="1" si="156"/>
        <v>0</v>
      </c>
      <c r="G2946" s="138" t="e">
        <f>IF(A2946&lt;&gt;"",IF(AND(#REF!="Padrão",$H$4=#REF!),BDI!$B$17,IF(AND(#REF!="Padrão",$H$4=#REF!),BDI!#REF!,IF(AND(#REF!="Diferenciado",$H$4=#REF!),BDI!$E$17,IF(AND(#REF!="Diferenciado",$H$4=#REF!),BDI!#REF!,IF(#REF!="ZERO",0))))),"")</f>
        <v>#REF!</v>
      </c>
      <c r="H2946" s="139" t="e">
        <f t="shared" ca="1" si="157"/>
        <v>#REF!</v>
      </c>
      <c r="I2946" s="137" t="e">
        <f t="shared" ca="1" si="158"/>
        <v>#REF!</v>
      </c>
      <c r="J2946" s="117"/>
    </row>
    <row r="2947" spans="1:10" hidden="1" x14ac:dyDescent="0.25">
      <c r="A2947" s="114" t="s">
        <v>6218</v>
      </c>
      <c r="B2947" s="115" t="s">
        <v>7350</v>
      </c>
      <c r="C2947" s="116" t="s">
        <v>16</v>
      </c>
      <c r="D2947" s="116">
        <v>0</v>
      </c>
      <c r="E2947" s="136" t="s">
        <v>416</v>
      </c>
      <c r="F2947" s="137" t="str">
        <f t="shared" si="156"/>
        <v/>
      </c>
      <c r="G2947" s="138" t="e">
        <f>IF(A2947&lt;&gt;"",IF(AND(#REF!="Padrão",$H$4=#REF!),BDI!$B$17,IF(AND(#REF!="Padrão",$H$4=#REF!),BDI!#REF!,IF(AND(#REF!="Diferenciado",$H$4=#REF!),BDI!$E$17,IF(AND(#REF!="Diferenciado",$H$4=#REF!),BDI!#REF!,IF(#REF!="ZERO",0))))),"")</f>
        <v>#REF!</v>
      </c>
      <c r="H2947" s="139" t="str">
        <f t="shared" si="157"/>
        <v/>
      </c>
      <c r="I2947" s="137" t="str">
        <f t="shared" si="158"/>
        <v/>
      </c>
      <c r="J2947" s="117"/>
    </row>
    <row r="2948" spans="1:10" hidden="1" x14ac:dyDescent="0.25">
      <c r="A2948" s="114" t="s">
        <v>6219</v>
      </c>
      <c r="B2948" s="115" t="s">
        <v>7349</v>
      </c>
      <c r="C2948" s="116" t="s">
        <v>16</v>
      </c>
      <c r="D2948" s="116">
        <v>0</v>
      </c>
      <c r="E2948" s="136">
        <f ca="1">OFFSET(INDEX(Composições!A:J,MATCH(Orçamentária!A2948,Composições!A:A,0),8),2,0)</f>
        <v>4887.1324999999997</v>
      </c>
      <c r="F2948" s="137">
        <f t="shared" ca="1" si="156"/>
        <v>0</v>
      </c>
      <c r="G2948" s="138" t="e">
        <f>IF(A2948&lt;&gt;"",IF(AND(#REF!="Padrão",$H$4=#REF!),BDI!$B$17,IF(AND(#REF!="Padrão",$H$4=#REF!),BDI!#REF!,IF(AND(#REF!="Diferenciado",$H$4=#REF!),BDI!$E$17,IF(AND(#REF!="Diferenciado",$H$4=#REF!),BDI!#REF!,IF(#REF!="ZERO",0))))),"")</f>
        <v>#REF!</v>
      </c>
      <c r="H2948" s="139" t="e">
        <f t="shared" ca="1" si="157"/>
        <v>#REF!</v>
      </c>
      <c r="I2948" s="137" t="e">
        <f t="shared" ca="1" si="158"/>
        <v>#REF!</v>
      </c>
      <c r="J2948" s="117"/>
    </row>
    <row r="2949" spans="1:10" hidden="1" x14ac:dyDescent="0.25">
      <c r="A2949" s="114" t="s">
        <v>6220</v>
      </c>
      <c r="B2949" s="115" t="s">
        <v>6221</v>
      </c>
      <c r="C2949" s="116" t="s">
        <v>16</v>
      </c>
      <c r="D2949" s="116">
        <v>0</v>
      </c>
      <c r="E2949" s="136" t="s">
        <v>416</v>
      </c>
      <c r="F2949" s="137" t="str">
        <f t="shared" si="156"/>
        <v/>
      </c>
      <c r="G2949" s="138" t="e">
        <f>IF(A2949&lt;&gt;"",IF(AND(#REF!="Padrão",$H$4=#REF!),BDI!$B$17,IF(AND(#REF!="Padrão",$H$4=#REF!),BDI!#REF!,IF(AND(#REF!="Diferenciado",$H$4=#REF!),BDI!$E$17,IF(AND(#REF!="Diferenciado",$H$4=#REF!),BDI!#REF!,IF(#REF!="ZERO",0))))),"")</f>
        <v>#REF!</v>
      </c>
      <c r="H2949" s="139" t="str">
        <f t="shared" si="157"/>
        <v/>
      </c>
      <c r="I2949" s="137" t="str">
        <f t="shared" si="158"/>
        <v/>
      </c>
      <c r="J2949" s="117"/>
    </row>
    <row r="2950" spans="1:10" hidden="1" x14ac:dyDescent="0.25">
      <c r="A2950" s="114" t="s">
        <v>6222</v>
      </c>
      <c r="B2950" s="115" t="s">
        <v>7348</v>
      </c>
      <c r="C2950" s="116" t="s">
        <v>16</v>
      </c>
      <c r="D2950" s="116">
        <v>0</v>
      </c>
      <c r="E2950" s="136" t="s">
        <v>416</v>
      </c>
      <c r="F2950" s="137" t="str">
        <f t="shared" si="156"/>
        <v/>
      </c>
      <c r="G2950" s="138" t="e">
        <f>IF(A2950&lt;&gt;"",IF(AND(#REF!="Padrão",$H$4=#REF!),BDI!$B$17,IF(AND(#REF!="Padrão",$H$4=#REF!),BDI!#REF!,IF(AND(#REF!="Diferenciado",$H$4=#REF!),BDI!$E$17,IF(AND(#REF!="Diferenciado",$H$4=#REF!),BDI!#REF!,IF(#REF!="ZERO",0))))),"")</f>
        <v>#REF!</v>
      </c>
      <c r="H2950" s="139" t="str">
        <f t="shared" si="157"/>
        <v/>
      </c>
      <c r="I2950" s="137" t="str">
        <f t="shared" si="158"/>
        <v/>
      </c>
      <c r="J2950" s="117"/>
    </row>
    <row r="2951" spans="1:10" hidden="1" x14ac:dyDescent="0.25">
      <c r="A2951" s="114" t="s">
        <v>6223</v>
      </c>
      <c r="B2951" s="115" t="s">
        <v>7347</v>
      </c>
      <c r="C2951" s="116" t="s">
        <v>16</v>
      </c>
      <c r="D2951" s="116">
        <v>0</v>
      </c>
      <c r="E2951" s="136" t="s">
        <v>416</v>
      </c>
      <c r="F2951" s="137" t="str">
        <f t="shared" si="156"/>
        <v/>
      </c>
      <c r="G2951" s="138" t="e">
        <f>IF(A2951&lt;&gt;"",IF(AND(#REF!="Padrão",$H$4=#REF!),BDI!$B$17,IF(AND(#REF!="Padrão",$H$4=#REF!),BDI!#REF!,IF(AND(#REF!="Diferenciado",$H$4=#REF!),BDI!$E$17,IF(AND(#REF!="Diferenciado",$H$4=#REF!),BDI!#REF!,IF(#REF!="ZERO",0))))),"")</f>
        <v>#REF!</v>
      </c>
      <c r="H2951" s="139" t="str">
        <f t="shared" si="157"/>
        <v/>
      </c>
      <c r="I2951" s="137" t="str">
        <f t="shared" si="158"/>
        <v/>
      </c>
      <c r="J2951" s="117"/>
    </row>
    <row r="2952" spans="1:10" hidden="1" x14ac:dyDescent="0.25">
      <c r="A2952" s="114" t="s">
        <v>6224</v>
      </c>
      <c r="B2952" s="115" t="s">
        <v>7346</v>
      </c>
      <c r="C2952" s="116" t="s">
        <v>16</v>
      </c>
      <c r="D2952" s="116">
        <v>0</v>
      </c>
      <c r="E2952" s="136" t="s">
        <v>416</v>
      </c>
      <c r="F2952" s="137" t="str">
        <f t="shared" si="156"/>
        <v/>
      </c>
      <c r="G2952" s="138" t="e">
        <f>IF(A2952&lt;&gt;"",IF(AND(#REF!="Padrão",$H$4=#REF!),BDI!$B$17,IF(AND(#REF!="Padrão",$H$4=#REF!),BDI!#REF!,IF(AND(#REF!="Diferenciado",$H$4=#REF!),BDI!$E$17,IF(AND(#REF!="Diferenciado",$H$4=#REF!),BDI!#REF!,IF(#REF!="ZERO",0))))),"")</f>
        <v>#REF!</v>
      </c>
      <c r="H2952" s="139" t="str">
        <f t="shared" si="157"/>
        <v/>
      </c>
      <c r="I2952" s="137" t="str">
        <f t="shared" si="158"/>
        <v/>
      </c>
      <c r="J2952" s="117"/>
    </row>
    <row r="2953" spans="1:10" hidden="1" x14ac:dyDescent="0.25">
      <c r="A2953" s="114" t="s">
        <v>6225</v>
      </c>
      <c r="B2953" s="115" t="s">
        <v>7345</v>
      </c>
      <c r="C2953" s="116" t="s">
        <v>16</v>
      </c>
      <c r="D2953" s="116">
        <v>0</v>
      </c>
      <c r="E2953" s="136" t="s">
        <v>416</v>
      </c>
      <c r="F2953" s="137" t="str">
        <f t="shared" si="156"/>
        <v/>
      </c>
      <c r="G2953" s="138" t="e">
        <f>IF(A2953&lt;&gt;"",IF(AND(#REF!="Padrão",$H$4=#REF!),BDI!$B$17,IF(AND(#REF!="Padrão",$H$4=#REF!),BDI!#REF!,IF(AND(#REF!="Diferenciado",$H$4=#REF!),BDI!$E$17,IF(AND(#REF!="Diferenciado",$H$4=#REF!),BDI!#REF!,IF(#REF!="ZERO",0))))),"")</f>
        <v>#REF!</v>
      </c>
      <c r="H2953" s="139" t="str">
        <f t="shared" si="157"/>
        <v/>
      </c>
      <c r="I2953" s="137" t="str">
        <f t="shared" si="158"/>
        <v/>
      </c>
      <c r="J2953" s="117"/>
    </row>
    <row r="2954" spans="1:10" hidden="1" x14ac:dyDescent="0.25">
      <c r="A2954" s="114" t="s">
        <v>6226</v>
      </c>
      <c r="B2954" s="115" t="s">
        <v>7344</v>
      </c>
      <c r="C2954" s="116" t="s">
        <v>16</v>
      </c>
      <c r="D2954" s="116">
        <v>0</v>
      </c>
      <c r="E2954" s="136" t="s">
        <v>416</v>
      </c>
      <c r="F2954" s="137" t="str">
        <f t="shared" si="156"/>
        <v/>
      </c>
      <c r="G2954" s="138" t="e">
        <f>IF(A2954&lt;&gt;"",IF(AND(#REF!="Padrão",$H$4=#REF!),BDI!$B$17,IF(AND(#REF!="Padrão",$H$4=#REF!),BDI!#REF!,IF(AND(#REF!="Diferenciado",$H$4=#REF!),BDI!$E$17,IF(AND(#REF!="Diferenciado",$H$4=#REF!),BDI!#REF!,IF(#REF!="ZERO",0))))),"")</f>
        <v>#REF!</v>
      </c>
      <c r="H2954" s="139" t="str">
        <f t="shared" si="157"/>
        <v/>
      </c>
      <c r="I2954" s="137" t="str">
        <f t="shared" si="158"/>
        <v/>
      </c>
      <c r="J2954" s="117"/>
    </row>
    <row r="2955" spans="1:10" hidden="1" x14ac:dyDescent="0.25">
      <c r="A2955" s="114" t="s">
        <v>6227</v>
      </c>
      <c r="B2955" s="115" t="s">
        <v>7343</v>
      </c>
      <c r="C2955" s="116" t="s">
        <v>16</v>
      </c>
      <c r="D2955" s="116">
        <v>0</v>
      </c>
      <c r="E2955" s="136" t="s">
        <v>416</v>
      </c>
      <c r="F2955" s="137" t="str">
        <f t="shared" si="156"/>
        <v/>
      </c>
      <c r="G2955" s="138" t="e">
        <f>IF(A2955&lt;&gt;"",IF(AND(#REF!="Padrão",$H$4=#REF!),BDI!$B$17,IF(AND(#REF!="Padrão",$H$4=#REF!),BDI!#REF!,IF(AND(#REF!="Diferenciado",$H$4=#REF!),BDI!$E$17,IF(AND(#REF!="Diferenciado",$H$4=#REF!),BDI!#REF!,IF(#REF!="ZERO",0))))),"")</f>
        <v>#REF!</v>
      </c>
      <c r="H2955" s="139" t="str">
        <f t="shared" si="157"/>
        <v/>
      </c>
      <c r="I2955" s="137" t="str">
        <f t="shared" si="158"/>
        <v/>
      </c>
      <c r="J2955" s="117"/>
    </row>
    <row r="2956" spans="1:10" hidden="1" x14ac:dyDescent="0.25">
      <c r="A2956" s="114" t="s">
        <v>6228</v>
      </c>
      <c r="B2956" s="115" t="s">
        <v>7342</v>
      </c>
      <c r="C2956" s="116" t="s">
        <v>16</v>
      </c>
      <c r="D2956" s="116">
        <v>0</v>
      </c>
      <c r="E2956" s="136" t="s">
        <v>416</v>
      </c>
      <c r="F2956" s="137" t="str">
        <f t="shared" si="156"/>
        <v/>
      </c>
      <c r="G2956" s="138" t="e">
        <f>IF(A2956&lt;&gt;"",IF(AND(#REF!="Padrão",$H$4=#REF!),BDI!$B$17,IF(AND(#REF!="Padrão",$H$4=#REF!),BDI!#REF!,IF(AND(#REF!="Diferenciado",$H$4=#REF!),BDI!$E$17,IF(AND(#REF!="Diferenciado",$H$4=#REF!),BDI!#REF!,IF(#REF!="ZERO",0))))),"")</f>
        <v>#REF!</v>
      </c>
      <c r="H2956" s="139" t="str">
        <f t="shared" si="157"/>
        <v/>
      </c>
      <c r="I2956" s="137" t="str">
        <f t="shared" si="158"/>
        <v/>
      </c>
      <c r="J2956" s="117"/>
    </row>
    <row r="2957" spans="1:10" hidden="1" x14ac:dyDescent="0.25">
      <c r="A2957" s="114" t="s">
        <v>6229</v>
      </c>
      <c r="B2957" s="115" t="s">
        <v>7341</v>
      </c>
      <c r="C2957" s="116" t="s">
        <v>16</v>
      </c>
      <c r="D2957" s="116">
        <v>0</v>
      </c>
      <c r="E2957" s="136" t="s">
        <v>416</v>
      </c>
      <c r="F2957" s="137" t="str">
        <f t="shared" si="156"/>
        <v/>
      </c>
      <c r="G2957" s="138" t="e">
        <f>IF(A2957&lt;&gt;"",IF(AND(#REF!="Padrão",$H$4=#REF!),BDI!$B$17,IF(AND(#REF!="Padrão",$H$4=#REF!),BDI!#REF!,IF(AND(#REF!="Diferenciado",$H$4=#REF!),BDI!$E$17,IF(AND(#REF!="Diferenciado",$H$4=#REF!),BDI!#REF!,IF(#REF!="ZERO",0))))),"")</f>
        <v>#REF!</v>
      </c>
      <c r="H2957" s="139" t="str">
        <f t="shared" si="157"/>
        <v/>
      </c>
      <c r="I2957" s="137" t="str">
        <f t="shared" si="158"/>
        <v/>
      </c>
      <c r="J2957" s="117"/>
    </row>
    <row r="2958" spans="1:10" hidden="1" x14ac:dyDescent="0.25">
      <c r="A2958" s="114" t="s">
        <v>6230</v>
      </c>
      <c r="B2958" s="115" t="s">
        <v>7340</v>
      </c>
      <c r="C2958" s="116" t="s">
        <v>16</v>
      </c>
      <c r="D2958" s="116">
        <v>0</v>
      </c>
      <c r="E2958" s="136" t="s">
        <v>416</v>
      </c>
      <c r="F2958" s="137" t="str">
        <f t="shared" si="156"/>
        <v/>
      </c>
      <c r="G2958" s="138" t="e">
        <f>IF(A2958&lt;&gt;"",IF(AND(#REF!="Padrão",$H$4=#REF!),BDI!$B$17,IF(AND(#REF!="Padrão",$H$4=#REF!),BDI!#REF!,IF(AND(#REF!="Diferenciado",$H$4=#REF!),BDI!$E$17,IF(AND(#REF!="Diferenciado",$H$4=#REF!),BDI!#REF!,IF(#REF!="ZERO",0))))),"")</f>
        <v>#REF!</v>
      </c>
      <c r="H2958" s="139" t="str">
        <f t="shared" si="157"/>
        <v/>
      </c>
      <c r="I2958" s="137" t="str">
        <f t="shared" si="158"/>
        <v/>
      </c>
      <c r="J2958" s="117"/>
    </row>
    <row r="2959" spans="1:10" hidden="1" x14ac:dyDescent="0.25">
      <c r="A2959" s="114" t="s">
        <v>6231</v>
      </c>
      <c r="B2959" s="115" t="s">
        <v>7339</v>
      </c>
      <c r="C2959" s="116" t="s">
        <v>16</v>
      </c>
      <c r="D2959" s="116">
        <v>0</v>
      </c>
      <c r="E2959" s="136" t="s">
        <v>416</v>
      </c>
      <c r="F2959" s="137" t="str">
        <f t="shared" si="156"/>
        <v/>
      </c>
      <c r="G2959" s="138" t="e">
        <f>IF(A2959&lt;&gt;"",IF(AND(#REF!="Padrão",$H$4=#REF!),BDI!$B$17,IF(AND(#REF!="Padrão",$H$4=#REF!),BDI!#REF!,IF(AND(#REF!="Diferenciado",$H$4=#REF!),BDI!$E$17,IF(AND(#REF!="Diferenciado",$H$4=#REF!),BDI!#REF!,IF(#REF!="ZERO",0))))),"")</f>
        <v>#REF!</v>
      </c>
      <c r="H2959" s="139" t="str">
        <f t="shared" si="157"/>
        <v/>
      </c>
      <c r="I2959" s="137" t="str">
        <f t="shared" si="158"/>
        <v/>
      </c>
      <c r="J2959" s="117"/>
    </row>
    <row r="2960" spans="1:10" hidden="1" x14ac:dyDescent="0.25">
      <c r="A2960" s="114" t="s">
        <v>6232</v>
      </c>
      <c r="B2960" s="115" t="s">
        <v>7338</v>
      </c>
      <c r="C2960" s="116" t="s">
        <v>16</v>
      </c>
      <c r="D2960" s="116">
        <v>0</v>
      </c>
      <c r="E2960" s="136" t="s">
        <v>416</v>
      </c>
      <c r="F2960" s="137" t="str">
        <f t="shared" si="156"/>
        <v/>
      </c>
      <c r="G2960" s="138" t="e">
        <f>IF(A2960&lt;&gt;"",IF(AND(#REF!="Padrão",$H$4=#REF!),BDI!$B$17,IF(AND(#REF!="Padrão",$H$4=#REF!),BDI!#REF!,IF(AND(#REF!="Diferenciado",$H$4=#REF!),BDI!$E$17,IF(AND(#REF!="Diferenciado",$H$4=#REF!),BDI!#REF!,IF(#REF!="ZERO",0))))),"")</f>
        <v>#REF!</v>
      </c>
      <c r="H2960" s="139" t="str">
        <f t="shared" si="157"/>
        <v/>
      </c>
      <c r="I2960" s="137" t="str">
        <f t="shared" si="158"/>
        <v/>
      </c>
      <c r="J2960" s="117"/>
    </row>
    <row r="2961" spans="1:10" hidden="1" x14ac:dyDescent="0.25">
      <c r="A2961" s="114" t="s">
        <v>6233</v>
      </c>
      <c r="B2961" s="115" t="s">
        <v>7337</v>
      </c>
      <c r="C2961" s="116" t="s">
        <v>16</v>
      </c>
      <c r="D2961" s="116">
        <v>0</v>
      </c>
      <c r="E2961" s="136" t="s">
        <v>416</v>
      </c>
      <c r="F2961" s="137" t="str">
        <f t="shared" si="156"/>
        <v/>
      </c>
      <c r="G2961" s="138" t="e">
        <f>IF(A2961&lt;&gt;"",IF(AND(#REF!="Padrão",$H$4=#REF!),BDI!$B$17,IF(AND(#REF!="Padrão",$H$4=#REF!),BDI!#REF!,IF(AND(#REF!="Diferenciado",$H$4=#REF!),BDI!$E$17,IF(AND(#REF!="Diferenciado",$H$4=#REF!),BDI!#REF!,IF(#REF!="ZERO",0))))),"")</f>
        <v>#REF!</v>
      </c>
      <c r="H2961" s="139" t="str">
        <f t="shared" si="157"/>
        <v/>
      </c>
      <c r="I2961" s="137" t="str">
        <f t="shared" si="158"/>
        <v/>
      </c>
      <c r="J2961" s="117"/>
    </row>
    <row r="2962" spans="1:10" hidden="1" x14ac:dyDescent="0.25">
      <c r="A2962" s="114" t="s">
        <v>6234</v>
      </c>
      <c r="B2962" s="115" t="s">
        <v>7336</v>
      </c>
      <c r="C2962" s="116" t="s">
        <v>16</v>
      </c>
      <c r="D2962" s="116">
        <v>0</v>
      </c>
      <c r="E2962" s="136" t="s">
        <v>416</v>
      </c>
      <c r="F2962" s="137" t="str">
        <f t="shared" si="156"/>
        <v/>
      </c>
      <c r="G2962" s="138" t="e">
        <f>IF(A2962&lt;&gt;"",IF(AND(#REF!="Padrão",$H$4=#REF!),BDI!$B$17,IF(AND(#REF!="Padrão",$H$4=#REF!),BDI!#REF!,IF(AND(#REF!="Diferenciado",$H$4=#REF!),BDI!$E$17,IF(AND(#REF!="Diferenciado",$H$4=#REF!),BDI!#REF!,IF(#REF!="ZERO",0))))),"")</f>
        <v>#REF!</v>
      </c>
      <c r="H2962" s="139" t="str">
        <f t="shared" si="157"/>
        <v/>
      </c>
      <c r="I2962" s="137" t="str">
        <f t="shared" si="158"/>
        <v/>
      </c>
      <c r="J2962" s="117"/>
    </row>
    <row r="2963" spans="1:10" hidden="1" x14ac:dyDescent="0.25">
      <c r="A2963" s="114" t="s">
        <v>6235</v>
      </c>
      <c r="B2963" s="115" t="s">
        <v>7335</v>
      </c>
      <c r="C2963" s="116" t="s">
        <v>16</v>
      </c>
      <c r="D2963" s="116">
        <v>0</v>
      </c>
      <c r="E2963" s="136" t="s">
        <v>416</v>
      </c>
      <c r="F2963" s="137" t="str">
        <f t="shared" si="156"/>
        <v/>
      </c>
      <c r="G2963" s="138" t="e">
        <f>IF(A2963&lt;&gt;"",IF(AND(#REF!="Padrão",$H$4=#REF!),BDI!$B$17,IF(AND(#REF!="Padrão",$H$4=#REF!),BDI!#REF!,IF(AND(#REF!="Diferenciado",$H$4=#REF!),BDI!$E$17,IF(AND(#REF!="Diferenciado",$H$4=#REF!),BDI!#REF!,IF(#REF!="ZERO",0))))),"")</f>
        <v>#REF!</v>
      </c>
      <c r="H2963" s="139" t="str">
        <f t="shared" si="157"/>
        <v/>
      </c>
      <c r="I2963" s="137" t="str">
        <f t="shared" si="158"/>
        <v/>
      </c>
      <c r="J2963" s="117"/>
    </row>
    <row r="2964" spans="1:10" hidden="1" x14ac:dyDescent="0.25">
      <c r="A2964" s="114" t="s">
        <v>6236</v>
      </c>
      <c r="B2964" s="115" t="s">
        <v>7334</v>
      </c>
      <c r="C2964" s="116" t="s">
        <v>16</v>
      </c>
      <c r="D2964" s="116">
        <v>0</v>
      </c>
      <c r="E2964" s="136" t="s">
        <v>416</v>
      </c>
      <c r="F2964" s="137" t="str">
        <f t="shared" si="156"/>
        <v/>
      </c>
      <c r="G2964" s="138" t="e">
        <f>IF(A2964&lt;&gt;"",IF(AND(#REF!="Padrão",$H$4=#REF!),BDI!$B$17,IF(AND(#REF!="Padrão",$H$4=#REF!),BDI!#REF!,IF(AND(#REF!="Diferenciado",$H$4=#REF!),BDI!$E$17,IF(AND(#REF!="Diferenciado",$H$4=#REF!),BDI!#REF!,IF(#REF!="ZERO",0))))),"")</f>
        <v>#REF!</v>
      </c>
      <c r="H2964" s="139" t="str">
        <f t="shared" si="157"/>
        <v/>
      </c>
      <c r="I2964" s="137" t="str">
        <f t="shared" si="158"/>
        <v/>
      </c>
      <c r="J2964" s="117"/>
    </row>
    <row r="2965" spans="1:10" hidden="1" x14ac:dyDescent="0.25">
      <c r="A2965" s="114" t="s">
        <v>6237</v>
      </c>
      <c r="B2965" s="115" t="s">
        <v>7333</v>
      </c>
      <c r="C2965" s="116" t="s">
        <v>16</v>
      </c>
      <c r="D2965" s="116">
        <v>0</v>
      </c>
      <c r="E2965" s="136" t="s">
        <v>416</v>
      </c>
      <c r="F2965" s="137" t="str">
        <f t="shared" si="156"/>
        <v/>
      </c>
      <c r="G2965" s="138" t="e">
        <f>IF(A2965&lt;&gt;"",IF(AND(#REF!="Padrão",$H$4=#REF!),BDI!$B$17,IF(AND(#REF!="Padrão",$H$4=#REF!),BDI!#REF!,IF(AND(#REF!="Diferenciado",$H$4=#REF!),BDI!$E$17,IF(AND(#REF!="Diferenciado",$H$4=#REF!),BDI!#REF!,IF(#REF!="ZERO",0))))),"")</f>
        <v>#REF!</v>
      </c>
      <c r="H2965" s="139" t="str">
        <f t="shared" si="157"/>
        <v/>
      </c>
      <c r="I2965" s="137" t="str">
        <f t="shared" si="158"/>
        <v/>
      </c>
      <c r="J2965" s="117"/>
    </row>
    <row r="2966" spans="1:10" hidden="1" x14ac:dyDescent="0.25">
      <c r="A2966" s="114" t="s">
        <v>6238</v>
      </c>
      <c r="B2966" s="115" t="s">
        <v>7332</v>
      </c>
      <c r="C2966" s="116" t="s">
        <v>16</v>
      </c>
      <c r="D2966" s="116">
        <v>0</v>
      </c>
      <c r="E2966" s="136" t="s">
        <v>416</v>
      </c>
      <c r="F2966" s="137" t="str">
        <f t="shared" si="156"/>
        <v/>
      </c>
      <c r="G2966" s="138" t="e">
        <f>IF(A2966&lt;&gt;"",IF(AND(#REF!="Padrão",$H$4=#REF!),BDI!$B$17,IF(AND(#REF!="Padrão",$H$4=#REF!),BDI!#REF!,IF(AND(#REF!="Diferenciado",$H$4=#REF!),BDI!$E$17,IF(AND(#REF!="Diferenciado",$H$4=#REF!),BDI!#REF!,IF(#REF!="ZERO",0))))),"")</f>
        <v>#REF!</v>
      </c>
      <c r="H2966" s="139" t="str">
        <f t="shared" si="157"/>
        <v/>
      </c>
      <c r="I2966" s="137" t="str">
        <f t="shared" si="158"/>
        <v/>
      </c>
      <c r="J2966" s="117"/>
    </row>
    <row r="2967" spans="1:10" hidden="1" x14ac:dyDescent="0.25">
      <c r="A2967" s="114" t="s">
        <v>6239</v>
      </c>
      <c r="B2967" s="115" t="s">
        <v>7331</v>
      </c>
      <c r="C2967" s="116" t="s">
        <v>16</v>
      </c>
      <c r="D2967" s="116">
        <v>0</v>
      </c>
      <c r="E2967" s="136" t="s">
        <v>416</v>
      </c>
      <c r="F2967" s="137" t="str">
        <f t="shared" ref="F2967:F3030" si="159">IF(ISNUMBER(E2967),D2967*E2967,"")</f>
        <v/>
      </c>
      <c r="G2967" s="138" t="e">
        <f>IF(A2967&lt;&gt;"",IF(AND(#REF!="Padrão",$H$4=#REF!),BDI!$B$17,IF(AND(#REF!="Padrão",$H$4=#REF!),BDI!#REF!,IF(AND(#REF!="Diferenciado",$H$4=#REF!),BDI!$E$17,IF(AND(#REF!="Diferenciado",$H$4=#REF!),BDI!#REF!,IF(#REF!="ZERO",0))))),"")</f>
        <v>#REF!</v>
      </c>
      <c r="H2967" s="139" t="str">
        <f t="shared" ref="H2967:H3030" si="160">IF(ISNUMBER(E2967),ROUND(E2967*(1+G2967),2),"")</f>
        <v/>
      </c>
      <c r="I2967" s="137" t="str">
        <f t="shared" ref="I2967:I3030" si="161">IF(ISNUMBER(E2967),ROUND(H2967*D2967,2),"")</f>
        <v/>
      </c>
      <c r="J2967" s="117"/>
    </row>
    <row r="2968" spans="1:10" hidden="1" x14ac:dyDescent="0.25">
      <c r="A2968" s="114" t="s">
        <v>6240</v>
      </c>
      <c r="B2968" s="115" t="s">
        <v>7330</v>
      </c>
      <c r="C2968" s="116" t="s">
        <v>16</v>
      </c>
      <c r="D2968" s="116">
        <v>0</v>
      </c>
      <c r="E2968" s="136" t="s">
        <v>416</v>
      </c>
      <c r="F2968" s="137" t="str">
        <f t="shared" si="159"/>
        <v/>
      </c>
      <c r="G2968" s="138" t="e">
        <f>IF(A2968&lt;&gt;"",IF(AND(#REF!="Padrão",$H$4=#REF!),BDI!$B$17,IF(AND(#REF!="Padrão",$H$4=#REF!),BDI!#REF!,IF(AND(#REF!="Diferenciado",$H$4=#REF!),BDI!$E$17,IF(AND(#REF!="Diferenciado",$H$4=#REF!),BDI!#REF!,IF(#REF!="ZERO",0))))),"")</f>
        <v>#REF!</v>
      </c>
      <c r="H2968" s="139" t="str">
        <f t="shared" si="160"/>
        <v/>
      </c>
      <c r="I2968" s="137" t="str">
        <f t="shared" si="161"/>
        <v/>
      </c>
      <c r="J2968" s="117"/>
    </row>
    <row r="2969" spans="1:10" hidden="1" x14ac:dyDescent="0.25">
      <c r="A2969" s="114" t="s">
        <v>6241</v>
      </c>
      <c r="B2969" s="115" t="s">
        <v>6242</v>
      </c>
      <c r="C2969" s="116" t="s">
        <v>16</v>
      </c>
      <c r="D2969" s="116">
        <v>0</v>
      </c>
      <c r="E2969" s="136" t="s">
        <v>416</v>
      </c>
      <c r="F2969" s="137" t="str">
        <f t="shared" si="159"/>
        <v/>
      </c>
      <c r="G2969" s="138" t="e">
        <f>IF(A2969&lt;&gt;"",IF(AND(#REF!="Padrão",$H$4=#REF!),BDI!$B$17,IF(AND(#REF!="Padrão",$H$4=#REF!),BDI!#REF!,IF(AND(#REF!="Diferenciado",$H$4=#REF!),BDI!$E$17,IF(AND(#REF!="Diferenciado",$H$4=#REF!),BDI!#REF!,IF(#REF!="ZERO",0))))),"")</f>
        <v>#REF!</v>
      </c>
      <c r="H2969" s="139" t="str">
        <f t="shared" si="160"/>
        <v/>
      </c>
      <c r="I2969" s="137" t="str">
        <f t="shared" si="161"/>
        <v/>
      </c>
      <c r="J2969" s="117"/>
    </row>
    <row r="2970" spans="1:10" hidden="1" x14ac:dyDescent="0.25">
      <c r="A2970" s="114" t="s">
        <v>6243</v>
      </c>
      <c r="B2970" s="115" t="s">
        <v>6244</v>
      </c>
      <c r="C2970" s="116" t="s">
        <v>16</v>
      </c>
      <c r="D2970" s="116">
        <v>0</v>
      </c>
      <c r="E2970" s="136" t="s">
        <v>416</v>
      </c>
      <c r="F2970" s="137" t="str">
        <f t="shared" si="159"/>
        <v/>
      </c>
      <c r="G2970" s="138" t="e">
        <f>IF(A2970&lt;&gt;"",IF(AND(#REF!="Padrão",$H$4=#REF!),BDI!$B$17,IF(AND(#REF!="Padrão",$H$4=#REF!),BDI!#REF!,IF(AND(#REF!="Diferenciado",$H$4=#REF!),BDI!$E$17,IF(AND(#REF!="Diferenciado",$H$4=#REF!),BDI!#REF!,IF(#REF!="ZERO",0))))),"")</f>
        <v>#REF!</v>
      </c>
      <c r="H2970" s="139" t="str">
        <f t="shared" si="160"/>
        <v/>
      </c>
      <c r="I2970" s="137" t="str">
        <f t="shared" si="161"/>
        <v/>
      </c>
      <c r="J2970" s="117"/>
    </row>
    <row r="2971" spans="1:10" hidden="1" x14ac:dyDescent="0.25">
      <c r="A2971" s="114" t="s">
        <v>6245</v>
      </c>
      <c r="B2971" s="115" t="s">
        <v>6246</v>
      </c>
      <c r="C2971" s="116" t="s">
        <v>16</v>
      </c>
      <c r="D2971" s="116">
        <v>0</v>
      </c>
      <c r="E2971" s="136" t="s">
        <v>416</v>
      </c>
      <c r="F2971" s="137" t="str">
        <f t="shared" si="159"/>
        <v/>
      </c>
      <c r="G2971" s="138" t="e">
        <f>IF(A2971&lt;&gt;"",IF(AND(#REF!="Padrão",$H$4=#REF!),BDI!$B$17,IF(AND(#REF!="Padrão",$H$4=#REF!),BDI!#REF!,IF(AND(#REF!="Diferenciado",$H$4=#REF!),BDI!$E$17,IF(AND(#REF!="Diferenciado",$H$4=#REF!),BDI!#REF!,IF(#REF!="ZERO",0))))),"")</f>
        <v>#REF!</v>
      </c>
      <c r="H2971" s="139" t="str">
        <f t="shared" si="160"/>
        <v/>
      </c>
      <c r="I2971" s="137" t="str">
        <f t="shared" si="161"/>
        <v/>
      </c>
      <c r="J2971" s="117"/>
    </row>
    <row r="2972" spans="1:10" hidden="1" x14ac:dyDescent="0.25">
      <c r="A2972" s="114" t="s">
        <v>6247</v>
      </c>
      <c r="B2972" s="115" t="s">
        <v>6248</v>
      </c>
      <c r="C2972" s="116" t="s">
        <v>16</v>
      </c>
      <c r="D2972" s="116">
        <v>0</v>
      </c>
      <c r="E2972" s="136" t="s">
        <v>416</v>
      </c>
      <c r="F2972" s="137" t="str">
        <f t="shared" si="159"/>
        <v/>
      </c>
      <c r="G2972" s="138" t="e">
        <f>IF(A2972&lt;&gt;"",IF(AND(#REF!="Padrão",$H$4=#REF!),BDI!$B$17,IF(AND(#REF!="Padrão",$H$4=#REF!),BDI!#REF!,IF(AND(#REF!="Diferenciado",$H$4=#REF!),BDI!$E$17,IF(AND(#REF!="Diferenciado",$H$4=#REF!),BDI!#REF!,IF(#REF!="ZERO",0))))),"")</f>
        <v>#REF!</v>
      </c>
      <c r="H2972" s="139" t="str">
        <f t="shared" si="160"/>
        <v/>
      </c>
      <c r="I2972" s="137" t="str">
        <f t="shared" si="161"/>
        <v/>
      </c>
      <c r="J2972" s="117"/>
    </row>
    <row r="2973" spans="1:10" hidden="1" x14ac:dyDescent="0.25">
      <c r="A2973" s="114" t="s">
        <v>6249</v>
      </c>
      <c r="B2973" s="115" t="s">
        <v>6250</v>
      </c>
      <c r="C2973" s="116" t="s">
        <v>16</v>
      </c>
      <c r="D2973" s="116">
        <v>0</v>
      </c>
      <c r="E2973" s="136" t="s">
        <v>416</v>
      </c>
      <c r="F2973" s="137" t="str">
        <f t="shared" si="159"/>
        <v/>
      </c>
      <c r="G2973" s="138" t="e">
        <f>IF(A2973&lt;&gt;"",IF(AND(#REF!="Padrão",$H$4=#REF!),BDI!$B$17,IF(AND(#REF!="Padrão",$H$4=#REF!),BDI!#REF!,IF(AND(#REF!="Diferenciado",$H$4=#REF!),BDI!$E$17,IF(AND(#REF!="Diferenciado",$H$4=#REF!),BDI!#REF!,IF(#REF!="ZERO",0))))),"")</f>
        <v>#REF!</v>
      </c>
      <c r="H2973" s="139" t="str">
        <f t="shared" si="160"/>
        <v/>
      </c>
      <c r="I2973" s="137" t="str">
        <f t="shared" si="161"/>
        <v/>
      </c>
      <c r="J2973" s="117"/>
    </row>
    <row r="2974" spans="1:10" hidden="1" x14ac:dyDescent="0.25">
      <c r="A2974" s="114" t="s">
        <v>6251</v>
      </c>
      <c r="B2974" s="115" t="s">
        <v>6252</v>
      </c>
      <c r="C2974" s="116" t="s">
        <v>16</v>
      </c>
      <c r="D2974" s="116">
        <v>0</v>
      </c>
      <c r="E2974" s="136" t="s">
        <v>416</v>
      </c>
      <c r="F2974" s="137" t="str">
        <f t="shared" si="159"/>
        <v/>
      </c>
      <c r="G2974" s="138" t="e">
        <f>IF(A2974&lt;&gt;"",IF(AND(#REF!="Padrão",$H$4=#REF!),BDI!$B$17,IF(AND(#REF!="Padrão",$H$4=#REF!),BDI!#REF!,IF(AND(#REF!="Diferenciado",$H$4=#REF!),BDI!$E$17,IF(AND(#REF!="Diferenciado",$H$4=#REF!),BDI!#REF!,IF(#REF!="ZERO",0))))),"")</f>
        <v>#REF!</v>
      </c>
      <c r="H2974" s="139" t="str">
        <f t="shared" si="160"/>
        <v/>
      </c>
      <c r="I2974" s="137" t="str">
        <f t="shared" si="161"/>
        <v/>
      </c>
      <c r="J2974" s="117"/>
    </row>
    <row r="2975" spans="1:10" hidden="1" x14ac:dyDescent="0.25">
      <c r="A2975" s="114" t="s">
        <v>6253</v>
      </c>
      <c r="B2975" s="115" t="s">
        <v>7329</v>
      </c>
      <c r="C2975" s="116" t="s">
        <v>16</v>
      </c>
      <c r="D2975" s="116">
        <v>0</v>
      </c>
      <c r="E2975" s="136">
        <f ca="1">OFFSET(INDEX(Composições!A:J,MATCH(Orçamentária!A2975,Composições!A:A,0),8),2,0)</f>
        <v>2.8119999999999998</v>
      </c>
      <c r="F2975" s="137">
        <f t="shared" ca="1" si="159"/>
        <v>0</v>
      </c>
      <c r="G2975" s="138" t="e">
        <f>IF(A2975&lt;&gt;"",IF(AND(#REF!="Padrão",$H$4=#REF!),BDI!$B$17,IF(AND(#REF!="Padrão",$H$4=#REF!),BDI!#REF!,IF(AND(#REF!="Diferenciado",$H$4=#REF!),BDI!$E$17,IF(AND(#REF!="Diferenciado",$H$4=#REF!),BDI!#REF!,IF(#REF!="ZERO",0))))),"")</f>
        <v>#REF!</v>
      </c>
      <c r="H2975" s="139" t="e">
        <f t="shared" ca="1" si="160"/>
        <v>#REF!</v>
      </c>
      <c r="I2975" s="137" t="e">
        <f t="shared" ca="1" si="161"/>
        <v>#REF!</v>
      </c>
      <c r="J2975" s="117"/>
    </row>
    <row r="2976" spans="1:10" ht="25.5" hidden="1" x14ac:dyDescent="0.25">
      <c r="A2976" s="114" t="s">
        <v>6254</v>
      </c>
      <c r="B2976" s="115" t="s">
        <v>6255</v>
      </c>
      <c r="C2976" s="116" t="s">
        <v>16</v>
      </c>
      <c r="D2976" s="116">
        <v>0</v>
      </c>
      <c r="E2976" s="136" t="s">
        <v>416</v>
      </c>
      <c r="F2976" s="137" t="str">
        <f t="shared" si="159"/>
        <v/>
      </c>
      <c r="G2976" s="138" t="e">
        <f>IF(A2976&lt;&gt;"",IF(AND(#REF!="Padrão",$H$4=#REF!),BDI!$B$17,IF(AND(#REF!="Padrão",$H$4=#REF!),BDI!#REF!,IF(AND(#REF!="Diferenciado",$H$4=#REF!),BDI!$E$17,IF(AND(#REF!="Diferenciado",$H$4=#REF!),BDI!#REF!,IF(#REF!="ZERO",0))))),"")</f>
        <v>#REF!</v>
      </c>
      <c r="H2976" s="139" t="str">
        <f t="shared" si="160"/>
        <v/>
      </c>
      <c r="I2976" s="137" t="str">
        <f t="shared" si="161"/>
        <v/>
      </c>
      <c r="J2976" s="117"/>
    </row>
    <row r="2977" spans="1:10" hidden="1" x14ac:dyDescent="0.25">
      <c r="A2977" s="114" t="s">
        <v>6256</v>
      </c>
      <c r="B2977" s="115" t="s">
        <v>6257</v>
      </c>
      <c r="C2977" s="116" t="s">
        <v>16</v>
      </c>
      <c r="D2977" s="116">
        <v>0</v>
      </c>
      <c r="E2977" s="136" t="s">
        <v>416</v>
      </c>
      <c r="F2977" s="137" t="str">
        <f t="shared" si="159"/>
        <v/>
      </c>
      <c r="G2977" s="138" t="e">
        <f>IF(A2977&lt;&gt;"",IF(AND(#REF!="Padrão",$H$4=#REF!),BDI!$B$17,IF(AND(#REF!="Padrão",$H$4=#REF!),BDI!#REF!,IF(AND(#REF!="Diferenciado",$H$4=#REF!),BDI!$E$17,IF(AND(#REF!="Diferenciado",$H$4=#REF!),BDI!#REF!,IF(#REF!="ZERO",0))))),"")</f>
        <v>#REF!</v>
      </c>
      <c r="H2977" s="139" t="str">
        <f t="shared" si="160"/>
        <v/>
      </c>
      <c r="I2977" s="137" t="str">
        <f t="shared" si="161"/>
        <v/>
      </c>
      <c r="J2977" s="117"/>
    </row>
    <row r="2978" spans="1:10" hidden="1" x14ac:dyDescent="0.25">
      <c r="A2978" s="114" t="s">
        <v>6258</v>
      </c>
      <c r="B2978" s="115" t="s">
        <v>6259</v>
      </c>
      <c r="C2978" s="116" t="s">
        <v>16</v>
      </c>
      <c r="D2978" s="116">
        <v>0</v>
      </c>
      <c r="E2978" s="136">
        <f ca="1">OFFSET(INDEX(Composições!A:J,MATCH(Orçamentária!A2978,Composições!A:A,0),8),2,0)</f>
        <v>108.05299999999998</v>
      </c>
      <c r="F2978" s="137">
        <f t="shared" ca="1" si="159"/>
        <v>0</v>
      </c>
      <c r="G2978" s="138" t="e">
        <f>IF(A2978&lt;&gt;"",IF(AND(#REF!="Padrão",$H$4=#REF!),BDI!$B$17,IF(AND(#REF!="Padrão",$H$4=#REF!),BDI!#REF!,IF(AND(#REF!="Diferenciado",$H$4=#REF!),BDI!$E$17,IF(AND(#REF!="Diferenciado",$H$4=#REF!),BDI!#REF!,IF(#REF!="ZERO",0))))),"")</f>
        <v>#REF!</v>
      </c>
      <c r="H2978" s="139" t="e">
        <f t="shared" ca="1" si="160"/>
        <v>#REF!</v>
      </c>
      <c r="I2978" s="137" t="e">
        <f t="shared" ca="1" si="161"/>
        <v>#REF!</v>
      </c>
      <c r="J2978" s="117"/>
    </row>
    <row r="2979" spans="1:10" hidden="1" x14ac:dyDescent="0.25">
      <c r="A2979" s="114" t="s">
        <v>6260</v>
      </c>
      <c r="B2979" s="115" t="s">
        <v>6261</v>
      </c>
      <c r="C2979" s="116" t="s">
        <v>16</v>
      </c>
      <c r="D2979" s="116">
        <v>0</v>
      </c>
      <c r="E2979" s="136">
        <f ca="1">OFFSET(INDEX(Composições!A:J,MATCH(Orçamentária!A2979,Composições!A:A,0),8),2,0)</f>
        <v>455.90499999999997</v>
      </c>
      <c r="F2979" s="137">
        <f t="shared" ca="1" si="159"/>
        <v>0</v>
      </c>
      <c r="G2979" s="138" t="e">
        <f>IF(A2979&lt;&gt;"",IF(AND(#REF!="Padrão",$H$4=#REF!),BDI!$B$17,IF(AND(#REF!="Padrão",$H$4=#REF!),BDI!#REF!,IF(AND(#REF!="Diferenciado",$H$4=#REF!),BDI!$E$17,IF(AND(#REF!="Diferenciado",$H$4=#REF!),BDI!#REF!,IF(#REF!="ZERO",0))))),"")</f>
        <v>#REF!</v>
      </c>
      <c r="H2979" s="139" t="e">
        <f t="shared" ca="1" si="160"/>
        <v>#REF!</v>
      </c>
      <c r="I2979" s="137" t="e">
        <f t="shared" ca="1" si="161"/>
        <v>#REF!</v>
      </c>
      <c r="J2979" s="117"/>
    </row>
    <row r="2980" spans="1:10" hidden="1" x14ac:dyDescent="0.25">
      <c r="A2980" s="114" t="s">
        <v>6262</v>
      </c>
      <c r="B2980" s="115" t="s">
        <v>7328</v>
      </c>
      <c r="C2980" s="116" t="s">
        <v>16</v>
      </c>
      <c r="D2980" s="116">
        <v>0</v>
      </c>
      <c r="E2980" s="136">
        <f ca="1">OFFSET(INDEX(Composições!A:J,MATCH(Orçamentária!A2980,Composições!A:A,0),8),2,0)</f>
        <v>5.4339999999999993</v>
      </c>
      <c r="F2980" s="137">
        <f t="shared" ca="1" si="159"/>
        <v>0</v>
      </c>
      <c r="G2980" s="138" t="e">
        <f>IF(A2980&lt;&gt;"",IF(AND(#REF!="Padrão",$H$4=#REF!),BDI!$B$17,IF(AND(#REF!="Padrão",$H$4=#REF!),BDI!#REF!,IF(AND(#REF!="Diferenciado",$H$4=#REF!),BDI!$E$17,IF(AND(#REF!="Diferenciado",$H$4=#REF!),BDI!#REF!,IF(#REF!="ZERO",0))))),"")</f>
        <v>#REF!</v>
      </c>
      <c r="H2980" s="139" t="e">
        <f t="shared" ca="1" si="160"/>
        <v>#REF!</v>
      </c>
      <c r="I2980" s="137" t="e">
        <f t="shared" ca="1" si="161"/>
        <v>#REF!</v>
      </c>
      <c r="J2980" s="117"/>
    </row>
    <row r="2981" spans="1:10" hidden="1" x14ac:dyDescent="0.25">
      <c r="A2981" s="114" t="s">
        <v>6263</v>
      </c>
      <c r="B2981" s="115" t="s">
        <v>6264</v>
      </c>
      <c r="C2981" s="116" t="s">
        <v>16</v>
      </c>
      <c r="D2981" s="116">
        <v>0</v>
      </c>
      <c r="E2981" s="136">
        <f ca="1">OFFSET(INDEX(Composições!A:J,MATCH(Orçamentária!A2981,Composições!A:A,0),8),2,0)</f>
        <v>33.981500000000004</v>
      </c>
      <c r="F2981" s="137">
        <f t="shared" ca="1" si="159"/>
        <v>0</v>
      </c>
      <c r="G2981" s="138" t="e">
        <f>IF(A2981&lt;&gt;"",IF(AND(#REF!="Padrão",$H$4=#REF!),BDI!$B$17,IF(AND(#REF!="Padrão",$H$4=#REF!),BDI!#REF!,IF(AND(#REF!="Diferenciado",$H$4=#REF!),BDI!$E$17,IF(AND(#REF!="Diferenciado",$H$4=#REF!),BDI!#REF!,IF(#REF!="ZERO",0))))),"")</f>
        <v>#REF!</v>
      </c>
      <c r="H2981" s="139" t="e">
        <f t="shared" ca="1" si="160"/>
        <v>#REF!</v>
      </c>
      <c r="I2981" s="137" t="e">
        <f t="shared" ca="1" si="161"/>
        <v>#REF!</v>
      </c>
      <c r="J2981" s="117"/>
    </row>
    <row r="2982" spans="1:10" hidden="1" x14ac:dyDescent="0.25">
      <c r="A2982" s="114" t="s">
        <v>6265</v>
      </c>
      <c r="B2982" s="115" t="s">
        <v>6266</v>
      </c>
      <c r="C2982" s="116" t="s">
        <v>16</v>
      </c>
      <c r="D2982" s="116">
        <v>0</v>
      </c>
      <c r="E2982" s="136">
        <f ca="1">OFFSET(INDEX(Composições!A:J,MATCH(Orçamentária!A2982,Composições!A:A,0),8),2,0)</f>
        <v>11.798999999999999</v>
      </c>
      <c r="F2982" s="137">
        <f t="shared" ca="1" si="159"/>
        <v>0</v>
      </c>
      <c r="G2982" s="138" t="e">
        <f>IF(A2982&lt;&gt;"",IF(AND(#REF!="Padrão",$H$4=#REF!),BDI!$B$17,IF(AND(#REF!="Padrão",$H$4=#REF!),BDI!#REF!,IF(AND(#REF!="Diferenciado",$H$4=#REF!),BDI!$E$17,IF(AND(#REF!="Diferenciado",$H$4=#REF!),BDI!#REF!,IF(#REF!="ZERO",0))))),"")</f>
        <v>#REF!</v>
      </c>
      <c r="H2982" s="139" t="e">
        <f t="shared" ca="1" si="160"/>
        <v>#REF!</v>
      </c>
      <c r="I2982" s="137" t="e">
        <f t="shared" ca="1" si="161"/>
        <v>#REF!</v>
      </c>
      <c r="J2982" s="117"/>
    </row>
    <row r="2983" spans="1:10" hidden="1" x14ac:dyDescent="0.25">
      <c r="A2983" s="114" t="s">
        <v>6267</v>
      </c>
      <c r="B2983" s="115" t="s">
        <v>6268</v>
      </c>
      <c r="C2983" s="116" t="s">
        <v>16</v>
      </c>
      <c r="D2983" s="116">
        <v>0</v>
      </c>
      <c r="E2983" s="136" t="s">
        <v>416</v>
      </c>
      <c r="F2983" s="137" t="str">
        <f t="shared" si="159"/>
        <v/>
      </c>
      <c r="G2983" s="138" t="e">
        <f>IF(A2983&lt;&gt;"",IF(AND(#REF!="Padrão",$H$4=#REF!),BDI!$B$17,IF(AND(#REF!="Padrão",$H$4=#REF!),BDI!#REF!,IF(AND(#REF!="Diferenciado",$H$4=#REF!),BDI!$E$17,IF(AND(#REF!="Diferenciado",$H$4=#REF!),BDI!#REF!,IF(#REF!="ZERO",0))))),"")</f>
        <v>#REF!</v>
      </c>
      <c r="H2983" s="139" t="str">
        <f t="shared" si="160"/>
        <v/>
      </c>
      <c r="I2983" s="137" t="str">
        <f t="shared" si="161"/>
        <v/>
      </c>
      <c r="J2983" s="117"/>
    </row>
    <row r="2984" spans="1:10" hidden="1" x14ac:dyDescent="0.25">
      <c r="A2984" s="114" t="s">
        <v>6269</v>
      </c>
      <c r="B2984" s="115" t="s">
        <v>6270</v>
      </c>
      <c r="C2984" s="116" t="s">
        <v>16</v>
      </c>
      <c r="D2984" s="116">
        <v>0</v>
      </c>
      <c r="E2984" s="136">
        <f ca="1">OFFSET(INDEX(Composições!A:J,MATCH(Orçamentária!A2984,Composições!A:A,0),8),2,0)</f>
        <v>15.874499999999999</v>
      </c>
      <c r="F2984" s="137">
        <f t="shared" ca="1" si="159"/>
        <v>0</v>
      </c>
      <c r="G2984" s="138" t="e">
        <f>IF(A2984&lt;&gt;"",IF(AND(#REF!="Padrão",$H$4=#REF!),BDI!$B$17,IF(AND(#REF!="Padrão",$H$4=#REF!),BDI!#REF!,IF(AND(#REF!="Diferenciado",$H$4=#REF!),BDI!$E$17,IF(AND(#REF!="Diferenciado",$H$4=#REF!),BDI!#REF!,IF(#REF!="ZERO",0))))),"")</f>
        <v>#REF!</v>
      </c>
      <c r="H2984" s="139" t="e">
        <f t="shared" ca="1" si="160"/>
        <v>#REF!</v>
      </c>
      <c r="I2984" s="137" t="e">
        <f t="shared" ca="1" si="161"/>
        <v>#REF!</v>
      </c>
      <c r="J2984" s="117"/>
    </row>
    <row r="2985" spans="1:10" hidden="1" x14ac:dyDescent="0.25">
      <c r="A2985" s="114" t="s">
        <v>6271</v>
      </c>
      <c r="B2985" s="115" t="s">
        <v>7326</v>
      </c>
      <c r="C2985" s="116" t="s">
        <v>16</v>
      </c>
      <c r="D2985" s="116">
        <v>0</v>
      </c>
      <c r="E2985" s="136">
        <f ca="1">OFFSET(INDEX(Composições!A:J,MATCH(Orçamentária!A2985,Composições!A:A,0),8),2,0)</f>
        <v>18.534500000000001</v>
      </c>
      <c r="F2985" s="137">
        <f t="shared" ca="1" si="159"/>
        <v>0</v>
      </c>
      <c r="G2985" s="138" t="e">
        <f>IF(A2985&lt;&gt;"",IF(AND(#REF!="Padrão",$H$4=#REF!),BDI!$B$17,IF(AND(#REF!="Padrão",$H$4=#REF!),BDI!#REF!,IF(AND(#REF!="Diferenciado",$H$4=#REF!),BDI!$E$17,IF(AND(#REF!="Diferenciado",$H$4=#REF!),BDI!#REF!,IF(#REF!="ZERO",0))))),"")</f>
        <v>#REF!</v>
      </c>
      <c r="H2985" s="139" t="e">
        <f t="shared" ca="1" si="160"/>
        <v>#REF!</v>
      </c>
      <c r="I2985" s="137" t="e">
        <f t="shared" ca="1" si="161"/>
        <v>#REF!</v>
      </c>
      <c r="J2985" s="117"/>
    </row>
    <row r="2986" spans="1:10" hidden="1" x14ac:dyDescent="0.25">
      <c r="A2986" s="114" t="s">
        <v>6272</v>
      </c>
      <c r="B2986" s="115" t="s">
        <v>7327</v>
      </c>
      <c r="C2986" s="116" t="s">
        <v>16</v>
      </c>
      <c r="D2986" s="116">
        <v>0</v>
      </c>
      <c r="E2986" s="136" t="s">
        <v>416</v>
      </c>
      <c r="F2986" s="137" t="str">
        <f t="shared" si="159"/>
        <v/>
      </c>
      <c r="G2986" s="138" t="e">
        <f>IF(A2986&lt;&gt;"",IF(AND(#REF!="Padrão",$H$4=#REF!),BDI!$B$17,IF(AND(#REF!="Padrão",$H$4=#REF!),BDI!#REF!,IF(AND(#REF!="Diferenciado",$H$4=#REF!),BDI!$E$17,IF(AND(#REF!="Diferenciado",$H$4=#REF!),BDI!#REF!,IF(#REF!="ZERO",0))))),"")</f>
        <v>#REF!</v>
      </c>
      <c r="H2986" s="139" t="str">
        <f t="shared" si="160"/>
        <v/>
      </c>
      <c r="I2986" s="137" t="str">
        <f t="shared" si="161"/>
        <v/>
      </c>
      <c r="J2986" s="117"/>
    </row>
    <row r="2987" spans="1:10" hidden="1" x14ac:dyDescent="0.25">
      <c r="A2987" s="114" t="s">
        <v>6273</v>
      </c>
      <c r="B2987" s="115" t="s">
        <v>6274</v>
      </c>
      <c r="C2987" s="116" t="s">
        <v>16</v>
      </c>
      <c r="D2987" s="116">
        <v>0</v>
      </c>
      <c r="E2987" s="136" t="s">
        <v>416</v>
      </c>
      <c r="F2987" s="137" t="str">
        <f t="shared" si="159"/>
        <v/>
      </c>
      <c r="G2987" s="138" t="e">
        <f>IF(A2987&lt;&gt;"",IF(AND(#REF!="Padrão",$H$4=#REF!),BDI!$B$17,IF(AND(#REF!="Padrão",$H$4=#REF!),BDI!#REF!,IF(AND(#REF!="Diferenciado",$H$4=#REF!),BDI!$E$17,IF(AND(#REF!="Diferenciado",$H$4=#REF!),BDI!#REF!,IF(#REF!="ZERO",0))))),"")</f>
        <v>#REF!</v>
      </c>
      <c r="H2987" s="139" t="str">
        <f t="shared" si="160"/>
        <v/>
      </c>
      <c r="I2987" s="137" t="str">
        <f t="shared" si="161"/>
        <v/>
      </c>
      <c r="J2987" s="117"/>
    </row>
    <row r="2988" spans="1:10" hidden="1" x14ac:dyDescent="0.25">
      <c r="A2988" s="114" t="s">
        <v>6275</v>
      </c>
      <c r="B2988" s="115" t="s">
        <v>7324</v>
      </c>
      <c r="C2988" s="116" t="s">
        <v>16</v>
      </c>
      <c r="D2988" s="116">
        <v>0</v>
      </c>
      <c r="E2988" s="136" t="s">
        <v>416</v>
      </c>
      <c r="F2988" s="137" t="str">
        <f t="shared" si="159"/>
        <v/>
      </c>
      <c r="G2988" s="138" t="e">
        <f>IF(A2988&lt;&gt;"",IF(AND(#REF!="Padrão",$H$4=#REF!),BDI!$B$17,IF(AND(#REF!="Padrão",$H$4=#REF!),BDI!#REF!,IF(AND(#REF!="Diferenciado",$H$4=#REF!),BDI!$E$17,IF(AND(#REF!="Diferenciado",$H$4=#REF!),BDI!#REF!,IF(#REF!="ZERO",0))))),"")</f>
        <v>#REF!</v>
      </c>
      <c r="H2988" s="139" t="str">
        <f t="shared" si="160"/>
        <v/>
      </c>
      <c r="I2988" s="137" t="str">
        <f t="shared" si="161"/>
        <v/>
      </c>
      <c r="J2988" s="117"/>
    </row>
    <row r="2989" spans="1:10" hidden="1" x14ac:dyDescent="0.25">
      <c r="A2989" s="114" t="s">
        <v>6276</v>
      </c>
      <c r="B2989" s="115" t="s">
        <v>7325</v>
      </c>
      <c r="C2989" s="116" t="s">
        <v>16</v>
      </c>
      <c r="D2989" s="116">
        <v>0</v>
      </c>
      <c r="E2989" s="136" t="s">
        <v>416</v>
      </c>
      <c r="F2989" s="137" t="str">
        <f t="shared" si="159"/>
        <v/>
      </c>
      <c r="G2989" s="138" t="e">
        <f>IF(A2989&lt;&gt;"",IF(AND(#REF!="Padrão",$H$4=#REF!),BDI!$B$17,IF(AND(#REF!="Padrão",$H$4=#REF!),BDI!#REF!,IF(AND(#REF!="Diferenciado",$H$4=#REF!),BDI!$E$17,IF(AND(#REF!="Diferenciado",$H$4=#REF!),BDI!#REF!,IF(#REF!="ZERO",0))))),"")</f>
        <v>#REF!</v>
      </c>
      <c r="H2989" s="139" t="str">
        <f t="shared" si="160"/>
        <v/>
      </c>
      <c r="I2989" s="137" t="str">
        <f t="shared" si="161"/>
        <v/>
      </c>
      <c r="J2989" s="117"/>
    </row>
    <row r="2990" spans="1:10" hidden="1" x14ac:dyDescent="0.25">
      <c r="A2990" s="114" t="s">
        <v>6277</v>
      </c>
      <c r="B2990" s="115" t="s">
        <v>6278</v>
      </c>
      <c r="C2990" s="116" t="s">
        <v>16</v>
      </c>
      <c r="D2990" s="116">
        <v>0</v>
      </c>
      <c r="E2990" s="136">
        <f ca="1">OFFSET(INDEX(Composições!A:J,MATCH(Orçamentária!A2990,Composições!A:A,0),8),2,0)</f>
        <v>131.63200000000001</v>
      </c>
      <c r="F2990" s="137">
        <f t="shared" ca="1" si="159"/>
        <v>0</v>
      </c>
      <c r="G2990" s="138" t="e">
        <f>IF(A2990&lt;&gt;"",IF(AND(#REF!="Padrão",$H$4=#REF!),BDI!$B$17,IF(AND(#REF!="Padrão",$H$4=#REF!),BDI!#REF!,IF(AND(#REF!="Diferenciado",$H$4=#REF!),BDI!$E$17,IF(AND(#REF!="Diferenciado",$H$4=#REF!),BDI!#REF!,IF(#REF!="ZERO",0))))),"")</f>
        <v>#REF!</v>
      </c>
      <c r="H2990" s="139" t="e">
        <f t="shared" ca="1" si="160"/>
        <v>#REF!</v>
      </c>
      <c r="I2990" s="137" t="e">
        <f t="shared" ca="1" si="161"/>
        <v>#REF!</v>
      </c>
      <c r="J2990" s="117"/>
    </row>
    <row r="2991" spans="1:10" hidden="1" x14ac:dyDescent="0.25">
      <c r="A2991" s="114" t="s">
        <v>6279</v>
      </c>
      <c r="B2991" s="115" t="s">
        <v>6280</v>
      </c>
      <c r="C2991" s="116" t="s">
        <v>16</v>
      </c>
      <c r="D2991" s="116">
        <v>0</v>
      </c>
      <c r="E2991" s="136">
        <f ca="1">OFFSET(INDEX(Composições!A:J,MATCH(Orçamentária!A2991,Composições!A:A,0),8),2,0)</f>
        <v>0</v>
      </c>
      <c r="F2991" s="137">
        <f t="shared" ca="1" si="159"/>
        <v>0</v>
      </c>
      <c r="G2991" s="138" t="e">
        <f>IF(A2991&lt;&gt;"",IF(AND(#REF!="Padrão",$H$4=#REF!),BDI!$B$17,IF(AND(#REF!="Padrão",$H$4=#REF!),BDI!#REF!,IF(AND(#REF!="Diferenciado",$H$4=#REF!),BDI!$E$17,IF(AND(#REF!="Diferenciado",$H$4=#REF!),BDI!#REF!,IF(#REF!="ZERO",0))))),"")</f>
        <v>#REF!</v>
      </c>
      <c r="H2991" s="139" t="e">
        <f t="shared" ca="1" si="160"/>
        <v>#REF!</v>
      </c>
      <c r="I2991" s="137" t="e">
        <f t="shared" ca="1" si="161"/>
        <v>#REF!</v>
      </c>
      <c r="J2991" s="117"/>
    </row>
    <row r="2992" spans="1:10" hidden="1" x14ac:dyDescent="0.25">
      <c r="A2992" s="114" t="s">
        <v>6281</v>
      </c>
      <c r="B2992" s="115" t="s">
        <v>6282</v>
      </c>
      <c r="C2992" s="116" t="s">
        <v>16</v>
      </c>
      <c r="D2992" s="116">
        <v>0</v>
      </c>
      <c r="E2992" s="136">
        <f ca="1">OFFSET(INDEX(Composições!A:J,MATCH(Orçamentária!A2992,Composições!A:A,0),8),2,0)</f>
        <v>308.35099999999994</v>
      </c>
      <c r="F2992" s="137">
        <f t="shared" ca="1" si="159"/>
        <v>0</v>
      </c>
      <c r="G2992" s="138" t="e">
        <f>IF(A2992&lt;&gt;"",IF(AND(#REF!="Padrão",$H$4=#REF!),BDI!$B$17,IF(AND(#REF!="Padrão",$H$4=#REF!),BDI!#REF!,IF(AND(#REF!="Diferenciado",$H$4=#REF!),BDI!$E$17,IF(AND(#REF!="Diferenciado",$H$4=#REF!),BDI!#REF!,IF(#REF!="ZERO",0))))),"")</f>
        <v>#REF!</v>
      </c>
      <c r="H2992" s="139" t="e">
        <f t="shared" ca="1" si="160"/>
        <v>#REF!</v>
      </c>
      <c r="I2992" s="137" t="e">
        <f t="shared" ca="1" si="161"/>
        <v>#REF!</v>
      </c>
      <c r="J2992" s="117"/>
    </row>
    <row r="2993" spans="1:10" hidden="1" x14ac:dyDescent="0.25">
      <c r="A2993" s="114" t="s">
        <v>6283</v>
      </c>
      <c r="B2993" s="115" t="s">
        <v>6284</v>
      </c>
      <c r="C2993" s="116" t="s">
        <v>16</v>
      </c>
      <c r="D2993" s="116">
        <v>0</v>
      </c>
      <c r="E2993" s="136">
        <f ca="1">OFFSET(INDEX(Composições!A:J,MATCH(Orçamentária!A2993,Composições!A:A,0),8),2,0)</f>
        <v>34.855499999999999</v>
      </c>
      <c r="F2993" s="137">
        <f t="shared" ca="1" si="159"/>
        <v>0</v>
      </c>
      <c r="G2993" s="138" t="e">
        <f>IF(A2993&lt;&gt;"",IF(AND(#REF!="Padrão",$H$4=#REF!),BDI!$B$17,IF(AND(#REF!="Padrão",$H$4=#REF!),BDI!#REF!,IF(AND(#REF!="Diferenciado",$H$4=#REF!),BDI!$E$17,IF(AND(#REF!="Diferenciado",$H$4=#REF!),BDI!#REF!,IF(#REF!="ZERO",0))))),"")</f>
        <v>#REF!</v>
      </c>
      <c r="H2993" s="139" t="e">
        <f t="shared" ca="1" si="160"/>
        <v>#REF!</v>
      </c>
      <c r="I2993" s="137" t="e">
        <f t="shared" ca="1" si="161"/>
        <v>#REF!</v>
      </c>
      <c r="J2993" s="117"/>
    </row>
    <row r="2994" spans="1:10" hidden="1" x14ac:dyDescent="0.25">
      <c r="A2994" s="114" t="s">
        <v>6285</v>
      </c>
      <c r="B2994" s="115" t="s">
        <v>7323</v>
      </c>
      <c r="C2994" s="116" t="s">
        <v>16</v>
      </c>
      <c r="D2994" s="116">
        <v>0</v>
      </c>
      <c r="E2994" s="136">
        <f ca="1">OFFSET(INDEX(Composições!A:J,MATCH(Orçamentária!A2994,Composições!A:A,0),8),2,0)</f>
        <v>40.47</v>
      </c>
      <c r="F2994" s="137">
        <f t="shared" ca="1" si="159"/>
        <v>0</v>
      </c>
      <c r="G2994" s="138" t="e">
        <f>IF(A2994&lt;&gt;"",IF(AND(#REF!="Padrão",$H$4=#REF!),BDI!$B$17,IF(AND(#REF!="Padrão",$H$4=#REF!),BDI!#REF!,IF(AND(#REF!="Diferenciado",$H$4=#REF!),BDI!$E$17,IF(AND(#REF!="Diferenciado",$H$4=#REF!),BDI!#REF!,IF(#REF!="ZERO",0))))),"")</f>
        <v>#REF!</v>
      </c>
      <c r="H2994" s="139" t="e">
        <f t="shared" ca="1" si="160"/>
        <v>#REF!</v>
      </c>
      <c r="I2994" s="137" t="e">
        <f t="shared" ca="1" si="161"/>
        <v>#REF!</v>
      </c>
      <c r="J2994" s="117"/>
    </row>
    <row r="2995" spans="1:10" hidden="1" x14ac:dyDescent="0.25">
      <c r="A2995" s="114" t="s">
        <v>6286</v>
      </c>
      <c r="B2995" s="115" t="s">
        <v>7322</v>
      </c>
      <c r="C2995" s="116" t="s">
        <v>16</v>
      </c>
      <c r="D2995" s="116">
        <v>0</v>
      </c>
      <c r="E2995" s="136">
        <f ca="1">OFFSET(INDEX(Composições!A:J,MATCH(Orçamentária!A2995,Composições!A:A,0),8),2,0)</f>
        <v>45.276999999999994</v>
      </c>
      <c r="F2995" s="137">
        <f t="shared" ca="1" si="159"/>
        <v>0</v>
      </c>
      <c r="G2995" s="138" t="e">
        <f>IF(A2995&lt;&gt;"",IF(AND(#REF!="Padrão",$H$4=#REF!),BDI!$B$17,IF(AND(#REF!="Padrão",$H$4=#REF!),BDI!#REF!,IF(AND(#REF!="Diferenciado",$H$4=#REF!),BDI!$E$17,IF(AND(#REF!="Diferenciado",$H$4=#REF!),BDI!#REF!,IF(#REF!="ZERO",0))))),"")</f>
        <v>#REF!</v>
      </c>
      <c r="H2995" s="139" t="e">
        <f t="shared" ca="1" si="160"/>
        <v>#REF!</v>
      </c>
      <c r="I2995" s="137" t="e">
        <f t="shared" ca="1" si="161"/>
        <v>#REF!</v>
      </c>
      <c r="J2995" s="117"/>
    </row>
    <row r="2996" spans="1:10" hidden="1" x14ac:dyDescent="0.25">
      <c r="A2996" s="114" t="s">
        <v>6287</v>
      </c>
      <c r="B2996" s="115" t="s">
        <v>7321</v>
      </c>
      <c r="C2996" s="116" t="s">
        <v>16</v>
      </c>
      <c r="D2996" s="116">
        <v>0</v>
      </c>
      <c r="E2996" s="136">
        <f ca="1">OFFSET(INDEX(Composições!A:J,MATCH(Orçamentária!A2996,Composições!A:A,0),8),2,0)</f>
        <v>12.169499999999999</v>
      </c>
      <c r="F2996" s="137">
        <f t="shared" ca="1" si="159"/>
        <v>0</v>
      </c>
      <c r="G2996" s="138" t="e">
        <f>IF(A2996&lt;&gt;"",IF(AND(#REF!="Padrão",$H$4=#REF!),BDI!$B$17,IF(AND(#REF!="Padrão",$H$4=#REF!),BDI!#REF!,IF(AND(#REF!="Diferenciado",$H$4=#REF!),BDI!$E$17,IF(AND(#REF!="Diferenciado",$H$4=#REF!),BDI!#REF!,IF(#REF!="ZERO",0))))),"")</f>
        <v>#REF!</v>
      </c>
      <c r="H2996" s="139" t="e">
        <f t="shared" ca="1" si="160"/>
        <v>#REF!</v>
      </c>
      <c r="I2996" s="137" t="e">
        <f t="shared" ca="1" si="161"/>
        <v>#REF!</v>
      </c>
      <c r="J2996" s="117"/>
    </row>
    <row r="2997" spans="1:10" hidden="1" x14ac:dyDescent="0.25">
      <c r="A2997" s="114" t="s">
        <v>6288</v>
      </c>
      <c r="B2997" s="115" t="s">
        <v>6289</v>
      </c>
      <c r="C2997" s="116" t="s">
        <v>16</v>
      </c>
      <c r="D2997" s="116">
        <v>0</v>
      </c>
      <c r="E2997" s="136" t="s">
        <v>416</v>
      </c>
      <c r="F2997" s="137" t="str">
        <f t="shared" si="159"/>
        <v/>
      </c>
      <c r="G2997" s="138" t="e">
        <f>IF(A2997&lt;&gt;"",IF(AND(#REF!="Padrão",$H$4=#REF!),BDI!$B$17,IF(AND(#REF!="Padrão",$H$4=#REF!),BDI!#REF!,IF(AND(#REF!="Diferenciado",$H$4=#REF!),BDI!$E$17,IF(AND(#REF!="Diferenciado",$H$4=#REF!),BDI!#REF!,IF(#REF!="ZERO",0))))),"")</f>
        <v>#REF!</v>
      </c>
      <c r="H2997" s="139" t="str">
        <f t="shared" si="160"/>
        <v/>
      </c>
      <c r="I2997" s="137" t="str">
        <f t="shared" si="161"/>
        <v/>
      </c>
      <c r="J2997" s="117"/>
    </row>
    <row r="2998" spans="1:10" hidden="1" x14ac:dyDescent="0.25">
      <c r="A2998" s="114" t="s">
        <v>6290</v>
      </c>
      <c r="B2998" s="115" t="s">
        <v>6291</v>
      </c>
      <c r="C2998" s="116" t="s">
        <v>16</v>
      </c>
      <c r="D2998" s="116">
        <v>0</v>
      </c>
      <c r="E2998" s="136" t="s">
        <v>416</v>
      </c>
      <c r="F2998" s="137" t="str">
        <f t="shared" si="159"/>
        <v/>
      </c>
      <c r="G2998" s="138" t="e">
        <f>IF(A2998&lt;&gt;"",IF(AND(#REF!="Padrão",$H$4=#REF!),BDI!$B$17,IF(AND(#REF!="Padrão",$H$4=#REF!),BDI!#REF!,IF(AND(#REF!="Diferenciado",$H$4=#REF!),BDI!$E$17,IF(AND(#REF!="Diferenciado",$H$4=#REF!),BDI!#REF!,IF(#REF!="ZERO",0))))),"")</f>
        <v>#REF!</v>
      </c>
      <c r="H2998" s="139" t="str">
        <f t="shared" si="160"/>
        <v/>
      </c>
      <c r="I2998" s="137" t="str">
        <f t="shared" si="161"/>
        <v/>
      </c>
      <c r="J2998" s="117"/>
    </row>
    <row r="2999" spans="1:10" hidden="1" x14ac:dyDescent="0.25">
      <c r="A2999" s="114" t="s">
        <v>6292</v>
      </c>
      <c r="B2999" s="115" t="s">
        <v>6293</v>
      </c>
      <c r="C2999" s="116" t="s">
        <v>16</v>
      </c>
      <c r="D2999" s="116">
        <v>0</v>
      </c>
      <c r="E2999" s="136" t="s">
        <v>416</v>
      </c>
      <c r="F2999" s="137" t="str">
        <f t="shared" si="159"/>
        <v/>
      </c>
      <c r="G2999" s="138" t="e">
        <f>IF(A2999&lt;&gt;"",IF(AND(#REF!="Padrão",$H$4=#REF!),BDI!$B$17,IF(AND(#REF!="Padrão",$H$4=#REF!),BDI!#REF!,IF(AND(#REF!="Diferenciado",$H$4=#REF!),BDI!$E$17,IF(AND(#REF!="Diferenciado",$H$4=#REF!),BDI!#REF!,IF(#REF!="ZERO",0))))),"")</f>
        <v>#REF!</v>
      </c>
      <c r="H2999" s="139" t="str">
        <f t="shared" si="160"/>
        <v/>
      </c>
      <c r="I2999" s="137" t="str">
        <f t="shared" si="161"/>
        <v/>
      </c>
      <c r="J2999" s="117"/>
    </row>
    <row r="3000" spans="1:10" hidden="1" x14ac:dyDescent="0.25">
      <c r="A3000" s="114" t="s">
        <v>6294</v>
      </c>
      <c r="B3000" s="115" t="s">
        <v>6295</v>
      </c>
      <c r="C3000" s="116" t="s">
        <v>16</v>
      </c>
      <c r="D3000" s="116">
        <v>0</v>
      </c>
      <c r="E3000" s="136" t="s">
        <v>416</v>
      </c>
      <c r="F3000" s="137" t="str">
        <f t="shared" si="159"/>
        <v/>
      </c>
      <c r="G3000" s="138" t="e">
        <f>IF(A3000&lt;&gt;"",IF(AND(#REF!="Padrão",$H$4=#REF!),BDI!$B$17,IF(AND(#REF!="Padrão",$H$4=#REF!),BDI!#REF!,IF(AND(#REF!="Diferenciado",$H$4=#REF!),BDI!$E$17,IF(AND(#REF!="Diferenciado",$H$4=#REF!),BDI!#REF!,IF(#REF!="ZERO",0))))),"")</f>
        <v>#REF!</v>
      </c>
      <c r="H3000" s="139" t="str">
        <f t="shared" si="160"/>
        <v/>
      </c>
      <c r="I3000" s="137" t="str">
        <f t="shared" si="161"/>
        <v/>
      </c>
      <c r="J3000" s="117"/>
    </row>
    <row r="3001" spans="1:10" hidden="1" x14ac:dyDescent="0.25">
      <c r="A3001" s="114" t="s">
        <v>6296</v>
      </c>
      <c r="B3001" s="115" t="s">
        <v>7320</v>
      </c>
      <c r="C3001" s="116" t="s">
        <v>16</v>
      </c>
      <c r="D3001" s="116">
        <v>0</v>
      </c>
      <c r="E3001" s="136">
        <f ca="1">OFFSET(INDEX(Composições!A:J,MATCH(Orçamentária!A3001,Composições!A:A,0),8),2,0)</f>
        <v>5.89</v>
      </c>
      <c r="F3001" s="137">
        <f t="shared" ca="1" si="159"/>
        <v>0</v>
      </c>
      <c r="G3001" s="138" t="e">
        <f>IF(A3001&lt;&gt;"",IF(AND(#REF!="Padrão",$H$4=#REF!),BDI!$B$17,IF(AND(#REF!="Padrão",$H$4=#REF!),BDI!#REF!,IF(AND(#REF!="Diferenciado",$H$4=#REF!),BDI!$E$17,IF(AND(#REF!="Diferenciado",$H$4=#REF!),BDI!#REF!,IF(#REF!="ZERO",0))))),"")</f>
        <v>#REF!</v>
      </c>
      <c r="H3001" s="139" t="e">
        <f t="shared" ca="1" si="160"/>
        <v>#REF!</v>
      </c>
      <c r="I3001" s="137" t="e">
        <f t="shared" ca="1" si="161"/>
        <v>#REF!</v>
      </c>
      <c r="J3001" s="117"/>
    </row>
    <row r="3002" spans="1:10" hidden="1" x14ac:dyDescent="0.25">
      <c r="A3002" s="114" t="s">
        <v>6297</v>
      </c>
      <c r="B3002" s="115" t="s">
        <v>7319</v>
      </c>
      <c r="C3002" s="116" t="s">
        <v>16</v>
      </c>
      <c r="D3002" s="116">
        <v>0</v>
      </c>
      <c r="E3002" s="136">
        <f ca="1">OFFSET(INDEX(Composições!A:J,MATCH(Orçamentária!A3002,Composições!A:A,0),8),2,0)</f>
        <v>26.875499999999999</v>
      </c>
      <c r="F3002" s="137">
        <f t="shared" ca="1" si="159"/>
        <v>0</v>
      </c>
      <c r="G3002" s="138" t="e">
        <f>IF(A3002&lt;&gt;"",IF(AND(#REF!="Padrão",$H$4=#REF!),BDI!$B$17,IF(AND(#REF!="Padrão",$H$4=#REF!),BDI!#REF!,IF(AND(#REF!="Diferenciado",$H$4=#REF!),BDI!$E$17,IF(AND(#REF!="Diferenciado",$H$4=#REF!),BDI!#REF!,IF(#REF!="ZERO",0))))),"")</f>
        <v>#REF!</v>
      </c>
      <c r="H3002" s="139" t="e">
        <f t="shared" ca="1" si="160"/>
        <v>#REF!</v>
      </c>
      <c r="I3002" s="137" t="e">
        <f t="shared" ca="1" si="161"/>
        <v>#REF!</v>
      </c>
      <c r="J3002" s="117"/>
    </row>
    <row r="3003" spans="1:10" hidden="1" x14ac:dyDescent="0.25">
      <c r="A3003" s="114" t="s">
        <v>6298</v>
      </c>
      <c r="B3003" s="115" t="s">
        <v>7318</v>
      </c>
      <c r="C3003" s="116" t="s">
        <v>16</v>
      </c>
      <c r="D3003" s="116">
        <v>0</v>
      </c>
      <c r="E3003" s="136">
        <f ca="1">OFFSET(INDEX(Composições!A:J,MATCH(Orçamentária!A3003,Composições!A:A,0),8),2,0)</f>
        <v>4.085</v>
      </c>
      <c r="F3003" s="137">
        <f t="shared" ca="1" si="159"/>
        <v>0</v>
      </c>
      <c r="G3003" s="138" t="e">
        <f>IF(A3003&lt;&gt;"",IF(AND(#REF!="Padrão",$H$4=#REF!),BDI!$B$17,IF(AND(#REF!="Padrão",$H$4=#REF!),BDI!#REF!,IF(AND(#REF!="Diferenciado",$H$4=#REF!),BDI!$E$17,IF(AND(#REF!="Diferenciado",$H$4=#REF!),BDI!#REF!,IF(#REF!="ZERO",0))))),"")</f>
        <v>#REF!</v>
      </c>
      <c r="H3003" s="139" t="e">
        <f t="shared" ca="1" si="160"/>
        <v>#REF!</v>
      </c>
      <c r="I3003" s="137" t="e">
        <f t="shared" ca="1" si="161"/>
        <v>#REF!</v>
      </c>
      <c r="J3003" s="117"/>
    </row>
    <row r="3004" spans="1:10" hidden="1" x14ac:dyDescent="0.25">
      <c r="A3004" s="114" t="s">
        <v>6299</v>
      </c>
      <c r="B3004" s="115" t="s">
        <v>6300</v>
      </c>
      <c r="C3004" s="116" t="s">
        <v>16</v>
      </c>
      <c r="D3004" s="116">
        <v>0</v>
      </c>
      <c r="E3004" s="136">
        <f ca="1">OFFSET(INDEX(Composições!A:J,MATCH(Orçamentária!A3004,Composições!A:A,0),8),2,0)</f>
        <v>3.7239999999999998</v>
      </c>
      <c r="F3004" s="137">
        <f t="shared" ca="1" si="159"/>
        <v>0</v>
      </c>
      <c r="G3004" s="138" t="e">
        <f>IF(A3004&lt;&gt;"",IF(AND(#REF!="Padrão",$H$4=#REF!),BDI!$B$17,IF(AND(#REF!="Padrão",$H$4=#REF!),BDI!#REF!,IF(AND(#REF!="Diferenciado",$H$4=#REF!),BDI!$E$17,IF(AND(#REF!="Diferenciado",$H$4=#REF!),BDI!#REF!,IF(#REF!="ZERO",0))))),"")</f>
        <v>#REF!</v>
      </c>
      <c r="H3004" s="139" t="e">
        <f t="shared" ca="1" si="160"/>
        <v>#REF!</v>
      </c>
      <c r="I3004" s="137" t="e">
        <f t="shared" ca="1" si="161"/>
        <v>#REF!</v>
      </c>
      <c r="J3004" s="117"/>
    </row>
    <row r="3005" spans="1:10" hidden="1" x14ac:dyDescent="0.25">
      <c r="A3005" s="114" t="s">
        <v>6301</v>
      </c>
      <c r="B3005" s="115" t="s">
        <v>6302</v>
      </c>
      <c r="C3005" s="116" t="s">
        <v>16</v>
      </c>
      <c r="D3005" s="116">
        <v>0</v>
      </c>
      <c r="E3005" s="136" t="s">
        <v>416</v>
      </c>
      <c r="F3005" s="137" t="str">
        <f t="shared" si="159"/>
        <v/>
      </c>
      <c r="G3005" s="138" t="e">
        <f>IF(A3005&lt;&gt;"",IF(AND(#REF!="Padrão",$H$4=#REF!),BDI!$B$17,IF(AND(#REF!="Padrão",$H$4=#REF!),BDI!#REF!,IF(AND(#REF!="Diferenciado",$H$4=#REF!),BDI!$E$17,IF(AND(#REF!="Diferenciado",$H$4=#REF!),BDI!#REF!,IF(#REF!="ZERO",0))))),"")</f>
        <v>#REF!</v>
      </c>
      <c r="H3005" s="139" t="str">
        <f t="shared" si="160"/>
        <v/>
      </c>
      <c r="I3005" s="137" t="str">
        <f t="shared" si="161"/>
        <v/>
      </c>
      <c r="J3005" s="117"/>
    </row>
    <row r="3006" spans="1:10" hidden="1" x14ac:dyDescent="0.25">
      <c r="A3006" s="114" t="s">
        <v>6303</v>
      </c>
      <c r="B3006" s="115" t="s">
        <v>6304</v>
      </c>
      <c r="C3006" s="116" t="s">
        <v>16</v>
      </c>
      <c r="D3006" s="116">
        <v>0</v>
      </c>
      <c r="E3006" s="136" t="s">
        <v>416</v>
      </c>
      <c r="F3006" s="137" t="str">
        <f t="shared" si="159"/>
        <v/>
      </c>
      <c r="G3006" s="138" t="e">
        <f>IF(A3006&lt;&gt;"",IF(AND(#REF!="Padrão",$H$4=#REF!),BDI!$B$17,IF(AND(#REF!="Padrão",$H$4=#REF!),BDI!#REF!,IF(AND(#REF!="Diferenciado",$H$4=#REF!),BDI!$E$17,IF(AND(#REF!="Diferenciado",$H$4=#REF!),BDI!#REF!,IF(#REF!="ZERO",0))))),"")</f>
        <v>#REF!</v>
      </c>
      <c r="H3006" s="139" t="str">
        <f t="shared" si="160"/>
        <v/>
      </c>
      <c r="I3006" s="137" t="str">
        <f t="shared" si="161"/>
        <v/>
      </c>
      <c r="J3006" s="117"/>
    </row>
    <row r="3007" spans="1:10" hidden="1" x14ac:dyDescent="0.25">
      <c r="A3007" s="114" t="s">
        <v>6305</v>
      </c>
      <c r="B3007" s="115" t="s">
        <v>6306</v>
      </c>
      <c r="C3007" s="116" t="s">
        <v>16</v>
      </c>
      <c r="D3007" s="116">
        <v>0</v>
      </c>
      <c r="E3007" s="136" t="s">
        <v>416</v>
      </c>
      <c r="F3007" s="137" t="str">
        <f t="shared" si="159"/>
        <v/>
      </c>
      <c r="G3007" s="138" t="e">
        <f>IF(A3007&lt;&gt;"",IF(AND(#REF!="Padrão",$H$4=#REF!),BDI!$B$17,IF(AND(#REF!="Padrão",$H$4=#REF!),BDI!#REF!,IF(AND(#REF!="Diferenciado",$H$4=#REF!),BDI!$E$17,IF(AND(#REF!="Diferenciado",$H$4=#REF!),BDI!#REF!,IF(#REF!="ZERO",0))))),"")</f>
        <v>#REF!</v>
      </c>
      <c r="H3007" s="139" t="str">
        <f t="shared" si="160"/>
        <v/>
      </c>
      <c r="I3007" s="137" t="str">
        <f t="shared" si="161"/>
        <v/>
      </c>
      <c r="J3007" s="117"/>
    </row>
    <row r="3008" spans="1:10" hidden="1" x14ac:dyDescent="0.25">
      <c r="A3008" s="114" t="s">
        <v>6307</v>
      </c>
      <c r="B3008" s="115" t="s">
        <v>6308</v>
      </c>
      <c r="C3008" s="116" t="s">
        <v>16</v>
      </c>
      <c r="D3008" s="116">
        <v>0</v>
      </c>
      <c r="E3008" s="136" t="s">
        <v>416</v>
      </c>
      <c r="F3008" s="137" t="str">
        <f t="shared" si="159"/>
        <v/>
      </c>
      <c r="G3008" s="138" t="e">
        <f>IF(A3008&lt;&gt;"",IF(AND(#REF!="Padrão",$H$4=#REF!),BDI!$B$17,IF(AND(#REF!="Padrão",$H$4=#REF!),BDI!#REF!,IF(AND(#REF!="Diferenciado",$H$4=#REF!),BDI!$E$17,IF(AND(#REF!="Diferenciado",$H$4=#REF!),BDI!#REF!,IF(#REF!="ZERO",0))))),"")</f>
        <v>#REF!</v>
      </c>
      <c r="H3008" s="139" t="str">
        <f t="shared" si="160"/>
        <v/>
      </c>
      <c r="I3008" s="137" t="str">
        <f t="shared" si="161"/>
        <v/>
      </c>
      <c r="J3008" s="117"/>
    </row>
    <row r="3009" spans="1:10" hidden="1" x14ac:dyDescent="0.25">
      <c r="A3009" s="114" t="s">
        <v>6309</v>
      </c>
      <c r="B3009" s="115" t="s">
        <v>7317</v>
      </c>
      <c r="C3009" s="116" t="s">
        <v>16</v>
      </c>
      <c r="D3009" s="116">
        <v>0</v>
      </c>
      <c r="E3009" s="136" t="s">
        <v>416</v>
      </c>
      <c r="F3009" s="137" t="str">
        <f t="shared" si="159"/>
        <v/>
      </c>
      <c r="G3009" s="138" t="e">
        <f>IF(A3009&lt;&gt;"",IF(AND(#REF!="Padrão",$H$4=#REF!),BDI!$B$17,IF(AND(#REF!="Padrão",$H$4=#REF!),BDI!#REF!,IF(AND(#REF!="Diferenciado",$H$4=#REF!),BDI!$E$17,IF(AND(#REF!="Diferenciado",$H$4=#REF!),BDI!#REF!,IF(#REF!="ZERO",0))))),"")</f>
        <v>#REF!</v>
      </c>
      <c r="H3009" s="139" t="str">
        <f t="shared" si="160"/>
        <v/>
      </c>
      <c r="I3009" s="137" t="str">
        <f t="shared" si="161"/>
        <v/>
      </c>
      <c r="J3009" s="117"/>
    </row>
    <row r="3010" spans="1:10" hidden="1" x14ac:dyDescent="0.25">
      <c r="A3010" s="114" t="s">
        <v>6310</v>
      </c>
      <c r="B3010" s="115" t="s">
        <v>7316</v>
      </c>
      <c r="C3010" s="116" t="s">
        <v>16</v>
      </c>
      <c r="D3010" s="116">
        <v>0</v>
      </c>
      <c r="E3010" s="136" t="s">
        <v>416</v>
      </c>
      <c r="F3010" s="137" t="str">
        <f t="shared" si="159"/>
        <v/>
      </c>
      <c r="G3010" s="138" t="e">
        <f>IF(A3010&lt;&gt;"",IF(AND(#REF!="Padrão",$H$4=#REF!),BDI!$B$17,IF(AND(#REF!="Padrão",$H$4=#REF!),BDI!#REF!,IF(AND(#REF!="Diferenciado",$H$4=#REF!),BDI!$E$17,IF(AND(#REF!="Diferenciado",$H$4=#REF!),BDI!#REF!,IF(#REF!="ZERO",0))))),"")</f>
        <v>#REF!</v>
      </c>
      <c r="H3010" s="139" t="str">
        <f t="shared" si="160"/>
        <v/>
      </c>
      <c r="I3010" s="137" t="str">
        <f t="shared" si="161"/>
        <v/>
      </c>
      <c r="J3010" s="117"/>
    </row>
    <row r="3011" spans="1:10" hidden="1" x14ac:dyDescent="0.25">
      <c r="A3011" s="114" t="s">
        <v>6311</v>
      </c>
      <c r="B3011" s="115" t="s">
        <v>7315</v>
      </c>
      <c r="C3011" s="116" t="s">
        <v>16</v>
      </c>
      <c r="D3011" s="116">
        <v>0</v>
      </c>
      <c r="E3011" s="136">
        <f ca="1">OFFSET(INDEX(Composições!A:J,MATCH(Orçamentária!A3011,Composições!A:A,0),8),2,0)</f>
        <v>2.9830000000000001</v>
      </c>
      <c r="F3011" s="137">
        <f t="shared" ca="1" si="159"/>
        <v>0</v>
      </c>
      <c r="G3011" s="138" t="e">
        <f>IF(A3011&lt;&gt;"",IF(AND(#REF!="Padrão",$H$4=#REF!),BDI!$B$17,IF(AND(#REF!="Padrão",$H$4=#REF!),BDI!#REF!,IF(AND(#REF!="Diferenciado",$H$4=#REF!),BDI!$E$17,IF(AND(#REF!="Diferenciado",$H$4=#REF!),BDI!#REF!,IF(#REF!="ZERO",0))))),"")</f>
        <v>#REF!</v>
      </c>
      <c r="H3011" s="139" t="e">
        <f t="shared" ca="1" si="160"/>
        <v>#REF!</v>
      </c>
      <c r="I3011" s="137" t="e">
        <f t="shared" ca="1" si="161"/>
        <v>#REF!</v>
      </c>
      <c r="J3011" s="117"/>
    </row>
    <row r="3012" spans="1:10" hidden="1" x14ac:dyDescent="0.25">
      <c r="A3012" s="114" t="s">
        <v>6312</v>
      </c>
      <c r="B3012" s="115" t="s">
        <v>7314</v>
      </c>
      <c r="C3012" s="116" t="s">
        <v>16</v>
      </c>
      <c r="D3012" s="116">
        <v>0</v>
      </c>
      <c r="E3012" s="136">
        <f ca="1">OFFSET(INDEX(Composições!A:J,MATCH(Orçamentária!A3012,Composições!A:A,0),8),2,0)</f>
        <v>6.3459999999999992</v>
      </c>
      <c r="F3012" s="137">
        <f t="shared" ca="1" si="159"/>
        <v>0</v>
      </c>
      <c r="G3012" s="138" t="e">
        <f>IF(A3012&lt;&gt;"",IF(AND(#REF!="Padrão",$H$4=#REF!),BDI!$B$17,IF(AND(#REF!="Padrão",$H$4=#REF!),BDI!#REF!,IF(AND(#REF!="Diferenciado",$H$4=#REF!),BDI!$E$17,IF(AND(#REF!="Diferenciado",$H$4=#REF!),BDI!#REF!,IF(#REF!="ZERO",0))))),"")</f>
        <v>#REF!</v>
      </c>
      <c r="H3012" s="139" t="e">
        <f t="shared" ca="1" si="160"/>
        <v>#REF!</v>
      </c>
      <c r="I3012" s="137" t="e">
        <f t="shared" ca="1" si="161"/>
        <v>#REF!</v>
      </c>
      <c r="J3012" s="117"/>
    </row>
    <row r="3013" spans="1:10" hidden="1" x14ac:dyDescent="0.25">
      <c r="A3013" s="114" t="s">
        <v>6313</v>
      </c>
      <c r="B3013" s="115" t="s">
        <v>7313</v>
      </c>
      <c r="C3013" s="116" t="s">
        <v>16</v>
      </c>
      <c r="D3013" s="116">
        <v>0</v>
      </c>
      <c r="E3013" s="136">
        <f ca="1">OFFSET(INDEX(Composições!A:J,MATCH(Orçamentária!A3013,Composições!A:A,0),8),2,0)</f>
        <v>28.604499999999998</v>
      </c>
      <c r="F3013" s="137">
        <f t="shared" ca="1" si="159"/>
        <v>0</v>
      </c>
      <c r="G3013" s="138" t="e">
        <f>IF(A3013&lt;&gt;"",IF(AND(#REF!="Padrão",$H$4=#REF!),BDI!$B$17,IF(AND(#REF!="Padrão",$H$4=#REF!),BDI!#REF!,IF(AND(#REF!="Diferenciado",$H$4=#REF!),BDI!$E$17,IF(AND(#REF!="Diferenciado",$H$4=#REF!),BDI!#REF!,IF(#REF!="ZERO",0))))),"")</f>
        <v>#REF!</v>
      </c>
      <c r="H3013" s="139" t="e">
        <f t="shared" ca="1" si="160"/>
        <v>#REF!</v>
      </c>
      <c r="I3013" s="137" t="e">
        <f t="shared" ca="1" si="161"/>
        <v>#REF!</v>
      </c>
      <c r="J3013" s="117"/>
    </row>
    <row r="3014" spans="1:10" hidden="1" x14ac:dyDescent="0.25">
      <c r="A3014" s="114" t="s">
        <v>6314</v>
      </c>
      <c r="B3014" s="115" t="s">
        <v>7312</v>
      </c>
      <c r="C3014" s="116" t="s">
        <v>16</v>
      </c>
      <c r="D3014" s="116">
        <v>0</v>
      </c>
      <c r="E3014" s="136">
        <f ca="1">OFFSET(INDEX(Composições!A:J,MATCH(Orçamentária!A3014,Composições!A:A,0),8),2,0)</f>
        <v>30.59</v>
      </c>
      <c r="F3014" s="137">
        <f t="shared" ca="1" si="159"/>
        <v>0</v>
      </c>
      <c r="G3014" s="138" t="e">
        <f>IF(A3014&lt;&gt;"",IF(AND(#REF!="Padrão",$H$4=#REF!),BDI!$B$17,IF(AND(#REF!="Padrão",$H$4=#REF!),BDI!#REF!,IF(AND(#REF!="Diferenciado",$H$4=#REF!),BDI!$E$17,IF(AND(#REF!="Diferenciado",$H$4=#REF!),BDI!#REF!,IF(#REF!="ZERO",0))))),"")</f>
        <v>#REF!</v>
      </c>
      <c r="H3014" s="139" t="e">
        <f t="shared" ca="1" si="160"/>
        <v>#REF!</v>
      </c>
      <c r="I3014" s="137" t="e">
        <f t="shared" ca="1" si="161"/>
        <v>#REF!</v>
      </c>
      <c r="J3014" s="117"/>
    </row>
    <row r="3015" spans="1:10" hidden="1" x14ac:dyDescent="0.25">
      <c r="A3015" s="114" t="s">
        <v>6315</v>
      </c>
      <c r="B3015" s="115" t="s">
        <v>7311</v>
      </c>
      <c r="C3015" s="116" t="s">
        <v>16</v>
      </c>
      <c r="D3015" s="116">
        <v>0</v>
      </c>
      <c r="E3015" s="136" t="s">
        <v>416</v>
      </c>
      <c r="F3015" s="137" t="str">
        <f t="shared" si="159"/>
        <v/>
      </c>
      <c r="G3015" s="138" t="e">
        <f>IF(A3015&lt;&gt;"",IF(AND(#REF!="Padrão",$H$4=#REF!),BDI!$B$17,IF(AND(#REF!="Padrão",$H$4=#REF!),BDI!#REF!,IF(AND(#REF!="Diferenciado",$H$4=#REF!),BDI!$E$17,IF(AND(#REF!="Diferenciado",$H$4=#REF!),BDI!#REF!,IF(#REF!="ZERO",0))))),"")</f>
        <v>#REF!</v>
      </c>
      <c r="H3015" s="139" t="str">
        <f t="shared" si="160"/>
        <v/>
      </c>
      <c r="I3015" s="137" t="str">
        <f t="shared" si="161"/>
        <v/>
      </c>
      <c r="J3015" s="117"/>
    </row>
    <row r="3016" spans="1:10" hidden="1" x14ac:dyDescent="0.25">
      <c r="A3016" s="114" t="s">
        <v>6316</v>
      </c>
      <c r="B3016" s="115" t="s">
        <v>7310</v>
      </c>
      <c r="C3016" s="116" t="s">
        <v>16</v>
      </c>
      <c r="D3016" s="116">
        <v>0</v>
      </c>
      <c r="E3016" s="136" t="s">
        <v>416</v>
      </c>
      <c r="F3016" s="137" t="str">
        <f t="shared" si="159"/>
        <v/>
      </c>
      <c r="G3016" s="138" t="e">
        <f>IF(A3016&lt;&gt;"",IF(AND(#REF!="Padrão",$H$4=#REF!),BDI!$B$17,IF(AND(#REF!="Padrão",$H$4=#REF!),BDI!#REF!,IF(AND(#REF!="Diferenciado",$H$4=#REF!),BDI!$E$17,IF(AND(#REF!="Diferenciado",$H$4=#REF!),BDI!#REF!,IF(#REF!="ZERO",0))))),"")</f>
        <v>#REF!</v>
      </c>
      <c r="H3016" s="139" t="str">
        <f t="shared" si="160"/>
        <v/>
      </c>
      <c r="I3016" s="137" t="str">
        <f t="shared" si="161"/>
        <v/>
      </c>
      <c r="J3016" s="117"/>
    </row>
    <row r="3017" spans="1:10" hidden="1" x14ac:dyDescent="0.25">
      <c r="A3017" s="114" t="s">
        <v>6317</v>
      </c>
      <c r="B3017" s="115" t="s">
        <v>6318</v>
      </c>
      <c r="C3017" s="116" t="s">
        <v>16</v>
      </c>
      <c r="D3017" s="116">
        <v>0</v>
      </c>
      <c r="E3017" s="136" t="s">
        <v>416</v>
      </c>
      <c r="F3017" s="137" t="str">
        <f t="shared" si="159"/>
        <v/>
      </c>
      <c r="G3017" s="138" t="e">
        <f>IF(A3017&lt;&gt;"",IF(AND(#REF!="Padrão",$H$4=#REF!),BDI!$B$17,IF(AND(#REF!="Padrão",$H$4=#REF!),BDI!#REF!,IF(AND(#REF!="Diferenciado",$H$4=#REF!),BDI!$E$17,IF(AND(#REF!="Diferenciado",$H$4=#REF!),BDI!#REF!,IF(#REF!="ZERO",0))))),"")</f>
        <v>#REF!</v>
      </c>
      <c r="H3017" s="139" t="str">
        <f t="shared" si="160"/>
        <v/>
      </c>
      <c r="I3017" s="137" t="str">
        <f t="shared" si="161"/>
        <v/>
      </c>
      <c r="J3017" s="117"/>
    </row>
    <row r="3018" spans="1:10" hidden="1" x14ac:dyDescent="0.25">
      <c r="A3018" s="114" t="s">
        <v>6319</v>
      </c>
      <c r="B3018" s="115" t="s">
        <v>7309</v>
      </c>
      <c r="C3018" s="116" t="s">
        <v>69</v>
      </c>
      <c r="D3018" s="116">
        <v>0</v>
      </c>
      <c r="E3018" s="136">
        <f ca="1">OFFSET(INDEX(Composições!A:J,MATCH(Orçamentária!A3018,Composições!A:A,0),8),2,0)</f>
        <v>10.754</v>
      </c>
      <c r="F3018" s="137">
        <f t="shared" ca="1" si="159"/>
        <v>0</v>
      </c>
      <c r="G3018" s="138" t="e">
        <f>IF(A3018&lt;&gt;"",IF(AND(#REF!="Padrão",$H$4=#REF!),BDI!$B$17,IF(AND(#REF!="Padrão",$H$4=#REF!),BDI!#REF!,IF(AND(#REF!="Diferenciado",$H$4=#REF!),BDI!$E$17,IF(AND(#REF!="Diferenciado",$H$4=#REF!),BDI!#REF!,IF(#REF!="ZERO",0))))),"")</f>
        <v>#REF!</v>
      </c>
      <c r="H3018" s="139" t="e">
        <f t="shared" ca="1" si="160"/>
        <v>#REF!</v>
      </c>
      <c r="I3018" s="137" t="e">
        <f t="shared" ca="1" si="161"/>
        <v>#REF!</v>
      </c>
      <c r="J3018" s="117"/>
    </row>
    <row r="3019" spans="1:10" hidden="1" x14ac:dyDescent="0.25">
      <c r="A3019" s="114" t="s">
        <v>6320</v>
      </c>
      <c r="B3019" s="115" t="s">
        <v>7308</v>
      </c>
      <c r="C3019" s="116" t="s">
        <v>69</v>
      </c>
      <c r="D3019" s="116">
        <v>0</v>
      </c>
      <c r="E3019" s="136">
        <f ca="1">OFFSET(INDEX(Composições!A:J,MATCH(Orçamentária!A3019,Composições!A:A,0),8),2,0)</f>
        <v>43.272499999999994</v>
      </c>
      <c r="F3019" s="137">
        <f t="shared" ca="1" si="159"/>
        <v>0</v>
      </c>
      <c r="G3019" s="138" t="e">
        <f>IF(A3019&lt;&gt;"",IF(AND(#REF!="Padrão",$H$4=#REF!),BDI!$B$17,IF(AND(#REF!="Padrão",$H$4=#REF!),BDI!#REF!,IF(AND(#REF!="Diferenciado",$H$4=#REF!),BDI!$E$17,IF(AND(#REF!="Diferenciado",$H$4=#REF!),BDI!#REF!,IF(#REF!="ZERO",0))))),"")</f>
        <v>#REF!</v>
      </c>
      <c r="H3019" s="139" t="e">
        <f t="shared" ca="1" si="160"/>
        <v>#REF!</v>
      </c>
      <c r="I3019" s="137" t="e">
        <f t="shared" ca="1" si="161"/>
        <v>#REF!</v>
      </c>
      <c r="J3019" s="117"/>
    </row>
    <row r="3020" spans="1:10" hidden="1" x14ac:dyDescent="0.25">
      <c r="A3020" s="114" t="s">
        <v>6321</v>
      </c>
      <c r="B3020" s="115" t="s">
        <v>7307</v>
      </c>
      <c r="C3020" s="116" t="s">
        <v>16</v>
      </c>
      <c r="D3020" s="116">
        <v>0</v>
      </c>
      <c r="E3020" s="136">
        <f ca="1">OFFSET(INDEX(Composições!A:J,MATCH(Orçamentária!A3020,Composições!A:A,0),8),2,0)</f>
        <v>24.0825</v>
      </c>
      <c r="F3020" s="137">
        <f t="shared" ca="1" si="159"/>
        <v>0</v>
      </c>
      <c r="G3020" s="138" t="e">
        <f>IF(A3020&lt;&gt;"",IF(AND(#REF!="Padrão",$H$4=#REF!),BDI!$B$17,IF(AND(#REF!="Padrão",$H$4=#REF!),BDI!#REF!,IF(AND(#REF!="Diferenciado",$H$4=#REF!),BDI!$E$17,IF(AND(#REF!="Diferenciado",$H$4=#REF!),BDI!#REF!,IF(#REF!="ZERO",0))))),"")</f>
        <v>#REF!</v>
      </c>
      <c r="H3020" s="139" t="e">
        <f t="shared" ca="1" si="160"/>
        <v>#REF!</v>
      </c>
      <c r="I3020" s="137" t="e">
        <f t="shared" ca="1" si="161"/>
        <v>#REF!</v>
      </c>
      <c r="J3020" s="117"/>
    </row>
    <row r="3021" spans="1:10" hidden="1" x14ac:dyDescent="0.25">
      <c r="A3021" s="114" t="s">
        <v>6322</v>
      </c>
      <c r="B3021" s="115" t="s">
        <v>7306</v>
      </c>
      <c r="C3021" s="116" t="s">
        <v>16</v>
      </c>
      <c r="D3021" s="116">
        <v>0</v>
      </c>
      <c r="E3021" s="136" t="s">
        <v>416</v>
      </c>
      <c r="F3021" s="137" t="str">
        <f t="shared" si="159"/>
        <v/>
      </c>
      <c r="G3021" s="138" t="e">
        <f>IF(A3021&lt;&gt;"",IF(AND(#REF!="Padrão",$H$4=#REF!),BDI!$B$17,IF(AND(#REF!="Padrão",$H$4=#REF!),BDI!#REF!,IF(AND(#REF!="Diferenciado",$H$4=#REF!),BDI!$E$17,IF(AND(#REF!="Diferenciado",$H$4=#REF!),BDI!#REF!,IF(#REF!="ZERO",0))))),"")</f>
        <v>#REF!</v>
      </c>
      <c r="H3021" s="139" t="str">
        <f t="shared" si="160"/>
        <v/>
      </c>
      <c r="I3021" s="137" t="str">
        <f t="shared" si="161"/>
        <v/>
      </c>
      <c r="J3021" s="117"/>
    </row>
    <row r="3022" spans="1:10" hidden="1" x14ac:dyDescent="0.25">
      <c r="A3022" s="114" t="s">
        <v>6323</v>
      </c>
      <c r="B3022" s="115" t="s">
        <v>7305</v>
      </c>
      <c r="C3022" s="116" t="s">
        <v>16</v>
      </c>
      <c r="D3022" s="116">
        <v>0</v>
      </c>
      <c r="E3022" s="136">
        <f ca="1">OFFSET(INDEX(Composições!A:J,MATCH(Orçamentária!A3022,Composições!A:A,0),8),2,0)</f>
        <v>7.7424999999999997</v>
      </c>
      <c r="F3022" s="137">
        <f t="shared" ca="1" si="159"/>
        <v>0</v>
      </c>
      <c r="G3022" s="138" t="e">
        <f>IF(A3022&lt;&gt;"",IF(AND(#REF!="Padrão",$H$4=#REF!),BDI!$B$17,IF(AND(#REF!="Padrão",$H$4=#REF!),BDI!#REF!,IF(AND(#REF!="Diferenciado",$H$4=#REF!),BDI!$E$17,IF(AND(#REF!="Diferenciado",$H$4=#REF!),BDI!#REF!,IF(#REF!="ZERO",0))))),"")</f>
        <v>#REF!</v>
      </c>
      <c r="H3022" s="139" t="e">
        <f t="shared" ca="1" si="160"/>
        <v>#REF!</v>
      </c>
      <c r="I3022" s="137" t="e">
        <f t="shared" ca="1" si="161"/>
        <v>#REF!</v>
      </c>
      <c r="J3022" s="117"/>
    </row>
    <row r="3023" spans="1:10" hidden="1" x14ac:dyDescent="0.25">
      <c r="A3023" s="114" t="s">
        <v>6324</v>
      </c>
      <c r="B3023" s="115" t="s">
        <v>7304</v>
      </c>
      <c r="C3023" s="116" t="s">
        <v>16</v>
      </c>
      <c r="D3023" s="116">
        <v>0</v>
      </c>
      <c r="E3023" s="136" t="s">
        <v>416</v>
      </c>
      <c r="F3023" s="137" t="str">
        <f t="shared" si="159"/>
        <v/>
      </c>
      <c r="G3023" s="138" t="e">
        <f>IF(A3023&lt;&gt;"",IF(AND(#REF!="Padrão",$H$4=#REF!),BDI!$B$17,IF(AND(#REF!="Padrão",$H$4=#REF!),BDI!#REF!,IF(AND(#REF!="Diferenciado",$H$4=#REF!),BDI!$E$17,IF(AND(#REF!="Diferenciado",$H$4=#REF!),BDI!#REF!,IF(#REF!="ZERO",0))))),"")</f>
        <v>#REF!</v>
      </c>
      <c r="H3023" s="139" t="str">
        <f t="shared" si="160"/>
        <v/>
      </c>
      <c r="I3023" s="137" t="str">
        <f t="shared" si="161"/>
        <v/>
      </c>
      <c r="J3023" s="117"/>
    </row>
    <row r="3024" spans="1:10" hidden="1" x14ac:dyDescent="0.25">
      <c r="A3024" s="114" t="s">
        <v>6325</v>
      </c>
      <c r="B3024" s="115" t="s">
        <v>6326</v>
      </c>
      <c r="C3024" s="116" t="s">
        <v>16</v>
      </c>
      <c r="D3024" s="116">
        <v>0</v>
      </c>
      <c r="E3024" s="136">
        <f ca="1">OFFSET(INDEX(Composições!A:J,MATCH(Orçamentária!A3024,Composições!A:A,0),8),2,0)</f>
        <v>10.620999999999999</v>
      </c>
      <c r="F3024" s="137">
        <f t="shared" ca="1" si="159"/>
        <v>0</v>
      </c>
      <c r="G3024" s="138" t="e">
        <f>IF(A3024&lt;&gt;"",IF(AND(#REF!="Padrão",$H$4=#REF!),BDI!$B$17,IF(AND(#REF!="Padrão",$H$4=#REF!),BDI!#REF!,IF(AND(#REF!="Diferenciado",$H$4=#REF!),BDI!$E$17,IF(AND(#REF!="Diferenciado",$H$4=#REF!),BDI!#REF!,IF(#REF!="ZERO",0))))),"")</f>
        <v>#REF!</v>
      </c>
      <c r="H3024" s="139" t="e">
        <f t="shared" ca="1" si="160"/>
        <v>#REF!</v>
      </c>
      <c r="I3024" s="137" t="e">
        <f t="shared" ca="1" si="161"/>
        <v>#REF!</v>
      </c>
      <c r="J3024" s="117"/>
    </row>
    <row r="3025" spans="1:10" hidden="1" x14ac:dyDescent="0.25">
      <c r="A3025" s="114" t="s">
        <v>6327</v>
      </c>
      <c r="B3025" s="115" t="s">
        <v>6328</v>
      </c>
      <c r="C3025" s="116" t="s">
        <v>16</v>
      </c>
      <c r="D3025" s="116">
        <v>0</v>
      </c>
      <c r="E3025" s="136">
        <f ca="1">OFFSET(INDEX(Composições!A:J,MATCH(Orçamentária!A3025,Composições!A:A,0),8),2,0)</f>
        <v>7.2770000000000001</v>
      </c>
      <c r="F3025" s="137">
        <f t="shared" ca="1" si="159"/>
        <v>0</v>
      </c>
      <c r="G3025" s="138" t="e">
        <f>IF(A3025&lt;&gt;"",IF(AND(#REF!="Padrão",$H$4=#REF!),BDI!$B$17,IF(AND(#REF!="Padrão",$H$4=#REF!),BDI!#REF!,IF(AND(#REF!="Diferenciado",$H$4=#REF!),BDI!$E$17,IF(AND(#REF!="Diferenciado",$H$4=#REF!),BDI!#REF!,IF(#REF!="ZERO",0))))),"")</f>
        <v>#REF!</v>
      </c>
      <c r="H3025" s="139" t="e">
        <f t="shared" ca="1" si="160"/>
        <v>#REF!</v>
      </c>
      <c r="I3025" s="137" t="e">
        <f t="shared" ca="1" si="161"/>
        <v>#REF!</v>
      </c>
      <c r="J3025" s="117"/>
    </row>
    <row r="3026" spans="1:10" hidden="1" x14ac:dyDescent="0.25">
      <c r="A3026" s="114" t="s">
        <v>6329</v>
      </c>
      <c r="B3026" s="115" t="s">
        <v>6330</v>
      </c>
      <c r="C3026" s="116" t="s">
        <v>16</v>
      </c>
      <c r="D3026" s="116">
        <v>0</v>
      </c>
      <c r="E3026" s="136">
        <f ca="1">OFFSET(INDEX(Composições!A:J,MATCH(Orçamentária!A3026,Composições!A:A,0),8),2,0)</f>
        <v>16.1785</v>
      </c>
      <c r="F3026" s="137">
        <f t="shared" ca="1" si="159"/>
        <v>0</v>
      </c>
      <c r="G3026" s="138" t="e">
        <f>IF(A3026&lt;&gt;"",IF(AND(#REF!="Padrão",$H$4=#REF!),BDI!$B$17,IF(AND(#REF!="Padrão",$H$4=#REF!),BDI!#REF!,IF(AND(#REF!="Diferenciado",$H$4=#REF!),BDI!$E$17,IF(AND(#REF!="Diferenciado",$H$4=#REF!),BDI!#REF!,IF(#REF!="ZERO",0))))),"")</f>
        <v>#REF!</v>
      </c>
      <c r="H3026" s="139" t="e">
        <f t="shared" ca="1" si="160"/>
        <v>#REF!</v>
      </c>
      <c r="I3026" s="137" t="e">
        <f t="shared" ca="1" si="161"/>
        <v>#REF!</v>
      </c>
      <c r="J3026" s="117"/>
    </row>
    <row r="3027" spans="1:10" hidden="1" x14ac:dyDescent="0.25">
      <c r="A3027" s="114" t="s">
        <v>6331</v>
      </c>
      <c r="B3027" s="115" t="s">
        <v>6332</v>
      </c>
      <c r="C3027" s="116" t="s">
        <v>16</v>
      </c>
      <c r="D3027" s="116">
        <v>0</v>
      </c>
      <c r="E3027" s="136">
        <f ca="1">OFFSET(INDEX(Composições!A:J,MATCH(Orçamentária!A3027,Composições!A:A,0),8),2,0)</f>
        <v>257.04149999999998</v>
      </c>
      <c r="F3027" s="137">
        <f t="shared" ca="1" si="159"/>
        <v>0</v>
      </c>
      <c r="G3027" s="138" t="e">
        <f>IF(A3027&lt;&gt;"",IF(AND(#REF!="Padrão",$H$4=#REF!),BDI!$B$17,IF(AND(#REF!="Padrão",$H$4=#REF!),BDI!#REF!,IF(AND(#REF!="Diferenciado",$H$4=#REF!),BDI!$E$17,IF(AND(#REF!="Diferenciado",$H$4=#REF!),BDI!#REF!,IF(#REF!="ZERO",0))))),"")</f>
        <v>#REF!</v>
      </c>
      <c r="H3027" s="139" t="e">
        <f t="shared" ca="1" si="160"/>
        <v>#REF!</v>
      </c>
      <c r="I3027" s="137" t="e">
        <f t="shared" ca="1" si="161"/>
        <v>#REF!</v>
      </c>
      <c r="J3027" s="117"/>
    </row>
    <row r="3028" spans="1:10" hidden="1" x14ac:dyDescent="0.25">
      <c r="A3028" s="114" t="s">
        <v>6333</v>
      </c>
      <c r="B3028" s="115" t="s">
        <v>6334</v>
      </c>
      <c r="C3028" s="116" t="s">
        <v>16</v>
      </c>
      <c r="D3028" s="116">
        <v>0</v>
      </c>
      <c r="E3028" s="136">
        <f ca="1">OFFSET(INDEX(Composições!A:J,MATCH(Orçamentária!A3028,Composições!A:A,0),8),2,0)</f>
        <v>137.96849999999998</v>
      </c>
      <c r="F3028" s="137">
        <f t="shared" ca="1" si="159"/>
        <v>0</v>
      </c>
      <c r="G3028" s="138" t="e">
        <f>IF(A3028&lt;&gt;"",IF(AND(#REF!="Padrão",$H$4=#REF!),BDI!$B$17,IF(AND(#REF!="Padrão",$H$4=#REF!),BDI!#REF!,IF(AND(#REF!="Diferenciado",$H$4=#REF!),BDI!$E$17,IF(AND(#REF!="Diferenciado",$H$4=#REF!),BDI!#REF!,IF(#REF!="ZERO",0))))),"")</f>
        <v>#REF!</v>
      </c>
      <c r="H3028" s="139" t="e">
        <f t="shared" ca="1" si="160"/>
        <v>#REF!</v>
      </c>
      <c r="I3028" s="137" t="e">
        <f t="shared" ca="1" si="161"/>
        <v>#REF!</v>
      </c>
      <c r="J3028" s="117"/>
    </row>
    <row r="3029" spans="1:10" hidden="1" x14ac:dyDescent="0.25">
      <c r="A3029" s="114" t="s">
        <v>6335</v>
      </c>
      <c r="B3029" s="115" t="s">
        <v>6336</v>
      </c>
      <c r="C3029" s="116" t="s">
        <v>16</v>
      </c>
      <c r="D3029" s="116">
        <v>0</v>
      </c>
      <c r="E3029" s="136">
        <f ca="1">OFFSET(INDEX(Composições!A:J,MATCH(Orçamentária!A3029,Composições!A:A,0),8),2,0)</f>
        <v>406.30549999999999</v>
      </c>
      <c r="F3029" s="137">
        <f t="shared" ca="1" si="159"/>
        <v>0</v>
      </c>
      <c r="G3029" s="138" t="e">
        <f>IF(A3029&lt;&gt;"",IF(AND(#REF!="Padrão",$H$4=#REF!),BDI!$B$17,IF(AND(#REF!="Padrão",$H$4=#REF!),BDI!#REF!,IF(AND(#REF!="Diferenciado",$H$4=#REF!),BDI!$E$17,IF(AND(#REF!="Diferenciado",$H$4=#REF!),BDI!#REF!,IF(#REF!="ZERO",0))))),"")</f>
        <v>#REF!</v>
      </c>
      <c r="H3029" s="139" t="e">
        <f t="shared" ca="1" si="160"/>
        <v>#REF!</v>
      </c>
      <c r="I3029" s="137" t="e">
        <f t="shared" ca="1" si="161"/>
        <v>#REF!</v>
      </c>
      <c r="J3029" s="117"/>
    </row>
    <row r="3030" spans="1:10" hidden="1" x14ac:dyDescent="0.25">
      <c r="A3030" s="114" t="s">
        <v>6337</v>
      </c>
      <c r="B3030" s="115" t="s">
        <v>7303</v>
      </c>
      <c r="C3030" s="116" t="s">
        <v>16</v>
      </c>
      <c r="D3030" s="116">
        <v>0</v>
      </c>
      <c r="E3030" s="136">
        <f ca="1">OFFSET(INDEX(Composições!A:J,MATCH(Orçamentária!A3030,Composições!A:A,0),8),2,0)</f>
        <v>36.308999999999997</v>
      </c>
      <c r="F3030" s="137">
        <f t="shared" ca="1" si="159"/>
        <v>0</v>
      </c>
      <c r="G3030" s="138" t="e">
        <f>IF(A3030&lt;&gt;"",IF(AND(#REF!="Padrão",$H$4=#REF!),BDI!$B$17,IF(AND(#REF!="Padrão",$H$4=#REF!),BDI!#REF!,IF(AND(#REF!="Diferenciado",$H$4=#REF!),BDI!$E$17,IF(AND(#REF!="Diferenciado",$H$4=#REF!),BDI!#REF!,IF(#REF!="ZERO",0))))),"")</f>
        <v>#REF!</v>
      </c>
      <c r="H3030" s="139" t="e">
        <f t="shared" ca="1" si="160"/>
        <v>#REF!</v>
      </c>
      <c r="I3030" s="137" t="e">
        <f t="shared" ca="1" si="161"/>
        <v>#REF!</v>
      </c>
      <c r="J3030" s="117"/>
    </row>
    <row r="3031" spans="1:10" hidden="1" x14ac:dyDescent="0.25">
      <c r="A3031" s="114" t="s">
        <v>6338</v>
      </c>
      <c r="B3031" s="115" t="s">
        <v>7302</v>
      </c>
      <c r="C3031" s="116" t="s">
        <v>16</v>
      </c>
      <c r="D3031" s="116">
        <v>0</v>
      </c>
      <c r="E3031" s="136">
        <f ca="1">OFFSET(INDEX(Composições!A:J,MATCH(Orçamentária!A3031,Composições!A:A,0),8),2,0)</f>
        <v>11.266999999999999</v>
      </c>
      <c r="F3031" s="137">
        <f t="shared" ref="F3031:F3094" ca="1" si="162">IF(ISNUMBER(E3031),D3031*E3031,"")</f>
        <v>0</v>
      </c>
      <c r="G3031" s="138" t="e">
        <f>IF(A3031&lt;&gt;"",IF(AND(#REF!="Padrão",$H$4=#REF!),BDI!$B$17,IF(AND(#REF!="Padrão",$H$4=#REF!),BDI!#REF!,IF(AND(#REF!="Diferenciado",$H$4=#REF!),BDI!$E$17,IF(AND(#REF!="Diferenciado",$H$4=#REF!),BDI!#REF!,IF(#REF!="ZERO",0))))),"")</f>
        <v>#REF!</v>
      </c>
      <c r="H3031" s="139" t="e">
        <f t="shared" ref="H3031:H3094" ca="1" si="163">IF(ISNUMBER(E3031),ROUND(E3031*(1+G3031),2),"")</f>
        <v>#REF!</v>
      </c>
      <c r="I3031" s="137" t="e">
        <f t="shared" ref="I3031:I3094" ca="1" si="164">IF(ISNUMBER(E3031),ROUND(H3031*D3031,2),"")</f>
        <v>#REF!</v>
      </c>
      <c r="J3031" s="117"/>
    </row>
    <row r="3032" spans="1:10" hidden="1" x14ac:dyDescent="0.25">
      <c r="A3032" s="114" t="s">
        <v>6339</v>
      </c>
      <c r="B3032" s="115" t="s">
        <v>7301</v>
      </c>
      <c r="C3032" s="116" t="s">
        <v>16</v>
      </c>
      <c r="D3032" s="116">
        <v>0</v>
      </c>
      <c r="E3032" s="136">
        <f ca="1">OFFSET(INDEX(Composições!A:J,MATCH(Orçamentária!A3032,Composições!A:A,0),8),2,0)</f>
        <v>15.000499999999999</v>
      </c>
      <c r="F3032" s="137">
        <f t="shared" ca="1" si="162"/>
        <v>0</v>
      </c>
      <c r="G3032" s="138" t="e">
        <f>IF(A3032&lt;&gt;"",IF(AND(#REF!="Padrão",$H$4=#REF!),BDI!$B$17,IF(AND(#REF!="Padrão",$H$4=#REF!),BDI!#REF!,IF(AND(#REF!="Diferenciado",$H$4=#REF!),BDI!$E$17,IF(AND(#REF!="Diferenciado",$H$4=#REF!),BDI!#REF!,IF(#REF!="ZERO",0))))),"")</f>
        <v>#REF!</v>
      </c>
      <c r="H3032" s="139" t="e">
        <f t="shared" ca="1" si="163"/>
        <v>#REF!</v>
      </c>
      <c r="I3032" s="137" t="e">
        <f t="shared" ca="1" si="164"/>
        <v>#REF!</v>
      </c>
      <c r="J3032" s="117"/>
    </row>
    <row r="3033" spans="1:10" ht="25.5" hidden="1" x14ac:dyDescent="0.25">
      <c r="A3033" s="114" t="s">
        <v>6340</v>
      </c>
      <c r="B3033" s="115" t="s">
        <v>6341</v>
      </c>
      <c r="C3033" s="116" t="s">
        <v>16</v>
      </c>
      <c r="D3033" s="116">
        <v>0</v>
      </c>
      <c r="E3033" s="136">
        <f ca="1">OFFSET(INDEX(Composições!A:J,MATCH(Orçamentária!A3033,Composições!A:A,0),8),2,0)</f>
        <v>68.989000000000004</v>
      </c>
      <c r="F3033" s="137">
        <f t="shared" ca="1" si="162"/>
        <v>0</v>
      </c>
      <c r="G3033" s="138" t="e">
        <f>IF(A3033&lt;&gt;"",IF(AND(#REF!="Padrão",$H$4=#REF!),BDI!$B$17,IF(AND(#REF!="Padrão",$H$4=#REF!),BDI!#REF!,IF(AND(#REF!="Diferenciado",$H$4=#REF!),BDI!$E$17,IF(AND(#REF!="Diferenciado",$H$4=#REF!),BDI!#REF!,IF(#REF!="ZERO",0))))),"")</f>
        <v>#REF!</v>
      </c>
      <c r="H3033" s="139" t="e">
        <f t="shared" ca="1" si="163"/>
        <v>#REF!</v>
      </c>
      <c r="I3033" s="137" t="e">
        <f t="shared" ca="1" si="164"/>
        <v>#REF!</v>
      </c>
      <c r="J3033" s="117"/>
    </row>
    <row r="3034" spans="1:10" ht="25.5" hidden="1" x14ac:dyDescent="0.25">
      <c r="A3034" s="114" t="s">
        <v>6342</v>
      </c>
      <c r="B3034" s="115" t="s">
        <v>6343</v>
      </c>
      <c r="C3034" s="116" t="s">
        <v>16</v>
      </c>
      <c r="D3034" s="116">
        <v>0</v>
      </c>
      <c r="E3034" s="136">
        <f ca="1">OFFSET(INDEX(Composições!A:J,MATCH(Orçamentária!A3034,Composições!A:A,0),8),2,0)</f>
        <v>92.482499999999987</v>
      </c>
      <c r="F3034" s="137">
        <f t="shared" ca="1" si="162"/>
        <v>0</v>
      </c>
      <c r="G3034" s="138" t="e">
        <f>IF(A3034&lt;&gt;"",IF(AND(#REF!="Padrão",$H$4=#REF!),BDI!$B$17,IF(AND(#REF!="Padrão",$H$4=#REF!),BDI!#REF!,IF(AND(#REF!="Diferenciado",$H$4=#REF!),BDI!$E$17,IF(AND(#REF!="Diferenciado",$H$4=#REF!),BDI!#REF!,IF(#REF!="ZERO",0))))),"")</f>
        <v>#REF!</v>
      </c>
      <c r="H3034" s="139" t="e">
        <f t="shared" ca="1" si="163"/>
        <v>#REF!</v>
      </c>
      <c r="I3034" s="137" t="e">
        <f t="shared" ca="1" si="164"/>
        <v>#REF!</v>
      </c>
      <c r="J3034" s="117"/>
    </row>
    <row r="3035" spans="1:10" hidden="1" x14ac:dyDescent="0.25">
      <c r="A3035" s="114" t="s">
        <v>6344</v>
      </c>
      <c r="B3035" s="115" t="s">
        <v>6345</v>
      </c>
      <c r="C3035" s="116" t="s">
        <v>16</v>
      </c>
      <c r="D3035" s="116">
        <v>0</v>
      </c>
      <c r="E3035" s="136">
        <f ca="1">OFFSET(INDEX(Composições!A:J,MATCH(Orçamentária!A3035,Composições!A:A,0),8),2,0)</f>
        <v>101.441</v>
      </c>
      <c r="F3035" s="137">
        <f t="shared" ca="1" si="162"/>
        <v>0</v>
      </c>
      <c r="G3035" s="138" t="e">
        <f>IF(A3035&lt;&gt;"",IF(AND(#REF!="Padrão",$H$4=#REF!),BDI!$B$17,IF(AND(#REF!="Padrão",$H$4=#REF!),BDI!#REF!,IF(AND(#REF!="Diferenciado",$H$4=#REF!),BDI!$E$17,IF(AND(#REF!="Diferenciado",$H$4=#REF!),BDI!#REF!,IF(#REF!="ZERO",0))))),"")</f>
        <v>#REF!</v>
      </c>
      <c r="H3035" s="139" t="e">
        <f t="shared" ca="1" si="163"/>
        <v>#REF!</v>
      </c>
      <c r="I3035" s="137" t="e">
        <f t="shared" ca="1" si="164"/>
        <v>#REF!</v>
      </c>
      <c r="J3035" s="117"/>
    </row>
    <row r="3036" spans="1:10" hidden="1" x14ac:dyDescent="0.25">
      <c r="A3036" s="114" t="s">
        <v>6346</v>
      </c>
      <c r="B3036" s="115" t="s">
        <v>6347</v>
      </c>
      <c r="C3036" s="116" t="s">
        <v>16</v>
      </c>
      <c r="D3036" s="116">
        <v>0</v>
      </c>
      <c r="E3036" s="136">
        <f ca="1">OFFSET(INDEX(Composições!A:J,MATCH(Orçamentária!A3036,Composições!A:A,0),8),2,0)</f>
        <v>260.01499999999999</v>
      </c>
      <c r="F3036" s="137">
        <f t="shared" ca="1" si="162"/>
        <v>0</v>
      </c>
      <c r="G3036" s="138" t="e">
        <f>IF(A3036&lt;&gt;"",IF(AND(#REF!="Padrão",$H$4=#REF!),BDI!$B$17,IF(AND(#REF!="Padrão",$H$4=#REF!),BDI!#REF!,IF(AND(#REF!="Diferenciado",$H$4=#REF!),BDI!$E$17,IF(AND(#REF!="Diferenciado",$H$4=#REF!),BDI!#REF!,IF(#REF!="ZERO",0))))),"")</f>
        <v>#REF!</v>
      </c>
      <c r="H3036" s="139" t="e">
        <f t="shared" ca="1" si="163"/>
        <v>#REF!</v>
      </c>
      <c r="I3036" s="137" t="e">
        <f t="shared" ca="1" si="164"/>
        <v>#REF!</v>
      </c>
      <c r="J3036" s="117"/>
    </row>
    <row r="3037" spans="1:10" hidden="1" x14ac:dyDescent="0.25">
      <c r="A3037" s="114" t="s">
        <v>6348</v>
      </c>
      <c r="B3037" s="115" t="s">
        <v>6349</v>
      </c>
      <c r="C3037" s="116" t="s">
        <v>16</v>
      </c>
      <c r="D3037" s="116">
        <v>0</v>
      </c>
      <c r="E3037" s="136">
        <f ca="1">OFFSET(INDEX(Composições!A:J,MATCH(Orçamentária!A3037,Composições!A:A,0),8),2,0)</f>
        <v>365.01850000000002</v>
      </c>
      <c r="F3037" s="137">
        <f t="shared" ca="1" si="162"/>
        <v>0</v>
      </c>
      <c r="G3037" s="138" t="e">
        <f>IF(A3037&lt;&gt;"",IF(AND(#REF!="Padrão",$H$4=#REF!),BDI!$B$17,IF(AND(#REF!="Padrão",$H$4=#REF!),BDI!#REF!,IF(AND(#REF!="Diferenciado",$H$4=#REF!),BDI!$E$17,IF(AND(#REF!="Diferenciado",$H$4=#REF!),BDI!#REF!,IF(#REF!="ZERO",0))))),"")</f>
        <v>#REF!</v>
      </c>
      <c r="H3037" s="139" t="e">
        <f t="shared" ca="1" si="163"/>
        <v>#REF!</v>
      </c>
      <c r="I3037" s="137" t="e">
        <f t="shared" ca="1" si="164"/>
        <v>#REF!</v>
      </c>
      <c r="J3037" s="117"/>
    </row>
    <row r="3038" spans="1:10" hidden="1" x14ac:dyDescent="0.25">
      <c r="A3038" s="114" t="s">
        <v>6350</v>
      </c>
      <c r="B3038" s="115" t="s">
        <v>6351</v>
      </c>
      <c r="C3038" s="116" t="s">
        <v>16</v>
      </c>
      <c r="D3038" s="116">
        <v>0</v>
      </c>
      <c r="E3038" s="136">
        <f ca="1">OFFSET(INDEX(Composições!A:J,MATCH(Orçamentária!A3038,Composições!A:A,0),8),2,0)</f>
        <v>33.126499999999993</v>
      </c>
      <c r="F3038" s="137">
        <f t="shared" ca="1" si="162"/>
        <v>0</v>
      </c>
      <c r="G3038" s="138" t="e">
        <f>IF(A3038&lt;&gt;"",IF(AND(#REF!="Padrão",$H$4=#REF!),BDI!$B$17,IF(AND(#REF!="Padrão",$H$4=#REF!),BDI!#REF!,IF(AND(#REF!="Diferenciado",$H$4=#REF!),BDI!$E$17,IF(AND(#REF!="Diferenciado",$H$4=#REF!),BDI!#REF!,IF(#REF!="ZERO",0))))),"")</f>
        <v>#REF!</v>
      </c>
      <c r="H3038" s="139" t="e">
        <f t="shared" ca="1" si="163"/>
        <v>#REF!</v>
      </c>
      <c r="I3038" s="137" t="e">
        <f t="shared" ca="1" si="164"/>
        <v>#REF!</v>
      </c>
      <c r="J3038" s="117"/>
    </row>
    <row r="3039" spans="1:10" ht="25.5" hidden="1" x14ac:dyDescent="0.25">
      <c r="A3039" s="114" t="s">
        <v>6352</v>
      </c>
      <c r="B3039" s="115" t="s">
        <v>6353</v>
      </c>
      <c r="C3039" s="116" t="s">
        <v>16</v>
      </c>
      <c r="D3039" s="116">
        <v>0</v>
      </c>
      <c r="E3039" s="136">
        <f ca="1">OFFSET(INDEX(Composições!A:J,MATCH(Orçamentária!A3039,Composições!A:A,0),8),2,0)</f>
        <v>167.83649999999997</v>
      </c>
      <c r="F3039" s="137">
        <f t="shared" ca="1" si="162"/>
        <v>0</v>
      </c>
      <c r="G3039" s="138" t="e">
        <f>IF(A3039&lt;&gt;"",IF(AND(#REF!="Padrão",$H$4=#REF!),BDI!$B$17,IF(AND(#REF!="Padrão",$H$4=#REF!),BDI!#REF!,IF(AND(#REF!="Diferenciado",$H$4=#REF!),BDI!$E$17,IF(AND(#REF!="Diferenciado",$H$4=#REF!),BDI!#REF!,IF(#REF!="ZERO",0))))),"")</f>
        <v>#REF!</v>
      </c>
      <c r="H3039" s="139" t="e">
        <f t="shared" ca="1" si="163"/>
        <v>#REF!</v>
      </c>
      <c r="I3039" s="137" t="e">
        <f t="shared" ca="1" si="164"/>
        <v>#REF!</v>
      </c>
      <c r="J3039" s="117"/>
    </row>
    <row r="3040" spans="1:10" hidden="1" x14ac:dyDescent="0.25">
      <c r="A3040" s="114" t="s">
        <v>6354</v>
      </c>
      <c r="B3040" s="115" t="s">
        <v>6355</v>
      </c>
      <c r="C3040" s="116" t="s">
        <v>16</v>
      </c>
      <c r="D3040" s="116">
        <v>0</v>
      </c>
      <c r="E3040" s="136">
        <f ca="1">OFFSET(INDEX(Composições!A:J,MATCH(Orçamentária!A3040,Composições!A:A,0),8),2,0)</f>
        <v>41.714499999999994</v>
      </c>
      <c r="F3040" s="137">
        <f t="shared" ca="1" si="162"/>
        <v>0</v>
      </c>
      <c r="G3040" s="138" t="e">
        <f>IF(A3040&lt;&gt;"",IF(AND(#REF!="Padrão",$H$4=#REF!),BDI!$B$17,IF(AND(#REF!="Padrão",$H$4=#REF!),BDI!#REF!,IF(AND(#REF!="Diferenciado",$H$4=#REF!),BDI!$E$17,IF(AND(#REF!="Diferenciado",$H$4=#REF!),BDI!#REF!,IF(#REF!="ZERO",0))))),"")</f>
        <v>#REF!</v>
      </c>
      <c r="H3040" s="139" t="e">
        <f t="shared" ca="1" si="163"/>
        <v>#REF!</v>
      </c>
      <c r="I3040" s="137" t="e">
        <f t="shared" ca="1" si="164"/>
        <v>#REF!</v>
      </c>
      <c r="J3040" s="117"/>
    </row>
    <row r="3041" spans="1:10" hidden="1" x14ac:dyDescent="0.25">
      <c r="A3041" s="114" t="s">
        <v>6356</v>
      </c>
      <c r="B3041" s="115" t="s">
        <v>6357</v>
      </c>
      <c r="C3041" s="116" t="s">
        <v>16</v>
      </c>
      <c r="D3041" s="116">
        <v>0</v>
      </c>
      <c r="E3041" s="136">
        <f ca="1">OFFSET(INDEX(Composições!A:J,MATCH(Orçamentária!A3041,Composições!A:A,0),8),2,0)</f>
        <v>9.386000000000001</v>
      </c>
      <c r="F3041" s="137">
        <f t="shared" ca="1" si="162"/>
        <v>0</v>
      </c>
      <c r="G3041" s="138" t="e">
        <f>IF(A3041&lt;&gt;"",IF(AND(#REF!="Padrão",$H$4=#REF!),BDI!$B$17,IF(AND(#REF!="Padrão",$H$4=#REF!),BDI!#REF!,IF(AND(#REF!="Diferenciado",$H$4=#REF!),BDI!$E$17,IF(AND(#REF!="Diferenciado",$H$4=#REF!),BDI!#REF!,IF(#REF!="ZERO",0))))),"")</f>
        <v>#REF!</v>
      </c>
      <c r="H3041" s="139" t="e">
        <f t="shared" ca="1" si="163"/>
        <v>#REF!</v>
      </c>
      <c r="I3041" s="137" t="e">
        <f t="shared" ca="1" si="164"/>
        <v>#REF!</v>
      </c>
      <c r="J3041" s="117"/>
    </row>
    <row r="3042" spans="1:10" hidden="1" x14ac:dyDescent="0.25">
      <c r="A3042" s="114" t="s">
        <v>6358</v>
      </c>
      <c r="B3042" s="115" t="s">
        <v>6359</v>
      </c>
      <c r="C3042" s="116" t="s">
        <v>16</v>
      </c>
      <c r="D3042" s="116">
        <v>0</v>
      </c>
      <c r="E3042" s="136">
        <f ca="1">OFFSET(INDEX(Composições!A:J,MATCH(Orçamentária!A3042,Composições!A:A,0),8),2,0)</f>
        <v>125.45699999999999</v>
      </c>
      <c r="F3042" s="137">
        <f t="shared" ca="1" si="162"/>
        <v>0</v>
      </c>
      <c r="G3042" s="138" t="e">
        <f>IF(A3042&lt;&gt;"",IF(AND(#REF!="Padrão",$H$4=#REF!),BDI!$B$17,IF(AND(#REF!="Padrão",$H$4=#REF!),BDI!#REF!,IF(AND(#REF!="Diferenciado",$H$4=#REF!),BDI!$E$17,IF(AND(#REF!="Diferenciado",$H$4=#REF!),BDI!#REF!,IF(#REF!="ZERO",0))))),"")</f>
        <v>#REF!</v>
      </c>
      <c r="H3042" s="139" t="e">
        <f t="shared" ca="1" si="163"/>
        <v>#REF!</v>
      </c>
      <c r="I3042" s="137" t="e">
        <f t="shared" ca="1" si="164"/>
        <v>#REF!</v>
      </c>
      <c r="J3042" s="117"/>
    </row>
    <row r="3043" spans="1:10" hidden="1" x14ac:dyDescent="0.25">
      <c r="A3043" s="114" t="s">
        <v>6360</v>
      </c>
      <c r="B3043" s="115" t="s">
        <v>6361</v>
      </c>
      <c r="C3043" s="116" t="s">
        <v>16</v>
      </c>
      <c r="D3043" s="116">
        <v>0</v>
      </c>
      <c r="E3043" s="136">
        <f ca="1">OFFSET(INDEX(Composições!A:J,MATCH(Orçamentária!A3043,Composições!A:A,0),8),2,0)</f>
        <v>66.072499999999991</v>
      </c>
      <c r="F3043" s="137">
        <f t="shared" ca="1" si="162"/>
        <v>0</v>
      </c>
      <c r="G3043" s="138" t="e">
        <f>IF(A3043&lt;&gt;"",IF(AND(#REF!="Padrão",$H$4=#REF!),BDI!$B$17,IF(AND(#REF!="Padrão",$H$4=#REF!),BDI!#REF!,IF(AND(#REF!="Diferenciado",$H$4=#REF!),BDI!$E$17,IF(AND(#REF!="Diferenciado",$H$4=#REF!),BDI!#REF!,IF(#REF!="ZERO",0))))),"")</f>
        <v>#REF!</v>
      </c>
      <c r="H3043" s="139" t="e">
        <f t="shared" ca="1" si="163"/>
        <v>#REF!</v>
      </c>
      <c r="I3043" s="137" t="e">
        <f t="shared" ca="1" si="164"/>
        <v>#REF!</v>
      </c>
      <c r="J3043" s="117"/>
    </row>
    <row r="3044" spans="1:10" hidden="1" x14ac:dyDescent="0.25">
      <c r="A3044" s="114" t="s">
        <v>6362</v>
      </c>
      <c r="B3044" s="115" t="s">
        <v>7300</v>
      </c>
      <c r="C3044" s="116" t="s">
        <v>16</v>
      </c>
      <c r="D3044" s="116">
        <v>0</v>
      </c>
      <c r="E3044" s="136">
        <f ca="1">OFFSET(INDEX(Composições!A:J,MATCH(Orçamentária!A3044,Composições!A:A,0),8),2,0)</f>
        <v>73.140499999999989</v>
      </c>
      <c r="F3044" s="137">
        <f t="shared" ca="1" si="162"/>
        <v>0</v>
      </c>
      <c r="G3044" s="138" t="e">
        <f>IF(A3044&lt;&gt;"",IF(AND(#REF!="Padrão",$H$4=#REF!),BDI!$B$17,IF(AND(#REF!="Padrão",$H$4=#REF!),BDI!#REF!,IF(AND(#REF!="Diferenciado",$H$4=#REF!),BDI!$E$17,IF(AND(#REF!="Diferenciado",$H$4=#REF!),BDI!#REF!,IF(#REF!="ZERO",0))))),"")</f>
        <v>#REF!</v>
      </c>
      <c r="H3044" s="139" t="e">
        <f t="shared" ca="1" si="163"/>
        <v>#REF!</v>
      </c>
      <c r="I3044" s="137" t="e">
        <f t="shared" ca="1" si="164"/>
        <v>#REF!</v>
      </c>
      <c r="J3044" s="117"/>
    </row>
    <row r="3045" spans="1:10" hidden="1" x14ac:dyDescent="0.25">
      <c r="A3045" s="114" t="s">
        <v>6363</v>
      </c>
      <c r="B3045" s="115" t="s">
        <v>7299</v>
      </c>
      <c r="C3045" s="116" t="s">
        <v>16</v>
      </c>
      <c r="D3045" s="116">
        <v>0</v>
      </c>
      <c r="E3045" s="136">
        <f ca="1">OFFSET(INDEX(Composições!A:J,MATCH(Orçamentária!A3045,Composições!A:A,0),8),2,0)</f>
        <v>3.363</v>
      </c>
      <c r="F3045" s="137">
        <f t="shared" ca="1" si="162"/>
        <v>0</v>
      </c>
      <c r="G3045" s="138" t="e">
        <f>IF(A3045&lt;&gt;"",IF(AND(#REF!="Padrão",$H$4=#REF!),BDI!$B$17,IF(AND(#REF!="Padrão",$H$4=#REF!),BDI!#REF!,IF(AND(#REF!="Diferenciado",$H$4=#REF!),BDI!$E$17,IF(AND(#REF!="Diferenciado",$H$4=#REF!),BDI!#REF!,IF(#REF!="ZERO",0))))),"")</f>
        <v>#REF!</v>
      </c>
      <c r="H3045" s="139" t="e">
        <f t="shared" ca="1" si="163"/>
        <v>#REF!</v>
      </c>
      <c r="I3045" s="137" t="e">
        <f t="shared" ca="1" si="164"/>
        <v>#REF!</v>
      </c>
      <c r="J3045" s="117"/>
    </row>
    <row r="3046" spans="1:10" hidden="1" x14ac:dyDescent="0.25">
      <c r="A3046" s="114" t="s">
        <v>6364</v>
      </c>
      <c r="B3046" s="115" t="s">
        <v>7298</v>
      </c>
      <c r="C3046" s="116" t="s">
        <v>16</v>
      </c>
      <c r="D3046" s="116">
        <v>0</v>
      </c>
      <c r="E3046" s="136">
        <f ca="1">OFFSET(INDEX(Composições!A:J,MATCH(Orçamentária!A3046,Composições!A:A,0),8),2,0)</f>
        <v>6.7449999999999992</v>
      </c>
      <c r="F3046" s="137">
        <f t="shared" ca="1" si="162"/>
        <v>0</v>
      </c>
      <c r="G3046" s="138" t="e">
        <f>IF(A3046&lt;&gt;"",IF(AND(#REF!="Padrão",$H$4=#REF!),BDI!$B$17,IF(AND(#REF!="Padrão",$H$4=#REF!),BDI!#REF!,IF(AND(#REF!="Diferenciado",$H$4=#REF!),BDI!$E$17,IF(AND(#REF!="Diferenciado",$H$4=#REF!),BDI!#REF!,IF(#REF!="ZERO",0))))),"")</f>
        <v>#REF!</v>
      </c>
      <c r="H3046" s="139" t="e">
        <f t="shared" ca="1" si="163"/>
        <v>#REF!</v>
      </c>
      <c r="I3046" s="137" t="e">
        <f t="shared" ca="1" si="164"/>
        <v>#REF!</v>
      </c>
      <c r="J3046" s="117"/>
    </row>
    <row r="3047" spans="1:10" hidden="1" x14ac:dyDescent="0.25">
      <c r="A3047" s="114" t="s">
        <v>6365</v>
      </c>
      <c r="B3047" s="115" t="s">
        <v>7297</v>
      </c>
      <c r="C3047" s="116" t="s">
        <v>16</v>
      </c>
      <c r="D3047" s="116">
        <v>0</v>
      </c>
      <c r="E3047" s="136">
        <f ca="1">OFFSET(INDEX(Composições!A:J,MATCH(Orçamentária!A3047,Composições!A:A,0),8),2,0)</f>
        <v>1.653</v>
      </c>
      <c r="F3047" s="137">
        <f t="shared" ca="1" si="162"/>
        <v>0</v>
      </c>
      <c r="G3047" s="138" t="e">
        <f>IF(A3047&lt;&gt;"",IF(AND(#REF!="Padrão",$H$4=#REF!),BDI!$B$17,IF(AND(#REF!="Padrão",$H$4=#REF!),BDI!#REF!,IF(AND(#REF!="Diferenciado",$H$4=#REF!),BDI!$E$17,IF(AND(#REF!="Diferenciado",$H$4=#REF!),BDI!#REF!,IF(#REF!="ZERO",0))))),"")</f>
        <v>#REF!</v>
      </c>
      <c r="H3047" s="139" t="e">
        <f t="shared" ca="1" si="163"/>
        <v>#REF!</v>
      </c>
      <c r="I3047" s="137" t="e">
        <f t="shared" ca="1" si="164"/>
        <v>#REF!</v>
      </c>
      <c r="J3047" s="117"/>
    </row>
    <row r="3048" spans="1:10" hidden="1" x14ac:dyDescent="0.25">
      <c r="A3048" s="114" t="s">
        <v>6366</v>
      </c>
      <c r="B3048" s="115" t="s">
        <v>7296</v>
      </c>
      <c r="C3048" s="116" t="s">
        <v>16</v>
      </c>
      <c r="D3048" s="116">
        <v>0</v>
      </c>
      <c r="E3048" s="136">
        <f ca="1">OFFSET(INDEX(Composições!A:J,MATCH(Orçamentária!A3048,Composições!A:A,0),8),2,0)</f>
        <v>3.6859999999999999</v>
      </c>
      <c r="F3048" s="137">
        <f t="shared" ca="1" si="162"/>
        <v>0</v>
      </c>
      <c r="G3048" s="138" t="e">
        <f>IF(A3048&lt;&gt;"",IF(AND(#REF!="Padrão",$H$4=#REF!),BDI!$B$17,IF(AND(#REF!="Padrão",$H$4=#REF!),BDI!#REF!,IF(AND(#REF!="Diferenciado",$H$4=#REF!),BDI!$E$17,IF(AND(#REF!="Diferenciado",$H$4=#REF!),BDI!#REF!,IF(#REF!="ZERO",0))))),"")</f>
        <v>#REF!</v>
      </c>
      <c r="H3048" s="139" t="e">
        <f t="shared" ca="1" si="163"/>
        <v>#REF!</v>
      </c>
      <c r="I3048" s="137" t="e">
        <f t="shared" ca="1" si="164"/>
        <v>#REF!</v>
      </c>
      <c r="J3048" s="117"/>
    </row>
    <row r="3049" spans="1:10" hidden="1" x14ac:dyDescent="0.25">
      <c r="A3049" s="114" t="s">
        <v>6367</v>
      </c>
      <c r="B3049" s="115" t="s">
        <v>6368</v>
      </c>
      <c r="C3049" s="116" t="s">
        <v>16</v>
      </c>
      <c r="D3049" s="116">
        <v>0</v>
      </c>
      <c r="E3049" s="136">
        <f ca="1">OFFSET(INDEX(Composições!A:J,MATCH(Orçamentária!A3049,Composições!A:A,0),8),2,0)</f>
        <v>11.818</v>
      </c>
      <c r="F3049" s="137">
        <f t="shared" ca="1" si="162"/>
        <v>0</v>
      </c>
      <c r="G3049" s="138" t="e">
        <f>IF(A3049&lt;&gt;"",IF(AND(#REF!="Padrão",$H$4=#REF!),BDI!$B$17,IF(AND(#REF!="Padrão",$H$4=#REF!),BDI!#REF!,IF(AND(#REF!="Diferenciado",$H$4=#REF!),BDI!$E$17,IF(AND(#REF!="Diferenciado",$H$4=#REF!),BDI!#REF!,IF(#REF!="ZERO",0))))),"")</f>
        <v>#REF!</v>
      </c>
      <c r="H3049" s="139" t="e">
        <f t="shared" ca="1" si="163"/>
        <v>#REF!</v>
      </c>
      <c r="I3049" s="137" t="e">
        <f t="shared" ca="1" si="164"/>
        <v>#REF!</v>
      </c>
      <c r="J3049" s="117"/>
    </row>
    <row r="3050" spans="1:10" hidden="1" x14ac:dyDescent="0.25">
      <c r="A3050" s="114" t="s">
        <v>6369</v>
      </c>
      <c r="B3050" s="115" t="s">
        <v>6370</v>
      </c>
      <c r="C3050" s="116" t="s">
        <v>16</v>
      </c>
      <c r="D3050" s="116">
        <v>0</v>
      </c>
      <c r="E3050" s="136">
        <f ca="1">OFFSET(INDEX(Composições!A:J,MATCH(Orçamentária!A3050,Composições!A:A,0),8),2,0)</f>
        <v>0</v>
      </c>
      <c r="F3050" s="137">
        <f t="shared" ca="1" si="162"/>
        <v>0</v>
      </c>
      <c r="G3050" s="138" t="e">
        <f>IF(A3050&lt;&gt;"",IF(AND(#REF!="Padrão",$H$4=#REF!),BDI!$B$17,IF(AND(#REF!="Padrão",$H$4=#REF!),BDI!#REF!,IF(AND(#REF!="Diferenciado",$H$4=#REF!),BDI!$E$17,IF(AND(#REF!="Diferenciado",$H$4=#REF!),BDI!#REF!,IF(#REF!="ZERO",0))))),"")</f>
        <v>#REF!</v>
      </c>
      <c r="H3050" s="139" t="e">
        <f t="shared" ca="1" si="163"/>
        <v>#REF!</v>
      </c>
      <c r="I3050" s="137" t="e">
        <f t="shared" ca="1" si="164"/>
        <v>#REF!</v>
      </c>
      <c r="J3050" s="117"/>
    </row>
    <row r="3051" spans="1:10" hidden="1" x14ac:dyDescent="0.25">
      <c r="A3051" s="114" t="s">
        <v>6371</v>
      </c>
      <c r="B3051" s="115" t="s">
        <v>7295</v>
      </c>
      <c r="C3051" s="116" t="s">
        <v>16</v>
      </c>
      <c r="D3051" s="116">
        <v>0</v>
      </c>
      <c r="E3051" s="136">
        <f ca="1">OFFSET(INDEX(Composições!A:J,MATCH(Orçamentária!A3051,Composições!A:A,0),8),2,0)</f>
        <v>13.195499999999999</v>
      </c>
      <c r="F3051" s="137">
        <f t="shared" ca="1" si="162"/>
        <v>0</v>
      </c>
      <c r="G3051" s="138" t="e">
        <f>IF(A3051&lt;&gt;"",IF(AND(#REF!="Padrão",$H$4=#REF!),BDI!$B$17,IF(AND(#REF!="Padrão",$H$4=#REF!),BDI!#REF!,IF(AND(#REF!="Diferenciado",$H$4=#REF!),BDI!$E$17,IF(AND(#REF!="Diferenciado",$H$4=#REF!),BDI!#REF!,IF(#REF!="ZERO",0))))),"")</f>
        <v>#REF!</v>
      </c>
      <c r="H3051" s="139" t="e">
        <f t="shared" ca="1" si="163"/>
        <v>#REF!</v>
      </c>
      <c r="I3051" s="137" t="e">
        <f t="shared" ca="1" si="164"/>
        <v>#REF!</v>
      </c>
      <c r="J3051" s="117"/>
    </row>
    <row r="3052" spans="1:10" hidden="1" x14ac:dyDescent="0.25">
      <c r="A3052" s="114" t="s">
        <v>6372</v>
      </c>
      <c r="B3052" s="115" t="s">
        <v>7294</v>
      </c>
      <c r="C3052" s="116" t="s">
        <v>16</v>
      </c>
      <c r="D3052" s="116">
        <v>0</v>
      </c>
      <c r="E3052" s="136">
        <f ca="1">OFFSET(INDEX(Composições!A:J,MATCH(Orçamentária!A3052,Composições!A:A,0),8),2,0)</f>
        <v>71.0505</v>
      </c>
      <c r="F3052" s="137">
        <f t="shared" ca="1" si="162"/>
        <v>0</v>
      </c>
      <c r="G3052" s="138" t="e">
        <f>IF(A3052&lt;&gt;"",IF(AND(#REF!="Padrão",$H$4=#REF!),BDI!$B$17,IF(AND(#REF!="Padrão",$H$4=#REF!),BDI!#REF!,IF(AND(#REF!="Diferenciado",$H$4=#REF!),BDI!$E$17,IF(AND(#REF!="Diferenciado",$H$4=#REF!),BDI!#REF!,IF(#REF!="ZERO",0))))),"")</f>
        <v>#REF!</v>
      </c>
      <c r="H3052" s="139" t="e">
        <f t="shared" ca="1" si="163"/>
        <v>#REF!</v>
      </c>
      <c r="I3052" s="137" t="e">
        <f t="shared" ca="1" si="164"/>
        <v>#REF!</v>
      </c>
      <c r="J3052" s="117"/>
    </row>
    <row r="3053" spans="1:10" hidden="1" x14ac:dyDescent="0.25">
      <c r="A3053" s="114" t="s">
        <v>6373</v>
      </c>
      <c r="B3053" s="115" t="s">
        <v>7293</v>
      </c>
      <c r="C3053" s="116" t="s">
        <v>16</v>
      </c>
      <c r="D3053" s="116">
        <v>0</v>
      </c>
      <c r="E3053" s="136">
        <f ca="1">OFFSET(INDEX(Composições!A:J,MATCH(Orçamentária!A3053,Composições!A:A,0),8),2,0)</f>
        <v>170.83850000000001</v>
      </c>
      <c r="F3053" s="137">
        <f t="shared" ca="1" si="162"/>
        <v>0</v>
      </c>
      <c r="G3053" s="138" t="e">
        <f>IF(A3053&lt;&gt;"",IF(AND(#REF!="Padrão",$H$4=#REF!),BDI!$B$17,IF(AND(#REF!="Padrão",$H$4=#REF!),BDI!#REF!,IF(AND(#REF!="Diferenciado",$H$4=#REF!),BDI!$E$17,IF(AND(#REF!="Diferenciado",$H$4=#REF!),BDI!#REF!,IF(#REF!="ZERO",0))))),"")</f>
        <v>#REF!</v>
      </c>
      <c r="H3053" s="139" t="e">
        <f t="shared" ca="1" si="163"/>
        <v>#REF!</v>
      </c>
      <c r="I3053" s="137" t="e">
        <f t="shared" ca="1" si="164"/>
        <v>#REF!</v>
      </c>
      <c r="J3053" s="117"/>
    </row>
    <row r="3054" spans="1:10" hidden="1" x14ac:dyDescent="0.25">
      <c r="A3054" s="114" t="s">
        <v>6374</v>
      </c>
      <c r="B3054" s="115" t="s">
        <v>6375</v>
      </c>
      <c r="C3054" s="116" t="s">
        <v>69</v>
      </c>
      <c r="D3054" s="116">
        <v>0</v>
      </c>
      <c r="E3054" s="136" t="s">
        <v>416</v>
      </c>
      <c r="F3054" s="137" t="str">
        <f t="shared" si="162"/>
        <v/>
      </c>
      <c r="G3054" s="138" t="e">
        <f>IF(A3054&lt;&gt;"",IF(AND(#REF!="Padrão",$H$4=#REF!),BDI!$B$17,IF(AND(#REF!="Padrão",$H$4=#REF!),BDI!#REF!,IF(AND(#REF!="Diferenciado",$H$4=#REF!),BDI!$E$17,IF(AND(#REF!="Diferenciado",$H$4=#REF!),BDI!#REF!,IF(#REF!="ZERO",0))))),"")</f>
        <v>#REF!</v>
      </c>
      <c r="H3054" s="139" t="str">
        <f t="shared" si="163"/>
        <v/>
      </c>
      <c r="I3054" s="137" t="str">
        <f t="shared" si="164"/>
        <v/>
      </c>
      <c r="J3054" s="117"/>
    </row>
    <row r="3055" spans="1:10" hidden="1" x14ac:dyDescent="0.25">
      <c r="A3055" s="114" t="s">
        <v>6376</v>
      </c>
      <c r="B3055" s="115" t="s">
        <v>6377</v>
      </c>
      <c r="C3055" s="116" t="s">
        <v>69</v>
      </c>
      <c r="D3055" s="116">
        <v>0</v>
      </c>
      <c r="E3055" s="136" t="s">
        <v>416</v>
      </c>
      <c r="F3055" s="137" t="str">
        <f t="shared" si="162"/>
        <v/>
      </c>
      <c r="G3055" s="138" t="e">
        <f>IF(A3055&lt;&gt;"",IF(AND(#REF!="Padrão",$H$4=#REF!),BDI!$B$17,IF(AND(#REF!="Padrão",$H$4=#REF!),BDI!#REF!,IF(AND(#REF!="Diferenciado",$H$4=#REF!),BDI!$E$17,IF(AND(#REF!="Diferenciado",$H$4=#REF!),BDI!#REF!,IF(#REF!="ZERO",0))))),"")</f>
        <v>#REF!</v>
      </c>
      <c r="H3055" s="139" t="str">
        <f t="shared" si="163"/>
        <v/>
      </c>
      <c r="I3055" s="137" t="str">
        <f t="shared" si="164"/>
        <v/>
      </c>
      <c r="J3055" s="117"/>
    </row>
    <row r="3056" spans="1:10" hidden="1" x14ac:dyDescent="0.25">
      <c r="A3056" s="114" t="s">
        <v>6378</v>
      </c>
      <c r="B3056" s="115" t="s">
        <v>6379</v>
      </c>
      <c r="C3056" s="116" t="s">
        <v>16</v>
      </c>
      <c r="D3056" s="116">
        <v>0</v>
      </c>
      <c r="E3056" s="136" t="s">
        <v>416</v>
      </c>
      <c r="F3056" s="137" t="str">
        <f t="shared" si="162"/>
        <v/>
      </c>
      <c r="G3056" s="138" t="e">
        <f>IF(A3056&lt;&gt;"",IF(AND(#REF!="Padrão",$H$4=#REF!),BDI!$B$17,IF(AND(#REF!="Padrão",$H$4=#REF!),BDI!#REF!,IF(AND(#REF!="Diferenciado",$H$4=#REF!),BDI!$E$17,IF(AND(#REF!="Diferenciado",$H$4=#REF!),BDI!#REF!,IF(#REF!="ZERO",0))))),"")</f>
        <v>#REF!</v>
      </c>
      <c r="H3056" s="139" t="str">
        <f t="shared" si="163"/>
        <v/>
      </c>
      <c r="I3056" s="137" t="str">
        <f t="shared" si="164"/>
        <v/>
      </c>
      <c r="J3056" s="117"/>
    </row>
    <row r="3057" spans="1:10" hidden="1" x14ac:dyDescent="0.25">
      <c r="A3057" s="114" t="s">
        <v>6380</v>
      </c>
      <c r="B3057" s="115" t="s">
        <v>7292</v>
      </c>
      <c r="C3057" s="116" t="s">
        <v>69</v>
      </c>
      <c r="D3057" s="116">
        <v>0</v>
      </c>
      <c r="E3057" s="136" t="s">
        <v>416</v>
      </c>
      <c r="F3057" s="137" t="str">
        <f t="shared" si="162"/>
        <v/>
      </c>
      <c r="G3057" s="138" t="e">
        <f>IF(A3057&lt;&gt;"",IF(AND(#REF!="Padrão",$H$4=#REF!),BDI!$B$17,IF(AND(#REF!="Padrão",$H$4=#REF!),BDI!#REF!,IF(AND(#REF!="Diferenciado",$H$4=#REF!),BDI!$E$17,IF(AND(#REF!="Diferenciado",$H$4=#REF!),BDI!#REF!,IF(#REF!="ZERO",0))))),"")</f>
        <v>#REF!</v>
      </c>
      <c r="H3057" s="139" t="str">
        <f t="shared" si="163"/>
        <v/>
      </c>
      <c r="I3057" s="137" t="str">
        <f t="shared" si="164"/>
        <v/>
      </c>
      <c r="J3057" s="117"/>
    </row>
    <row r="3058" spans="1:10" hidden="1" x14ac:dyDescent="0.25">
      <c r="A3058" s="114" t="s">
        <v>6381</v>
      </c>
      <c r="B3058" s="115" t="s">
        <v>6382</v>
      </c>
      <c r="C3058" s="116" t="s">
        <v>16</v>
      </c>
      <c r="D3058" s="116">
        <v>0</v>
      </c>
      <c r="E3058" s="136" t="s">
        <v>416</v>
      </c>
      <c r="F3058" s="137" t="str">
        <f t="shared" si="162"/>
        <v/>
      </c>
      <c r="G3058" s="138" t="e">
        <f>IF(A3058&lt;&gt;"",IF(AND(#REF!="Padrão",$H$4=#REF!),BDI!$B$17,IF(AND(#REF!="Padrão",$H$4=#REF!),BDI!#REF!,IF(AND(#REF!="Diferenciado",$H$4=#REF!),BDI!$E$17,IF(AND(#REF!="Diferenciado",$H$4=#REF!),BDI!#REF!,IF(#REF!="ZERO",0))))),"")</f>
        <v>#REF!</v>
      </c>
      <c r="H3058" s="139" t="str">
        <f t="shared" si="163"/>
        <v/>
      </c>
      <c r="I3058" s="137" t="str">
        <f t="shared" si="164"/>
        <v/>
      </c>
      <c r="J3058" s="117"/>
    </row>
    <row r="3059" spans="1:10" hidden="1" x14ac:dyDescent="0.25">
      <c r="A3059" s="114" t="s">
        <v>6383</v>
      </c>
      <c r="B3059" s="115" t="s">
        <v>6384</v>
      </c>
      <c r="C3059" s="116" t="s">
        <v>16</v>
      </c>
      <c r="D3059" s="116">
        <v>0</v>
      </c>
      <c r="E3059" s="136" t="s">
        <v>416</v>
      </c>
      <c r="F3059" s="137" t="str">
        <f t="shared" si="162"/>
        <v/>
      </c>
      <c r="G3059" s="138" t="e">
        <f>IF(A3059&lt;&gt;"",IF(AND(#REF!="Padrão",$H$4=#REF!),BDI!$B$17,IF(AND(#REF!="Padrão",$H$4=#REF!),BDI!#REF!,IF(AND(#REF!="Diferenciado",$H$4=#REF!),BDI!$E$17,IF(AND(#REF!="Diferenciado",$H$4=#REF!),BDI!#REF!,IF(#REF!="ZERO",0))))),"")</f>
        <v>#REF!</v>
      </c>
      <c r="H3059" s="139" t="str">
        <f t="shared" si="163"/>
        <v/>
      </c>
      <c r="I3059" s="137" t="str">
        <f t="shared" si="164"/>
        <v/>
      </c>
      <c r="J3059" s="117"/>
    </row>
    <row r="3060" spans="1:10" ht="25.5" hidden="1" x14ac:dyDescent="0.25">
      <c r="A3060" s="114" t="s">
        <v>6385</v>
      </c>
      <c r="B3060" s="115" t="s">
        <v>6386</v>
      </c>
      <c r="C3060" s="116" t="s">
        <v>16</v>
      </c>
      <c r="D3060" s="116">
        <v>0</v>
      </c>
      <c r="E3060" s="136" t="s">
        <v>416</v>
      </c>
      <c r="F3060" s="137" t="str">
        <f t="shared" si="162"/>
        <v/>
      </c>
      <c r="G3060" s="138" t="e">
        <f>IF(A3060&lt;&gt;"",IF(AND(#REF!="Padrão",$H$4=#REF!),BDI!$B$17,IF(AND(#REF!="Padrão",$H$4=#REF!),BDI!#REF!,IF(AND(#REF!="Diferenciado",$H$4=#REF!),BDI!$E$17,IF(AND(#REF!="Diferenciado",$H$4=#REF!),BDI!#REF!,IF(#REF!="ZERO",0))))),"")</f>
        <v>#REF!</v>
      </c>
      <c r="H3060" s="139" t="str">
        <f t="shared" si="163"/>
        <v/>
      </c>
      <c r="I3060" s="137" t="str">
        <f t="shared" si="164"/>
        <v/>
      </c>
      <c r="J3060" s="117"/>
    </row>
    <row r="3061" spans="1:10" hidden="1" x14ac:dyDescent="0.25">
      <c r="A3061" s="114" t="s">
        <v>6387</v>
      </c>
      <c r="B3061" s="115" t="s">
        <v>6388</v>
      </c>
      <c r="C3061" s="116" t="s">
        <v>16</v>
      </c>
      <c r="D3061" s="116">
        <v>0</v>
      </c>
      <c r="E3061" s="136" t="s">
        <v>416</v>
      </c>
      <c r="F3061" s="137" t="str">
        <f t="shared" si="162"/>
        <v/>
      </c>
      <c r="G3061" s="138" t="e">
        <f>IF(A3061&lt;&gt;"",IF(AND(#REF!="Padrão",$H$4=#REF!),BDI!$B$17,IF(AND(#REF!="Padrão",$H$4=#REF!),BDI!#REF!,IF(AND(#REF!="Diferenciado",$H$4=#REF!),BDI!$E$17,IF(AND(#REF!="Diferenciado",$H$4=#REF!),BDI!#REF!,IF(#REF!="ZERO",0))))),"")</f>
        <v>#REF!</v>
      </c>
      <c r="H3061" s="139" t="str">
        <f t="shared" si="163"/>
        <v/>
      </c>
      <c r="I3061" s="137" t="str">
        <f t="shared" si="164"/>
        <v/>
      </c>
      <c r="J3061" s="117"/>
    </row>
    <row r="3062" spans="1:10" hidden="1" x14ac:dyDescent="0.25">
      <c r="A3062" s="114" t="s">
        <v>6389</v>
      </c>
      <c r="B3062" s="115" t="s">
        <v>6390</v>
      </c>
      <c r="C3062" s="116" t="s">
        <v>16</v>
      </c>
      <c r="D3062" s="116">
        <v>0</v>
      </c>
      <c r="E3062" s="136" t="s">
        <v>416</v>
      </c>
      <c r="F3062" s="137" t="str">
        <f t="shared" si="162"/>
        <v/>
      </c>
      <c r="G3062" s="138" t="e">
        <f>IF(A3062&lt;&gt;"",IF(AND(#REF!="Padrão",$H$4=#REF!),BDI!$B$17,IF(AND(#REF!="Padrão",$H$4=#REF!),BDI!#REF!,IF(AND(#REF!="Diferenciado",$H$4=#REF!),BDI!$E$17,IF(AND(#REF!="Diferenciado",$H$4=#REF!),BDI!#REF!,IF(#REF!="ZERO",0))))),"")</f>
        <v>#REF!</v>
      </c>
      <c r="H3062" s="139" t="str">
        <f t="shared" si="163"/>
        <v/>
      </c>
      <c r="I3062" s="137" t="str">
        <f t="shared" si="164"/>
        <v/>
      </c>
      <c r="J3062" s="117"/>
    </row>
    <row r="3063" spans="1:10" hidden="1" x14ac:dyDescent="0.25">
      <c r="A3063" s="114" t="s">
        <v>6391</v>
      </c>
      <c r="B3063" s="115" t="s">
        <v>6392</v>
      </c>
      <c r="C3063" s="116" t="s">
        <v>16</v>
      </c>
      <c r="D3063" s="116">
        <v>0</v>
      </c>
      <c r="E3063" s="136" t="s">
        <v>416</v>
      </c>
      <c r="F3063" s="137" t="str">
        <f t="shared" si="162"/>
        <v/>
      </c>
      <c r="G3063" s="138" t="e">
        <f>IF(A3063&lt;&gt;"",IF(AND(#REF!="Padrão",$H$4=#REF!),BDI!$B$17,IF(AND(#REF!="Padrão",$H$4=#REF!),BDI!#REF!,IF(AND(#REF!="Diferenciado",$H$4=#REF!),BDI!$E$17,IF(AND(#REF!="Diferenciado",$H$4=#REF!),BDI!#REF!,IF(#REF!="ZERO",0))))),"")</f>
        <v>#REF!</v>
      </c>
      <c r="H3063" s="139" t="str">
        <f t="shared" si="163"/>
        <v/>
      </c>
      <c r="I3063" s="137" t="str">
        <f t="shared" si="164"/>
        <v/>
      </c>
      <c r="J3063" s="117"/>
    </row>
    <row r="3064" spans="1:10" hidden="1" x14ac:dyDescent="0.25">
      <c r="A3064" s="114" t="s">
        <v>6393</v>
      </c>
      <c r="B3064" s="115" t="s">
        <v>6394</v>
      </c>
      <c r="C3064" s="116" t="s">
        <v>16</v>
      </c>
      <c r="D3064" s="116">
        <v>0</v>
      </c>
      <c r="E3064" s="136" t="s">
        <v>416</v>
      </c>
      <c r="F3064" s="137" t="str">
        <f t="shared" si="162"/>
        <v/>
      </c>
      <c r="G3064" s="138" t="e">
        <f>IF(A3064&lt;&gt;"",IF(AND(#REF!="Padrão",$H$4=#REF!),BDI!$B$17,IF(AND(#REF!="Padrão",$H$4=#REF!),BDI!#REF!,IF(AND(#REF!="Diferenciado",$H$4=#REF!),BDI!$E$17,IF(AND(#REF!="Diferenciado",$H$4=#REF!),BDI!#REF!,IF(#REF!="ZERO",0))))),"")</f>
        <v>#REF!</v>
      </c>
      <c r="H3064" s="139" t="str">
        <f t="shared" si="163"/>
        <v/>
      </c>
      <c r="I3064" s="137" t="str">
        <f t="shared" si="164"/>
        <v/>
      </c>
      <c r="J3064" s="117"/>
    </row>
    <row r="3065" spans="1:10" hidden="1" x14ac:dyDescent="0.25">
      <c r="A3065" s="114" t="s">
        <v>6395</v>
      </c>
      <c r="B3065" s="115" t="s">
        <v>6396</v>
      </c>
      <c r="C3065" s="116" t="s">
        <v>16</v>
      </c>
      <c r="D3065" s="116">
        <v>0</v>
      </c>
      <c r="E3065" s="136" t="s">
        <v>416</v>
      </c>
      <c r="F3065" s="137" t="str">
        <f t="shared" si="162"/>
        <v/>
      </c>
      <c r="G3065" s="138" t="e">
        <f>IF(A3065&lt;&gt;"",IF(AND(#REF!="Padrão",$H$4=#REF!),BDI!$B$17,IF(AND(#REF!="Padrão",$H$4=#REF!),BDI!#REF!,IF(AND(#REF!="Diferenciado",$H$4=#REF!),BDI!$E$17,IF(AND(#REF!="Diferenciado",$H$4=#REF!),BDI!#REF!,IF(#REF!="ZERO",0))))),"")</f>
        <v>#REF!</v>
      </c>
      <c r="H3065" s="139" t="str">
        <f t="shared" si="163"/>
        <v/>
      </c>
      <c r="I3065" s="137" t="str">
        <f t="shared" si="164"/>
        <v/>
      </c>
      <c r="J3065" s="117"/>
    </row>
    <row r="3066" spans="1:10" hidden="1" x14ac:dyDescent="0.25">
      <c r="A3066" s="114" t="s">
        <v>6397</v>
      </c>
      <c r="B3066" s="115" t="s">
        <v>6398</v>
      </c>
      <c r="C3066" s="116" t="s">
        <v>16</v>
      </c>
      <c r="D3066" s="116">
        <v>0</v>
      </c>
      <c r="E3066" s="136" t="s">
        <v>416</v>
      </c>
      <c r="F3066" s="137" t="str">
        <f t="shared" si="162"/>
        <v/>
      </c>
      <c r="G3066" s="138" t="e">
        <f>IF(A3066&lt;&gt;"",IF(AND(#REF!="Padrão",$H$4=#REF!),BDI!$B$17,IF(AND(#REF!="Padrão",$H$4=#REF!),BDI!#REF!,IF(AND(#REF!="Diferenciado",$H$4=#REF!),BDI!$E$17,IF(AND(#REF!="Diferenciado",$H$4=#REF!),BDI!#REF!,IF(#REF!="ZERO",0))))),"")</f>
        <v>#REF!</v>
      </c>
      <c r="H3066" s="139" t="str">
        <f t="shared" si="163"/>
        <v/>
      </c>
      <c r="I3066" s="137" t="str">
        <f t="shared" si="164"/>
        <v/>
      </c>
      <c r="J3066" s="117"/>
    </row>
    <row r="3067" spans="1:10" hidden="1" x14ac:dyDescent="0.25">
      <c r="A3067" s="114" t="s">
        <v>6399</v>
      </c>
      <c r="B3067" s="115" t="s">
        <v>6400</v>
      </c>
      <c r="C3067" s="116" t="s">
        <v>16</v>
      </c>
      <c r="D3067" s="116">
        <v>0</v>
      </c>
      <c r="E3067" s="136" t="s">
        <v>416</v>
      </c>
      <c r="F3067" s="137" t="str">
        <f t="shared" si="162"/>
        <v/>
      </c>
      <c r="G3067" s="138" t="e">
        <f>IF(A3067&lt;&gt;"",IF(AND(#REF!="Padrão",$H$4=#REF!),BDI!$B$17,IF(AND(#REF!="Padrão",$H$4=#REF!),BDI!#REF!,IF(AND(#REF!="Diferenciado",$H$4=#REF!),BDI!$E$17,IF(AND(#REF!="Diferenciado",$H$4=#REF!),BDI!#REF!,IF(#REF!="ZERO",0))))),"")</f>
        <v>#REF!</v>
      </c>
      <c r="H3067" s="139" t="str">
        <f t="shared" si="163"/>
        <v/>
      </c>
      <c r="I3067" s="137" t="str">
        <f t="shared" si="164"/>
        <v/>
      </c>
      <c r="J3067" s="117"/>
    </row>
    <row r="3068" spans="1:10" hidden="1" x14ac:dyDescent="0.25">
      <c r="A3068" s="114" t="s">
        <v>6401</v>
      </c>
      <c r="B3068" s="115" t="s">
        <v>6402</v>
      </c>
      <c r="C3068" s="116" t="s">
        <v>16</v>
      </c>
      <c r="D3068" s="116">
        <v>0</v>
      </c>
      <c r="E3068" s="136" t="s">
        <v>416</v>
      </c>
      <c r="F3068" s="137" t="str">
        <f t="shared" si="162"/>
        <v/>
      </c>
      <c r="G3068" s="138" t="e">
        <f>IF(A3068&lt;&gt;"",IF(AND(#REF!="Padrão",$H$4=#REF!),BDI!$B$17,IF(AND(#REF!="Padrão",$H$4=#REF!),BDI!#REF!,IF(AND(#REF!="Diferenciado",$H$4=#REF!),BDI!$E$17,IF(AND(#REF!="Diferenciado",$H$4=#REF!),BDI!#REF!,IF(#REF!="ZERO",0))))),"")</f>
        <v>#REF!</v>
      </c>
      <c r="H3068" s="139" t="str">
        <f t="shared" si="163"/>
        <v/>
      </c>
      <c r="I3068" s="137" t="str">
        <f t="shared" si="164"/>
        <v/>
      </c>
      <c r="J3068" s="117"/>
    </row>
    <row r="3069" spans="1:10" hidden="1" x14ac:dyDescent="0.25">
      <c r="A3069" s="114" t="s">
        <v>6403</v>
      </c>
      <c r="B3069" s="115" t="s">
        <v>6404</v>
      </c>
      <c r="C3069" s="116" t="s">
        <v>16</v>
      </c>
      <c r="D3069" s="116">
        <v>0</v>
      </c>
      <c r="E3069" s="136" t="s">
        <v>416</v>
      </c>
      <c r="F3069" s="137" t="str">
        <f t="shared" si="162"/>
        <v/>
      </c>
      <c r="G3069" s="138" t="e">
        <f>IF(A3069&lt;&gt;"",IF(AND(#REF!="Padrão",$H$4=#REF!),BDI!$B$17,IF(AND(#REF!="Padrão",$H$4=#REF!),BDI!#REF!,IF(AND(#REF!="Diferenciado",$H$4=#REF!),BDI!$E$17,IF(AND(#REF!="Diferenciado",$H$4=#REF!),BDI!#REF!,IF(#REF!="ZERO",0))))),"")</f>
        <v>#REF!</v>
      </c>
      <c r="H3069" s="139" t="str">
        <f t="shared" si="163"/>
        <v/>
      </c>
      <c r="I3069" s="137" t="str">
        <f t="shared" si="164"/>
        <v/>
      </c>
      <c r="J3069" s="117"/>
    </row>
    <row r="3070" spans="1:10" hidden="1" x14ac:dyDescent="0.25">
      <c r="A3070" s="114" t="s">
        <v>6405</v>
      </c>
      <c r="B3070" s="115" t="s">
        <v>6406</v>
      </c>
      <c r="C3070" s="116" t="s">
        <v>16</v>
      </c>
      <c r="D3070" s="116">
        <v>0</v>
      </c>
      <c r="E3070" s="136" t="s">
        <v>416</v>
      </c>
      <c r="F3070" s="137" t="str">
        <f t="shared" si="162"/>
        <v/>
      </c>
      <c r="G3070" s="138" t="e">
        <f>IF(A3070&lt;&gt;"",IF(AND(#REF!="Padrão",$H$4=#REF!),BDI!$B$17,IF(AND(#REF!="Padrão",$H$4=#REF!),BDI!#REF!,IF(AND(#REF!="Diferenciado",$H$4=#REF!),BDI!$E$17,IF(AND(#REF!="Diferenciado",$H$4=#REF!),BDI!#REF!,IF(#REF!="ZERO",0))))),"")</f>
        <v>#REF!</v>
      </c>
      <c r="H3070" s="139" t="str">
        <f t="shared" si="163"/>
        <v/>
      </c>
      <c r="I3070" s="137" t="str">
        <f t="shared" si="164"/>
        <v/>
      </c>
      <c r="J3070" s="117"/>
    </row>
    <row r="3071" spans="1:10" hidden="1" x14ac:dyDescent="0.25">
      <c r="A3071" s="114" t="s">
        <v>6407</v>
      </c>
      <c r="B3071" s="115" t="s">
        <v>6408</v>
      </c>
      <c r="C3071" s="116" t="s">
        <v>16</v>
      </c>
      <c r="D3071" s="116">
        <v>0</v>
      </c>
      <c r="E3071" s="136" t="s">
        <v>416</v>
      </c>
      <c r="F3071" s="137" t="str">
        <f t="shared" si="162"/>
        <v/>
      </c>
      <c r="G3071" s="138" t="e">
        <f>IF(A3071&lt;&gt;"",IF(AND(#REF!="Padrão",$H$4=#REF!),BDI!$B$17,IF(AND(#REF!="Padrão",$H$4=#REF!),BDI!#REF!,IF(AND(#REF!="Diferenciado",$H$4=#REF!),BDI!$E$17,IF(AND(#REF!="Diferenciado",$H$4=#REF!),BDI!#REF!,IF(#REF!="ZERO",0))))),"")</f>
        <v>#REF!</v>
      </c>
      <c r="H3071" s="139" t="str">
        <f t="shared" si="163"/>
        <v/>
      </c>
      <c r="I3071" s="137" t="str">
        <f t="shared" si="164"/>
        <v/>
      </c>
      <c r="J3071" s="117"/>
    </row>
    <row r="3072" spans="1:10" hidden="1" x14ac:dyDescent="0.25">
      <c r="A3072" s="114" t="s">
        <v>6409</v>
      </c>
      <c r="B3072" s="115" t="s">
        <v>7291</v>
      </c>
      <c r="C3072" s="116" t="s">
        <v>16</v>
      </c>
      <c r="D3072" s="116">
        <v>0</v>
      </c>
      <c r="E3072" s="136" t="s">
        <v>416</v>
      </c>
      <c r="F3072" s="137" t="str">
        <f t="shared" si="162"/>
        <v/>
      </c>
      <c r="G3072" s="138" t="e">
        <f>IF(A3072&lt;&gt;"",IF(AND(#REF!="Padrão",$H$4=#REF!),BDI!$B$17,IF(AND(#REF!="Padrão",$H$4=#REF!),BDI!#REF!,IF(AND(#REF!="Diferenciado",$H$4=#REF!),BDI!$E$17,IF(AND(#REF!="Diferenciado",$H$4=#REF!),BDI!#REF!,IF(#REF!="ZERO",0))))),"")</f>
        <v>#REF!</v>
      </c>
      <c r="H3072" s="139" t="str">
        <f t="shared" si="163"/>
        <v/>
      </c>
      <c r="I3072" s="137" t="str">
        <f t="shared" si="164"/>
        <v/>
      </c>
      <c r="J3072" s="117"/>
    </row>
    <row r="3073" spans="1:10" hidden="1" x14ac:dyDescent="0.25">
      <c r="A3073" s="114" t="s">
        <v>6410</v>
      </c>
      <c r="B3073" s="115" t="s">
        <v>6411</v>
      </c>
      <c r="C3073" s="116" t="s">
        <v>16</v>
      </c>
      <c r="D3073" s="116">
        <v>0</v>
      </c>
      <c r="E3073" s="136" t="s">
        <v>416</v>
      </c>
      <c r="F3073" s="137" t="str">
        <f t="shared" si="162"/>
        <v/>
      </c>
      <c r="G3073" s="138" t="e">
        <f>IF(A3073&lt;&gt;"",IF(AND(#REF!="Padrão",$H$4=#REF!),BDI!$B$17,IF(AND(#REF!="Padrão",$H$4=#REF!),BDI!#REF!,IF(AND(#REF!="Diferenciado",$H$4=#REF!),BDI!$E$17,IF(AND(#REF!="Diferenciado",$H$4=#REF!),BDI!#REF!,IF(#REF!="ZERO",0))))),"")</f>
        <v>#REF!</v>
      </c>
      <c r="H3073" s="139" t="str">
        <f t="shared" si="163"/>
        <v/>
      </c>
      <c r="I3073" s="137" t="str">
        <f t="shared" si="164"/>
        <v/>
      </c>
      <c r="J3073" s="117"/>
    </row>
    <row r="3074" spans="1:10" hidden="1" x14ac:dyDescent="0.25">
      <c r="A3074" s="114" t="s">
        <v>6412</v>
      </c>
      <c r="B3074" s="115" t="s">
        <v>7290</v>
      </c>
      <c r="C3074" s="116" t="s">
        <v>16</v>
      </c>
      <c r="D3074" s="116">
        <v>0</v>
      </c>
      <c r="E3074" s="136" t="s">
        <v>416</v>
      </c>
      <c r="F3074" s="137" t="str">
        <f t="shared" si="162"/>
        <v/>
      </c>
      <c r="G3074" s="138" t="e">
        <f>IF(A3074&lt;&gt;"",IF(AND(#REF!="Padrão",$H$4=#REF!),BDI!$B$17,IF(AND(#REF!="Padrão",$H$4=#REF!),BDI!#REF!,IF(AND(#REF!="Diferenciado",$H$4=#REF!),BDI!$E$17,IF(AND(#REF!="Diferenciado",$H$4=#REF!),BDI!#REF!,IF(#REF!="ZERO",0))))),"")</f>
        <v>#REF!</v>
      </c>
      <c r="H3074" s="139" t="str">
        <f t="shared" si="163"/>
        <v/>
      </c>
      <c r="I3074" s="137" t="str">
        <f t="shared" si="164"/>
        <v/>
      </c>
      <c r="J3074" s="117"/>
    </row>
    <row r="3075" spans="1:10" hidden="1" x14ac:dyDescent="0.25">
      <c r="A3075" s="114" t="s">
        <v>6413</v>
      </c>
      <c r="B3075" s="115" t="s">
        <v>7289</v>
      </c>
      <c r="C3075" s="116" t="s">
        <v>16</v>
      </c>
      <c r="D3075" s="116">
        <v>0</v>
      </c>
      <c r="E3075" s="136" t="s">
        <v>416</v>
      </c>
      <c r="F3075" s="137" t="str">
        <f t="shared" si="162"/>
        <v/>
      </c>
      <c r="G3075" s="138" t="e">
        <f>IF(A3075&lt;&gt;"",IF(AND(#REF!="Padrão",$H$4=#REF!),BDI!$B$17,IF(AND(#REF!="Padrão",$H$4=#REF!),BDI!#REF!,IF(AND(#REF!="Diferenciado",$H$4=#REF!),BDI!$E$17,IF(AND(#REF!="Diferenciado",$H$4=#REF!),BDI!#REF!,IF(#REF!="ZERO",0))))),"")</f>
        <v>#REF!</v>
      </c>
      <c r="H3075" s="139" t="str">
        <f t="shared" si="163"/>
        <v/>
      </c>
      <c r="I3075" s="137" t="str">
        <f t="shared" si="164"/>
        <v/>
      </c>
      <c r="J3075" s="117"/>
    </row>
    <row r="3076" spans="1:10" hidden="1" x14ac:dyDescent="0.25">
      <c r="A3076" s="114" t="s">
        <v>6414</v>
      </c>
      <c r="B3076" s="115" t="s">
        <v>6415</v>
      </c>
      <c r="C3076" s="116" t="s">
        <v>16</v>
      </c>
      <c r="D3076" s="116">
        <v>0</v>
      </c>
      <c r="E3076" s="136" t="s">
        <v>416</v>
      </c>
      <c r="F3076" s="137" t="str">
        <f t="shared" si="162"/>
        <v/>
      </c>
      <c r="G3076" s="138" t="e">
        <f>IF(A3076&lt;&gt;"",IF(AND(#REF!="Padrão",$H$4=#REF!),BDI!$B$17,IF(AND(#REF!="Padrão",$H$4=#REF!),BDI!#REF!,IF(AND(#REF!="Diferenciado",$H$4=#REF!),BDI!$E$17,IF(AND(#REF!="Diferenciado",$H$4=#REF!),BDI!#REF!,IF(#REF!="ZERO",0))))),"")</f>
        <v>#REF!</v>
      </c>
      <c r="H3076" s="139" t="str">
        <f t="shared" si="163"/>
        <v/>
      </c>
      <c r="I3076" s="137" t="str">
        <f t="shared" si="164"/>
        <v/>
      </c>
      <c r="J3076" s="117"/>
    </row>
    <row r="3077" spans="1:10" hidden="1" x14ac:dyDescent="0.25">
      <c r="A3077" s="114" t="s">
        <v>6416</v>
      </c>
      <c r="B3077" s="115" t="s">
        <v>6417</v>
      </c>
      <c r="C3077" s="116" t="s">
        <v>16</v>
      </c>
      <c r="D3077" s="116">
        <v>0</v>
      </c>
      <c r="E3077" s="136" t="s">
        <v>416</v>
      </c>
      <c r="F3077" s="137" t="str">
        <f t="shared" si="162"/>
        <v/>
      </c>
      <c r="G3077" s="138" t="e">
        <f>IF(A3077&lt;&gt;"",IF(AND(#REF!="Padrão",$H$4=#REF!),BDI!$B$17,IF(AND(#REF!="Padrão",$H$4=#REF!),BDI!#REF!,IF(AND(#REF!="Diferenciado",$H$4=#REF!),BDI!$E$17,IF(AND(#REF!="Diferenciado",$H$4=#REF!),BDI!#REF!,IF(#REF!="ZERO",0))))),"")</f>
        <v>#REF!</v>
      </c>
      <c r="H3077" s="139" t="str">
        <f t="shared" si="163"/>
        <v/>
      </c>
      <c r="I3077" s="137" t="str">
        <f t="shared" si="164"/>
        <v/>
      </c>
      <c r="J3077" s="117"/>
    </row>
    <row r="3078" spans="1:10" hidden="1" x14ac:dyDescent="0.25">
      <c r="A3078" s="114" t="s">
        <v>6418</v>
      </c>
      <c r="B3078" s="115" t="s">
        <v>6419</v>
      </c>
      <c r="C3078" s="116" t="s">
        <v>16</v>
      </c>
      <c r="D3078" s="116">
        <v>0</v>
      </c>
      <c r="E3078" s="136" t="s">
        <v>416</v>
      </c>
      <c r="F3078" s="137" t="str">
        <f t="shared" si="162"/>
        <v/>
      </c>
      <c r="G3078" s="138" t="e">
        <f>IF(A3078&lt;&gt;"",IF(AND(#REF!="Padrão",$H$4=#REF!),BDI!$B$17,IF(AND(#REF!="Padrão",$H$4=#REF!),BDI!#REF!,IF(AND(#REF!="Diferenciado",$H$4=#REF!),BDI!$E$17,IF(AND(#REF!="Diferenciado",$H$4=#REF!),BDI!#REF!,IF(#REF!="ZERO",0))))),"")</f>
        <v>#REF!</v>
      </c>
      <c r="H3078" s="139" t="str">
        <f t="shared" si="163"/>
        <v/>
      </c>
      <c r="I3078" s="137" t="str">
        <f t="shared" si="164"/>
        <v/>
      </c>
      <c r="J3078" s="117"/>
    </row>
    <row r="3079" spans="1:10" hidden="1" x14ac:dyDescent="0.25">
      <c r="A3079" s="114" t="s">
        <v>6420</v>
      </c>
      <c r="B3079" s="115" t="s">
        <v>6421</v>
      </c>
      <c r="C3079" s="116" t="s">
        <v>16</v>
      </c>
      <c r="D3079" s="116">
        <v>0</v>
      </c>
      <c r="E3079" s="136" t="s">
        <v>416</v>
      </c>
      <c r="F3079" s="137" t="str">
        <f t="shared" si="162"/>
        <v/>
      </c>
      <c r="G3079" s="138" t="e">
        <f>IF(A3079&lt;&gt;"",IF(AND(#REF!="Padrão",$H$4=#REF!),BDI!$B$17,IF(AND(#REF!="Padrão",$H$4=#REF!),BDI!#REF!,IF(AND(#REF!="Diferenciado",$H$4=#REF!),BDI!$E$17,IF(AND(#REF!="Diferenciado",$H$4=#REF!),BDI!#REF!,IF(#REF!="ZERO",0))))),"")</f>
        <v>#REF!</v>
      </c>
      <c r="H3079" s="139" t="str">
        <f t="shared" si="163"/>
        <v/>
      </c>
      <c r="I3079" s="137" t="str">
        <f t="shared" si="164"/>
        <v/>
      </c>
      <c r="J3079" s="117"/>
    </row>
    <row r="3080" spans="1:10" hidden="1" x14ac:dyDescent="0.25">
      <c r="A3080" s="114" t="s">
        <v>6422</v>
      </c>
      <c r="B3080" s="115" t="s">
        <v>7288</v>
      </c>
      <c r="C3080" s="116" t="s">
        <v>1683</v>
      </c>
      <c r="D3080" s="116">
        <v>0</v>
      </c>
      <c r="E3080" s="136" t="s">
        <v>416</v>
      </c>
      <c r="F3080" s="137" t="str">
        <f t="shared" si="162"/>
        <v/>
      </c>
      <c r="G3080" s="138" t="e">
        <f>IF(A3080&lt;&gt;"",IF(AND(#REF!="Padrão",$H$4=#REF!),BDI!$B$17,IF(AND(#REF!="Padrão",$H$4=#REF!),BDI!#REF!,IF(AND(#REF!="Diferenciado",$H$4=#REF!),BDI!$E$17,IF(AND(#REF!="Diferenciado",$H$4=#REF!),BDI!#REF!,IF(#REF!="ZERO",0))))),"")</f>
        <v>#REF!</v>
      </c>
      <c r="H3080" s="139" t="str">
        <f t="shared" si="163"/>
        <v/>
      </c>
      <c r="I3080" s="137" t="str">
        <f t="shared" si="164"/>
        <v/>
      </c>
      <c r="J3080" s="117"/>
    </row>
    <row r="3081" spans="1:10" hidden="1" x14ac:dyDescent="0.25">
      <c r="A3081" s="114" t="s">
        <v>6423</v>
      </c>
      <c r="B3081" s="115" t="s">
        <v>6424</v>
      </c>
      <c r="C3081" s="116" t="s">
        <v>16</v>
      </c>
      <c r="D3081" s="116">
        <v>0</v>
      </c>
      <c r="E3081" s="136" t="s">
        <v>416</v>
      </c>
      <c r="F3081" s="137" t="str">
        <f t="shared" si="162"/>
        <v/>
      </c>
      <c r="G3081" s="138" t="e">
        <f>IF(A3081&lt;&gt;"",IF(AND(#REF!="Padrão",$H$4=#REF!),BDI!$B$17,IF(AND(#REF!="Padrão",$H$4=#REF!),BDI!#REF!,IF(AND(#REF!="Diferenciado",$H$4=#REF!),BDI!$E$17,IF(AND(#REF!="Diferenciado",$H$4=#REF!),BDI!#REF!,IF(#REF!="ZERO",0))))),"")</f>
        <v>#REF!</v>
      </c>
      <c r="H3081" s="139" t="str">
        <f t="shared" si="163"/>
        <v/>
      </c>
      <c r="I3081" s="137" t="str">
        <f t="shared" si="164"/>
        <v/>
      </c>
      <c r="J3081" s="117"/>
    </row>
    <row r="3082" spans="1:10" ht="25.5" hidden="1" x14ac:dyDescent="0.25">
      <c r="A3082" s="114" t="s">
        <v>6425</v>
      </c>
      <c r="B3082" s="115" t="s">
        <v>6426</v>
      </c>
      <c r="C3082" s="116" t="s">
        <v>2373</v>
      </c>
      <c r="D3082" s="116">
        <v>0</v>
      </c>
      <c r="E3082" s="136" t="s">
        <v>416</v>
      </c>
      <c r="F3082" s="137" t="str">
        <f t="shared" si="162"/>
        <v/>
      </c>
      <c r="G3082" s="138" t="e">
        <f>IF(A3082&lt;&gt;"",IF(AND(#REF!="Padrão",$H$4=#REF!),BDI!$B$17,IF(AND(#REF!="Padrão",$H$4=#REF!),BDI!#REF!,IF(AND(#REF!="Diferenciado",$H$4=#REF!),BDI!$E$17,IF(AND(#REF!="Diferenciado",$H$4=#REF!),BDI!#REF!,IF(#REF!="ZERO",0))))),"")</f>
        <v>#REF!</v>
      </c>
      <c r="H3082" s="139" t="str">
        <f t="shared" si="163"/>
        <v/>
      </c>
      <c r="I3082" s="137" t="str">
        <f t="shared" si="164"/>
        <v/>
      </c>
      <c r="J3082" s="117"/>
    </row>
    <row r="3083" spans="1:10" hidden="1" x14ac:dyDescent="0.25">
      <c r="A3083" s="114" t="s">
        <v>6427</v>
      </c>
      <c r="B3083" s="115" t="s">
        <v>6428</v>
      </c>
      <c r="C3083" s="116" t="s">
        <v>2373</v>
      </c>
      <c r="D3083" s="116">
        <v>0</v>
      </c>
      <c r="E3083" s="136" t="s">
        <v>416</v>
      </c>
      <c r="F3083" s="137" t="str">
        <f t="shared" si="162"/>
        <v/>
      </c>
      <c r="G3083" s="138" t="e">
        <f>IF(A3083&lt;&gt;"",IF(AND(#REF!="Padrão",$H$4=#REF!),BDI!$B$17,IF(AND(#REF!="Padrão",$H$4=#REF!),BDI!#REF!,IF(AND(#REF!="Diferenciado",$H$4=#REF!),BDI!$E$17,IF(AND(#REF!="Diferenciado",$H$4=#REF!),BDI!#REF!,IF(#REF!="ZERO",0))))),"")</f>
        <v>#REF!</v>
      </c>
      <c r="H3083" s="139" t="str">
        <f t="shared" si="163"/>
        <v/>
      </c>
      <c r="I3083" s="137" t="str">
        <f t="shared" si="164"/>
        <v/>
      </c>
      <c r="J3083" s="117"/>
    </row>
    <row r="3084" spans="1:10" hidden="1" x14ac:dyDescent="0.25">
      <c r="A3084" s="114" t="s">
        <v>6429</v>
      </c>
      <c r="B3084" s="115" t="s">
        <v>6430</v>
      </c>
      <c r="C3084" s="116" t="s">
        <v>16</v>
      </c>
      <c r="D3084" s="116">
        <v>0</v>
      </c>
      <c r="E3084" s="136" t="s">
        <v>416</v>
      </c>
      <c r="F3084" s="137" t="str">
        <f t="shared" si="162"/>
        <v/>
      </c>
      <c r="G3084" s="138" t="e">
        <f>IF(A3084&lt;&gt;"",IF(AND(#REF!="Padrão",$H$4=#REF!),BDI!$B$17,IF(AND(#REF!="Padrão",$H$4=#REF!),BDI!#REF!,IF(AND(#REF!="Diferenciado",$H$4=#REF!),BDI!$E$17,IF(AND(#REF!="Diferenciado",$H$4=#REF!),BDI!#REF!,IF(#REF!="ZERO",0))))),"")</f>
        <v>#REF!</v>
      </c>
      <c r="H3084" s="139" t="str">
        <f t="shared" si="163"/>
        <v/>
      </c>
      <c r="I3084" s="137" t="str">
        <f t="shared" si="164"/>
        <v/>
      </c>
      <c r="J3084" s="117"/>
    </row>
    <row r="3085" spans="1:10" hidden="1" x14ac:dyDescent="0.25">
      <c r="A3085" s="114" t="s">
        <v>6431</v>
      </c>
      <c r="B3085" s="115" t="s">
        <v>6432</v>
      </c>
      <c r="C3085" s="116" t="s">
        <v>2373</v>
      </c>
      <c r="D3085" s="116">
        <v>0</v>
      </c>
      <c r="E3085" s="136" t="s">
        <v>416</v>
      </c>
      <c r="F3085" s="137" t="str">
        <f t="shared" si="162"/>
        <v/>
      </c>
      <c r="G3085" s="138" t="e">
        <f>IF(A3085&lt;&gt;"",IF(AND(#REF!="Padrão",$H$4=#REF!),BDI!$B$17,IF(AND(#REF!="Padrão",$H$4=#REF!),BDI!#REF!,IF(AND(#REF!="Diferenciado",$H$4=#REF!),BDI!$E$17,IF(AND(#REF!="Diferenciado",$H$4=#REF!),BDI!#REF!,IF(#REF!="ZERO",0))))),"")</f>
        <v>#REF!</v>
      </c>
      <c r="H3085" s="139" t="str">
        <f t="shared" si="163"/>
        <v/>
      </c>
      <c r="I3085" s="137" t="str">
        <f t="shared" si="164"/>
        <v/>
      </c>
      <c r="J3085" s="117"/>
    </row>
    <row r="3086" spans="1:10" hidden="1" x14ac:dyDescent="0.25">
      <c r="A3086" s="114" t="s">
        <v>6433</v>
      </c>
      <c r="B3086" s="115" t="s">
        <v>6434</v>
      </c>
      <c r="C3086" s="116" t="s">
        <v>69</v>
      </c>
      <c r="D3086" s="116">
        <v>0</v>
      </c>
      <c r="E3086" s="136" t="s">
        <v>416</v>
      </c>
      <c r="F3086" s="137" t="str">
        <f t="shared" si="162"/>
        <v/>
      </c>
      <c r="G3086" s="138" t="e">
        <f>IF(A3086&lt;&gt;"",IF(AND(#REF!="Padrão",$H$4=#REF!),BDI!$B$17,IF(AND(#REF!="Padrão",$H$4=#REF!),BDI!#REF!,IF(AND(#REF!="Diferenciado",$H$4=#REF!),BDI!$E$17,IF(AND(#REF!="Diferenciado",$H$4=#REF!),BDI!#REF!,IF(#REF!="ZERO",0))))),"")</f>
        <v>#REF!</v>
      </c>
      <c r="H3086" s="139" t="str">
        <f t="shared" si="163"/>
        <v/>
      </c>
      <c r="I3086" s="137" t="str">
        <f t="shared" si="164"/>
        <v/>
      </c>
      <c r="J3086" s="117"/>
    </row>
    <row r="3087" spans="1:10" hidden="1" x14ac:dyDescent="0.25">
      <c r="A3087" s="114" t="s">
        <v>6435</v>
      </c>
      <c r="B3087" s="115" t="s">
        <v>6436</v>
      </c>
      <c r="C3087" s="116" t="s">
        <v>16</v>
      </c>
      <c r="D3087" s="116">
        <v>0</v>
      </c>
      <c r="E3087" s="136" t="s">
        <v>416</v>
      </c>
      <c r="F3087" s="137" t="str">
        <f t="shared" si="162"/>
        <v/>
      </c>
      <c r="G3087" s="138" t="e">
        <f>IF(A3087&lt;&gt;"",IF(AND(#REF!="Padrão",$H$4=#REF!),BDI!$B$17,IF(AND(#REF!="Padrão",$H$4=#REF!),BDI!#REF!,IF(AND(#REF!="Diferenciado",$H$4=#REF!),BDI!$E$17,IF(AND(#REF!="Diferenciado",$H$4=#REF!),BDI!#REF!,IF(#REF!="ZERO",0))))),"")</f>
        <v>#REF!</v>
      </c>
      <c r="H3087" s="139" t="str">
        <f t="shared" si="163"/>
        <v/>
      </c>
      <c r="I3087" s="137" t="str">
        <f t="shared" si="164"/>
        <v/>
      </c>
      <c r="J3087" s="117"/>
    </row>
    <row r="3088" spans="1:10" hidden="1" x14ac:dyDescent="0.25">
      <c r="A3088" s="114" t="s">
        <v>6437</v>
      </c>
      <c r="B3088" s="115" t="s">
        <v>6438</v>
      </c>
      <c r="C3088" s="116" t="s">
        <v>16</v>
      </c>
      <c r="D3088" s="116">
        <v>0</v>
      </c>
      <c r="E3088" s="136" t="s">
        <v>416</v>
      </c>
      <c r="F3088" s="137" t="str">
        <f t="shared" si="162"/>
        <v/>
      </c>
      <c r="G3088" s="138" t="e">
        <f>IF(A3088&lt;&gt;"",IF(AND(#REF!="Padrão",$H$4=#REF!),BDI!$B$17,IF(AND(#REF!="Padrão",$H$4=#REF!),BDI!#REF!,IF(AND(#REF!="Diferenciado",$H$4=#REF!),BDI!$E$17,IF(AND(#REF!="Diferenciado",$H$4=#REF!),BDI!#REF!,IF(#REF!="ZERO",0))))),"")</f>
        <v>#REF!</v>
      </c>
      <c r="H3088" s="139" t="str">
        <f t="shared" si="163"/>
        <v/>
      </c>
      <c r="I3088" s="137" t="str">
        <f t="shared" si="164"/>
        <v/>
      </c>
      <c r="J3088" s="117"/>
    </row>
    <row r="3089" spans="1:10" hidden="1" x14ac:dyDescent="0.25">
      <c r="A3089" s="114" t="s">
        <v>6439</v>
      </c>
      <c r="B3089" s="115" t="s">
        <v>6440</v>
      </c>
      <c r="C3089" s="116" t="s">
        <v>2177</v>
      </c>
      <c r="D3089" s="116">
        <v>0</v>
      </c>
      <c r="E3089" s="136">
        <f ca="1">OFFSET(INDEX(Composições!A:J,MATCH(Orçamentária!A3089,Composições!A:A,0),8),2,0)</f>
        <v>12375.49610285</v>
      </c>
      <c r="F3089" s="137">
        <f t="shared" ca="1" si="162"/>
        <v>0</v>
      </c>
      <c r="G3089" s="138" t="e">
        <f>IF(A3089&lt;&gt;"",IF(AND(#REF!="Padrão",$H$4=#REF!),BDI!$B$17,IF(AND(#REF!="Padrão",$H$4=#REF!),BDI!#REF!,IF(AND(#REF!="Diferenciado",$H$4=#REF!),BDI!$E$17,IF(AND(#REF!="Diferenciado",$H$4=#REF!),BDI!#REF!,IF(#REF!="ZERO",0))))),"")</f>
        <v>#REF!</v>
      </c>
      <c r="H3089" s="139" t="e">
        <f t="shared" ca="1" si="163"/>
        <v>#REF!</v>
      </c>
      <c r="I3089" s="137" t="e">
        <f t="shared" ca="1" si="164"/>
        <v>#REF!</v>
      </c>
      <c r="J3089" s="117"/>
    </row>
    <row r="3090" spans="1:10" hidden="1" x14ac:dyDescent="0.25">
      <c r="A3090" s="114" t="s">
        <v>6441</v>
      </c>
      <c r="B3090" s="115" t="s">
        <v>6442</v>
      </c>
      <c r="C3090" s="116" t="s">
        <v>2177</v>
      </c>
      <c r="D3090" s="116">
        <v>0</v>
      </c>
      <c r="E3090" s="136">
        <f ca="1">OFFSET(INDEX(Composições!A:J,MATCH(Orçamentária!A3090,Composições!A:A,0),8),2,0)</f>
        <v>12375.49610285</v>
      </c>
      <c r="F3090" s="137">
        <f t="shared" ca="1" si="162"/>
        <v>0</v>
      </c>
      <c r="G3090" s="138" t="e">
        <f>IF(A3090&lt;&gt;"",IF(AND(#REF!="Padrão",$H$4=#REF!),BDI!$B$17,IF(AND(#REF!="Padrão",$H$4=#REF!),BDI!#REF!,IF(AND(#REF!="Diferenciado",$H$4=#REF!),BDI!$E$17,IF(AND(#REF!="Diferenciado",$H$4=#REF!),BDI!#REF!,IF(#REF!="ZERO",0))))),"")</f>
        <v>#REF!</v>
      </c>
      <c r="H3090" s="139" t="e">
        <f t="shared" ca="1" si="163"/>
        <v>#REF!</v>
      </c>
      <c r="I3090" s="137" t="e">
        <f t="shared" ca="1" si="164"/>
        <v>#REF!</v>
      </c>
      <c r="J3090" s="117"/>
    </row>
    <row r="3091" spans="1:10" hidden="1" x14ac:dyDescent="0.25">
      <c r="A3091" s="114" t="s">
        <v>6443</v>
      </c>
      <c r="B3091" s="115" t="s">
        <v>6444</v>
      </c>
      <c r="C3091" s="116" t="s">
        <v>2177</v>
      </c>
      <c r="D3091" s="116">
        <v>0</v>
      </c>
      <c r="E3091" s="136">
        <f ca="1">OFFSET(INDEX(Composições!A:J,MATCH(Orçamentária!A3091,Composições!A:A,0),8),2,0)</f>
        <v>2294.4844096499996</v>
      </c>
      <c r="F3091" s="137">
        <f t="shared" ca="1" si="162"/>
        <v>0</v>
      </c>
      <c r="G3091" s="138" t="e">
        <f>IF(A3091&lt;&gt;"",IF(AND(#REF!="Padrão",$H$4=#REF!),BDI!$B$17,IF(AND(#REF!="Padrão",$H$4=#REF!),BDI!#REF!,IF(AND(#REF!="Diferenciado",$H$4=#REF!),BDI!$E$17,IF(AND(#REF!="Diferenciado",$H$4=#REF!),BDI!#REF!,IF(#REF!="ZERO",0))))),"")</f>
        <v>#REF!</v>
      </c>
      <c r="H3091" s="139" t="e">
        <f t="shared" ca="1" si="163"/>
        <v>#REF!</v>
      </c>
      <c r="I3091" s="137" t="e">
        <f t="shared" ca="1" si="164"/>
        <v>#REF!</v>
      </c>
      <c r="J3091" s="117"/>
    </row>
    <row r="3092" spans="1:10" hidden="1" x14ac:dyDescent="0.25">
      <c r="A3092" s="114" t="s">
        <v>6445</v>
      </c>
      <c r="B3092" s="115" t="s">
        <v>6446</v>
      </c>
      <c r="C3092" s="116" t="s">
        <v>2177</v>
      </c>
      <c r="D3092" s="116">
        <v>0</v>
      </c>
      <c r="E3092" s="136">
        <f ca="1">OFFSET(INDEX(Composições!A:J,MATCH(Orçamentária!A3092,Composições!A:A,0),8),2,0)</f>
        <v>2805.6959339499999</v>
      </c>
      <c r="F3092" s="137">
        <f t="shared" ca="1" si="162"/>
        <v>0</v>
      </c>
      <c r="G3092" s="138" t="e">
        <f>IF(A3092&lt;&gt;"",IF(AND(#REF!="Padrão",$H$4=#REF!),BDI!$B$17,IF(AND(#REF!="Padrão",$H$4=#REF!),BDI!#REF!,IF(AND(#REF!="Diferenciado",$H$4=#REF!),BDI!$E$17,IF(AND(#REF!="Diferenciado",$H$4=#REF!),BDI!#REF!,IF(#REF!="ZERO",0))))),"")</f>
        <v>#REF!</v>
      </c>
      <c r="H3092" s="139" t="e">
        <f t="shared" ca="1" si="163"/>
        <v>#REF!</v>
      </c>
      <c r="I3092" s="137" t="e">
        <f t="shared" ca="1" si="164"/>
        <v>#REF!</v>
      </c>
      <c r="J3092" s="117"/>
    </row>
    <row r="3093" spans="1:10" hidden="1" x14ac:dyDescent="0.25">
      <c r="A3093" s="114" t="s">
        <v>6447</v>
      </c>
      <c r="B3093" s="115" t="s">
        <v>6448</v>
      </c>
      <c r="C3093" s="116" t="s">
        <v>2177</v>
      </c>
      <c r="D3093" s="116">
        <v>0</v>
      </c>
      <c r="E3093" s="136">
        <f ca="1">OFFSET(INDEX(Composições!A:J,MATCH(Orçamentária!A3093,Composições!A:A,0),8),2,0)</f>
        <v>1331.7358580499999</v>
      </c>
      <c r="F3093" s="137">
        <f t="shared" ca="1" si="162"/>
        <v>0</v>
      </c>
      <c r="G3093" s="138" t="e">
        <f>IF(A3093&lt;&gt;"",IF(AND(#REF!="Padrão",$H$4=#REF!),BDI!$B$17,IF(AND(#REF!="Padrão",$H$4=#REF!),BDI!#REF!,IF(AND(#REF!="Diferenciado",$H$4=#REF!),BDI!$E$17,IF(AND(#REF!="Diferenciado",$H$4=#REF!),BDI!#REF!,IF(#REF!="ZERO",0))))),"")</f>
        <v>#REF!</v>
      </c>
      <c r="H3093" s="139" t="e">
        <f t="shared" ca="1" si="163"/>
        <v>#REF!</v>
      </c>
      <c r="I3093" s="137" t="e">
        <f t="shared" ca="1" si="164"/>
        <v>#REF!</v>
      </c>
      <c r="J3093" s="117"/>
    </row>
    <row r="3094" spans="1:10" hidden="1" x14ac:dyDescent="0.25">
      <c r="A3094" s="114" t="s">
        <v>6449</v>
      </c>
      <c r="B3094" s="115" t="s">
        <v>6450</v>
      </c>
      <c r="C3094" s="116" t="s">
        <v>2177</v>
      </c>
      <c r="D3094" s="116">
        <v>0</v>
      </c>
      <c r="E3094" s="136">
        <f ca="1">OFFSET(INDEX(Composições!A:J,MATCH(Orçamentária!A3094,Composições!A:A,0),8),2,0)</f>
        <v>2805.6959339499999</v>
      </c>
      <c r="F3094" s="137">
        <f t="shared" ca="1" si="162"/>
        <v>0</v>
      </c>
      <c r="G3094" s="138" t="e">
        <f>IF(A3094&lt;&gt;"",IF(AND(#REF!="Padrão",$H$4=#REF!),BDI!$B$17,IF(AND(#REF!="Padrão",$H$4=#REF!),BDI!#REF!,IF(AND(#REF!="Diferenciado",$H$4=#REF!),BDI!$E$17,IF(AND(#REF!="Diferenciado",$H$4=#REF!),BDI!#REF!,IF(#REF!="ZERO",0))))),"")</f>
        <v>#REF!</v>
      </c>
      <c r="H3094" s="139" t="e">
        <f t="shared" ca="1" si="163"/>
        <v>#REF!</v>
      </c>
      <c r="I3094" s="137" t="e">
        <f t="shared" ca="1" si="164"/>
        <v>#REF!</v>
      </c>
      <c r="J3094" s="117"/>
    </row>
    <row r="3095" spans="1:10" hidden="1" x14ac:dyDescent="0.25">
      <c r="A3095" s="114" t="s">
        <v>6451</v>
      </c>
      <c r="B3095" s="115" t="s">
        <v>6452</v>
      </c>
      <c r="C3095" s="116" t="s">
        <v>2177</v>
      </c>
      <c r="D3095" s="116">
        <v>0</v>
      </c>
      <c r="E3095" s="136">
        <f ca="1">OFFSET(INDEX(Composições!A:J,MATCH(Orçamentária!A3095,Composições!A:A,0),8),2,0)</f>
        <v>2805.6959339499999</v>
      </c>
      <c r="F3095" s="137">
        <f t="shared" ref="F3095:F3119" ca="1" si="165">IF(ISNUMBER(E3095),D3095*E3095,"")</f>
        <v>0</v>
      </c>
      <c r="G3095" s="138" t="e">
        <f>IF(A3095&lt;&gt;"",IF(AND(#REF!="Padrão",$H$4=#REF!),BDI!$B$17,IF(AND(#REF!="Padrão",$H$4=#REF!),BDI!#REF!,IF(AND(#REF!="Diferenciado",$H$4=#REF!),BDI!$E$17,IF(AND(#REF!="Diferenciado",$H$4=#REF!),BDI!#REF!,IF(#REF!="ZERO",0))))),"")</f>
        <v>#REF!</v>
      </c>
      <c r="H3095" s="139" t="e">
        <f t="shared" ref="H3095:H3119" ca="1" si="166">IF(ISNUMBER(E3095),ROUND(E3095*(1+G3095),2),"")</f>
        <v>#REF!</v>
      </c>
      <c r="I3095" s="137" t="e">
        <f t="shared" ref="I3095:I3119" ca="1" si="167">IF(ISNUMBER(E3095),ROUND(H3095*D3095,2),"")</f>
        <v>#REF!</v>
      </c>
      <c r="J3095" s="117"/>
    </row>
    <row r="3096" spans="1:10" hidden="1" x14ac:dyDescent="0.25">
      <c r="A3096" s="114" t="s">
        <v>6453</v>
      </c>
      <c r="B3096" s="115" t="s">
        <v>6454</v>
      </c>
      <c r="C3096" s="116" t="s">
        <v>2177</v>
      </c>
      <c r="D3096" s="116">
        <v>0</v>
      </c>
      <c r="E3096" s="136">
        <f ca="1">OFFSET(INDEX(Composições!A:J,MATCH(Orçamentária!A3096,Composições!A:A,0),8),2,0)</f>
        <v>2215.9129886000001</v>
      </c>
      <c r="F3096" s="137">
        <f t="shared" ca="1" si="165"/>
        <v>0</v>
      </c>
      <c r="G3096" s="138" t="e">
        <f>IF(A3096&lt;&gt;"",IF(AND(#REF!="Padrão",$H$4=#REF!),BDI!$B$17,IF(AND(#REF!="Padrão",$H$4=#REF!),BDI!#REF!,IF(AND(#REF!="Diferenciado",$H$4=#REF!),BDI!$E$17,IF(AND(#REF!="Diferenciado",$H$4=#REF!),BDI!#REF!,IF(#REF!="ZERO",0))))),"")</f>
        <v>#REF!</v>
      </c>
      <c r="H3096" s="139" t="e">
        <f t="shared" ca="1" si="166"/>
        <v>#REF!</v>
      </c>
      <c r="I3096" s="137" t="e">
        <f t="shared" ca="1" si="167"/>
        <v>#REF!</v>
      </c>
      <c r="J3096" s="117"/>
    </row>
    <row r="3097" spans="1:10" hidden="1" x14ac:dyDescent="0.25">
      <c r="A3097" s="114" t="s">
        <v>6455</v>
      </c>
      <c r="B3097" s="115" t="s">
        <v>6456</v>
      </c>
      <c r="C3097" s="116" t="s">
        <v>2177</v>
      </c>
      <c r="D3097" s="116">
        <v>0</v>
      </c>
      <c r="E3097" s="136">
        <f ca="1">OFFSET(INDEX(Composições!A:J,MATCH(Orçamentária!A3097,Composições!A:A,0),8),2,0)</f>
        <v>2215.9129886000001</v>
      </c>
      <c r="F3097" s="137">
        <f t="shared" ca="1" si="165"/>
        <v>0</v>
      </c>
      <c r="G3097" s="138" t="e">
        <f>IF(A3097&lt;&gt;"",IF(AND(#REF!="Padrão",$H$4=#REF!),BDI!$B$17,IF(AND(#REF!="Padrão",$H$4=#REF!),BDI!#REF!,IF(AND(#REF!="Diferenciado",$H$4=#REF!),BDI!$E$17,IF(AND(#REF!="Diferenciado",$H$4=#REF!),BDI!#REF!,IF(#REF!="ZERO",0))))),"")</f>
        <v>#REF!</v>
      </c>
      <c r="H3097" s="139" t="e">
        <f t="shared" ca="1" si="166"/>
        <v>#REF!</v>
      </c>
      <c r="I3097" s="137" t="e">
        <f t="shared" ca="1" si="167"/>
        <v>#REF!</v>
      </c>
      <c r="J3097" s="117"/>
    </row>
    <row r="3098" spans="1:10" hidden="1" x14ac:dyDescent="0.25">
      <c r="A3098" s="114" t="s">
        <v>6457</v>
      </c>
      <c r="B3098" s="115" t="s">
        <v>6458</v>
      </c>
      <c r="C3098" s="116" t="s">
        <v>2177</v>
      </c>
      <c r="D3098" s="116">
        <v>0</v>
      </c>
      <c r="E3098" s="136">
        <f ca="1">OFFSET(INDEX(Composições!A:J,MATCH(Orçamentária!A3098,Composições!A:A,0),8),2,0)</f>
        <v>2215.9129886000001</v>
      </c>
      <c r="F3098" s="137">
        <f t="shared" ca="1" si="165"/>
        <v>0</v>
      </c>
      <c r="G3098" s="138" t="e">
        <f>IF(A3098&lt;&gt;"",IF(AND(#REF!="Padrão",$H$4=#REF!),BDI!$B$17,IF(AND(#REF!="Padrão",$H$4=#REF!),BDI!#REF!,IF(AND(#REF!="Diferenciado",$H$4=#REF!),BDI!$E$17,IF(AND(#REF!="Diferenciado",$H$4=#REF!),BDI!#REF!,IF(#REF!="ZERO",0))))),"")</f>
        <v>#REF!</v>
      </c>
      <c r="H3098" s="139" t="e">
        <f t="shared" ca="1" si="166"/>
        <v>#REF!</v>
      </c>
      <c r="I3098" s="137" t="e">
        <f t="shared" ca="1" si="167"/>
        <v>#REF!</v>
      </c>
      <c r="J3098" s="117"/>
    </row>
    <row r="3099" spans="1:10" hidden="1" x14ac:dyDescent="0.25">
      <c r="A3099" s="114" t="s">
        <v>6459</v>
      </c>
      <c r="B3099" s="115" t="s">
        <v>6460</v>
      </c>
      <c r="C3099" s="116" t="s">
        <v>16</v>
      </c>
      <c r="D3099" s="116">
        <v>0</v>
      </c>
      <c r="E3099" s="136" t="s">
        <v>416</v>
      </c>
      <c r="F3099" s="137" t="str">
        <f t="shared" si="165"/>
        <v/>
      </c>
      <c r="G3099" s="138" t="e">
        <f>IF(A3099&lt;&gt;"",IF(AND(#REF!="Padrão",$H$4=#REF!),BDI!$B$17,IF(AND(#REF!="Padrão",$H$4=#REF!),BDI!#REF!,IF(AND(#REF!="Diferenciado",$H$4=#REF!),BDI!$E$17,IF(AND(#REF!="Diferenciado",$H$4=#REF!),BDI!#REF!,IF(#REF!="ZERO",0))))),"")</f>
        <v>#REF!</v>
      </c>
      <c r="H3099" s="139" t="str">
        <f t="shared" si="166"/>
        <v/>
      </c>
      <c r="I3099" s="137" t="str">
        <f t="shared" si="167"/>
        <v/>
      </c>
      <c r="J3099" s="117"/>
    </row>
    <row r="3100" spans="1:10" hidden="1" x14ac:dyDescent="0.25">
      <c r="A3100" s="114" t="s">
        <v>6461</v>
      </c>
      <c r="B3100" s="115" t="s">
        <v>7287</v>
      </c>
      <c r="C3100" s="116" t="s">
        <v>16</v>
      </c>
      <c r="D3100" s="116">
        <v>0</v>
      </c>
      <c r="E3100" s="136">
        <f ca="1">OFFSET(INDEX(Composições!A:J,MATCH(Orçamentária!A3100,Composições!A:A,0),8),2,0)</f>
        <v>584.62049999999999</v>
      </c>
      <c r="F3100" s="137">
        <f t="shared" ca="1" si="165"/>
        <v>0</v>
      </c>
      <c r="G3100" s="138" t="e">
        <f>IF(A3100&lt;&gt;"",IF(AND(#REF!="Padrão",$H$4=#REF!),BDI!$B$17,IF(AND(#REF!="Padrão",$H$4=#REF!),BDI!#REF!,IF(AND(#REF!="Diferenciado",$H$4=#REF!),BDI!$E$17,IF(AND(#REF!="Diferenciado",$H$4=#REF!),BDI!#REF!,IF(#REF!="ZERO",0))))),"")</f>
        <v>#REF!</v>
      </c>
      <c r="H3100" s="139" t="e">
        <f t="shared" ca="1" si="166"/>
        <v>#REF!</v>
      </c>
      <c r="I3100" s="137" t="e">
        <f t="shared" ca="1" si="167"/>
        <v>#REF!</v>
      </c>
      <c r="J3100" s="117"/>
    </row>
    <row r="3101" spans="1:10" hidden="1" x14ac:dyDescent="0.25">
      <c r="A3101" s="114" t="s">
        <v>6462</v>
      </c>
      <c r="B3101" s="115" t="s">
        <v>6463</v>
      </c>
      <c r="C3101" s="116" t="s">
        <v>16</v>
      </c>
      <c r="D3101" s="116">
        <v>0</v>
      </c>
      <c r="E3101" s="136">
        <f ca="1">OFFSET(INDEX(Composições!A:J,MATCH(Orçamentária!A3101,Composições!A:A,0),8),2,0)</f>
        <v>172.62450000000001</v>
      </c>
      <c r="F3101" s="137">
        <f t="shared" ca="1" si="165"/>
        <v>0</v>
      </c>
      <c r="G3101" s="138" t="e">
        <f>IF(A3101&lt;&gt;"",IF(AND(#REF!="Padrão",$H$4=#REF!),BDI!$B$17,IF(AND(#REF!="Padrão",$H$4=#REF!),BDI!#REF!,IF(AND(#REF!="Diferenciado",$H$4=#REF!),BDI!$E$17,IF(AND(#REF!="Diferenciado",$H$4=#REF!),BDI!#REF!,IF(#REF!="ZERO",0))))),"")</f>
        <v>#REF!</v>
      </c>
      <c r="H3101" s="139" t="e">
        <f t="shared" ca="1" si="166"/>
        <v>#REF!</v>
      </c>
      <c r="I3101" s="137" t="e">
        <f t="shared" ca="1" si="167"/>
        <v>#REF!</v>
      </c>
      <c r="J3101" s="117"/>
    </row>
    <row r="3102" spans="1:10" hidden="1" x14ac:dyDescent="0.25">
      <c r="A3102" s="114" t="s">
        <v>6464</v>
      </c>
      <c r="B3102" s="115" t="s">
        <v>6465</v>
      </c>
      <c r="C3102" s="116" t="s">
        <v>16</v>
      </c>
      <c r="D3102" s="116">
        <v>0</v>
      </c>
      <c r="E3102" s="136" t="s">
        <v>416</v>
      </c>
      <c r="F3102" s="137" t="str">
        <f t="shared" si="165"/>
        <v/>
      </c>
      <c r="G3102" s="138" t="e">
        <f>IF(A3102&lt;&gt;"",IF(AND(#REF!="Padrão",$H$4=#REF!),BDI!$B$17,IF(AND(#REF!="Padrão",$H$4=#REF!),BDI!#REF!,IF(AND(#REF!="Diferenciado",$H$4=#REF!),BDI!$E$17,IF(AND(#REF!="Diferenciado",$H$4=#REF!),BDI!#REF!,IF(#REF!="ZERO",0))))),"")</f>
        <v>#REF!</v>
      </c>
      <c r="H3102" s="139" t="str">
        <f t="shared" si="166"/>
        <v/>
      </c>
      <c r="I3102" s="137" t="str">
        <f t="shared" si="167"/>
        <v/>
      </c>
      <c r="J3102" s="117"/>
    </row>
    <row r="3103" spans="1:10" hidden="1" x14ac:dyDescent="0.25">
      <c r="A3103" s="114" t="s">
        <v>6466</v>
      </c>
      <c r="B3103" s="115" t="s">
        <v>6467</v>
      </c>
      <c r="C3103" s="116" t="s">
        <v>16</v>
      </c>
      <c r="D3103" s="116">
        <v>0</v>
      </c>
      <c r="E3103" s="136" t="s">
        <v>416</v>
      </c>
      <c r="F3103" s="137" t="str">
        <f t="shared" si="165"/>
        <v/>
      </c>
      <c r="G3103" s="138" t="e">
        <f>IF(A3103&lt;&gt;"",IF(AND(#REF!="Padrão",$H$4=#REF!),BDI!$B$17,IF(AND(#REF!="Padrão",$H$4=#REF!),BDI!#REF!,IF(AND(#REF!="Diferenciado",$H$4=#REF!),BDI!$E$17,IF(AND(#REF!="Diferenciado",$H$4=#REF!),BDI!#REF!,IF(#REF!="ZERO",0))))),"")</f>
        <v>#REF!</v>
      </c>
      <c r="H3103" s="139" t="str">
        <f t="shared" si="166"/>
        <v/>
      </c>
      <c r="I3103" s="137" t="str">
        <f t="shared" si="167"/>
        <v/>
      </c>
      <c r="J3103" s="117"/>
    </row>
    <row r="3104" spans="1:10" hidden="1" x14ac:dyDescent="0.25">
      <c r="A3104" s="114" t="s">
        <v>6468</v>
      </c>
      <c r="B3104" s="115" t="s">
        <v>6469</v>
      </c>
      <c r="C3104" s="116" t="s">
        <v>16</v>
      </c>
      <c r="D3104" s="116">
        <v>0</v>
      </c>
      <c r="E3104" s="136" t="s">
        <v>416</v>
      </c>
      <c r="F3104" s="137" t="str">
        <f t="shared" si="165"/>
        <v/>
      </c>
      <c r="G3104" s="138" t="e">
        <f>IF(A3104&lt;&gt;"",IF(AND(#REF!="Padrão",$H$4=#REF!),BDI!$B$17,IF(AND(#REF!="Padrão",$H$4=#REF!),BDI!#REF!,IF(AND(#REF!="Diferenciado",$H$4=#REF!),BDI!$E$17,IF(AND(#REF!="Diferenciado",$H$4=#REF!),BDI!#REF!,IF(#REF!="ZERO",0))))),"")</f>
        <v>#REF!</v>
      </c>
      <c r="H3104" s="139" t="str">
        <f t="shared" si="166"/>
        <v/>
      </c>
      <c r="I3104" s="137" t="str">
        <f t="shared" si="167"/>
        <v/>
      </c>
      <c r="J3104" s="117"/>
    </row>
    <row r="3105" spans="1:10" hidden="1" x14ac:dyDescent="0.25">
      <c r="A3105" s="114" t="s">
        <v>6470</v>
      </c>
      <c r="B3105" s="115" t="s">
        <v>6471</v>
      </c>
      <c r="C3105" s="116" t="s">
        <v>16</v>
      </c>
      <c r="D3105" s="116">
        <v>0</v>
      </c>
      <c r="E3105" s="136" t="s">
        <v>416</v>
      </c>
      <c r="F3105" s="137" t="str">
        <f t="shared" si="165"/>
        <v/>
      </c>
      <c r="G3105" s="138" t="e">
        <f>IF(A3105&lt;&gt;"",IF(AND(#REF!="Padrão",$H$4=#REF!),BDI!$B$17,IF(AND(#REF!="Padrão",$H$4=#REF!),BDI!#REF!,IF(AND(#REF!="Diferenciado",$H$4=#REF!),BDI!$E$17,IF(AND(#REF!="Diferenciado",$H$4=#REF!),BDI!#REF!,IF(#REF!="ZERO",0))))),"")</f>
        <v>#REF!</v>
      </c>
      <c r="H3105" s="139" t="str">
        <f t="shared" si="166"/>
        <v/>
      </c>
      <c r="I3105" s="137" t="str">
        <f t="shared" si="167"/>
        <v/>
      </c>
      <c r="J3105" s="117"/>
    </row>
    <row r="3106" spans="1:10" hidden="1" x14ac:dyDescent="0.25">
      <c r="A3106" s="114" t="s">
        <v>6472</v>
      </c>
      <c r="B3106" s="115" t="s">
        <v>6473</v>
      </c>
      <c r="C3106" s="116" t="s">
        <v>16</v>
      </c>
      <c r="D3106" s="116">
        <v>0</v>
      </c>
      <c r="E3106" s="136" t="s">
        <v>416</v>
      </c>
      <c r="F3106" s="137" t="str">
        <f t="shared" si="165"/>
        <v/>
      </c>
      <c r="G3106" s="138" t="e">
        <f>IF(A3106&lt;&gt;"",IF(AND(#REF!="Padrão",$H$4=#REF!),BDI!$B$17,IF(AND(#REF!="Padrão",$H$4=#REF!),BDI!#REF!,IF(AND(#REF!="Diferenciado",$H$4=#REF!),BDI!$E$17,IF(AND(#REF!="Diferenciado",$H$4=#REF!),BDI!#REF!,IF(#REF!="ZERO",0))))),"")</f>
        <v>#REF!</v>
      </c>
      <c r="H3106" s="139" t="str">
        <f t="shared" si="166"/>
        <v/>
      </c>
      <c r="I3106" s="137" t="str">
        <f t="shared" si="167"/>
        <v/>
      </c>
      <c r="J3106" s="117"/>
    </row>
    <row r="3107" spans="1:10" hidden="1" x14ac:dyDescent="0.25">
      <c r="A3107" s="114" t="s">
        <v>6474</v>
      </c>
      <c r="B3107" s="115" t="s">
        <v>6475</v>
      </c>
      <c r="C3107" s="116" t="s">
        <v>16</v>
      </c>
      <c r="D3107" s="116">
        <v>0</v>
      </c>
      <c r="E3107" s="136" t="s">
        <v>416</v>
      </c>
      <c r="F3107" s="137" t="str">
        <f t="shared" si="165"/>
        <v/>
      </c>
      <c r="G3107" s="138" t="e">
        <f>IF(A3107&lt;&gt;"",IF(AND(#REF!="Padrão",$H$4=#REF!),BDI!$B$17,IF(AND(#REF!="Padrão",$H$4=#REF!),BDI!#REF!,IF(AND(#REF!="Diferenciado",$H$4=#REF!),BDI!$E$17,IF(AND(#REF!="Diferenciado",$H$4=#REF!),BDI!#REF!,IF(#REF!="ZERO",0))))),"")</f>
        <v>#REF!</v>
      </c>
      <c r="H3107" s="139" t="str">
        <f t="shared" si="166"/>
        <v/>
      </c>
      <c r="I3107" s="137" t="str">
        <f t="shared" si="167"/>
        <v/>
      </c>
      <c r="J3107" s="117"/>
    </row>
    <row r="3108" spans="1:10" hidden="1" x14ac:dyDescent="0.25">
      <c r="A3108" s="114" t="s">
        <v>6476</v>
      </c>
      <c r="B3108" s="115" t="s">
        <v>6477</v>
      </c>
      <c r="C3108" s="116" t="s">
        <v>16</v>
      </c>
      <c r="D3108" s="116">
        <v>0</v>
      </c>
      <c r="E3108" s="136" t="s">
        <v>416</v>
      </c>
      <c r="F3108" s="137" t="str">
        <f t="shared" si="165"/>
        <v/>
      </c>
      <c r="G3108" s="138" t="e">
        <f>IF(A3108&lt;&gt;"",IF(AND(#REF!="Padrão",$H$4=#REF!),BDI!$B$17,IF(AND(#REF!="Padrão",$H$4=#REF!),BDI!#REF!,IF(AND(#REF!="Diferenciado",$H$4=#REF!),BDI!$E$17,IF(AND(#REF!="Diferenciado",$H$4=#REF!),BDI!#REF!,IF(#REF!="ZERO",0))))),"")</f>
        <v>#REF!</v>
      </c>
      <c r="H3108" s="139" t="str">
        <f t="shared" si="166"/>
        <v/>
      </c>
      <c r="I3108" s="137" t="str">
        <f t="shared" si="167"/>
        <v/>
      </c>
      <c r="J3108" s="117"/>
    </row>
    <row r="3109" spans="1:10" hidden="1" x14ac:dyDescent="0.25">
      <c r="A3109" s="114" t="s">
        <v>6478</v>
      </c>
      <c r="B3109" s="115" t="s">
        <v>6479</v>
      </c>
      <c r="C3109" s="116" t="s">
        <v>16</v>
      </c>
      <c r="D3109" s="116">
        <v>0</v>
      </c>
      <c r="E3109" s="136" t="s">
        <v>416</v>
      </c>
      <c r="F3109" s="137" t="str">
        <f t="shared" si="165"/>
        <v/>
      </c>
      <c r="G3109" s="138" t="e">
        <f>IF(A3109&lt;&gt;"",IF(AND(#REF!="Padrão",$H$4=#REF!),BDI!$B$17,IF(AND(#REF!="Padrão",$H$4=#REF!),BDI!#REF!,IF(AND(#REF!="Diferenciado",$H$4=#REF!),BDI!$E$17,IF(AND(#REF!="Diferenciado",$H$4=#REF!),BDI!#REF!,IF(#REF!="ZERO",0))))),"")</f>
        <v>#REF!</v>
      </c>
      <c r="H3109" s="139" t="str">
        <f t="shared" si="166"/>
        <v/>
      </c>
      <c r="I3109" s="137" t="str">
        <f t="shared" si="167"/>
        <v/>
      </c>
      <c r="J3109" s="117"/>
    </row>
    <row r="3110" spans="1:10" hidden="1" x14ac:dyDescent="0.25">
      <c r="A3110" s="114" t="s">
        <v>6480</v>
      </c>
      <c r="B3110" s="115" t="s">
        <v>6481</v>
      </c>
      <c r="C3110" s="116" t="s">
        <v>16</v>
      </c>
      <c r="D3110" s="116">
        <v>0</v>
      </c>
      <c r="E3110" s="136" t="s">
        <v>416</v>
      </c>
      <c r="F3110" s="137" t="str">
        <f t="shared" si="165"/>
        <v/>
      </c>
      <c r="G3110" s="138" t="e">
        <f>IF(A3110&lt;&gt;"",IF(AND(#REF!="Padrão",$H$4=#REF!),BDI!$B$17,IF(AND(#REF!="Padrão",$H$4=#REF!),BDI!#REF!,IF(AND(#REF!="Diferenciado",$H$4=#REF!),BDI!$E$17,IF(AND(#REF!="Diferenciado",$H$4=#REF!),BDI!#REF!,IF(#REF!="ZERO",0))))),"")</f>
        <v>#REF!</v>
      </c>
      <c r="H3110" s="139" t="str">
        <f t="shared" si="166"/>
        <v/>
      </c>
      <c r="I3110" s="137" t="str">
        <f t="shared" si="167"/>
        <v/>
      </c>
      <c r="J3110" s="117"/>
    </row>
    <row r="3111" spans="1:10" hidden="1" x14ac:dyDescent="0.25">
      <c r="A3111" s="114" t="s">
        <v>6482</v>
      </c>
      <c r="B3111" s="115" t="s">
        <v>6483</v>
      </c>
      <c r="C3111" s="116" t="s">
        <v>16</v>
      </c>
      <c r="D3111" s="116">
        <v>0</v>
      </c>
      <c r="E3111" s="136" t="s">
        <v>416</v>
      </c>
      <c r="F3111" s="137" t="str">
        <f t="shared" si="165"/>
        <v/>
      </c>
      <c r="G3111" s="138" t="e">
        <f>IF(A3111&lt;&gt;"",IF(AND(#REF!="Padrão",$H$4=#REF!),BDI!$B$17,IF(AND(#REF!="Padrão",$H$4=#REF!),BDI!#REF!,IF(AND(#REF!="Diferenciado",$H$4=#REF!),BDI!$E$17,IF(AND(#REF!="Diferenciado",$H$4=#REF!),BDI!#REF!,IF(#REF!="ZERO",0))))),"")</f>
        <v>#REF!</v>
      </c>
      <c r="H3111" s="139" t="str">
        <f t="shared" si="166"/>
        <v/>
      </c>
      <c r="I3111" s="137" t="str">
        <f t="shared" si="167"/>
        <v/>
      </c>
      <c r="J3111" s="117"/>
    </row>
    <row r="3112" spans="1:10" hidden="1" x14ac:dyDescent="0.25">
      <c r="A3112" s="114" t="s">
        <v>6484</v>
      </c>
      <c r="B3112" s="115" t="s">
        <v>6485</v>
      </c>
      <c r="C3112" s="116" t="s">
        <v>16</v>
      </c>
      <c r="D3112" s="116">
        <v>0</v>
      </c>
      <c r="E3112" s="136" t="s">
        <v>416</v>
      </c>
      <c r="F3112" s="137" t="str">
        <f t="shared" si="165"/>
        <v/>
      </c>
      <c r="G3112" s="138" t="e">
        <f>IF(A3112&lt;&gt;"",IF(AND(#REF!="Padrão",$H$4=#REF!),BDI!$B$17,IF(AND(#REF!="Padrão",$H$4=#REF!),BDI!#REF!,IF(AND(#REF!="Diferenciado",$H$4=#REF!),BDI!$E$17,IF(AND(#REF!="Diferenciado",$H$4=#REF!),BDI!#REF!,IF(#REF!="ZERO",0))))),"")</f>
        <v>#REF!</v>
      </c>
      <c r="H3112" s="139" t="str">
        <f t="shared" si="166"/>
        <v/>
      </c>
      <c r="I3112" s="137" t="str">
        <f t="shared" si="167"/>
        <v/>
      </c>
      <c r="J3112" s="117"/>
    </row>
    <row r="3113" spans="1:10" hidden="1" x14ac:dyDescent="0.25">
      <c r="A3113" s="114" t="s">
        <v>6486</v>
      </c>
      <c r="B3113" s="115" t="s">
        <v>7283</v>
      </c>
      <c r="C3113" s="116" t="s">
        <v>16</v>
      </c>
      <c r="D3113" s="116">
        <v>0</v>
      </c>
      <c r="E3113" s="136" t="s">
        <v>416</v>
      </c>
      <c r="F3113" s="137" t="str">
        <f t="shared" si="165"/>
        <v/>
      </c>
      <c r="G3113" s="138" t="e">
        <f>IF(A3113&lt;&gt;"",IF(AND(#REF!="Padrão",$H$4=#REF!),BDI!$B$17,IF(AND(#REF!="Padrão",$H$4=#REF!),BDI!#REF!,IF(AND(#REF!="Diferenciado",$H$4=#REF!),BDI!$E$17,IF(AND(#REF!="Diferenciado",$H$4=#REF!),BDI!#REF!,IF(#REF!="ZERO",0))))),"")</f>
        <v>#REF!</v>
      </c>
      <c r="H3113" s="139" t="str">
        <f t="shared" si="166"/>
        <v/>
      </c>
      <c r="I3113" s="137" t="str">
        <f t="shared" si="167"/>
        <v/>
      </c>
      <c r="J3113" s="117"/>
    </row>
    <row r="3114" spans="1:10" hidden="1" x14ac:dyDescent="0.25">
      <c r="A3114" s="114" t="s">
        <v>6487</v>
      </c>
      <c r="B3114" s="115" t="s">
        <v>7284</v>
      </c>
      <c r="C3114" s="116" t="s">
        <v>16</v>
      </c>
      <c r="D3114" s="116">
        <v>0</v>
      </c>
      <c r="E3114" s="136" t="s">
        <v>416</v>
      </c>
      <c r="F3114" s="137" t="str">
        <f t="shared" si="165"/>
        <v/>
      </c>
      <c r="G3114" s="138" t="e">
        <f>IF(A3114&lt;&gt;"",IF(AND(#REF!="Padrão",$H$4=#REF!),BDI!$B$17,IF(AND(#REF!="Padrão",$H$4=#REF!),BDI!#REF!,IF(AND(#REF!="Diferenciado",$H$4=#REF!),BDI!$E$17,IF(AND(#REF!="Diferenciado",$H$4=#REF!),BDI!#REF!,IF(#REF!="ZERO",0))))),"")</f>
        <v>#REF!</v>
      </c>
      <c r="H3114" s="139" t="str">
        <f t="shared" si="166"/>
        <v/>
      </c>
      <c r="I3114" s="137" t="str">
        <f t="shared" si="167"/>
        <v/>
      </c>
      <c r="J3114" s="117"/>
    </row>
    <row r="3115" spans="1:10" hidden="1" x14ac:dyDescent="0.25">
      <c r="A3115" s="114" t="s">
        <v>6488</v>
      </c>
      <c r="B3115" s="115" t="s">
        <v>7285</v>
      </c>
      <c r="C3115" s="116" t="s">
        <v>16</v>
      </c>
      <c r="D3115" s="116">
        <v>0</v>
      </c>
      <c r="E3115" s="136" t="s">
        <v>416</v>
      </c>
      <c r="F3115" s="137" t="str">
        <f t="shared" si="165"/>
        <v/>
      </c>
      <c r="G3115" s="138" t="e">
        <f>IF(A3115&lt;&gt;"",IF(AND(#REF!="Padrão",$H$4=#REF!),BDI!$B$17,IF(AND(#REF!="Padrão",$H$4=#REF!),BDI!#REF!,IF(AND(#REF!="Diferenciado",$H$4=#REF!),BDI!$E$17,IF(AND(#REF!="Diferenciado",$H$4=#REF!),BDI!#REF!,IF(#REF!="ZERO",0))))),"")</f>
        <v>#REF!</v>
      </c>
      <c r="H3115" s="139" t="str">
        <f t="shared" si="166"/>
        <v/>
      </c>
      <c r="I3115" s="137" t="str">
        <f t="shared" si="167"/>
        <v/>
      </c>
      <c r="J3115" s="117"/>
    </row>
    <row r="3116" spans="1:10" hidden="1" x14ac:dyDescent="0.25">
      <c r="A3116" s="114" t="s">
        <v>6489</v>
      </c>
      <c r="B3116" s="115" t="s">
        <v>7286</v>
      </c>
      <c r="C3116" s="116" t="s">
        <v>16</v>
      </c>
      <c r="D3116" s="116">
        <v>0</v>
      </c>
      <c r="E3116" s="136">
        <f ca="1">OFFSET(INDEX(Composições!A:J,MATCH(Orçamentária!A3116,Composições!A:A,0),8),2,0)</f>
        <v>64.115499999999997</v>
      </c>
      <c r="F3116" s="137">
        <f t="shared" ca="1" si="165"/>
        <v>0</v>
      </c>
      <c r="G3116" s="138" t="e">
        <f>IF(A3116&lt;&gt;"",IF(AND(#REF!="Padrão",$H$4=#REF!),BDI!$B$17,IF(AND(#REF!="Padrão",$H$4=#REF!),BDI!#REF!,IF(AND(#REF!="Diferenciado",$H$4=#REF!),BDI!$E$17,IF(AND(#REF!="Diferenciado",$H$4=#REF!),BDI!#REF!,IF(#REF!="ZERO",0))))),"")</f>
        <v>#REF!</v>
      </c>
      <c r="H3116" s="139" t="e">
        <f t="shared" ca="1" si="166"/>
        <v>#REF!</v>
      </c>
      <c r="I3116" s="137" t="e">
        <f t="shared" ca="1" si="167"/>
        <v>#REF!</v>
      </c>
      <c r="J3116" s="117"/>
    </row>
    <row r="3117" spans="1:10" hidden="1" x14ac:dyDescent="0.25">
      <c r="A3117" s="114" t="s">
        <v>6490</v>
      </c>
      <c r="B3117" s="115" t="s">
        <v>6491</v>
      </c>
      <c r="C3117" s="116" t="s">
        <v>69</v>
      </c>
      <c r="D3117" s="116">
        <v>0</v>
      </c>
      <c r="E3117" s="136">
        <f ca="1">OFFSET(INDEX(Composições!A:J,MATCH(Orçamentária!A3117,Composições!A:A,0),8),2,0)</f>
        <v>54.786499999999997</v>
      </c>
      <c r="F3117" s="137">
        <f t="shared" ca="1" si="165"/>
        <v>0</v>
      </c>
      <c r="G3117" s="138" t="e">
        <f>IF(A3117&lt;&gt;"",IF(AND(#REF!="Padrão",$H$4=#REF!),BDI!$B$17,IF(AND(#REF!="Padrão",$H$4=#REF!),BDI!#REF!,IF(AND(#REF!="Diferenciado",$H$4=#REF!),BDI!$E$17,IF(AND(#REF!="Diferenciado",$H$4=#REF!),BDI!#REF!,IF(#REF!="ZERO",0))))),"")</f>
        <v>#REF!</v>
      </c>
      <c r="H3117" s="139" t="e">
        <f t="shared" ca="1" si="166"/>
        <v>#REF!</v>
      </c>
      <c r="I3117" s="137" t="e">
        <f t="shared" ca="1" si="167"/>
        <v>#REF!</v>
      </c>
      <c r="J3117" s="117"/>
    </row>
    <row r="3118" spans="1:10" hidden="1" x14ac:dyDescent="0.25">
      <c r="A3118" s="114" t="s">
        <v>6492</v>
      </c>
      <c r="B3118" s="115" t="s">
        <v>6493</v>
      </c>
      <c r="C3118" s="116" t="s">
        <v>16</v>
      </c>
      <c r="D3118" s="116">
        <v>0</v>
      </c>
      <c r="E3118" s="136" t="s">
        <v>416</v>
      </c>
      <c r="F3118" s="137" t="str">
        <f t="shared" si="165"/>
        <v/>
      </c>
      <c r="G3118" s="138" t="e">
        <f>IF(A3118&lt;&gt;"",IF(AND(#REF!="Padrão",$H$4=#REF!),BDI!$B$17,IF(AND(#REF!="Padrão",$H$4=#REF!),BDI!#REF!,IF(AND(#REF!="Diferenciado",$H$4=#REF!),BDI!$E$17,IF(AND(#REF!="Diferenciado",$H$4=#REF!),BDI!#REF!,IF(#REF!="ZERO",0))))),"")</f>
        <v>#REF!</v>
      </c>
      <c r="H3118" s="139" t="str">
        <f t="shared" si="166"/>
        <v/>
      </c>
      <c r="I3118" s="137" t="str">
        <f t="shared" si="167"/>
        <v/>
      </c>
      <c r="J3118" s="117"/>
    </row>
    <row r="3119" spans="1:10" hidden="1" x14ac:dyDescent="0.25">
      <c r="A3119" s="114" t="s">
        <v>6494</v>
      </c>
      <c r="B3119" s="115" t="s">
        <v>6495</v>
      </c>
      <c r="C3119" s="116" t="s">
        <v>16</v>
      </c>
      <c r="D3119" s="116">
        <v>0</v>
      </c>
      <c r="E3119" s="136" t="s">
        <v>416</v>
      </c>
      <c r="F3119" s="137" t="str">
        <f t="shared" si="165"/>
        <v/>
      </c>
      <c r="G3119" s="138" t="e">
        <f>IF(A3119&lt;&gt;"",IF(AND(#REF!="Padrão",$H$4=#REF!),BDI!$B$17,IF(AND(#REF!="Padrão",$H$4=#REF!),BDI!#REF!,IF(AND(#REF!="Diferenciado",$H$4=#REF!),BDI!$E$17,IF(AND(#REF!="Diferenciado",$H$4=#REF!),BDI!#REF!,IF(#REF!="ZERO",0))))),"")</f>
        <v>#REF!</v>
      </c>
      <c r="H3119" s="139" t="str">
        <f t="shared" si="166"/>
        <v/>
      </c>
      <c r="I3119" s="137" t="str">
        <f t="shared" si="167"/>
        <v/>
      </c>
      <c r="J3119" s="117"/>
    </row>
    <row r="3120" spans="1:10" hidden="1" x14ac:dyDescent="0.25">
      <c r="A3120" s="114" t="s">
        <v>6496</v>
      </c>
      <c r="B3120" s="115" t="s">
        <v>6588</v>
      </c>
      <c r="C3120" s="116" t="s">
        <v>1683</v>
      </c>
      <c r="D3120" s="116">
        <v>0</v>
      </c>
      <c r="E3120" s="136" t="s">
        <v>416</v>
      </c>
      <c r="F3120" s="137" t="str">
        <f t="shared" ref="F3120:F3128" si="168">IF(ISNUMBER(E3120),D3120*E3120,"")</f>
        <v/>
      </c>
      <c r="G3120" s="138" t="e">
        <f>IF(A3120&lt;&gt;"",IF(AND(#REF!="Padrão",$H$4=#REF!),BDI!$B$17,IF(AND(#REF!="Padrão",$H$4=#REF!),BDI!#REF!,IF(AND(#REF!="Diferenciado",$H$4=#REF!),BDI!$E$17,IF(AND(#REF!="Diferenciado",$H$4=#REF!),BDI!#REF!,IF(#REF!="ZERO",0))))),"")</f>
        <v>#REF!</v>
      </c>
      <c r="H3120" s="139" t="str">
        <f t="shared" ref="H3120:H3128" si="169">IF(ISNUMBER(E3120),ROUND(E3120*(1+G3120),2),"")</f>
        <v/>
      </c>
      <c r="I3120" s="137" t="str">
        <f t="shared" ref="I3120:I3128" si="170">IF(ISNUMBER(E3120),ROUND(H3120*D3120,2),"")</f>
        <v/>
      </c>
      <c r="J3120" s="117"/>
    </row>
    <row r="3121" spans="1:10" hidden="1" x14ac:dyDescent="0.25">
      <c r="A3121" s="114" t="s">
        <v>6497</v>
      </c>
      <c r="B3121" s="115" t="s">
        <v>6589</v>
      </c>
      <c r="C3121" s="116" t="s">
        <v>16</v>
      </c>
      <c r="D3121" s="116">
        <v>0</v>
      </c>
      <c r="E3121" s="136" t="s">
        <v>416</v>
      </c>
      <c r="F3121" s="137" t="str">
        <f t="shared" si="168"/>
        <v/>
      </c>
      <c r="G3121" s="138" t="e">
        <f>IF(A3121&lt;&gt;"",IF(AND(#REF!="Padrão",$H$4=#REF!),BDI!$B$17,IF(AND(#REF!="Padrão",$H$4=#REF!),BDI!#REF!,IF(AND(#REF!="Diferenciado",$H$4=#REF!),BDI!$E$17,IF(AND(#REF!="Diferenciado",$H$4=#REF!),BDI!#REF!,IF(#REF!="ZERO",0))))),"")</f>
        <v>#REF!</v>
      </c>
      <c r="H3121" s="139" t="str">
        <f t="shared" si="169"/>
        <v/>
      </c>
      <c r="I3121" s="137" t="str">
        <f t="shared" si="170"/>
        <v/>
      </c>
      <c r="J3121" s="117"/>
    </row>
    <row r="3122" spans="1:10" hidden="1" x14ac:dyDescent="0.25">
      <c r="A3122" s="114" t="s">
        <v>6498</v>
      </c>
      <c r="B3122" s="115" t="s">
        <v>6590</v>
      </c>
      <c r="C3122" s="116" t="s">
        <v>16</v>
      </c>
      <c r="D3122" s="116">
        <v>0</v>
      </c>
      <c r="E3122" s="136" t="s">
        <v>416</v>
      </c>
      <c r="F3122" s="137" t="str">
        <f t="shared" si="168"/>
        <v/>
      </c>
      <c r="G3122" s="138" t="e">
        <f>IF(A3122&lt;&gt;"",IF(AND(#REF!="Padrão",$H$4=#REF!),BDI!$B$17,IF(AND(#REF!="Padrão",$H$4=#REF!),BDI!#REF!,IF(AND(#REF!="Diferenciado",$H$4=#REF!),BDI!$E$17,IF(AND(#REF!="Diferenciado",$H$4=#REF!),BDI!#REF!,IF(#REF!="ZERO",0))))),"")</f>
        <v>#REF!</v>
      </c>
      <c r="H3122" s="139" t="str">
        <f t="shared" si="169"/>
        <v/>
      </c>
      <c r="I3122" s="137" t="str">
        <f t="shared" si="170"/>
        <v/>
      </c>
      <c r="J3122" s="117"/>
    </row>
    <row r="3123" spans="1:10" hidden="1" x14ac:dyDescent="0.25">
      <c r="A3123" s="114" t="s">
        <v>6499</v>
      </c>
      <c r="B3123" s="115" t="s">
        <v>6591</v>
      </c>
      <c r="C3123" s="116" t="s">
        <v>16</v>
      </c>
      <c r="D3123" s="116">
        <v>0</v>
      </c>
      <c r="E3123" s="136" t="s">
        <v>416</v>
      </c>
      <c r="F3123" s="137" t="str">
        <f t="shared" si="168"/>
        <v/>
      </c>
      <c r="G3123" s="138" t="e">
        <f>IF(A3123&lt;&gt;"",IF(AND(#REF!="Padrão",$H$4=#REF!),BDI!$B$17,IF(AND(#REF!="Padrão",$H$4=#REF!),BDI!#REF!,IF(AND(#REF!="Diferenciado",$H$4=#REF!),BDI!$E$17,IF(AND(#REF!="Diferenciado",$H$4=#REF!),BDI!#REF!,IF(#REF!="ZERO",0))))),"")</f>
        <v>#REF!</v>
      </c>
      <c r="H3123" s="139" t="str">
        <f t="shared" si="169"/>
        <v/>
      </c>
      <c r="I3123" s="137" t="str">
        <f t="shared" si="170"/>
        <v/>
      </c>
      <c r="J3123" s="117"/>
    </row>
    <row r="3124" spans="1:10" hidden="1" x14ac:dyDescent="0.25">
      <c r="A3124" s="114" t="s">
        <v>6500</v>
      </c>
      <c r="B3124" s="115" t="s">
        <v>6592</v>
      </c>
      <c r="C3124" s="116" t="s">
        <v>16</v>
      </c>
      <c r="D3124" s="116">
        <v>0</v>
      </c>
      <c r="E3124" s="136" t="s">
        <v>416</v>
      </c>
      <c r="F3124" s="137" t="str">
        <f t="shared" si="168"/>
        <v/>
      </c>
      <c r="G3124" s="138" t="e">
        <f>IF(A3124&lt;&gt;"",IF(AND(#REF!="Padrão",$H$4=#REF!),BDI!$B$17,IF(AND(#REF!="Padrão",$H$4=#REF!),BDI!#REF!,IF(AND(#REF!="Diferenciado",$H$4=#REF!),BDI!$E$17,IF(AND(#REF!="Diferenciado",$H$4=#REF!),BDI!#REF!,IF(#REF!="ZERO",0))))),"")</f>
        <v>#REF!</v>
      </c>
      <c r="H3124" s="139" t="str">
        <f t="shared" si="169"/>
        <v/>
      </c>
      <c r="I3124" s="137" t="str">
        <f t="shared" si="170"/>
        <v/>
      </c>
      <c r="J3124" s="117"/>
    </row>
    <row r="3125" spans="1:10" hidden="1" x14ac:dyDescent="0.25">
      <c r="A3125" s="114" t="s">
        <v>6501</v>
      </c>
      <c r="B3125" s="115" t="s">
        <v>6593</v>
      </c>
      <c r="C3125" s="116" t="s">
        <v>16</v>
      </c>
      <c r="D3125" s="116">
        <v>0</v>
      </c>
      <c r="E3125" s="136" t="s">
        <v>416</v>
      </c>
      <c r="F3125" s="137" t="str">
        <f t="shared" si="168"/>
        <v/>
      </c>
      <c r="G3125" s="138" t="e">
        <f>IF(A3125&lt;&gt;"",IF(AND(#REF!="Padrão",$H$4=#REF!),BDI!$B$17,IF(AND(#REF!="Padrão",$H$4=#REF!),BDI!#REF!,IF(AND(#REF!="Diferenciado",$H$4=#REF!),BDI!$E$17,IF(AND(#REF!="Diferenciado",$H$4=#REF!),BDI!#REF!,IF(#REF!="ZERO",0))))),"")</f>
        <v>#REF!</v>
      </c>
      <c r="H3125" s="139" t="str">
        <f t="shared" si="169"/>
        <v/>
      </c>
      <c r="I3125" s="137" t="str">
        <f t="shared" si="170"/>
        <v/>
      </c>
      <c r="J3125" s="117"/>
    </row>
    <row r="3126" spans="1:10" hidden="1" x14ac:dyDescent="0.25">
      <c r="A3126" s="114" t="s">
        <v>6502</v>
      </c>
      <c r="B3126" s="115" t="s">
        <v>6594</v>
      </c>
      <c r="C3126" s="116" t="s">
        <v>16</v>
      </c>
      <c r="D3126" s="116">
        <v>0</v>
      </c>
      <c r="E3126" s="136" t="s">
        <v>416</v>
      </c>
      <c r="F3126" s="137" t="str">
        <f t="shared" si="168"/>
        <v/>
      </c>
      <c r="G3126" s="138" t="e">
        <f>IF(A3126&lt;&gt;"",IF(AND(#REF!="Padrão",$H$4=#REF!),BDI!$B$17,IF(AND(#REF!="Padrão",$H$4=#REF!),BDI!#REF!,IF(AND(#REF!="Diferenciado",$H$4=#REF!),BDI!$E$17,IF(AND(#REF!="Diferenciado",$H$4=#REF!),BDI!#REF!,IF(#REF!="ZERO",0))))),"")</f>
        <v>#REF!</v>
      </c>
      <c r="H3126" s="139" t="str">
        <f t="shared" si="169"/>
        <v/>
      </c>
      <c r="I3126" s="137" t="str">
        <f t="shared" si="170"/>
        <v/>
      </c>
      <c r="J3126" s="117"/>
    </row>
    <row r="3127" spans="1:10" hidden="1" x14ac:dyDescent="0.25">
      <c r="A3127" s="114" t="s">
        <v>6503</v>
      </c>
      <c r="B3127" s="115" t="s">
        <v>6595</v>
      </c>
      <c r="C3127" s="116" t="s">
        <v>1683</v>
      </c>
      <c r="D3127" s="116">
        <v>0</v>
      </c>
      <c r="E3127" s="136" t="s">
        <v>416</v>
      </c>
      <c r="F3127" s="137" t="str">
        <f t="shared" si="168"/>
        <v/>
      </c>
      <c r="G3127" s="138" t="e">
        <f>IF(A3127&lt;&gt;"",IF(AND(#REF!="Padrão",$H$4=#REF!),BDI!$B$17,IF(AND(#REF!="Padrão",$H$4=#REF!),BDI!#REF!,IF(AND(#REF!="Diferenciado",$H$4=#REF!),BDI!$E$17,IF(AND(#REF!="Diferenciado",$H$4=#REF!),BDI!#REF!,IF(#REF!="ZERO",0))))),"")</f>
        <v>#REF!</v>
      </c>
      <c r="H3127" s="139" t="str">
        <f t="shared" si="169"/>
        <v/>
      </c>
      <c r="I3127" s="137" t="str">
        <f t="shared" si="170"/>
        <v/>
      </c>
      <c r="J3127" s="117"/>
    </row>
    <row r="3128" spans="1:10" hidden="1" x14ac:dyDescent="0.25">
      <c r="A3128" s="114" t="s">
        <v>6504</v>
      </c>
      <c r="B3128" s="115" t="s">
        <v>6596</v>
      </c>
      <c r="C3128" s="116" t="s">
        <v>16</v>
      </c>
      <c r="D3128" s="116">
        <v>0</v>
      </c>
      <c r="E3128" s="136" t="s">
        <v>416</v>
      </c>
      <c r="F3128" s="137" t="str">
        <f t="shared" si="168"/>
        <v/>
      </c>
      <c r="G3128" s="138" t="e">
        <f>IF(A3128&lt;&gt;"",IF(AND(#REF!="Padrão",$H$4=#REF!),BDI!$B$17,IF(AND(#REF!="Padrão",$H$4=#REF!),BDI!#REF!,IF(AND(#REF!="Diferenciado",$H$4=#REF!),BDI!$E$17,IF(AND(#REF!="Diferenciado",$H$4=#REF!),BDI!#REF!,IF(#REF!="ZERO",0))))),"")</f>
        <v>#REF!</v>
      </c>
      <c r="H3128" s="139" t="str">
        <f t="shared" si="169"/>
        <v/>
      </c>
      <c r="I3128" s="137" t="str">
        <f t="shared" si="170"/>
        <v/>
      </c>
      <c r="J3128" s="117"/>
    </row>
    <row r="3129" spans="1:10" hidden="1" x14ac:dyDescent="0.25">
      <c r="A3129" s="114" t="s">
        <v>6505</v>
      </c>
      <c r="B3129" s="115" t="s">
        <v>6603</v>
      </c>
      <c r="C3129" s="116" t="s">
        <v>16</v>
      </c>
      <c r="D3129" s="116">
        <v>0</v>
      </c>
      <c r="E3129" s="136" t="s">
        <v>416</v>
      </c>
      <c r="F3129" s="137" t="str">
        <f t="shared" ref="F3129:F3136" si="171">IF(ISNUMBER(E3129),D3129*E3129,"")</f>
        <v/>
      </c>
      <c r="G3129" s="138" t="e">
        <f>IF(A3129&lt;&gt;"",IF(AND(#REF!="Padrão",$H$4=#REF!),BDI!$B$17,IF(AND(#REF!="Padrão",$H$4=#REF!),BDI!#REF!,IF(AND(#REF!="Diferenciado",$H$4=#REF!),BDI!$E$17,IF(AND(#REF!="Diferenciado",$H$4=#REF!),BDI!#REF!,IF(#REF!="ZERO",0))))),"")</f>
        <v>#REF!</v>
      </c>
      <c r="H3129" s="139" t="str">
        <f t="shared" ref="H3129:H3136" si="172">IF(ISNUMBER(E3129),ROUND(E3129*(1+G3129),2),"")</f>
        <v/>
      </c>
      <c r="I3129" s="137" t="str">
        <f t="shared" ref="I3129:I3136" si="173">IF(ISNUMBER(E3129),ROUND(H3129*D3129,2),"")</f>
        <v/>
      </c>
      <c r="J3129" s="117"/>
    </row>
    <row r="3130" spans="1:10" hidden="1" x14ac:dyDescent="0.25">
      <c r="A3130" s="114" t="s">
        <v>6506</v>
      </c>
      <c r="B3130" s="115" t="s">
        <v>7282</v>
      </c>
      <c r="C3130" s="116" t="s">
        <v>16</v>
      </c>
      <c r="D3130" s="116">
        <v>0</v>
      </c>
      <c r="E3130" s="136" t="s">
        <v>416</v>
      </c>
      <c r="F3130" s="137" t="str">
        <f t="shared" si="171"/>
        <v/>
      </c>
      <c r="G3130" s="138" t="e">
        <f>IF(A3130&lt;&gt;"",IF(AND(#REF!="Padrão",$H$4=#REF!),BDI!$B$17,IF(AND(#REF!="Padrão",$H$4=#REF!),BDI!#REF!,IF(AND(#REF!="Diferenciado",$H$4=#REF!),BDI!$E$17,IF(AND(#REF!="Diferenciado",$H$4=#REF!),BDI!#REF!,IF(#REF!="ZERO",0))))),"")</f>
        <v>#REF!</v>
      </c>
      <c r="H3130" s="139" t="str">
        <f t="shared" si="172"/>
        <v/>
      </c>
      <c r="I3130" s="137" t="str">
        <f t="shared" si="173"/>
        <v/>
      </c>
      <c r="J3130" s="117"/>
    </row>
    <row r="3131" spans="1:10" hidden="1" x14ac:dyDescent="0.25">
      <c r="A3131" s="114" t="s">
        <v>6507</v>
      </c>
      <c r="B3131" s="115" t="s">
        <v>6602</v>
      </c>
      <c r="C3131" s="116" t="s">
        <v>16</v>
      </c>
      <c r="D3131" s="116">
        <v>0</v>
      </c>
      <c r="E3131" s="136" t="s">
        <v>416</v>
      </c>
      <c r="F3131" s="137" t="str">
        <f t="shared" si="171"/>
        <v/>
      </c>
      <c r="G3131" s="138" t="e">
        <f>IF(A3131&lt;&gt;"",IF(AND(#REF!="Padrão",$H$4=#REF!),BDI!$B$17,IF(AND(#REF!="Padrão",$H$4=#REF!),BDI!#REF!,IF(AND(#REF!="Diferenciado",$H$4=#REF!),BDI!$E$17,IF(AND(#REF!="Diferenciado",$H$4=#REF!),BDI!#REF!,IF(#REF!="ZERO",0))))),"")</f>
        <v>#REF!</v>
      </c>
      <c r="H3131" s="139" t="str">
        <f t="shared" si="172"/>
        <v/>
      </c>
      <c r="I3131" s="137" t="str">
        <f t="shared" si="173"/>
        <v/>
      </c>
      <c r="J3131" s="117"/>
    </row>
    <row r="3132" spans="1:10" x14ac:dyDescent="0.25">
      <c r="A3132" s="189" t="s">
        <v>6508</v>
      </c>
      <c r="B3132" s="190" t="s">
        <v>7934</v>
      </c>
      <c r="C3132" s="191" t="s">
        <v>16</v>
      </c>
      <c r="D3132" s="191">
        <v>1</v>
      </c>
      <c r="E3132" s="136">
        <f ca="1">OFFSET(INDEX(Composições!A:J,MATCH(Orçamentária!A3132,Composições!A:A,0),8),2,0)</f>
        <v>399.52749999999997</v>
      </c>
      <c r="F3132" s="137">
        <f t="shared" ca="1" si="171"/>
        <v>399.52749999999997</v>
      </c>
      <c r="G3132" s="138">
        <f>BDI!$B$17</f>
        <v>0.191</v>
      </c>
      <c r="H3132" s="139">
        <f t="shared" ca="1" si="172"/>
        <v>475.84</v>
      </c>
      <c r="I3132" s="137">
        <f t="shared" ca="1" si="173"/>
        <v>475.84</v>
      </c>
      <c r="J3132" s="117"/>
    </row>
    <row r="3133" spans="1:10" hidden="1" x14ac:dyDescent="0.25">
      <c r="A3133" s="114" t="s">
        <v>6509</v>
      </c>
      <c r="B3133" s="115" t="s">
        <v>6601</v>
      </c>
      <c r="C3133" s="116" t="s">
        <v>16</v>
      </c>
      <c r="D3133" s="116">
        <v>0</v>
      </c>
      <c r="E3133" s="136" t="s">
        <v>416</v>
      </c>
      <c r="F3133" s="137" t="str">
        <f t="shared" si="171"/>
        <v/>
      </c>
      <c r="G3133" s="138" t="e">
        <f>IF(A3133&lt;&gt;"",IF(AND(#REF!="Padrão",$H$4=#REF!),BDI!$B$17,IF(AND(#REF!="Padrão",$H$4=#REF!),BDI!#REF!,IF(AND(#REF!="Diferenciado",$H$4=#REF!),BDI!$E$17,IF(AND(#REF!="Diferenciado",$H$4=#REF!),BDI!#REF!,IF(#REF!="ZERO",0))))),"")</f>
        <v>#REF!</v>
      </c>
      <c r="H3133" s="139" t="str">
        <f t="shared" si="172"/>
        <v/>
      </c>
      <c r="I3133" s="137" t="str">
        <f t="shared" si="173"/>
        <v/>
      </c>
      <c r="J3133" s="117"/>
    </row>
    <row r="3134" spans="1:10" ht="25.5" hidden="1" x14ac:dyDescent="0.25">
      <c r="A3134" s="114" t="s">
        <v>6510</v>
      </c>
      <c r="B3134" s="115" t="s">
        <v>6600</v>
      </c>
      <c r="C3134" s="116" t="s">
        <v>16</v>
      </c>
      <c r="D3134" s="116">
        <v>0</v>
      </c>
      <c r="E3134" s="136" t="s">
        <v>416</v>
      </c>
      <c r="F3134" s="137" t="str">
        <f t="shared" si="171"/>
        <v/>
      </c>
      <c r="G3134" s="138" t="e">
        <f>IF(A3134&lt;&gt;"",IF(AND(#REF!="Padrão",$H$4=#REF!),BDI!$B$17,IF(AND(#REF!="Padrão",$H$4=#REF!),BDI!#REF!,IF(AND(#REF!="Diferenciado",$H$4=#REF!),BDI!$E$17,IF(AND(#REF!="Diferenciado",$H$4=#REF!),BDI!#REF!,IF(#REF!="ZERO",0))))),"")</f>
        <v>#REF!</v>
      </c>
      <c r="H3134" s="139" t="str">
        <f t="shared" si="172"/>
        <v/>
      </c>
      <c r="I3134" s="137" t="str">
        <f t="shared" si="173"/>
        <v/>
      </c>
      <c r="J3134" s="117"/>
    </row>
    <row r="3135" spans="1:10" hidden="1" x14ac:dyDescent="0.25">
      <c r="A3135" s="114" t="s">
        <v>6511</v>
      </c>
      <c r="B3135" s="115" t="s">
        <v>6599</v>
      </c>
      <c r="C3135" s="116" t="s">
        <v>16</v>
      </c>
      <c r="D3135" s="116">
        <v>0</v>
      </c>
      <c r="E3135" s="136" t="s">
        <v>416</v>
      </c>
      <c r="F3135" s="137" t="str">
        <f t="shared" si="171"/>
        <v/>
      </c>
      <c r="G3135" s="138" t="e">
        <f>IF(A3135&lt;&gt;"",IF(AND(#REF!="Padrão",$H$4=#REF!),BDI!$B$17,IF(AND(#REF!="Padrão",$H$4=#REF!),BDI!#REF!,IF(AND(#REF!="Diferenciado",$H$4=#REF!),BDI!$E$17,IF(AND(#REF!="Diferenciado",$H$4=#REF!),BDI!#REF!,IF(#REF!="ZERO",0))))),"")</f>
        <v>#REF!</v>
      </c>
      <c r="H3135" s="139" t="str">
        <f t="shared" si="172"/>
        <v/>
      </c>
      <c r="I3135" s="137" t="str">
        <f t="shared" si="173"/>
        <v/>
      </c>
      <c r="J3135" s="117"/>
    </row>
    <row r="3136" spans="1:10" hidden="1" x14ac:dyDescent="0.25">
      <c r="A3136" s="114" t="s">
        <v>6512</v>
      </c>
      <c r="B3136" s="115" t="s">
        <v>6604</v>
      </c>
      <c r="C3136" s="116" t="s">
        <v>16</v>
      </c>
      <c r="D3136" s="116">
        <v>0</v>
      </c>
      <c r="E3136" s="136">
        <f ca="1">OFFSET(INDEX(Composições!A:J,MATCH(Orçamentária!A3136,Composições!A:A,0),8),2,0)</f>
        <v>47.417608440249602</v>
      </c>
      <c r="F3136" s="137">
        <f t="shared" ca="1" si="171"/>
        <v>0</v>
      </c>
      <c r="G3136" s="138" t="e">
        <f>IF(A3136&lt;&gt;"",IF(AND(#REF!="Padrão",$H$4=#REF!),BDI!$B$17,IF(AND(#REF!="Padrão",$H$4=#REF!),BDI!#REF!,IF(AND(#REF!="Diferenciado",$H$4=#REF!),BDI!$E$17,IF(AND(#REF!="Diferenciado",$H$4=#REF!),BDI!#REF!,IF(#REF!="ZERO",0))))),"")</f>
        <v>#REF!</v>
      </c>
      <c r="H3136" s="139" t="e">
        <f t="shared" ca="1" si="172"/>
        <v>#REF!</v>
      </c>
      <c r="I3136" s="137" t="e">
        <f t="shared" ca="1" si="173"/>
        <v>#REF!</v>
      </c>
      <c r="J3136" s="117"/>
    </row>
    <row r="3137" spans="1:10" hidden="1" x14ac:dyDescent="0.25">
      <c r="A3137" s="114" t="s">
        <v>6513</v>
      </c>
      <c r="B3137" s="115" t="s">
        <v>6607</v>
      </c>
      <c r="C3137" s="116" t="s">
        <v>16</v>
      </c>
      <c r="D3137" s="116">
        <v>0</v>
      </c>
      <c r="E3137" s="136">
        <f ca="1">OFFSET(INDEX(Composições!A:J,MATCH(Orçamentária!A3137,Composições!A:A,0),8),2,0)</f>
        <v>125.2379699</v>
      </c>
      <c r="F3137" s="137">
        <f t="shared" ref="F3137:F3139" ca="1" si="174">IF(ISNUMBER(E3137),D3137*E3137,"")</f>
        <v>0</v>
      </c>
      <c r="G3137" s="138" t="e">
        <f>IF(A3137&lt;&gt;"",IF(AND(#REF!="Padrão",$H$4=#REF!),BDI!$B$17,IF(AND(#REF!="Padrão",$H$4=#REF!),BDI!#REF!,IF(AND(#REF!="Diferenciado",$H$4=#REF!),BDI!$E$17,IF(AND(#REF!="Diferenciado",$H$4=#REF!),BDI!#REF!,IF(#REF!="ZERO",0))))),"")</f>
        <v>#REF!</v>
      </c>
      <c r="H3137" s="139" t="e">
        <f t="shared" ref="H3137:H3139" ca="1" si="175">IF(ISNUMBER(E3137),ROUND(E3137*(1+G3137),2),"")</f>
        <v>#REF!</v>
      </c>
      <c r="I3137" s="137" t="e">
        <f t="shared" ref="I3137:I3139" ca="1" si="176">IF(ISNUMBER(E3137),ROUND(H3137*D3137,2),"")</f>
        <v>#REF!</v>
      </c>
      <c r="J3137" s="117"/>
    </row>
    <row r="3138" spans="1:10" ht="25.5" hidden="1" x14ac:dyDescent="0.25">
      <c r="A3138" s="114" t="s">
        <v>6514</v>
      </c>
      <c r="B3138" s="115" t="s">
        <v>6598</v>
      </c>
      <c r="C3138" s="116" t="s">
        <v>4170</v>
      </c>
      <c r="D3138" s="116">
        <v>0</v>
      </c>
      <c r="E3138" s="136" t="s">
        <v>416</v>
      </c>
      <c r="F3138" s="137" t="str">
        <f t="shared" si="174"/>
        <v/>
      </c>
      <c r="G3138" s="138" t="e">
        <f>IF(A3138&lt;&gt;"",IF(AND(#REF!="Padrão",$H$4=#REF!),BDI!$B$17,IF(AND(#REF!="Padrão",$H$4=#REF!),BDI!#REF!,IF(AND(#REF!="Diferenciado",$H$4=#REF!),BDI!$E$17,IF(AND(#REF!="Diferenciado",$H$4=#REF!),BDI!#REF!,IF(#REF!="ZERO",0))))),"")</f>
        <v>#REF!</v>
      </c>
      <c r="H3138" s="139" t="str">
        <f t="shared" si="175"/>
        <v/>
      </c>
      <c r="I3138" s="137" t="str">
        <f t="shared" si="176"/>
        <v/>
      </c>
      <c r="J3138" s="117"/>
    </row>
    <row r="3139" spans="1:10" hidden="1" x14ac:dyDescent="0.25">
      <c r="A3139" s="114" t="s">
        <v>6515</v>
      </c>
      <c r="B3139" s="115" t="s">
        <v>6597</v>
      </c>
      <c r="C3139" s="116" t="s">
        <v>70</v>
      </c>
      <c r="D3139" s="116">
        <v>0</v>
      </c>
      <c r="E3139" s="136" t="s">
        <v>416</v>
      </c>
      <c r="F3139" s="137" t="str">
        <f t="shared" si="174"/>
        <v/>
      </c>
      <c r="G3139" s="138" t="e">
        <f>IF(A3139&lt;&gt;"",IF(AND(#REF!="Padrão",$H$4=#REF!),BDI!$B$17,IF(AND(#REF!="Padrão",$H$4=#REF!),BDI!#REF!,IF(AND(#REF!="Diferenciado",$H$4=#REF!),BDI!$E$17,IF(AND(#REF!="Diferenciado",$H$4=#REF!),BDI!#REF!,IF(#REF!="ZERO",0))))),"")</f>
        <v>#REF!</v>
      </c>
      <c r="H3139" s="139" t="str">
        <f t="shared" si="175"/>
        <v/>
      </c>
      <c r="I3139" s="137" t="str">
        <f t="shared" si="176"/>
        <v/>
      </c>
      <c r="J3139" s="117"/>
    </row>
    <row r="3140" spans="1:10" hidden="1" x14ac:dyDescent="0.25">
      <c r="A3140" s="114" t="s">
        <v>6516</v>
      </c>
      <c r="B3140" s="115" t="s">
        <v>6608</v>
      </c>
      <c r="C3140" s="116" t="s">
        <v>16</v>
      </c>
      <c r="D3140" s="116">
        <v>0</v>
      </c>
      <c r="E3140" s="136" t="s">
        <v>416</v>
      </c>
      <c r="F3140" s="137" t="str">
        <f t="shared" ref="F3140:F3203" si="177">IF(ISNUMBER(E3140),D3140*E3140,"")</f>
        <v/>
      </c>
      <c r="G3140" s="138" t="e">
        <f>IF(A3140&lt;&gt;"",IF(AND(#REF!="Padrão",$H$4=#REF!),BDI!$B$17,IF(AND(#REF!="Padrão",$H$4=#REF!),BDI!#REF!,IF(AND(#REF!="Diferenciado",$H$4=#REF!),BDI!$E$17,IF(AND(#REF!="Diferenciado",$H$4=#REF!),BDI!#REF!,IF(#REF!="ZERO",0))))),"")</f>
        <v>#REF!</v>
      </c>
      <c r="H3140" s="139" t="str">
        <f t="shared" ref="H3140:H3203" si="178">IF(ISNUMBER(E3140),ROUND(E3140*(1+G3140),2),"")</f>
        <v/>
      </c>
      <c r="I3140" s="137" t="str">
        <f t="shared" ref="I3140:I3203" si="179">IF(ISNUMBER(E3140),ROUND(H3140*D3140,2),"")</f>
        <v/>
      </c>
      <c r="J3140" s="117"/>
    </row>
    <row r="3141" spans="1:10" hidden="1" x14ac:dyDescent="0.25">
      <c r="A3141" s="114" t="s">
        <v>6517</v>
      </c>
      <c r="B3141" s="115" t="s">
        <v>6609</v>
      </c>
      <c r="C3141" s="116" t="s">
        <v>16</v>
      </c>
      <c r="D3141" s="116">
        <v>0</v>
      </c>
      <c r="E3141" s="136" t="s">
        <v>416</v>
      </c>
      <c r="F3141" s="137" t="str">
        <f t="shared" si="177"/>
        <v/>
      </c>
      <c r="G3141" s="138" t="e">
        <f>IF(A3141&lt;&gt;"",IF(AND(#REF!="Padrão",$H$4=#REF!),BDI!$B$17,IF(AND(#REF!="Padrão",$H$4=#REF!),BDI!#REF!,IF(AND(#REF!="Diferenciado",$H$4=#REF!),BDI!$E$17,IF(AND(#REF!="Diferenciado",$H$4=#REF!),BDI!#REF!,IF(#REF!="ZERO",0))))),"")</f>
        <v>#REF!</v>
      </c>
      <c r="H3141" s="139" t="str">
        <f t="shared" si="178"/>
        <v/>
      </c>
      <c r="I3141" s="137" t="str">
        <f t="shared" si="179"/>
        <v/>
      </c>
      <c r="J3141" s="117"/>
    </row>
    <row r="3142" spans="1:10" ht="25.5" hidden="1" x14ac:dyDescent="0.25">
      <c r="A3142" s="114" t="s">
        <v>6518</v>
      </c>
      <c r="B3142" s="115" t="s">
        <v>6610</v>
      </c>
      <c r="C3142" s="116" t="s">
        <v>16</v>
      </c>
      <c r="D3142" s="116">
        <v>0</v>
      </c>
      <c r="E3142" s="136" t="s">
        <v>416</v>
      </c>
      <c r="F3142" s="137" t="str">
        <f t="shared" si="177"/>
        <v/>
      </c>
      <c r="G3142" s="138" t="e">
        <f>IF(A3142&lt;&gt;"",IF(AND(#REF!="Padrão",$H$4=#REF!),BDI!$B$17,IF(AND(#REF!="Padrão",$H$4=#REF!),BDI!#REF!,IF(AND(#REF!="Diferenciado",$H$4=#REF!),BDI!$E$17,IF(AND(#REF!="Diferenciado",$H$4=#REF!),BDI!#REF!,IF(#REF!="ZERO",0))))),"")</f>
        <v>#REF!</v>
      </c>
      <c r="H3142" s="139" t="str">
        <f t="shared" si="178"/>
        <v/>
      </c>
      <c r="I3142" s="137" t="str">
        <f t="shared" si="179"/>
        <v/>
      </c>
      <c r="J3142" s="117"/>
    </row>
    <row r="3143" spans="1:10" ht="25.5" hidden="1" x14ac:dyDescent="0.25">
      <c r="A3143" s="114" t="s">
        <v>6519</v>
      </c>
      <c r="B3143" s="115" t="s">
        <v>6611</v>
      </c>
      <c r="C3143" s="116" t="s">
        <v>16</v>
      </c>
      <c r="D3143" s="116">
        <v>0</v>
      </c>
      <c r="E3143" s="136" t="s">
        <v>416</v>
      </c>
      <c r="F3143" s="137" t="str">
        <f t="shared" si="177"/>
        <v/>
      </c>
      <c r="G3143" s="138" t="e">
        <f>IF(A3143&lt;&gt;"",IF(AND(#REF!="Padrão",$H$4=#REF!),BDI!$B$17,IF(AND(#REF!="Padrão",$H$4=#REF!),BDI!#REF!,IF(AND(#REF!="Diferenciado",$H$4=#REF!),BDI!$E$17,IF(AND(#REF!="Diferenciado",$H$4=#REF!),BDI!#REF!,IF(#REF!="ZERO",0))))),"")</f>
        <v>#REF!</v>
      </c>
      <c r="H3143" s="139" t="str">
        <f t="shared" si="178"/>
        <v/>
      </c>
      <c r="I3143" s="137" t="str">
        <f t="shared" si="179"/>
        <v/>
      </c>
      <c r="J3143" s="117"/>
    </row>
    <row r="3144" spans="1:10" ht="25.5" hidden="1" x14ac:dyDescent="0.25">
      <c r="A3144" s="114" t="s">
        <v>6520</v>
      </c>
      <c r="B3144" s="115" t="s">
        <v>6612</v>
      </c>
      <c r="C3144" s="116" t="s">
        <v>16</v>
      </c>
      <c r="D3144" s="116">
        <v>0</v>
      </c>
      <c r="E3144" s="136" t="s">
        <v>416</v>
      </c>
      <c r="F3144" s="137" t="str">
        <f t="shared" si="177"/>
        <v/>
      </c>
      <c r="G3144" s="138" t="e">
        <f>IF(A3144&lt;&gt;"",IF(AND(#REF!="Padrão",$H$4=#REF!),BDI!$B$17,IF(AND(#REF!="Padrão",$H$4=#REF!),BDI!#REF!,IF(AND(#REF!="Diferenciado",$H$4=#REF!),BDI!$E$17,IF(AND(#REF!="Diferenciado",$H$4=#REF!),BDI!#REF!,IF(#REF!="ZERO",0))))),"")</f>
        <v>#REF!</v>
      </c>
      <c r="H3144" s="139" t="str">
        <f t="shared" si="178"/>
        <v/>
      </c>
      <c r="I3144" s="137" t="str">
        <f t="shared" si="179"/>
        <v/>
      </c>
      <c r="J3144" s="117"/>
    </row>
    <row r="3145" spans="1:10" ht="25.5" hidden="1" x14ac:dyDescent="0.25">
      <c r="A3145" s="114" t="s">
        <v>6521</v>
      </c>
      <c r="B3145" s="115" t="s">
        <v>6613</v>
      </c>
      <c r="C3145" s="116" t="s">
        <v>16</v>
      </c>
      <c r="D3145" s="116">
        <v>0</v>
      </c>
      <c r="E3145" s="136" t="s">
        <v>416</v>
      </c>
      <c r="F3145" s="137" t="str">
        <f t="shared" si="177"/>
        <v/>
      </c>
      <c r="G3145" s="138" t="e">
        <f>IF(A3145&lt;&gt;"",IF(AND(#REF!="Padrão",$H$4=#REF!),BDI!$B$17,IF(AND(#REF!="Padrão",$H$4=#REF!),BDI!#REF!,IF(AND(#REF!="Diferenciado",$H$4=#REF!),BDI!$E$17,IF(AND(#REF!="Diferenciado",$H$4=#REF!),BDI!#REF!,IF(#REF!="ZERO",0))))),"")</f>
        <v>#REF!</v>
      </c>
      <c r="H3145" s="139" t="str">
        <f t="shared" si="178"/>
        <v/>
      </c>
      <c r="I3145" s="137" t="str">
        <f t="shared" si="179"/>
        <v/>
      </c>
      <c r="J3145" s="117"/>
    </row>
    <row r="3146" spans="1:10" hidden="1" x14ac:dyDescent="0.25">
      <c r="A3146" s="114" t="s">
        <v>6522</v>
      </c>
      <c r="B3146" s="115" t="s">
        <v>6614</v>
      </c>
      <c r="C3146" s="116" t="s">
        <v>16</v>
      </c>
      <c r="D3146" s="116">
        <v>0</v>
      </c>
      <c r="E3146" s="136" t="s">
        <v>416</v>
      </c>
      <c r="F3146" s="137" t="str">
        <f t="shared" si="177"/>
        <v/>
      </c>
      <c r="G3146" s="138" t="e">
        <f>IF(A3146&lt;&gt;"",IF(AND(#REF!="Padrão",$H$4=#REF!),BDI!$B$17,IF(AND(#REF!="Padrão",$H$4=#REF!),BDI!#REF!,IF(AND(#REF!="Diferenciado",$H$4=#REF!),BDI!$E$17,IF(AND(#REF!="Diferenciado",$H$4=#REF!),BDI!#REF!,IF(#REF!="ZERO",0))))),"")</f>
        <v>#REF!</v>
      </c>
      <c r="H3146" s="139" t="str">
        <f t="shared" si="178"/>
        <v/>
      </c>
      <c r="I3146" s="137" t="str">
        <f t="shared" si="179"/>
        <v/>
      </c>
      <c r="J3146" s="117"/>
    </row>
    <row r="3147" spans="1:10" ht="25.5" hidden="1" x14ac:dyDescent="0.25">
      <c r="A3147" s="114" t="s">
        <v>6523</v>
      </c>
      <c r="B3147" s="115" t="s">
        <v>6615</v>
      </c>
      <c r="C3147" s="116" t="s">
        <v>16</v>
      </c>
      <c r="D3147" s="116">
        <v>0</v>
      </c>
      <c r="E3147" s="136" t="s">
        <v>416</v>
      </c>
      <c r="F3147" s="137" t="str">
        <f t="shared" si="177"/>
        <v/>
      </c>
      <c r="G3147" s="138" t="e">
        <f>IF(A3147&lt;&gt;"",IF(AND(#REF!="Padrão",$H$4=#REF!),BDI!$B$17,IF(AND(#REF!="Padrão",$H$4=#REF!),BDI!#REF!,IF(AND(#REF!="Diferenciado",$H$4=#REF!),BDI!$E$17,IF(AND(#REF!="Diferenciado",$H$4=#REF!),BDI!#REF!,IF(#REF!="ZERO",0))))),"")</f>
        <v>#REF!</v>
      </c>
      <c r="H3147" s="139" t="str">
        <f t="shared" si="178"/>
        <v/>
      </c>
      <c r="I3147" s="137" t="str">
        <f t="shared" si="179"/>
        <v/>
      </c>
      <c r="J3147" s="117"/>
    </row>
    <row r="3148" spans="1:10" ht="25.5" hidden="1" x14ac:dyDescent="0.25">
      <c r="A3148" s="114" t="s">
        <v>6524</v>
      </c>
      <c r="B3148" s="115" t="s">
        <v>6616</v>
      </c>
      <c r="C3148" s="116" t="s">
        <v>16</v>
      </c>
      <c r="D3148" s="116">
        <v>0</v>
      </c>
      <c r="E3148" s="136" t="s">
        <v>416</v>
      </c>
      <c r="F3148" s="137" t="str">
        <f t="shared" si="177"/>
        <v/>
      </c>
      <c r="G3148" s="138" t="e">
        <f>IF(A3148&lt;&gt;"",IF(AND(#REF!="Padrão",$H$4=#REF!),BDI!$B$17,IF(AND(#REF!="Padrão",$H$4=#REF!),BDI!#REF!,IF(AND(#REF!="Diferenciado",$H$4=#REF!),BDI!$E$17,IF(AND(#REF!="Diferenciado",$H$4=#REF!),BDI!#REF!,IF(#REF!="ZERO",0))))),"")</f>
        <v>#REF!</v>
      </c>
      <c r="H3148" s="139" t="str">
        <f t="shared" si="178"/>
        <v/>
      </c>
      <c r="I3148" s="137" t="str">
        <f t="shared" si="179"/>
        <v/>
      </c>
      <c r="J3148" s="117"/>
    </row>
    <row r="3149" spans="1:10" ht="25.5" hidden="1" x14ac:dyDescent="0.25">
      <c r="A3149" s="114" t="s">
        <v>6525</v>
      </c>
      <c r="B3149" s="115" t="s">
        <v>6617</v>
      </c>
      <c r="C3149" s="116" t="s">
        <v>16</v>
      </c>
      <c r="D3149" s="116">
        <v>0</v>
      </c>
      <c r="E3149" s="136" t="s">
        <v>416</v>
      </c>
      <c r="F3149" s="137" t="str">
        <f t="shared" si="177"/>
        <v/>
      </c>
      <c r="G3149" s="138" t="e">
        <f>IF(A3149&lt;&gt;"",IF(AND(#REF!="Padrão",$H$4=#REF!),BDI!$B$17,IF(AND(#REF!="Padrão",$H$4=#REF!),BDI!#REF!,IF(AND(#REF!="Diferenciado",$H$4=#REF!),BDI!$E$17,IF(AND(#REF!="Diferenciado",$H$4=#REF!),BDI!#REF!,IF(#REF!="ZERO",0))))),"")</f>
        <v>#REF!</v>
      </c>
      <c r="H3149" s="139" t="str">
        <f t="shared" si="178"/>
        <v/>
      </c>
      <c r="I3149" s="137" t="str">
        <f t="shared" si="179"/>
        <v/>
      </c>
      <c r="J3149" s="117"/>
    </row>
    <row r="3150" spans="1:10" hidden="1" x14ac:dyDescent="0.25">
      <c r="A3150" s="114" t="s">
        <v>6526</v>
      </c>
      <c r="B3150" s="115" t="s">
        <v>6618</v>
      </c>
      <c r="C3150" s="116" t="s">
        <v>16</v>
      </c>
      <c r="D3150" s="116">
        <v>0</v>
      </c>
      <c r="E3150" s="136" t="s">
        <v>416</v>
      </c>
      <c r="F3150" s="137" t="str">
        <f t="shared" si="177"/>
        <v/>
      </c>
      <c r="G3150" s="138" t="e">
        <f>IF(A3150&lt;&gt;"",IF(AND(#REF!="Padrão",$H$4=#REF!),BDI!$B$17,IF(AND(#REF!="Padrão",$H$4=#REF!),BDI!#REF!,IF(AND(#REF!="Diferenciado",$H$4=#REF!),BDI!$E$17,IF(AND(#REF!="Diferenciado",$H$4=#REF!),BDI!#REF!,IF(#REF!="ZERO",0))))),"")</f>
        <v>#REF!</v>
      </c>
      <c r="H3150" s="139" t="str">
        <f t="shared" si="178"/>
        <v/>
      </c>
      <c r="I3150" s="137" t="str">
        <f t="shared" si="179"/>
        <v/>
      </c>
      <c r="J3150" s="117"/>
    </row>
    <row r="3151" spans="1:10" hidden="1" x14ac:dyDescent="0.25">
      <c r="A3151" s="114" t="s">
        <v>6527</v>
      </c>
      <c r="B3151" s="115" t="s">
        <v>6619</v>
      </c>
      <c r="C3151" s="116" t="s">
        <v>16</v>
      </c>
      <c r="D3151" s="116">
        <v>0</v>
      </c>
      <c r="E3151" s="136" t="s">
        <v>416</v>
      </c>
      <c r="F3151" s="137" t="str">
        <f t="shared" si="177"/>
        <v/>
      </c>
      <c r="G3151" s="138" t="e">
        <f>IF(A3151&lt;&gt;"",IF(AND(#REF!="Padrão",$H$4=#REF!),BDI!$B$17,IF(AND(#REF!="Padrão",$H$4=#REF!),BDI!#REF!,IF(AND(#REF!="Diferenciado",$H$4=#REF!),BDI!$E$17,IF(AND(#REF!="Diferenciado",$H$4=#REF!),BDI!#REF!,IF(#REF!="ZERO",0))))),"")</f>
        <v>#REF!</v>
      </c>
      <c r="H3151" s="139" t="str">
        <f t="shared" si="178"/>
        <v/>
      </c>
      <c r="I3151" s="137" t="str">
        <f t="shared" si="179"/>
        <v/>
      </c>
      <c r="J3151" s="117"/>
    </row>
    <row r="3152" spans="1:10" hidden="1" x14ac:dyDescent="0.25">
      <c r="A3152" s="114" t="s">
        <v>6528</v>
      </c>
      <c r="B3152" s="115" t="s">
        <v>6620</v>
      </c>
      <c r="C3152" s="116" t="s">
        <v>16</v>
      </c>
      <c r="D3152" s="116">
        <v>0</v>
      </c>
      <c r="E3152" s="136" t="s">
        <v>416</v>
      </c>
      <c r="F3152" s="137" t="str">
        <f t="shared" si="177"/>
        <v/>
      </c>
      <c r="G3152" s="138" t="e">
        <f>IF(A3152&lt;&gt;"",IF(AND(#REF!="Padrão",$H$4=#REF!),BDI!$B$17,IF(AND(#REF!="Padrão",$H$4=#REF!),BDI!#REF!,IF(AND(#REF!="Diferenciado",$H$4=#REF!),BDI!$E$17,IF(AND(#REF!="Diferenciado",$H$4=#REF!),BDI!#REF!,IF(#REF!="ZERO",0))))),"")</f>
        <v>#REF!</v>
      </c>
      <c r="H3152" s="139" t="str">
        <f t="shared" si="178"/>
        <v/>
      </c>
      <c r="I3152" s="137" t="str">
        <f t="shared" si="179"/>
        <v/>
      </c>
      <c r="J3152" s="117"/>
    </row>
    <row r="3153" spans="1:10" hidden="1" x14ac:dyDescent="0.25">
      <c r="A3153" s="114" t="s">
        <v>6529</v>
      </c>
      <c r="B3153" s="115" t="s">
        <v>6621</v>
      </c>
      <c r="C3153" s="116" t="s">
        <v>16</v>
      </c>
      <c r="D3153" s="116">
        <v>0</v>
      </c>
      <c r="E3153" s="136" t="s">
        <v>416</v>
      </c>
      <c r="F3153" s="137" t="str">
        <f t="shared" si="177"/>
        <v/>
      </c>
      <c r="G3153" s="138" t="e">
        <f>IF(A3153&lt;&gt;"",IF(AND(#REF!="Padrão",$H$4=#REF!),BDI!$B$17,IF(AND(#REF!="Padrão",$H$4=#REF!),BDI!#REF!,IF(AND(#REF!="Diferenciado",$H$4=#REF!),BDI!$E$17,IF(AND(#REF!="Diferenciado",$H$4=#REF!),BDI!#REF!,IF(#REF!="ZERO",0))))),"")</f>
        <v>#REF!</v>
      </c>
      <c r="H3153" s="139" t="str">
        <f t="shared" si="178"/>
        <v/>
      </c>
      <c r="I3153" s="137" t="str">
        <f t="shared" si="179"/>
        <v/>
      </c>
      <c r="J3153" s="117"/>
    </row>
    <row r="3154" spans="1:10" hidden="1" x14ac:dyDescent="0.25">
      <c r="A3154" s="114" t="s">
        <v>6530</v>
      </c>
      <c r="B3154" s="115" t="s">
        <v>6622</v>
      </c>
      <c r="C3154" s="116" t="s">
        <v>16</v>
      </c>
      <c r="D3154" s="116">
        <v>0</v>
      </c>
      <c r="E3154" s="136" t="s">
        <v>416</v>
      </c>
      <c r="F3154" s="137" t="str">
        <f t="shared" si="177"/>
        <v/>
      </c>
      <c r="G3154" s="138" t="e">
        <f>IF(A3154&lt;&gt;"",IF(AND(#REF!="Padrão",$H$4=#REF!),BDI!$B$17,IF(AND(#REF!="Padrão",$H$4=#REF!),BDI!#REF!,IF(AND(#REF!="Diferenciado",$H$4=#REF!),BDI!$E$17,IF(AND(#REF!="Diferenciado",$H$4=#REF!),BDI!#REF!,IF(#REF!="ZERO",0))))),"")</f>
        <v>#REF!</v>
      </c>
      <c r="H3154" s="139" t="str">
        <f t="shared" si="178"/>
        <v/>
      </c>
      <c r="I3154" s="137" t="str">
        <f t="shared" si="179"/>
        <v/>
      </c>
      <c r="J3154" s="117"/>
    </row>
    <row r="3155" spans="1:10" hidden="1" x14ac:dyDescent="0.25">
      <c r="A3155" s="114" t="s">
        <v>6531</v>
      </c>
      <c r="B3155" s="115" t="s">
        <v>6623</v>
      </c>
      <c r="C3155" s="116" t="s">
        <v>16</v>
      </c>
      <c r="D3155" s="116">
        <v>0</v>
      </c>
      <c r="E3155" s="136" t="s">
        <v>416</v>
      </c>
      <c r="F3155" s="137" t="str">
        <f t="shared" si="177"/>
        <v/>
      </c>
      <c r="G3155" s="138" t="e">
        <f>IF(A3155&lt;&gt;"",IF(AND(#REF!="Padrão",$H$4=#REF!),BDI!$B$17,IF(AND(#REF!="Padrão",$H$4=#REF!),BDI!#REF!,IF(AND(#REF!="Diferenciado",$H$4=#REF!),BDI!$E$17,IF(AND(#REF!="Diferenciado",$H$4=#REF!),BDI!#REF!,IF(#REF!="ZERO",0))))),"")</f>
        <v>#REF!</v>
      </c>
      <c r="H3155" s="139" t="str">
        <f t="shared" si="178"/>
        <v/>
      </c>
      <c r="I3155" s="137" t="str">
        <f t="shared" si="179"/>
        <v/>
      </c>
      <c r="J3155" s="117"/>
    </row>
    <row r="3156" spans="1:10" hidden="1" x14ac:dyDescent="0.25">
      <c r="A3156" s="114" t="s">
        <v>6532</v>
      </c>
      <c r="B3156" s="115" t="s">
        <v>6624</v>
      </c>
      <c r="C3156" s="116" t="s">
        <v>16</v>
      </c>
      <c r="D3156" s="116">
        <v>0</v>
      </c>
      <c r="E3156" s="136" t="s">
        <v>416</v>
      </c>
      <c r="F3156" s="137" t="str">
        <f t="shared" si="177"/>
        <v/>
      </c>
      <c r="G3156" s="138" t="e">
        <f>IF(A3156&lt;&gt;"",IF(AND(#REF!="Padrão",$H$4=#REF!),BDI!$B$17,IF(AND(#REF!="Padrão",$H$4=#REF!),BDI!#REF!,IF(AND(#REF!="Diferenciado",$H$4=#REF!),BDI!$E$17,IF(AND(#REF!="Diferenciado",$H$4=#REF!),BDI!#REF!,IF(#REF!="ZERO",0))))),"")</f>
        <v>#REF!</v>
      </c>
      <c r="H3156" s="139" t="str">
        <f t="shared" si="178"/>
        <v/>
      </c>
      <c r="I3156" s="137" t="str">
        <f t="shared" si="179"/>
        <v/>
      </c>
      <c r="J3156" s="117"/>
    </row>
    <row r="3157" spans="1:10" hidden="1" x14ac:dyDescent="0.25">
      <c r="A3157" s="114" t="s">
        <v>6533</v>
      </c>
      <c r="B3157" s="115" t="s">
        <v>6625</v>
      </c>
      <c r="C3157" s="116" t="s">
        <v>16</v>
      </c>
      <c r="D3157" s="116">
        <v>0</v>
      </c>
      <c r="E3157" s="136" t="s">
        <v>416</v>
      </c>
      <c r="F3157" s="137" t="str">
        <f t="shared" si="177"/>
        <v/>
      </c>
      <c r="G3157" s="138" t="e">
        <f>IF(A3157&lt;&gt;"",IF(AND(#REF!="Padrão",$H$4=#REF!),BDI!$B$17,IF(AND(#REF!="Padrão",$H$4=#REF!),BDI!#REF!,IF(AND(#REF!="Diferenciado",$H$4=#REF!),BDI!$E$17,IF(AND(#REF!="Diferenciado",$H$4=#REF!),BDI!#REF!,IF(#REF!="ZERO",0))))),"")</f>
        <v>#REF!</v>
      </c>
      <c r="H3157" s="139" t="str">
        <f t="shared" si="178"/>
        <v/>
      </c>
      <c r="I3157" s="137" t="str">
        <f t="shared" si="179"/>
        <v/>
      </c>
      <c r="J3157" s="117"/>
    </row>
    <row r="3158" spans="1:10" hidden="1" x14ac:dyDescent="0.25">
      <c r="A3158" s="114" t="s">
        <v>6534</v>
      </c>
      <c r="B3158" s="115" t="s">
        <v>6626</v>
      </c>
      <c r="C3158" s="116" t="s">
        <v>16</v>
      </c>
      <c r="D3158" s="116">
        <v>0</v>
      </c>
      <c r="E3158" s="136" t="s">
        <v>416</v>
      </c>
      <c r="F3158" s="137" t="str">
        <f t="shared" si="177"/>
        <v/>
      </c>
      <c r="G3158" s="138" t="e">
        <f>IF(A3158&lt;&gt;"",IF(AND(#REF!="Padrão",$H$4=#REF!),BDI!$B$17,IF(AND(#REF!="Padrão",$H$4=#REF!),BDI!#REF!,IF(AND(#REF!="Diferenciado",$H$4=#REF!),BDI!$E$17,IF(AND(#REF!="Diferenciado",$H$4=#REF!),BDI!#REF!,IF(#REF!="ZERO",0))))),"")</f>
        <v>#REF!</v>
      </c>
      <c r="H3158" s="139" t="str">
        <f t="shared" si="178"/>
        <v/>
      </c>
      <c r="I3158" s="137" t="str">
        <f t="shared" si="179"/>
        <v/>
      </c>
      <c r="J3158" s="117"/>
    </row>
    <row r="3159" spans="1:10" hidden="1" x14ac:dyDescent="0.25">
      <c r="A3159" s="114" t="s">
        <v>6535</v>
      </c>
      <c r="B3159" s="115" t="s">
        <v>6627</v>
      </c>
      <c r="C3159" s="116" t="s">
        <v>16</v>
      </c>
      <c r="D3159" s="116">
        <v>0</v>
      </c>
      <c r="E3159" s="136" t="s">
        <v>416</v>
      </c>
      <c r="F3159" s="137" t="str">
        <f t="shared" si="177"/>
        <v/>
      </c>
      <c r="G3159" s="138" t="e">
        <f>IF(A3159&lt;&gt;"",IF(AND(#REF!="Padrão",$H$4=#REF!),BDI!$B$17,IF(AND(#REF!="Padrão",$H$4=#REF!),BDI!#REF!,IF(AND(#REF!="Diferenciado",$H$4=#REF!),BDI!$E$17,IF(AND(#REF!="Diferenciado",$H$4=#REF!),BDI!#REF!,IF(#REF!="ZERO",0))))),"")</f>
        <v>#REF!</v>
      </c>
      <c r="H3159" s="139" t="str">
        <f t="shared" si="178"/>
        <v/>
      </c>
      <c r="I3159" s="137" t="str">
        <f t="shared" si="179"/>
        <v/>
      </c>
      <c r="J3159" s="117"/>
    </row>
    <row r="3160" spans="1:10" hidden="1" x14ac:dyDescent="0.25">
      <c r="A3160" s="114" t="s">
        <v>6536</v>
      </c>
      <c r="B3160" s="115" t="s">
        <v>6628</v>
      </c>
      <c r="C3160" s="116" t="s">
        <v>16</v>
      </c>
      <c r="D3160" s="116">
        <v>0</v>
      </c>
      <c r="E3160" s="136" t="s">
        <v>416</v>
      </c>
      <c r="F3160" s="137" t="str">
        <f t="shared" si="177"/>
        <v/>
      </c>
      <c r="G3160" s="138" t="e">
        <f>IF(A3160&lt;&gt;"",IF(AND(#REF!="Padrão",$H$4=#REF!),BDI!$B$17,IF(AND(#REF!="Padrão",$H$4=#REF!),BDI!#REF!,IF(AND(#REF!="Diferenciado",$H$4=#REF!),BDI!$E$17,IF(AND(#REF!="Diferenciado",$H$4=#REF!),BDI!#REF!,IF(#REF!="ZERO",0))))),"")</f>
        <v>#REF!</v>
      </c>
      <c r="H3160" s="139" t="str">
        <f t="shared" si="178"/>
        <v/>
      </c>
      <c r="I3160" s="137" t="str">
        <f t="shared" si="179"/>
        <v/>
      </c>
      <c r="J3160" s="117"/>
    </row>
    <row r="3161" spans="1:10" hidden="1" x14ac:dyDescent="0.25">
      <c r="A3161" s="114" t="s">
        <v>6537</v>
      </c>
      <c r="B3161" s="115" t="s">
        <v>6629</v>
      </c>
      <c r="C3161" s="116" t="s">
        <v>16</v>
      </c>
      <c r="D3161" s="116">
        <v>0</v>
      </c>
      <c r="E3161" s="136" t="s">
        <v>416</v>
      </c>
      <c r="F3161" s="137" t="str">
        <f t="shared" si="177"/>
        <v/>
      </c>
      <c r="G3161" s="138" t="e">
        <f>IF(A3161&lt;&gt;"",IF(AND(#REF!="Padrão",$H$4=#REF!),BDI!$B$17,IF(AND(#REF!="Padrão",$H$4=#REF!),BDI!#REF!,IF(AND(#REF!="Diferenciado",$H$4=#REF!),BDI!$E$17,IF(AND(#REF!="Diferenciado",$H$4=#REF!),BDI!#REF!,IF(#REF!="ZERO",0))))),"")</f>
        <v>#REF!</v>
      </c>
      <c r="H3161" s="139" t="str">
        <f t="shared" si="178"/>
        <v/>
      </c>
      <c r="I3161" s="137" t="str">
        <f t="shared" si="179"/>
        <v/>
      </c>
      <c r="J3161" s="117"/>
    </row>
    <row r="3162" spans="1:10" hidden="1" x14ac:dyDescent="0.25">
      <c r="A3162" s="114" t="s">
        <v>6538</v>
      </c>
      <c r="B3162" s="115" t="s">
        <v>6630</v>
      </c>
      <c r="C3162" s="116" t="s">
        <v>16</v>
      </c>
      <c r="D3162" s="116">
        <v>0</v>
      </c>
      <c r="E3162" s="136" t="s">
        <v>416</v>
      </c>
      <c r="F3162" s="137" t="str">
        <f t="shared" si="177"/>
        <v/>
      </c>
      <c r="G3162" s="138" t="e">
        <f>IF(A3162&lt;&gt;"",IF(AND(#REF!="Padrão",$H$4=#REF!),BDI!$B$17,IF(AND(#REF!="Padrão",$H$4=#REF!),BDI!#REF!,IF(AND(#REF!="Diferenciado",$H$4=#REF!),BDI!$E$17,IF(AND(#REF!="Diferenciado",$H$4=#REF!),BDI!#REF!,IF(#REF!="ZERO",0))))),"")</f>
        <v>#REF!</v>
      </c>
      <c r="H3162" s="139" t="str">
        <f t="shared" si="178"/>
        <v/>
      </c>
      <c r="I3162" s="137" t="str">
        <f t="shared" si="179"/>
        <v/>
      </c>
      <c r="J3162" s="117"/>
    </row>
    <row r="3163" spans="1:10" hidden="1" x14ac:dyDescent="0.25">
      <c r="A3163" s="114" t="s">
        <v>6539</v>
      </c>
      <c r="B3163" s="115" t="s">
        <v>6631</v>
      </c>
      <c r="C3163" s="116" t="s">
        <v>16</v>
      </c>
      <c r="D3163" s="116">
        <v>0</v>
      </c>
      <c r="E3163" s="136" t="s">
        <v>416</v>
      </c>
      <c r="F3163" s="137" t="str">
        <f t="shared" si="177"/>
        <v/>
      </c>
      <c r="G3163" s="138" t="e">
        <f>IF(A3163&lt;&gt;"",IF(AND(#REF!="Padrão",$H$4=#REF!),BDI!$B$17,IF(AND(#REF!="Padrão",$H$4=#REF!),BDI!#REF!,IF(AND(#REF!="Diferenciado",$H$4=#REF!),BDI!$E$17,IF(AND(#REF!="Diferenciado",$H$4=#REF!),BDI!#REF!,IF(#REF!="ZERO",0))))),"")</f>
        <v>#REF!</v>
      </c>
      <c r="H3163" s="139" t="str">
        <f t="shared" si="178"/>
        <v/>
      </c>
      <c r="I3163" s="137" t="str">
        <f t="shared" si="179"/>
        <v/>
      </c>
      <c r="J3163" s="117"/>
    </row>
    <row r="3164" spans="1:10" hidden="1" x14ac:dyDescent="0.25">
      <c r="A3164" s="114" t="s">
        <v>6540</v>
      </c>
      <c r="B3164" s="115" t="s">
        <v>6808</v>
      </c>
      <c r="C3164" s="116" t="s">
        <v>6633</v>
      </c>
      <c r="D3164" s="116">
        <v>0</v>
      </c>
      <c r="E3164" s="136">
        <f ca="1">OFFSET(INDEX(Composições!A:J,MATCH(Orçamentária!A3164,Composições!A:A,0),8),2,0)</f>
        <v>0</v>
      </c>
      <c r="F3164" s="137">
        <f t="shared" ca="1" si="177"/>
        <v>0</v>
      </c>
      <c r="G3164" s="138" t="e">
        <f>IF(A3164&lt;&gt;"",IF(AND(#REF!="Padrão",$H$4=#REF!),BDI!$B$17,IF(AND(#REF!="Padrão",$H$4=#REF!),BDI!#REF!,IF(AND(#REF!="Diferenciado",$H$4=#REF!),BDI!$E$17,IF(AND(#REF!="Diferenciado",$H$4=#REF!),BDI!#REF!,IF(#REF!="ZERO",0))))),"")</f>
        <v>#REF!</v>
      </c>
      <c r="H3164" s="139" t="e">
        <f t="shared" ca="1" si="178"/>
        <v>#REF!</v>
      </c>
      <c r="I3164" s="137" t="e">
        <f t="shared" ca="1" si="179"/>
        <v>#REF!</v>
      </c>
      <c r="J3164" s="117"/>
    </row>
    <row r="3165" spans="1:10" hidden="1" x14ac:dyDescent="0.25">
      <c r="A3165" s="114" t="s">
        <v>6541</v>
      </c>
      <c r="B3165" s="115" t="s">
        <v>6634</v>
      </c>
      <c r="C3165" s="116" t="s">
        <v>16</v>
      </c>
      <c r="D3165" s="116">
        <v>0</v>
      </c>
      <c r="E3165" s="136" t="s">
        <v>416</v>
      </c>
      <c r="F3165" s="137" t="str">
        <f t="shared" si="177"/>
        <v/>
      </c>
      <c r="G3165" s="138" t="e">
        <f>IF(A3165&lt;&gt;"",IF(AND(#REF!="Padrão",$H$4=#REF!),BDI!$B$17,IF(AND(#REF!="Padrão",$H$4=#REF!),BDI!#REF!,IF(AND(#REF!="Diferenciado",$H$4=#REF!),BDI!$E$17,IF(AND(#REF!="Diferenciado",$H$4=#REF!),BDI!#REF!,IF(#REF!="ZERO",0))))),"")</f>
        <v>#REF!</v>
      </c>
      <c r="H3165" s="139" t="str">
        <f t="shared" si="178"/>
        <v/>
      </c>
      <c r="I3165" s="137" t="str">
        <f t="shared" si="179"/>
        <v/>
      </c>
      <c r="J3165" s="117"/>
    </row>
    <row r="3166" spans="1:10" hidden="1" x14ac:dyDescent="0.25">
      <c r="A3166" s="114" t="s">
        <v>6542</v>
      </c>
      <c r="B3166" s="115" t="s">
        <v>6635</v>
      </c>
      <c r="C3166" s="116" t="s">
        <v>16</v>
      </c>
      <c r="D3166" s="116">
        <v>0</v>
      </c>
      <c r="E3166" s="136" t="s">
        <v>416</v>
      </c>
      <c r="F3166" s="137" t="str">
        <f t="shared" si="177"/>
        <v/>
      </c>
      <c r="G3166" s="138" t="e">
        <f>IF(A3166&lt;&gt;"",IF(AND(#REF!="Padrão",$H$4=#REF!),BDI!$B$17,IF(AND(#REF!="Padrão",$H$4=#REF!),BDI!#REF!,IF(AND(#REF!="Diferenciado",$H$4=#REF!),BDI!$E$17,IF(AND(#REF!="Diferenciado",$H$4=#REF!),BDI!#REF!,IF(#REF!="ZERO",0))))),"")</f>
        <v>#REF!</v>
      </c>
      <c r="H3166" s="139" t="str">
        <f t="shared" si="178"/>
        <v/>
      </c>
      <c r="I3166" s="137" t="str">
        <f t="shared" si="179"/>
        <v/>
      </c>
      <c r="J3166" s="117"/>
    </row>
    <row r="3167" spans="1:10" hidden="1" x14ac:dyDescent="0.25">
      <c r="A3167" s="114" t="s">
        <v>6543</v>
      </c>
      <c r="B3167" s="115" t="s">
        <v>6636</v>
      </c>
      <c r="C3167" s="116" t="s">
        <v>16</v>
      </c>
      <c r="D3167" s="116">
        <v>0</v>
      </c>
      <c r="E3167" s="136" t="s">
        <v>416</v>
      </c>
      <c r="F3167" s="137" t="str">
        <f t="shared" si="177"/>
        <v/>
      </c>
      <c r="G3167" s="138" t="e">
        <f>IF(A3167&lt;&gt;"",IF(AND(#REF!="Padrão",$H$4=#REF!),BDI!$B$17,IF(AND(#REF!="Padrão",$H$4=#REF!),BDI!#REF!,IF(AND(#REF!="Diferenciado",$H$4=#REF!),BDI!$E$17,IF(AND(#REF!="Diferenciado",$H$4=#REF!),BDI!#REF!,IF(#REF!="ZERO",0))))),"")</f>
        <v>#REF!</v>
      </c>
      <c r="H3167" s="139" t="str">
        <f t="shared" si="178"/>
        <v/>
      </c>
      <c r="I3167" s="137" t="str">
        <f t="shared" si="179"/>
        <v/>
      </c>
      <c r="J3167" s="117"/>
    </row>
    <row r="3168" spans="1:10" hidden="1" x14ac:dyDescent="0.25">
      <c r="A3168" s="114" t="s">
        <v>6544</v>
      </c>
      <c r="B3168" s="115" t="s">
        <v>6637</v>
      </c>
      <c r="C3168" s="116" t="s">
        <v>16</v>
      </c>
      <c r="D3168" s="116">
        <v>0</v>
      </c>
      <c r="E3168" s="136" t="s">
        <v>416</v>
      </c>
      <c r="F3168" s="137" t="str">
        <f t="shared" si="177"/>
        <v/>
      </c>
      <c r="G3168" s="138" t="e">
        <f>IF(A3168&lt;&gt;"",IF(AND(#REF!="Padrão",$H$4=#REF!),BDI!$B$17,IF(AND(#REF!="Padrão",$H$4=#REF!),BDI!#REF!,IF(AND(#REF!="Diferenciado",$H$4=#REF!),BDI!$E$17,IF(AND(#REF!="Diferenciado",$H$4=#REF!),BDI!#REF!,IF(#REF!="ZERO",0))))),"")</f>
        <v>#REF!</v>
      </c>
      <c r="H3168" s="139" t="str">
        <f t="shared" si="178"/>
        <v/>
      </c>
      <c r="I3168" s="137" t="str">
        <f t="shared" si="179"/>
        <v/>
      </c>
      <c r="J3168" s="117"/>
    </row>
    <row r="3169" spans="1:10" hidden="1" x14ac:dyDescent="0.25">
      <c r="A3169" s="114" t="s">
        <v>6545</v>
      </c>
      <c r="B3169" s="115" t="s">
        <v>6638</v>
      </c>
      <c r="C3169" s="116" t="s">
        <v>16</v>
      </c>
      <c r="D3169" s="116">
        <v>0</v>
      </c>
      <c r="E3169" s="136" t="s">
        <v>416</v>
      </c>
      <c r="F3169" s="137" t="str">
        <f t="shared" si="177"/>
        <v/>
      </c>
      <c r="G3169" s="138" t="e">
        <f>IF(A3169&lt;&gt;"",IF(AND(#REF!="Padrão",$H$4=#REF!),BDI!$B$17,IF(AND(#REF!="Padrão",$H$4=#REF!),BDI!#REF!,IF(AND(#REF!="Diferenciado",$H$4=#REF!),BDI!$E$17,IF(AND(#REF!="Diferenciado",$H$4=#REF!),BDI!#REF!,IF(#REF!="ZERO",0))))),"")</f>
        <v>#REF!</v>
      </c>
      <c r="H3169" s="139" t="str">
        <f t="shared" si="178"/>
        <v/>
      </c>
      <c r="I3169" s="137" t="str">
        <f t="shared" si="179"/>
        <v/>
      </c>
      <c r="J3169" s="117"/>
    </row>
    <row r="3170" spans="1:10" hidden="1" x14ac:dyDescent="0.25">
      <c r="A3170" s="114" t="s">
        <v>6546</v>
      </c>
      <c r="B3170" s="115" t="s">
        <v>6639</v>
      </c>
      <c r="C3170" s="116" t="s">
        <v>16</v>
      </c>
      <c r="D3170" s="116">
        <v>0</v>
      </c>
      <c r="E3170" s="136" t="s">
        <v>416</v>
      </c>
      <c r="F3170" s="137" t="str">
        <f t="shared" si="177"/>
        <v/>
      </c>
      <c r="G3170" s="138" t="e">
        <f>IF(A3170&lt;&gt;"",IF(AND(#REF!="Padrão",$H$4=#REF!),BDI!$B$17,IF(AND(#REF!="Padrão",$H$4=#REF!),BDI!#REF!,IF(AND(#REF!="Diferenciado",$H$4=#REF!),BDI!$E$17,IF(AND(#REF!="Diferenciado",$H$4=#REF!),BDI!#REF!,IF(#REF!="ZERO",0))))),"")</f>
        <v>#REF!</v>
      </c>
      <c r="H3170" s="139" t="str">
        <f t="shared" si="178"/>
        <v/>
      </c>
      <c r="I3170" s="137" t="str">
        <f t="shared" si="179"/>
        <v/>
      </c>
      <c r="J3170" s="117"/>
    </row>
    <row r="3171" spans="1:10" hidden="1" x14ac:dyDescent="0.25">
      <c r="A3171" s="114" t="s">
        <v>6547</v>
      </c>
      <c r="B3171" s="115" t="s">
        <v>6640</v>
      </c>
      <c r="C3171" s="116" t="s">
        <v>16</v>
      </c>
      <c r="D3171" s="116">
        <v>0</v>
      </c>
      <c r="E3171" s="136" t="s">
        <v>416</v>
      </c>
      <c r="F3171" s="137" t="str">
        <f t="shared" si="177"/>
        <v/>
      </c>
      <c r="G3171" s="138" t="e">
        <f>IF(A3171&lt;&gt;"",IF(AND(#REF!="Padrão",$H$4=#REF!),BDI!$B$17,IF(AND(#REF!="Padrão",$H$4=#REF!),BDI!#REF!,IF(AND(#REF!="Diferenciado",$H$4=#REF!),BDI!$E$17,IF(AND(#REF!="Diferenciado",$H$4=#REF!),BDI!#REF!,IF(#REF!="ZERO",0))))),"")</f>
        <v>#REF!</v>
      </c>
      <c r="H3171" s="139" t="str">
        <f t="shared" si="178"/>
        <v/>
      </c>
      <c r="I3171" s="137" t="str">
        <f t="shared" si="179"/>
        <v/>
      </c>
      <c r="J3171" s="117"/>
    </row>
    <row r="3172" spans="1:10" hidden="1" x14ac:dyDescent="0.25">
      <c r="A3172" s="114" t="s">
        <v>6548</v>
      </c>
      <c r="B3172" s="115" t="s">
        <v>6809</v>
      </c>
      <c r="C3172" s="116" t="s">
        <v>6633</v>
      </c>
      <c r="D3172" s="116">
        <v>0</v>
      </c>
      <c r="E3172" s="136">
        <f ca="1">OFFSET(INDEX(Composições!A:J,MATCH(Orçamentária!A3172,Composições!A:A,0),8),2,0)</f>
        <v>0</v>
      </c>
      <c r="F3172" s="137">
        <f t="shared" ca="1" si="177"/>
        <v>0</v>
      </c>
      <c r="G3172" s="138" t="e">
        <f>IF(A3172&lt;&gt;"",IF(AND(#REF!="Padrão",$H$4=#REF!),BDI!$B$17,IF(AND(#REF!="Padrão",$H$4=#REF!),BDI!#REF!,IF(AND(#REF!="Diferenciado",$H$4=#REF!),BDI!$E$17,IF(AND(#REF!="Diferenciado",$H$4=#REF!),BDI!#REF!,IF(#REF!="ZERO",0))))),"")</f>
        <v>#REF!</v>
      </c>
      <c r="H3172" s="139" t="e">
        <f t="shared" ca="1" si="178"/>
        <v>#REF!</v>
      </c>
      <c r="I3172" s="137" t="e">
        <f t="shared" ca="1" si="179"/>
        <v>#REF!</v>
      </c>
      <c r="J3172" s="117"/>
    </row>
    <row r="3173" spans="1:10" hidden="1" x14ac:dyDescent="0.25">
      <c r="A3173" s="114" t="s">
        <v>6549</v>
      </c>
      <c r="B3173" s="115" t="s">
        <v>6642</v>
      </c>
      <c r="C3173" s="116" t="s">
        <v>16</v>
      </c>
      <c r="D3173" s="116">
        <v>0</v>
      </c>
      <c r="E3173" s="136" t="s">
        <v>416</v>
      </c>
      <c r="F3173" s="137" t="str">
        <f t="shared" si="177"/>
        <v/>
      </c>
      <c r="G3173" s="138" t="e">
        <f>IF(A3173&lt;&gt;"",IF(AND(#REF!="Padrão",$H$4=#REF!),BDI!$B$17,IF(AND(#REF!="Padrão",$H$4=#REF!),BDI!#REF!,IF(AND(#REF!="Diferenciado",$H$4=#REF!),BDI!$E$17,IF(AND(#REF!="Diferenciado",$H$4=#REF!),BDI!#REF!,IF(#REF!="ZERO",0))))),"")</f>
        <v>#REF!</v>
      </c>
      <c r="H3173" s="139" t="str">
        <f t="shared" si="178"/>
        <v/>
      </c>
      <c r="I3173" s="137" t="str">
        <f t="shared" si="179"/>
        <v/>
      </c>
      <c r="J3173" s="117"/>
    </row>
    <row r="3174" spans="1:10" hidden="1" x14ac:dyDescent="0.25">
      <c r="A3174" s="114" t="s">
        <v>6550</v>
      </c>
      <c r="B3174" s="115" t="s">
        <v>6643</v>
      </c>
      <c r="C3174" s="116" t="s">
        <v>16</v>
      </c>
      <c r="D3174" s="116">
        <v>0</v>
      </c>
      <c r="E3174" s="136" t="s">
        <v>416</v>
      </c>
      <c r="F3174" s="137" t="str">
        <f t="shared" si="177"/>
        <v/>
      </c>
      <c r="G3174" s="138" t="e">
        <f>IF(A3174&lt;&gt;"",IF(AND(#REF!="Padrão",$H$4=#REF!),BDI!$B$17,IF(AND(#REF!="Padrão",$H$4=#REF!),BDI!#REF!,IF(AND(#REF!="Diferenciado",$H$4=#REF!),BDI!$E$17,IF(AND(#REF!="Diferenciado",$H$4=#REF!),BDI!#REF!,IF(#REF!="ZERO",0))))),"")</f>
        <v>#REF!</v>
      </c>
      <c r="H3174" s="139" t="str">
        <f t="shared" si="178"/>
        <v/>
      </c>
      <c r="I3174" s="137" t="str">
        <f t="shared" si="179"/>
        <v/>
      </c>
      <c r="J3174" s="117"/>
    </row>
    <row r="3175" spans="1:10" hidden="1" x14ac:dyDescent="0.25">
      <c r="A3175" s="114" t="s">
        <v>6551</v>
      </c>
      <c r="B3175" s="115" t="s">
        <v>6644</v>
      </c>
      <c r="C3175" s="116" t="s">
        <v>16</v>
      </c>
      <c r="D3175" s="116">
        <v>0</v>
      </c>
      <c r="E3175" s="136" t="s">
        <v>416</v>
      </c>
      <c r="F3175" s="137" t="str">
        <f t="shared" si="177"/>
        <v/>
      </c>
      <c r="G3175" s="138" t="e">
        <f>IF(A3175&lt;&gt;"",IF(AND(#REF!="Padrão",$H$4=#REF!),BDI!$B$17,IF(AND(#REF!="Padrão",$H$4=#REF!),BDI!#REF!,IF(AND(#REF!="Diferenciado",$H$4=#REF!),BDI!$E$17,IF(AND(#REF!="Diferenciado",$H$4=#REF!),BDI!#REF!,IF(#REF!="ZERO",0))))),"")</f>
        <v>#REF!</v>
      </c>
      <c r="H3175" s="139" t="str">
        <f t="shared" si="178"/>
        <v/>
      </c>
      <c r="I3175" s="137" t="str">
        <f t="shared" si="179"/>
        <v/>
      </c>
      <c r="J3175" s="117"/>
    </row>
    <row r="3176" spans="1:10" hidden="1" x14ac:dyDescent="0.25">
      <c r="A3176" s="114" t="s">
        <v>6552</v>
      </c>
      <c r="B3176" s="115" t="s">
        <v>6645</v>
      </c>
      <c r="C3176" s="116" t="s">
        <v>16</v>
      </c>
      <c r="D3176" s="116">
        <v>0</v>
      </c>
      <c r="E3176" s="136" t="s">
        <v>416</v>
      </c>
      <c r="F3176" s="137" t="str">
        <f t="shared" si="177"/>
        <v/>
      </c>
      <c r="G3176" s="138" t="e">
        <f>IF(A3176&lt;&gt;"",IF(AND(#REF!="Padrão",$H$4=#REF!),BDI!$B$17,IF(AND(#REF!="Padrão",$H$4=#REF!),BDI!#REF!,IF(AND(#REF!="Diferenciado",$H$4=#REF!),BDI!$E$17,IF(AND(#REF!="Diferenciado",$H$4=#REF!),BDI!#REF!,IF(#REF!="ZERO",0))))),"")</f>
        <v>#REF!</v>
      </c>
      <c r="H3176" s="139" t="str">
        <f t="shared" si="178"/>
        <v/>
      </c>
      <c r="I3176" s="137" t="str">
        <f t="shared" si="179"/>
        <v/>
      </c>
      <c r="J3176" s="117"/>
    </row>
    <row r="3177" spans="1:10" hidden="1" x14ac:dyDescent="0.25">
      <c r="A3177" s="114" t="s">
        <v>6553</v>
      </c>
      <c r="B3177" s="115" t="s">
        <v>6646</v>
      </c>
      <c r="C3177" s="116" t="s">
        <v>16</v>
      </c>
      <c r="D3177" s="116">
        <v>0</v>
      </c>
      <c r="E3177" s="136" t="s">
        <v>416</v>
      </c>
      <c r="F3177" s="137" t="str">
        <f t="shared" si="177"/>
        <v/>
      </c>
      <c r="G3177" s="138" t="e">
        <f>IF(A3177&lt;&gt;"",IF(AND(#REF!="Padrão",$H$4=#REF!),BDI!$B$17,IF(AND(#REF!="Padrão",$H$4=#REF!),BDI!#REF!,IF(AND(#REF!="Diferenciado",$H$4=#REF!),BDI!$E$17,IF(AND(#REF!="Diferenciado",$H$4=#REF!),BDI!#REF!,IF(#REF!="ZERO",0))))),"")</f>
        <v>#REF!</v>
      </c>
      <c r="H3177" s="139" t="str">
        <f t="shared" si="178"/>
        <v/>
      </c>
      <c r="I3177" s="137" t="str">
        <f t="shared" si="179"/>
        <v/>
      </c>
      <c r="J3177" s="117"/>
    </row>
    <row r="3178" spans="1:10" hidden="1" x14ac:dyDescent="0.25">
      <c r="A3178" s="114" t="s">
        <v>6554</v>
      </c>
      <c r="B3178" s="115" t="s">
        <v>6647</v>
      </c>
      <c r="C3178" s="116" t="s">
        <v>16</v>
      </c>
      <c r="D3178" s="116">
        <v>0</v>
      </c>
      <c r="E3178" s="136" t="s">
        <v>416</v>
      </c>
      <c r="F3178" s="137" t="str">
        <f t="shared" si="177"/>
        <v/>
      </c>
      <c r="G3178" s="138" t="e">
        <f>IF(A3178&lt;&gt;"",IF(AND(#REF!="Padrão",$H$4=#REF!),BDI!$B$17,IF(AND(#REF!="Padrão",$H$4=#REF!),BDI!#REF!,IF(AND(#REF!="Diferenciado",$H$4=#REF!),BDI!$E$17,IF(AND(#REF!="Diferenciado",$H$4=#REF!),BDI!#REF!,IF(#REF!="ZERO",0))))),"")</f>
        <v>#REF!</v>
      </c>
      <c r="H3178" s="139" t="str">
        <f t="shared" si="178"/>
        <v/>
      </c>
      <c r="I3178" s="137" t="str">
        <f t="shared" si="179"/>
        <v/>
      </c>
      <c r="J3178" s="117"/>
    </row>
    <row r="3179" spans="1:10" hidden="1" x14ac:dyDescent="0.25">
      <c r="A3179" s="114" t="s">
        <v>6555</v>
      </c>
      <c r="B3179" s="115" t="s">
        <v>6648</v>
      </c>
      <c r="C3179" s="116" t="s">
        <v>16</v>
      </c>
      <c r="D3179" s="116">
        <v>0</v>
      </c>
      <c r="E3179" s="136" t="s">
        <v>416</v>
      </c>
      <c r="F3179" s="137" t="str">
        <f t="shared" si="177"/>
        <v/>
      </c>
      <c r="G3179" s="138" t="e">
        <f>IF(A3179&lt;&gt;"",IF(AND(#REF!="Padrão",$H$4=#REF!),BDI!$B$17,IF(AND(#REF!="Padrão",$H$4=#REF!),BDI!#REF!,IF(AND(#REF!="Diferenciado",$H$4=#REF!),BDI!$E$17,IF(AND(#REF!="Diferenciado",$H$4=#REF!),BDI!#REF!,IF(#REF!="ZERO",0))))),"")</f>
        <v>#REF!</v>
      </c>
      <c r="H3179" s="139" t="str">
        <f t="shared" si="178"/>
        <v/>
      </c>
      <c r="I3179" s="137" t="str">
        <f t="shared" si="179"/>
        <v/>
      </c>
      <c r="J3179" s="117"/>
    </row>
    <row r="3180" spans="1:10" hidden="1" x14ac:dyDescent="0.25">
      <c r="A3180" s="114" t="s">
        <v>6556</v>
      </c>
      <c r="B3180" s="115" t="s">
        <v>6649</v>
      </c>
      <c r="C3180" s="116" t="s">
        <v>16</v>
      </c>
      <c r="D3180" s="116">
        <v>0</v>
      </c>
      <c r="E3180" s="136" t="s">
        <v>416</v>
      </c>
      <c r="F3180" s="137" t="str">
        <f t="shared" si="177"/>
        <v/>
      </c>
      <c r="G3180" s="138" t="e">
        <f>IF(A3180&lt;&gt;"",IF(AND(#REF!="Padrão",$H$4=#REF!),BDI!$B$17,IF(AND(#REF!="Padrão",$H$4=#REF!),BDI!#REF!,IF(AND(#REF!="Diferenciado",$H$4=#REF!),BDI!$E$17,IF(AND(#REF!="Diferenciado",$H$4=#REF!),BDI!#REF!,IF(#REF!="ZERO",0))))),"")</f>
        <v>#REF!</v>
      </c>
      <c r="H3180" s="139" t="str">
        <f t="shared" si="178"/>
        <v/>
      </c>
      <c r="I3180" s="137" t="str">
        <f t="shared" si="179"/>
        <v/>
      </c>
      <c r="J3180" s="117"/>
    </row>
    <row r="3181" spans="1:10" hidden="1" x14ac:dyDescent="0.25">
      <c r="A3181" s="114" t="s">
        <v>6557</v>
      </c>
      <c r="B3181" s="115" t="s">
        <v>6650</v>
      </c>
      <c r="C3181" s="116" t="s">
        <v>16</v>
      </c>
      <c r="D3181" s="116">
        <v>0</v>
      </c>
      <c r="E3181" s="136" t="s">
        <v>416</v>
      </c>
      <c r="F3181" s="137" t="str">
        <f t="shared" si="177"/>
        <v/>
      </c>
      <c r="G3181" s="138" t="e">
        <f>IF(A3181&lt;&gt;"",IF(AND(#REF!="Padrão",$H$4=#REF!),BDI!$B$17,IF(AND(#REF!="Padrão",$H$4=#REF!),BDI!#REF!,IF(AND(#REF!="Diferenciado",$H$4=#REF!),BDI!$E$17,IF(AND(#REF!="Diferenciado",$H$4=#REF!),BDI!#REF!,IF(#REF!="ZERO",0))))),"")</f>
        <v>#REF!</v>
      </c>
      <c r="H3181" s="139" t="str">
        <f t="shared" si="178"/>
        <v/>
      </c>
      <c r="I3181" s="137" t="str">
        <f t="shared" si="179"/>
        <v/>
      </c>
      <c r="J3181" s="117"/>
    </row>
    <row r="3182" spans="1:10" hidden="1" x14ac:dyDescent="0.25">
      <c r="A3182" s="114" t="s">
        <v>6558</v>
      </c>
      <c r="B3182" s="115" t="s">
        <v>6651</v>
      </c>
      <c r="C3182" s="116" t="s">
        <v>16</v>
      </c>
      <c r="D3182" s="116">
        <v>0</v>
      </c>
      <c r="E3182" s="136" t="s">
        <v>416</v>
      </c>
      <c r="F3182" s="137" t="str">
        <f t="shared" si="177"/>
        <v/>
      </c>
      <c r="G3182" s="138" t="e">
        <f>IF(A3182&lt;&gt;"",IF(AND(#REF!="Padrão",$H$4=#REF!),BDI!$B$17,IF(AND(#REF!="Padrão",$H$4=#REF!),BDI!#REF!,IF(AND(#REF!="Diferenciado",$H$4=#REF!),BDI!$E$17,IF(AND(#REF!="Diferenciado",$H$4=#REF!),BDI!#REF!,IF(#REF!="ZERO",0))))),"")</f>
        <v>#REF!</v>
      </c>
      <c r="H3182" s="139" t="str">
        <f t="shared" si="178"/>
        <v/>
      </c>
      <c r="I3182" s="137" t="str">
        <f t="shared" si="179"/>
        <v/>
      </c>
      <c r="J3182" s="117"/>
    </row>
    <row r="3183" spans="1:10" hidden="1" x14ac:dyDescent="0.25">
      <c r="A3183" s="114" t="s">
        <v>6559</v>
      </c>
      <c r="B3183" s="115" t="s">
        <v>6652</v>
      </c>
      <c r="C3183" s="116" t="s">
        <v>16</v>
      </c>
      <c r="D3183" s="116">
        <v>0</v>
      </c>
      <c r="E3183" s="136" t="s">
        <v>416</v>
      </c>
      <c r="F3183" s="137" t="str">
        <f t="shared" si="177"/>
        <v/>
      </c>
      <c r="G3183" s="138" t="e">
        <f>IF(A3183&lt;&gt;"",IF(AND(#REF!="Padrão",$H$4=#REF!),BDI!$B$17,IF(AND(#REF!="Padrão",$H$4=#REF!),BDI!#REF!,IF(AND(#REF!="Diferenciado",$H$4=#REF!),BDI!$E$17,IF(AND(#REF!="Diferenciado",$H$4=#REF!),BDI!#REF!,IF(#REF!="ZERO",0))))),"")</f>
        <v>#REF!</v>
      </c>
      <c r="H3183" s="139" t="str">
        <f t="shared" si="178"/>
        <v/>
      </c>
      <c r="I3183" s="137" t="str">
        <f t="shared" si="179"/>
        <v/>
      </c>
      <c r="J3183" s="117"/>
    </row>
    <row r="3184" spans="1:10" hidden="1" x14ac:dyDescent="0.25">
      <c r="A3184" s="114" t="s">
        <v>6560</v>
      </c>
      <c r="B3184" s="115" t="s">
        <v>6653</v>
      </c>
      <c r="C3184" s="116" t="s">
        <v>16</v>
      </c>
      <c r="D3184" s="116">
        <v>0</v>
      </c>
      <c r="E3184" s="136" t="s">
        <v>416</v>
      </c>
      <c r="F3184" s="137" t="str">
        <f t="shared" si="177"/>
        <v/>
      </c>
      <c r="G3184" s="138" t="e">
        <f>IF(A3184&lt;&gt;"",IF(AND(#REF!="Padrão",$H$4=#REF!),BDI!$B$17,IF(AND(#REF!="Padrão",$H$4=#REF!),BDI!#REF!,IF(AND(#REF!="Diferenciado",$H$4=#REF!),BDI!$E$17,IF(AND(#REF!="Diferenciado",$H$4=#REF!),BDI!#REF!,IF(#REF!="ZERO",0))))),"")</f>
        <v>#REF!</v>
      </c>
      <c r="H3184" s="139" t="str">
        <f t="shared" si="178"/>
        <v/>
      </c>
      <c r="I3184" s="137" t="str">
        <f t="shared" si="179"/>
        <v/>
      </c>
      <c r="J3184" s="117"/>
    </row>
    <row r="3185" spans="1:10" hidden="1" x14ac:dyDescent="0.25">
      <c r="A3185" s="114" t="s">
        <v>6561</v>
      </c>
      <c r="B3185" s="115" t="s">
        <v>6810</v>
      </c>
      <c r="C3185" s="116" t="s">
        <v>6633</v>
      </c>
      <c r="D3185" s="116">
        <v>0</v>
      </c>
      <c r="E3185" s="136">
        <f ca="1">OFFSET(INDEX(Composições!A:J,MATCH(Orçamentária!A3185,Composições!A:A,0),8),2,0)</f>
        <v>0</v>
      </c>
      <c r="F3185" s="137">
        <f t="shared" ca="1" si="177"/>
        <v>0</v>
      </c>
      <c r="G3185" s="138" t="e">
        <f>IF(A3185&lt;&gt;"",IF(AND(#REF!="Padrão",$H$4=#REF!),BDI!$B$17,IF(AND(#REF!="Padrão",$H$4=#REF!),BDI!#REF!,IF(AND(#REF!="Diferenciado",$H$4=#REF!),BDI!$E$17,IF(AND(#REF!="Diferenciado",$H$4=#REF!),BDI!#REF!,IF(#REF!="ZERO",0))))),"")</f>
        <v>#REF!</v>
      </c>
      <c r="H3185" s="139" t="e">
        <f t="shared" ca="1" si="178"/>
        <v>#REF!</v>
      </c>
      <c r="I3185" s="137" t="e">
        <f t="shared" ca="1" si="179"/>
        <v>#REF!</v>
      </c>
      <c r="J3185" s="117"/>
    </row>
    <row r="3186" spans="1:10" hidden="1" x14ac:dyDescent="0.25">
      <c r="A3186" s="114" t="s">
        <v>6562</v>
      </c>
      <c r="B3186" s="115" t="s">
        <v>6655</v>
      </c>
      <c r="C3186" s="116" t="s">
        <v>16</v>
      </c>
      <c r="D3186" s="116">
        <v>0</v>
      </c>
      <c r="E3186" s="136" t="s">
        <v>416</v>
      </c>
      <c r="F3186" s="137" t="str">
        <f t="shared" si="177"/>
        <v/>
      </c>
      <c r="G3186" s="138" t="e">
        <f>IF(A3186&lt;&gt;"",IF(AND(#REF!="Padrão",$H$4=#REF!),BDI!$B$17,IF(AND(#REF!="Padrão",$H$4=#REF!),BDI!#REF!,IF(AND(#REF!="Diferenciado",$H$4=#REF!),BDI!$E$17,IF(AND(#REF!="Diferenciado",$H$4=#REF!),BDI!#REF!,IF(#REF!="ZERO",0))))),"")</f>
        <v>#REF!</v>
      </c>
      <c r="H3186" s="139" t="str">
        <f t="shared" si="178"/>
        <v/>
      </c>
      <c r="I3186" s="137" t="str">
        <f t="shared" si="179"/>
        <v/>
      </c>
      <c r="J3186" s="117"/>
    </row>
    <row r="3187" spans="1:10" hidden="1" x14ac:dyDescent="0.25">
      <c r="A3187" s="114" t="s">
        <v>6563</v>
      </c>
      <c r="B3187" s="115" t="s">
        <v>6656</v>
      </c>
      <c r="C3187" s="116" t="s">
        <v>16</v>
      </c>
      <c r="D3187" s="116">
        <v>0</v>
      </c>
      <c r="E3187" s="136" t="s">
        <v>416</v>
      </c>
      <c r="F3187" s="137" t="str">
        <f t="shared" si="177"/>
        <v/>
      </c>
      <c r="G3187" s="138" t="e">
        <f>IF(A3187&lt;&gt;"",IF(AND(#REF!="Padrão",$H$4=#REF!),BDI!$B$17,IF(AND(#REF!="Padrão",$H$4=#REF!),BDI!#REF!,IF(AND(#REF!="Diferenciado",$H$4=#REF!),BDI!$E$17,IF(AND(#REF!="Diferenciado",$H$4=#REF!),BDI!#REF!,IF(#REF!="ZERO",0))))),"")</f>
        <v>#REF!</v>
      </c>
      <c r="H3187" s="139" t="str">
        <f t="shared" si="178"/>
        <v/>
      </c>
      <c r="I3187" s="137" t="str">
        <f t="shared" si="179"/>
        <v/>
      </c>
      <c r="J3187" s="117"/>
    </row>
    <row r="3188" spans="1:10" hidden="1" x14ac:dyDescent="0.25">
      <c r="A3188" s="114" t="s">
        <v>6564</v>
      </c>
      <c r="B3188" s="115" t="s">
        <v>6657</v>
      </c>
      <c r="C3188" s="116" t="s">
        <v>16</v>
      </c>
      <c r="D3188" s="116">
        <v>0</v>
      </c>
      <c r="E3188" s="136" t="s">
        <v>416</v>
      </c>
      <c r="F3188" s="137" t="str">
        <f t="shared" si="177"/>
        <v/>
      </c>
      <c r="G3188" s="138" t="e">
        <f>IF(A3188&lt;&gt;"",IF(AND(#REF!="Padrão",$H$4=#REF!),BDI!$B$17,IF(AND(#REF!="Padrão",$H$4=#REF!),BDI!#REF!,IF(AND(#REF!="Diferenciado",$H$4=#REF!),BDI!$E$17,IF(AND(#REF!="Diferenciado",$H$4=#REF!),BDI!#REF!,IF(#REF!="ZERO",0))))),"")</f>
        <v>#REF!</v>
      </c>
      <c r="H3188" s="139" t="str">
        <f t="shared" si="178"/>
        <v/>
      </c>
      <c r="I3188" s="137" t="str">
        <f t="shared" si="179"/>
        <v/>
      </c>
      <c r="J3188" s="117"/>
    </row>
    <row r="3189" spans="1:10" hidden="1" x14ac:dyDescent="0.25">
      <c r="A3189" s="114" t="s">
        <v>6565</v>
      </c>
      <c r="B3189" s="115" t="s">
        <v>6658</v>
      </c>
      <c r="C3189" s="116" t="s">
        <v>16</v>
      </c>
      <c r="D3189" s="116">
        <v>0</v>
      </c>
      <c r="E3189" s="136" t="s">
        <v>416</v>
      </c>
      <c r="F3189" s="137" t="str">
        <f t="shared" si="177"/>
        <v/>
      </c>
      <c r="G3189" s="138" t="e">
        <f>IF(A3189&lt;&gt;"",IF(AND(#REF!="Padrão",$H$4=#REF!),BDI!$B$17,IF(AND(#REF!="Padrão",$H$4=#REF!),BDI!#REF!,IF(AND(#REF!="Diferenciado",$H$4=#REF!),BDI!$E$17,IF(AND(#REF!="Diferenciado",$H$4=#REF!),BDI!#REF!,IF(#REF!="ZERO",0))))),"")</f>
        <v>#REF!</v>
      </c>
      <c r="H3189" s="139" t="str">
        <f t="shared" si="178"/>
        <v/>
      </c>
      <c r="I3189" s="137" t="str">
        <f t="shared" si="179"/>
        <v/>
      </c>
      <c r="J3189" s="117"/>
    </row>
    <row r="3190" spans="1:10" hidden="1" x14ac:dyDescent="0.25">
      <c r="A3190" s="114" t="s">
        <v>6566</v>
      </c>
      <c r="B3190" s="115" t="s">
        <v>6659</v>
      </c>
      <c r="C3190" s="116" t="s">
        <v>16</v>
      </c>
      <c r="D3190" s="116">
        <v>0</v>
      </c>
      <c r="E3190" s="136" t="s">
        <v>416</v>
      </c>
      <c r="F3190" s="137" t="str">
        <f t="shared" si="177"/>
        <v/>
      </c>
      <c r="G3190" s="138" t="e">
        <f>IF(A3190&lt;&gt;"",IF(AND(#REF!="Padrão",$H$4=#REF!),BDI!$B$17,IF(AND(#REF!="Padrão",$H$4=#REF!),BDI!#REF!,IF(AND(#REF!="Diferenciado",$H$4=#REF!),BDI!$E$17,IF(AND(#REF!="Diferenciado",$H$4=#REF!),BDI!#REF!,IF(#REF!="ZERO",0))))),"")</f>
        <v>#REF!</v>
      </c>
      <c r="H3190" s="139" t="str">
        <f t="shared" si="178"/>
        <v/>
      </c>
      <c r="I3190" s="137" t="str">
        <f t="shared" si="179"/>
        <v/>
      </c>
      <c r="J3190" s="117"/>
    </row>
    <row r="3191" spans="1:10" hidden="1" x14ac:dyDescent="0.25">
      <c r="A3191" s="114" t="s">
        <v>6567</v>
      </c>
      <c r="B3191" s="115" t="s">
        <v>6660</v>
      </c>
      <c r="C3191" s="116" t="s">
        <v>28</v>
      </c>
      <c r="D3191" s="116">
        <v>0</v>
      </c>
      <c r="E3191" s="136" t="s">
        <v>416</v>
      </c>
      <c r="F3191" s="137" t="str">
        <f t="shared" si="177"/>
        <v/>
      </c>
      <c r="G3191" s="138" t="e">
        <f>IF(A3191&lt;&gt;"",IF(AND(#REF!="Padrão",$H$4=#REF!),BDI!$B$17,IF(AND(#REF!="Padrão",$H$4=#REF!),BDI!#REF!,IF(AND(#REF!="Diferenciado",$H$4=#REF!),BDI!$E$17,IF(AND(#REF!="Diferenciado",$H$4=#REF!),BDI!#REF!,IF(#REF!="ZERO",0))))),"")</f>
        <v>#REF!</v>
      </c>
      <c r="H3191" s="139" t="str">
        <f t="shared" si="178"/>
        <v/>
      </c>
      <c r="I3191" s="137" t="str">
        <f t="shared" si="179"/>
        <v/>
      </c>
      <c r="J3191" s="117"/>
    </row>
    <row r="3192" spans="1:10" hidden="1" x14ac:dyDescent="0.25">
      <c r="A3192" s="114" t="s">
        <v>6568</v>
      </c>
      <c r="B3192" s="115" t="s">
        <v>6661</v>
      </c>
      <c r="C3192" s="116" t="s">
        <v>16</v>
      </c>
      <c r="D3192" s="116">
        <v>0</v>
      </c>
      <c r="E3192" s="136" t="s">
        <v>416</v>
      </c>
      <c r="F3192" s="137" t="str">
        <f t="shared" si="177"/>
        <v/>
      </c>
      <c r="G3192" s="138" t="e">
        <f>IF(A3192&lt;&gt;"",IF(AND(#REF!="Padrão",$H$4=#REF!),BDI!$B$17,IF(AND(#REF!="Padrão",$H$4=#REF!),BDI!#REF!,IF(AND(#REF!="Diferenciado",$H$4=#REF!),BDI!$E$17,IF(AND(#REF!="Diferenciado",$H$4=#REF!),BDI!#REF!,IF(#REF!="ZERO",0))))),"")</f>
        <v>#REF!</v>
      </c>
      <c r="H3192" s="139" t="str">
        <f t="shared" si="178"/>
        <v/>
      </c>
      <c r="I3192" s="137" t="str">
        <f t="shared" si="179"/>
        <v/>
      </c>
      <c r="J3192" s="117"/>
    </row>
    <row r="3193" spans="1:10" hidden="1" x14ac:dyDescent="0.25">
      <c r="A3193" s="114" t="s">
        <v>6569</v>
      </c>
      <c r="B3193" s="115" t="s">
        <v>6662</v>
      </c>
      <c r="C3193" s="116" t="s">
        <v>6633</v>
      </c>
      <c r="D3193" s="116">
        <v>0</v>
      </c>
      <c r="E3193" s="136" t="s">
        <v>416</v>
      </c>
      <c r="F3193" s="137" t="str">
        <f t="shared" si="177"/>
        <v/>
      </c>
      <c r="G3193" s="138" t="e">
        <f>IF(A3193&lt;&gt;"",IF(AND(#REF!="Padrão",$H$4=#REF!),BDI!$B$17,IF(AND(#REF!="Padrão",$H$4=#REF!),BDI!#REF!,IF(AND(#REF!="Diferenciado",$H$4=#REF!),BDI!$E$17,IF(AND(#REF!="Diferenciado",$H$4=#REF!),BDI!#REF!,IF(#REF!="ZERO",0))))),"")</f>
        <v>#REF!</v>
      </c>
      <c r="H3193" s="139" t="str">
        <f t="shared" si="178"/>
        <v/>
      </c>
      <c r="I3193" s="137" t="str">
        <f t="shared" si="179"/>
        <v/>
      </c>
      <c r="J3193" s="117"/>
    </row>
    <row r="3194" spans="1:10" hidden="1" x14ac:dyDescent="0.25">
      <c r="A3194" s="114" t="s">
        <v>6570</v>
      </c>
      <c r="B3194" s="115" t="s">
        <v>6663</v>
      </c>
      <c r="C3194" s="116" t="s">
        <v>16</v>
      </c>
      <c r="D3194" s="116">
        <v>0</v>
      </c>
      <c r="E3194" s="136" t="s">
        <v>416</v>
      </c>
      <c r="F3194" s="137" t="str">
        <f t="shared" si="177"/>
        <v/>
      </c>
      <c r="G3194" s="138" t="e">
        <f>IF(A3194&lt;&gt;"",IF(AND(#REF!="Padrão",$H$4=#REF!),BDI!$B$17,IF(AND(#REF!="Padrão",$H$4=#REF!),BDI!#REF!,IF(AND(#REF!="Diferenciado",$H$4=#REF!),BDI!$E$17,IF(AND(#REF!="Diferenciado",$H$4=#REF!),BDI!#REF!,IF(#REF!="ZERO",0))))),"")</f>
        <v>#REF!</v>
      </c>
      <c r="H3194" s="139" t="str">
        <f t="shared" si="178"/>
        <v/>
      </c>
      <c r="I3194" s="137" t="str">
        <f t="shared" si="179"/>
        <v/>
      </c>
      <c r="J3194" s="117"/>
    </row>
    <row r="3195" spans="1:10" hidden="1" x14ac:dyDescent="0.25">
      <c r="A3195" s="114" t="s">
        <v>6571</v>
      </c>
      <c r="B3195" s="115" t="s">
        <v>6664</v>
      </c>
      <c r="C3195" s="116" t="s">
        <v>6633</v>
      </c>
      <c r="D3195" s="116">
        <v>0</v>
      </c>
      <c r="E3195" s="136" t="s">
        <v>416</v>
      </c>
      <c r="F3195" s="137" t="str">
        <f t="shared" si="177"/>
        <v/>
      </c>
      <c r="G3195" s="138" t="e">
        <f>IF(A3195&lt;&gt;"",IF(AND(#REF!="Padrão",$H$4=#REF!),BDI!$B$17,IF(AND(#REF!="Padrão",$H$4=#REF!),BDI!#REF!,IF(AND(#REF!="Diferenciado",$H$4=#REF!),BDI!$E$17,IF(AND(#REF!="Diferenciado",$H$4=#REF!),BDI!#REF!,IF(#REF!="ZERO",0))))),"")</f>
        <v>#REF!</v>
      </c>
      <c r="H3195" s="139" t="str">
        <f t="shared" si="178"/>
        <v/>
      </c>
      <c r="I3195" s="137" t="str">
        <f t="shared" si="179"/>
        <v/>
      </c>
      <c r="J3195" s="117"/>
    </row>
    <row r="3196" spans="1:10" hidden="1" x14ac:dyDescent="0.25">
      <c r="A3196" s="114" t="s">
        <v>6572</v>
      </c>
      <c r="B3196" s="115" t="s">
        <v>6665</v>
      </c>
      <c r="C3196" s="116" t="s">
        <v>16</v>
      </c>
      <c r="D3196" s="116">
        <v>0</v>
      </c>
      <c r="E3196" s="136" t="s">
        <v>416</v>
      </c>
      <c r="F3196" s="137" t="str">
        <f t="shared" si="177"/>
        <v/>
      </c>
      <c r="G3196" s="138" t="e">
        <f>IF(A3196&lt;&gt;"",IF(AND(#REF!="Padrão",$H$4=#REF!),BDI!$B$17,IF(AND(#REF!="Padrão",$H$4=#REF!),BDI!#REF!,IF(AND(#REF!="Diferenciado",$H$4=#REF!),BDI!$E$17,IF(AND(#REF!="Diferenciado",$H$4=#REF!),BDI!#REF!,IF(#REF!="ZERO",0))))),"")</f>
        <v>#REF!</v>
      </c>
      <c r="H3196" s="139" t="str">
        <f t="shared" si="178"/>
        <v/>
      </c>
      <c r="I3196" s="137" t="str">
        <f t="shared" si="179"/>
        <v/>
      </c>
      <c r="J3196" s="117"/>
    </row>
    <row r="3197" spans="1:10" hidden="1" x14ac:dyDescent="0.25">
      <c r="A3197" s="114" t="s">
        <v>6573</v>
      </c>
      <c r="B3197" s="115" t="s">
        <v>6666</v>
      </c>
      <c r="C3197" s="116" t="s">
        <v>16</v>
      </c>
      <c r="D3197" s="116">
        <v>0</v>
      </c>
      <c r="E3197" s="136" t="s">
        <v>416</v>
      </c>
      <c r="F3197" s="137" t="str">
        <f t="shared" si="177"/>
        <v/>
      </c>
      <c r="G3197" s="138" t="e">
        <f>IF(A3197&lt;&gt;"",IF(AND(#REF!="Padrão",$H$4=#REF!),BDI!$B$17,IF(AND(#REF!="Padrão",$H$4=#REF!),BDI!#REF!,IF(AND(#REF!="Diferenciado",$H$4=#REF!),BDI!$E$17,IF(AND(#REF!="Diferenciado",$H$4=#REF!),BDI!#REF!,IF(#REF!="ZERO",0))))),"")</f>
        <v>#REF!</v>
      </c>
      <c r="H3197" s="139" t="str">
        <f t="shared" si="178"/>
        <v/>
      </c>
      <c r="I3197" s="137" t="str">
        <f t="shared" si="179"/>
        <v/>
      </c>
      <c r="J3197" s="117"/>
    </row>
    <row r="3198" spans="1:10" hidden="1" x14ac:dyDescent="0.25">
      <c r="A3198" s="114" t="s">
        <v>6574</v>
      </c>
      <c r="B3198" s="115" t="s">
        <v>6667</v>
      </c>
      <c r="C3198" s="116" t="s">
        <v>16</v>
      </c>
      <c r="D3198" s="116">
        <v>0</v>
      </c>
      <c r="E3198" s="136" t="s">
        <v>416</v>
      </c>
      <c r="F3198" s="137" t="str">
        <f t="shared" si="177"/>
        <v/>
      </c>
      <c r="G3198" s="138" t="e">
        <f>IF(A3198&lt;&gt;"",IF(AND(#REF!="Padrão",$H$4=#REF!),BDI!$B$17,IF(AND(#REF!="Padrão",$H$4=#REF!),BDI!#REF!,IF(AND(#REF!="Diferenciado",$H$4=#REF!),BDI!$E$17,IF(AND(#REF!="Diferenciado",$H$4=#REF!),BDI!#REF!,IF(#REF!="ZERO",0))))),"")</f>
        <v>#REF!</v>
      </c>
      <c r="H3198" s="139" t="str">
        <f t="shared" si="178"/>
        <v/>
      </c>
      <c r="I3198" s="137" t="str">
        <f t="shared" si="179"/>
        <v/>
      </c>
      <c r="J3198" s="117"/>
    </row>
    <row r="3199" spans="1:10" hidden="1" x14ac:dyDescent="0.25">
      <c r="A3199" s="114" t="s">
        <v>6575</v>
      </c>
      <c r="B3199" s="115" t="s">
        <v>6668</v>
      </c>
      <c r="C3199" s="116" t="s">
        <v>16</v>
      </c>
      <c r="D3199" s="116">
        <v>0</v>
      </c>
      <c r="E3199" s="136" t="s">
        <v>416</v>
      </c>
      <c r="F3199" s="137" t="str">
        <f t="shared" si="177"/>
        <v/>
      </c>
      <c r="G3199" s="138" t="e">
        <f>IF(A3199&lt;&gt;"",IF(AND(#REF!="Padrão",$H$4=#REF!),BDI!$B$17,IF(AND(#REF!="Padrão",$H$4=#REF!),BDI!#REF!,IF(AND(#REF!="Diferenciado",$H$4=#REF!),BDI!$E$17,IF(AND(#REF!="Diferenciado",$H$4=#REF!),BDI!#REF!,IF(#REF!="ZERO",0))))),"")</f>
        <v>#REF!</v>
      </c>
      <c r="H3199" s="139" t="str">
        <f t="shared" si="178"/>
        <v/>
      </c>
      <c r="I3199" s="137" t="str">
        <f t="shared" si="179"/>
        <v/>
      </c>
      <c r="J3199" s="117"/>
    </row>
    <row r="3200" spans="1:10" hidden="1" x14ac:dyDescent="0.25">
      <c r="A3200" s="114" t="s">
        <v>6576</v>
      </c>
      <c r="B3200" s="115" t="s">
        <v>6669</v>
      </c>
      <c r="C3200" s="116" t="s">
        <v>16</v>
      </c>
      <c r="D3200" s="116">
        <v>0</v>
      </c>
      <c r="E3200" s="136" t="s">
        <v>416</v>
      </c>
      <c r="F3200" s="137" t="str">
        <f t="shared" si="177"/>
        <v/>
      </c>
      <c r="G3200" s="138" t="e">
        <f>IF(A3200&lt;&gt;"",IF(AND(#REF!="Padrão",$H$4=#REF!),BDI!$B$17,IF(AND(#REF!="Padrão",$H$4=#REF!),BDI!#REF!,IF(AND(#REF!="Diferenciado",$H$4=#REF!),BDI!$E$17,IF(AND(#REF!="Diferenciado",$H$4=#REF!),BDI!#REF!,IF(#REF!="ZERO",0))))),"")</f>
        <v>#REF!</v>
      </c>
      <c r="H3200" s="139" t="str">
        <f t="shared" si="178"/>
        <v/>
      </c>
      <c r="I3200" s="137" t="str">
        <f t="shared" si="179"/>
        <v/>
      </c>
      <c r="J3200" s="117"/>
    </row>
    <row r="3201" spans="1:10" hidden="1" x14ac:dyDescent="0.25">
      <c r="A3201" s="114" t="s">
        <v>6577</v>
      </c>
      <c r="B3201" s="115" t="s">
        <v>6670</v>
      </c>
      <c r="C3201" s="116" t="s">
        <v>16</v>
      </c>
      <c r="D3201" s="116">
        <v>0</v>
      </c>
      <c r="E3201" s="136" t="s">
        <v>416</v>
      </c>
      <c r="F3201" s="137" t="str">
        <f t="shared" si="177"/>
        <v/>
      </c>
      <c r="G3201" s="138" t="e">
        <f>IF(A3201&lt;&gt;"",IF(AND(#REF!="Padrão",$H$4=#REF!),BDI!$B$17,IF(AND(#REF!="Padrão",$H$4=#REF!),BDI!#REF!,IF(AND(#REF!="Diferenciado",$H$4=#REF!),BDI!$E$17,IF(AND(#REF!="Diferenciado",$H$4=#REF!),BDI!#REF!,IF(#REF!="ZERO",0))))),"")</f>
        <v>#REF!</v>
      </c>
      <c r="H3201" s="139" t="str">
        <f t="shared" si="178"/>
        <v/>
      </c>
      <c r="I3201" s="137" t="str">
        <f t="shared" si="179"/>
        <v/>
      </c>
      <c r="J3201" s="117"/>
    </row>
    <row r="3202" spans="1:10" hidden="1" x14ac:dyDescent="0.25">
      <c r="A3202" s="114" t="s">
        <v>6578</v>
      </c>
      <c r="B3202" s="115" t="s">
        <v>6671</v>
      </c>
      <c r="C3202" s="116" t="s">
        <v>16</v>
      </c>
      <c r="D3202" s="116">
        <v>0</v>
      </c>
      <c r="E3202" s="136" t="s">
        <v>416</v>
      </c>
      <c r="F3202" s="137" t="str">
        <f t="shared" si="177"/>
        <v/>
      </c>
      <c r="G3202" s="138" t="e">
        <f>IF(A3202&lt;&gt;"",IF(AND(#REF!="Padrão",$H$4=#REF!),BDI!$B$17,IF(AND(#REF!="Padrão",$H$4=#REF!),BDI!#REF!,IF(AND(#REF!="Diferenciado",$H$4=#REF!),BDI!$E$17,IF(AND(#REF!="Diferenciado",$H$4=#REF!),BDI!#REF!,IF(#REF!="ZERO",0))))),"")</f>
        <v>#REF!</v>
      </c>
      <c r="H3202" s="139" t="str">
        <f t="shared" si="178"/>
        <v/>
      </c>
      <c r="I3202" s="137" t="str">
        <f t="shared" si="179"/>
        <v/>
      </c>
      <c r="J3202" s="117"/>
    </row>
    <row r="3203" spans="1:10" hidden="1" x14ac:dyDescent="0.25">
      <c r="A3203" s="114" t="s">
        <v>6579</v>
      </c>
      <c r="B3203" s="115" t="s">
        <v>7281</v>
      </c>
      <c r="C3203" s="116" t="s">
        <v>16</v>
      </c>
      <c r="D3203" s="116">
        <v>0</v>
      </c>
      <c r="E3203" s="136" t="s">
        <v>416</v>
      </c>
      <c r="F3203" s="137" t="str">
        <f t="shared" si="177"/>
        <v/>
      </c>
      <c r="G3203" s="138" t="e">
        <f>IF(A3203&lt;&gt;"",IF(AND(#REF!="Padrão",$H$4=#REF!),BDI!$B$17,IF(AND(#REF!="Padrão",$H$4=#REF!),BDI!#REF!,IF(AND(#REF!="Diferenciado",$H$4=#REF!),BDI!$E$17,IF(AND(#REF!="Diferenciado",$H$4=#REF!),BDI!#REF!,IF(#REF!="ZERO",0))))),"")</f>
        <v>#REF!</v>
      </c>
      <c r="H3203" s="139" t="str">
        <f t="shared" si="178"/>
        <v/>
      </c>
      <c r="I3203" s="137" t="str">
        <f t="shared" si="179"/>
        <v/>
      </c>
      <c r="J3203" s="117"/>
    </row>
    <row r="3204" spans="1:10" hidden="1" x14ac:dyDescent="0.25">
      <c r="A3204" s="114" t="s">
        <v>6580</v>
      </c>
      <c r="B3204" s="115" t="s">
        <v>6672</v>
      </c>
      <c r="C3204" s="116" t="s">
        <v>69</v>
      </c>
      <c r="D3204" s="116">
        <v>0</v>
      </c>
      <c r="E3204" s="136" t="s">
        <v>416</v>
      </c>
      <c r="F3204" s="137" t="str">
        <f t="shared" ref="F3204:F3229" si="180">IF(ISNUMBER(E3204),D3204*E3204,"")</f>
        <v/>
      </c>
      <c r="G3204" s="138" t="e">
        <f>IF(A3204&lt;&gt;"",IF(AND(#REF!="Padrão",$H$4=#REF!),BDI!$B$17,IF(AND(#REF!="Padrão",$H$4=#REF!),BDI!#REF!,IF(AND(#REF!="Diferenciado",$H$4=#REF!),BDI!$E$17,IF(AND(#REF!="Diferenciado",$H$4=#REF!),BDI!#REF!,IF(#REF!="ZERO",0))))),"")</f>
        <v>#REF!</v>
      </c>
      <c r="H3204" s="139" t="str">
        <f t="shared" ref="H3204:H3229" si="181">IF(ISNUMBER(E3204),ROUND(E3204*(1+G3204),2),"")</f>
        <v/>
      </c>
      <c r="I3204" s="137" t="str">
        <f t="shared" ref="I3204:I3229" si="182">IF(ISNUMBER(E3204),ROUND(H3204*D3204,2),"")</f>
        <v/>
      </c>
      <c r="J3204" s="117"/>
    </row>
    <row r="3205" spans="1:10" hidden="1" x14ac:dyDescent="0.25">
      <c r="A3205" s="114" t="s">
        <v>6581</v>
      </c>
      <c r="B3205" s="115" t="s">
        <v>6673</v>
      </c>
      <c r="C3205" s="116" t="s">
        <v>69</v>
      </c>
      <c r="D3205" s="116">
        <v>0</v>
      </c>
      <c r="E3205" s="136" t="s">
        <v>416</v>
      </c>
      <c r="F3205" s="137" t="str">
        <f t="shared" si="180"/>
        <v/>
      </c>
      <c r="G3205" s="138" t="e">
        <f>IF(A3205&lt;&gt;"",IF(AND(#REF!="Padrão",$H$4=#REF!),BDI!$B$17,IF(AND(#REF!="Padrão",$H$4=#REF!),BDI!#REF!,IF(AND(#REF!="Diferenciado",$H$4=#REF!),BDI!$E$17,IF(AND(#REF!="Diferenciado",$H$4=#REF!),BDI!#REF!,IF(#REF!="ZERO",0))))),"")</f>
        <v>#REF!</v>
      </c>
      <c r="H3205" s="139" t="str">
        <f t="shared" si="181"/>
        <v/>
      </c>
      <c r="I3205" s="137" t="str">
        <f t="shared" si="182"/>
        <v/>
      </c>
      <c r="J3205" s="117"/>
    </row>
    <row r="3206" spans="1:10" hidden="1" x14ac:dyDescent="0.25">
      <c r="A3206" s="114" t="s">
        <v>6674</v>
      </c>
      <c r="B3206" s="115" t="s">
        <v>6675</v>
      </c>
      <c r="C3206" s="116" t="s">
        <v>69</v>
      </c>
      <c r="D3206" s="116">
        <v>0</v>
      </c>
      <c r="E3206" s="136" t="s">
        <v>416</v>
      </c>
      <c r="F3206" s="137" t="str">
        <f t="shared" si="180"/>
        <v/>
      </c>
      <c r="G3206" s="138" t="e">
        <f>IF(A3206&lt;&gt;"",IF(AND(#REF!="Padrão",$H$4=#REF!),BDI!$B$17,IF(AND(#REF!="Padrão",$H$4=#REF!),BDI!#REF!,IF(AND(#REF!="Diferenciado",$H$4=#REF!),BDI!$E$17,IF(AND(#REF!="Diferenciado",$H$4=#REF!),BDI!#REF!,IF(#REF!="ZERO",0))))),"")</f>
        <v>#REF!</v>
      </c>
      <c r="H3206" s="139" t="str">
        <f t="shared" si="181"/>
        <v/>
      </c>
      <c r="I3206" s="137" t="str">
        <f t="shared" si="182"/>
        <v/>
      </c>
      <c r="J3206" s="117"/>
    </row>
    <row r="3207" spans="1:10" hidden="1" x14ac:dyDescent="0.25">
      <c r="A3207" s="114" t="s">
        <v>6676</v>
      </c>
      <c r="B3207" s="115" t="s">
        <v>6677</v>
      </c>
      <c r="C3207" s="116" t="s">
        <v>69</v>
      </c>
      <c r="D3207" s="116">
        <v>0</v>
      </c>
      <c r="E3207" s="136" t="s">
        <v>416</v>
      </c>
      <c r="F3207" s="137" t="str">
        <f t="shared" si="180"/>
        <v/>
      </c>
      <c r="G3207" s="138" t="e">
        <f>IF(A3207&lt;&gt;"",IF(AND(#REF!="Padrão",$H$4=#REF!),BDI!$B$17,IF(AND(#REF!="Padrão",$H$4=#REF!),BDI!#REF!,IF(AND(#REF!="Diferenciado",$H$4=#REF!),BDI!$E$17,IF(AND(#REF!="Diferenciado",$H$4=#REF!),BDI!#REF!,IF(#REF!="ZERO",0))))),"")</f>
        <v>#REF!</v>
      </c>
      <c r="H3207" s="139" t="str">
        <f t="shared" si="181"/>
        <v/>
      </c>
      <c r="I3207" s="137" t="str">
        <f t="shared" si="182"/>
        <v/>
      </c>
      <c r="J3207" s="117"/>
    </row>
    <row r="3208" spans="1:10" hidden="1" x14ac:dyDescent="0.25">
      <c r="A3208" s="114" t="s">
        <v>6678</v>
      </c>
      <c r="B3208" s="115" t="s">
        <v>6679</v>
      </c>
      <c r="C3208" s="116" t="s">
        <v>16</v>
      </c>
      <c r="D3208" s="116">
        <v>0</v>
      </c>
      <c r="E3208" s="136">
        <f ca="1">OFFSET(INDEX(Composições!A:J,MATCH(Orçamentária!A3208,Composições!A:A,0),8),2,0)</f>
        <v>40.403500000000001</v>
      </c>
      <c r="F3208" s="137">
        <f t="shared" ca="1" si="180"/>
        <v>0</v>
      </c>
      <c r="G3208" s="138" t="e">
        <f>IF(A3208&lt;&gt;"",IF(AND(#REF!="Padrão",$H$4=#REF!),BDI!$B$17,IF(AND(#REF!="Padrão",$H$4=#REF!),BDI!#REF!,IF(AND(#REF!="Diferenciado",$H$4=#REF!),BDI!$E$17,IF(AND(#REF!="Diferenciado",$H$4=#REF!),BDI!#REF!,IF(#REF!="ZERO",0))))),"")</f>
        <v>#REF!</v>
      </c>
      <c r="H3208" s="139" t="e">
        <f t="shared" ca="1" si="181"/>
        <v>#REF!</v>
      </c>
      <c r="I3208" s="137" t="e">
        <f t="shared" ca="1" si="182"/>
        <v>#REF!</v>
      </c>
      <c r="J3208" s="117"/>
    </row>
    <row r="3209" spans="1:10" hidden="1" x14ac:dyDescent="0.25">
      <c r="A3209" s="114" t="s">
        <v>6680</v>
      </c>
      <c r="B3209" s="115" t="s">
        <v>6681</v>
      </c>
      <c r="C3209" s="116" t="s">
        <v>16</v>
      </c>
      <c r="D3209" s="116">
        <v>0</v>
      </c>
      <c r="E3209" s="136" t="s">
        <v>416</v>
      </c>
      <c r="F3209" s="137" t="str">
        <f t="shared" si="180"/>
        <v/>
      </c>
      <c r="G3209" s="138" t="e">
        <f>IF(A3209&lt;&gt;"",IF(AND(#REF!="Padrão",$H$4=#REF!),BDI!$B$17,IF(AND(#REF!="Padrão",$H$4=#REF!),BDI!#REF!,IF(AND(#REF!="Diferenciado",$H$4=#REF!),BDI!$E$17,IF(AND(#REF!="Diferenciado",$H$4=#REF!),BDI!#REF!,IF(#REF!="ZERO",0))))),"")</f>
        <v>#REF!</v>
      </c>
      <c r="H3209" s="139" t="str">
        <f t="shared" si="181"/>
        <v/>
      </c>
      <c r="I3209" s="137" t="str">
        <f t="shared" si="182"/>
        <v/>
      </c>
      <c r="J3209" s="117"/>
    </row>
    <row r="3210" spans="1:10" hidden="1" x14ac:dyDescent="0.25">
      <c r="A3210" s="114" t="s">
        <v>6682</v>
      </c>
      <c r="B3210" s="115" t="s">
        <v>6683</v>
      </c>
      <c r="C3210" s="116" t="s">
        <v>16</v>
      </c>
      <c r="D3210" s="116">
        <v>0</v>
      </c>
      <c r="E3210" s="136" t="s">
        <v>416</v>
      </c>
      <c r="F3210" s="137" t="str">
        <f t="shared" si="180"/>
        <v/>
      </c>
      <c r="G3210" s="138" t="e">
        <f>IF(A3210&lt;&gt;"",IF(AND(#REF!="Padrão",$H$4=#REF!),BDI!$B$17,IF(AND(#REF!="Padrão",$H$4=#REF!),BDI!#REF!,IF(AND(#REF!="Diferenciado",$H$4=#REF!),BDI!$E$17,IF(AND(#REF!="Diferenciado",$H$4=#REF!),BDI!#REF!,IF(#REF!="ZERO",0))))),"")</f>
        <v>#REF!</v>
      </c>
      <c r="H3210" s="139" t="str">
        <f t="shared" si="181"/>
        <v/>
      </c>
      <c r="I3210" s="137" t="str">
        <f t="shared" si="182"/>
        <v/>
      </c>
      <c r="J3210" s="117"/>
    </row>
    <row r="3211" spans="1:10" hidden="1" x14ac:dyDescent="0.25">
      <c r="A3211" s="114" t="s">
        <v>6684</v>
      </c>
      <c r="B3211" s="115" t="s">
        <v>6685</v>
      </c>
      <c r="C3211" s="116" t="s">
        <v>16</v>
      </c>
      <c r="D3211" s="116">
        <v>0</v>
      </c>
      <c r="E3211" s="136">
        <f ca="1">OFFSET(INDEX(Composições!A:J,MATCH(Orçamentária!A3211,Composições!A:A,0),8),2,0)</f>
        <v>68.989000000000004</v>
      </c>
      <c r="F3211" s="137">
        <f t="shared" ca="1" si="180"/>
        <v>0</v>
      </c>
      <c r="G3211" s="138" t="e">
        <f>IF(A3211&lt;&gt;"",IF(AND(#REF!="Padrão",$H$4=#REF!),BDI!$B$17,IF(AND(#REF!="Padrão",$H$4=#REF!),BDI!#REF!,IF(AND(#REF!="Diferenciado",$H$4=#REF!),BDI!$E$17,IF(AND(#REF!="Diferenciado",$H$4=#REF!),BDI!#REF!,IF(#REF!="ZERO",0))))),"")</f>
        <v>#REF!</v>
      </c>
      <c r="H3211" s="139" t="e">
        <f t="shared" ca="1" si="181"/>
        <v>#REF!</v>
      </c>
      <c r="I3211" s="137" t="e">
        <f t="shared" ca="1" si="182"/>
        <v>#REF!</v>
      </c>
      <c r="J3211" s="117"/>
    </row>
    <row r="3212" spans="1:10" hidden="1" x14ac:dyDescent="0.25">
      <c r="A3212" s="114" t="s">
        <v>6686</v>
      </c>
      <c r="B3212" s="115" t="s">
        <v>6687</v>
      </c>
      <c r="C3212" s="116" t="s">
        <v>69</v>
      </c>
      <c r="D3212" s="116">
        <v>0</v>
      </c>
      <c r="E3212" s="136">
        <f ca="1">OFFSET(INDEX(Composições!A:J,MATCH(Orçamentária!A3212,Composições!A:A,0),8),2,0)</f>
        <v>54.786499999999997</v>
      </c>
      <c r="F3212" s="137">
        <f t="shared" ca="1" si="180"/>
        <v>0</v>
      </c>
      <c r="G3212" s="138" t="e">
        <f>IF(A3212&lt;&gt;"",IF(AND(#REF!="Padrão",$H$4=#REF!),BDI!$B$17,IF(AND(#REF!="Padrão",$H$4=#REF!),BDI!#REF!,IF(AND(#REF!="Diferenciado",$H$4=#REF!),BDI!$E$17,IF(AND(#REF!="Diferenciado",$H$4=#REF!),BDI!#REF!,IF(#REF!="ZERO",0))))),"")</f>
        <v>#REF!</v>
      </c>
      <c r="H3212" s="139" t="e">
        <f t="shared" ca="1" si="181"/>
        <v>#REF!</v>
      </c>
      <c r="I3212" s="137" t="e">
        <f t="shared" ca="1" si="182"/>
        <v>#REF!</v>
      </c>
      <c r="J3212" s="117"/>
    </row>
    <row r="3213" spans="1:10" hidden="1" x14ac:dyDescent="0.25">
      <c r="A3213" s="114" t="s">
        <v>6688</v>
      </c>
      <c r="B3213" s="115" t="s">
        <v>5883</v>
      </c>
      <c r="C3213" s="116" t="s">
        <v>16</v>
      </c>
      <c r="D3213" s="116">
        <v>0</v>
      </c>
      <c r="E3213" s="136" t="s">
        <v>416</v>
      </c>
      <c r="F3213" s="137" t="str">
        <f t="shared" si="180"/>
        <v/>
      </c>
      <c r="G3213" s="138" t="e">
        <f>IF(A3213&lt;&gt;"",IF(AND(#REF!="Padrão",$H$4=#REF!),BDI!$B$17,IF(AND(#REF!="Padrão",$H$4=#REF!),BDI!#REF!,IF(AND(#REF!="Diferenciado",$H$4=#REF!),BDI!$E$17,IF(AND(#REF!="Diferenciado",$H$4=#REF!),BDI!#REF!,IF(#REF!="ZERO",0))))),"")</f>
        <v>#REF!</v>
      </c>
      <c r="H3213" s="139" t="str">
        <f t="shared" si="181"/>
        <v/>
      </c>
      <c r="I3213" s="137" t="str">
        <f t="shared" si="182"/>
        <v/>
      </c>
      <c r="J3213" s="117"/>
    </row>
    <row r="3214" spans="1:10" hidden="1" x14ac:dyDescent="0.25">
      <c r="A3214" s="114" t="s">
        <v>6689</v>
      </c>
      <c r="B3214" s="115" t="s">
        <v>6690</v>
      </c>
      <c r="C3214" s="116" t="s">
        <v>16</v>
      </c>
      <c r="D3214" s="116">
        <v>0</v>
      </c>
      <c r="E3214" s="136" t="s">
        <v>416</v>
      </c>
      <c r="F3214" s="137" t="str">
        <f t="shared" si="180"/>
        <v/>
      </c>
      <c r="G3214" s="138" t="e">
        <f>IF(A3214&lt;&gt;"",IF(AND(#REF!="Padrão",$H$4=#REF!),BDI!$B$17,IF(AND(#REF!="Padrão",$H$4=#REF!),BDI!#REF!,IF(AND(#REF!="Diferenciado",$H$4=#REF!),BDI!$E$17,IF(AND(#REF!="Diferenciado",$H$4=#REF!),BDI!#REF!,IF(#REF!="ZERO",0))))),"")</f>
        <v>#REF!</v>
      </c>
      <c r="H3214" s="139" t="str">
        <f t="shared" si="181"/>
        <v/>
      </c>
      <c r="I3214" s="137" t="str">
        <f t="shared" si="182"/>
        <v/>
      </c>
      <c r="J3214" s="117"/>
    </row>
    <row r="3215" spans="1:10" hidden="1" x14ac:dyDescent="0.25">
      <c r="A3215" s="114" t="s">
        <v>6691</v>
      </c>
      <c r="B3215" s="115" t="s">
        <v>6692</v>
      </c>
      <c r="C3215" s="116" t="s">
        <v>16</v>
      </c>
      <c r="D3215" s="116">
        <v>0</v>
      </c>
      <c r="E3215" s="136" t="s">
        <v>416</v>
      </c>
      <c r="F3215" s="137" t="str">
        <f t="shared" si="180"/>
        <v/>
      </c>
      <c r="G3215" s="138" t="e">
        <f>IF(A3215&lt;&gt;"",IF(AND(#REF!="Padrão",$H$4=#REF!),BDI!$B$17,IF(AND(#REF!="Padrão",$H$4=#REF!),BDI!#REF!,IF(AND(#REF!="Diferenciado",$H$4=#REF!),BDI!$E$17,IF(AND(#REF!="Diferenciado",$H$4=#REF!),BDI!#REF!,IF(#REF!="ZERO",0))))),"")</f>
        <v>#REF!</v>
      </c>
      <c r="H3215" s="139" t="str">
        <f t="shared" si="181"/>
        <v/>
      </c>
      <c r="I3215" s="137" t="str">
        <f t="shared" si="182"/>
        <v/>
      </c>
      <c r="J3215" s="117"/>
    </row>
    <row r="3216" spans="1:10" hidden="1" x14ac:dyDescent="0.25">
      <c r="A3216" s="114" t="s">
        <v>6693</v>
      </c>
      <c r="B3216" s="115" t="s">
        <v>6694</v>
      </c>
      <c r="C3216" s="116" t="s">
        <v>16</v>
      </c>
      <c r="D3216" s="116">
        <v>0</v>
      </c>
      <c r="E3216" s="136" t="s">
        <v>416</v>
      </c>
      <c r="F3216" s="137" t="str">
        <f t="shared" si="180"/>
        <v/>
      </c>
      <c r="G3216" s="138" t="e">
        <f>IF(A3216&lt;&gt;"",IF(AND(#REF!="Padrão",$H$4=#REF!),BDI!$B$17,IF(AND(#REF!="Padrão",$H$4=#REF!),BDI!#REF!,IF(AND(#REF!="Diferenciado",$H$4=#REF!),BDI!$E$17,IF(AND(#REF!="Diferenciado",$H$4=#REF!),BDI!#REF!,IF(#REF!="ZERO",0))))),"")</f>
        <v>#REF!</v>
      </c>
      <c r="H3216" s="139" t="str">
        <f t="shared" si="181"/>
        <v/>
      </c>
      <c r="I3216" s="137" t="str">
        <f t="shared" si="182"/>
        <v/>
      </c>
      <c r="J3216" s="117"/>
    </row>
    <row r="3217" spans="1:10" hidden="1" x14ac:dyDescent="0.25">
      <c r="A3217" s="114" t="s">
        <v>6695</v>
      </c>
      <c r="B3217" s="115" t="s">
        <v>6696</v>
      </c>
      <c r="C3217" s="116" t="s">
        <v>16</v>
      </c>
      <c r="D3217" s="116">
        <v>0</v>
      </c>
      <c r="E3217" s="136" t="s">
        <v>416</v>
      </c>
      <c r="F3217" s="137" t="str">
        <f t="shared" si="180"/>
        <v/>
      </c>
      <c r="G3217" s="138" t="e">
        <f>IF(A3217&lt;&gt;"",IF(AND(#REF!="Padrão",$H$4=#REF!),BDI!$B$17,IF(AND(#REF!="Padrão",$H$4=#REF!),BDI!#REF!,IF(AND(#REF!="Diferenciado",$H$4=#REF!),BDI!$E$17,IF(AND(#REF!="Diferenciado",$H$4=#REF!),BDI!#REF!,IF(#REF!="ZERO",0))))),"")</f>
        <v>#REF!</v>
      </c>
      <c r="H3217" s="139" t="str">
        <f t="shared" si="181"/>
        <v/>
      </c>
      <c r="I3217" s="137" t="str">
        <f t="shared" si="182"/>
        <v/>
      </c>
      <c r="J3217" s="117"/>
    </row>
    <row r="3218" spans="1:10" hidden="1" x14ac:dyDescent="0.25">
      <c r="A3218" s="114" t="s">
        <v>6697</v>
      </c>
      <c r="B3218" s="115" t="s">
        <v>3850</v>
      </c>
      <c r="C3218" s="116" t="s">
        <v>16</v>
      </c>
      <c r="D3218" s="116">
        <v>0</v>
      </c>
      <c r="E3218" s="136" t="s">
        <v>416</v>
      </c>
      <c r="F3218" s="137" t="str">
        <f t="shared" si="180"/>
        <v/>
      </c>
      <c r="G3218" s="138" t="e">
        <f>IF(A3218&lt;&gt;"",IF(AND(#REF!="Padrão",$H$4=#REF!),BDI!$B$17,IF(AND(#REF!="Padrão",$H$4=#REF!),BDI!#REF!,IF(AND(#REF!="Diferenciado",$H$4=#REF!),BDI!$E$17,IF(AND(#REF!="Diferenciado",$H$4=#REF!),BDI!#REF!,IF(#REF!="ZERO",0))))),"")</f>
        <v>#REF!</v>
      </c>
      <c r="H3218" s="139" t="str">
        <f t="shared" si="181"/>
        <v/>
      </c>
      <c r="I3218" s="137" t="str">
        <f t="shared" si="182"/>
        <v/>
      </c>
      <c r="J3218" s="117"/>
    </row>
    <row r="3219" spans="1:10" hidden="1" x14ac:dyDescent="0.25">
      <c r="A3219" s="114" t="s">
        <v>6698</v>
      </c>
      <c r="B3219" s="115" t="s">
        <v>6699</v>
      </c>
      <c r="C3219" s="116" t="s">
        <v>16</v>
      </c>
      <c r="D3219" s="116">
        <v>0</v>
      </c>
      <c r="E3219" s="136">
        <f ca="1">OFFSET(INDEX(Composições!A:J,MATCH(Orçamentária!A3219,Composições!A:A,0),8),2,0)</f>
        <v>5.8425000000000002</v>
      </c>
      <c r="F3219" s="137">
        <f t="shared" ca="1" si="180"/>
        <v>0</v>
      </c>
      <c r="G3219" s="138" t="e">
        <f>IF(A3219&lt;&gt;"",IF(AND(#REF!="Padrão",$H$4=#REF!),BDI!$B$17,IF(AND(#REF!="Padrão",$H$4=#REF!),BDI!#REF!,IF(AND(#REF!="Diferenciado",$H$4=#REF!),BDI!$E$17,IF(AND(#REF!="Diferenciado",$H$4=#REF!),BDI!#REF!,IF(#REF!="ZERO",0))))),"")</f>
        <v>#REF!</v>
      </c>
      <c r="H3219" s="139" t="e">
        <f t="shared" ca="1" si="181"/>
        <v>#REF!</v>
      </c>
      <c r="I3219" s="137" t="e">
        <f t="shared" ca="1" si="182"/>
        <v>#REF!</v>
      </c>
      <c r="J3219" s="117"/>
    </row>
    <row r="3220" spans="1:10" hidden="1" x14ac:dyDescent="0.25">
      <c r="A3220" s="114" t="s">
        <v>6700</v>
      </c>
      <c r="B3220" s="115" t="s">
        <v>6701</v>
      </c>
      <c r="C3220" s="116" t="s">
        <v>16</v>
      </c>
      <c r="D3220" s="116">
        <v>0</v>
      </c>
      <c r="E3220" s="136">
        <f ca="1">OFFSET(INDEX(Composições!A:J,MATCH(Orçamentária!A3220,Composições!A:A,0),8),2,0)</f>
        <v>0</v>
      </c>
      <c r="F3220" s="137">
        <f t="shared" ca="1" si="180"/>
        <v>0</v>
      </c>
      <c r="G3220" s="138" t="e">
        <f>IF(A3220&lt;&gt;"",IF(AND(#REF!="Padrão",$H$4=#REF!),BDI!$B$17,IF(AND(#REF!="Padrão",$H$4=#REF!),BDI!#REF!,IF(AND(#REF!="Diferenciado",$H$4=#REF!),BDI!$E$17,IF(AND(#REF!="Diferenciado",$H$4=#REF!),BDI!#REF!,IF(#REF!="ZERO",0))))),"")</f>
        <v>#REF!</v>
      </c>
      <c r="H3220" s="139" t="e">
        <f t="shared" ca="1" si="181"/>
        <v>#REF!</v>
      </c>
      <c r="I3220" s="137" t="e">
        <f t="shared" ca="1" si="182"/>
        <v>#REF!</v>
      </c>
      <c r="J3220" s="117"/>
    </row>
    <row r="3221" spans="1:10" hidden="1" x14ac:dyDescent="0.25">
      <c r="A3221" s="114" t="s">
        <v>6702</v>
      </c>
      <c r="B3221" s="115" t="s">
        <v>6703</v>
      </c>
      <c r="C3221" s="116" t="s">
        <v>16</v>
      </c>
      <c r="D3221" s="116">
        <v>0</v>
      </c>
      <c r="E3221" s="136" t="s">
        <v>416</v>
      </c>
      <c r="F3221" s="137" t="str">
        <f t="shared" si="180"/>
        <v/>
      </c>
      <c r="G3221" s="138" t="e">
        <f>IF(A3221&lt;&gt;"",IF(AND(#REF!="Padrão",$H$4=#REF!),BDI!$B$17,IF(AND(#REF!="Padrão",$H$4=#REF!),BDI!#REF!,IF(AND(#REF!="Diferenciado",$H$4=#REF!),BDI!$E$17,IF(AND(#REF!="Diferenciado",$H$4=#REF!),BDI!#REF!,IF(#REF!="ZERO",0))))),"")</f>
        <v>#REF!</v>
      </c>
      <c r="H3221" s="139" t="str">
        <f t="shared" si="181"/>
        <v/>
      </c>
      <c r="I3221" s="137" t="str">
        <f t="shared" si="182"/>
        <v/>
      </c>
      <c r="J3221" s="117"/>
    </row>
    <row r="3222" spans="1:10" hidden="1" x14ac:dyDescent="0.25">
      <c r="A3222" s="114" t="s">
        <v>6704</v>
      </c>
      <c r="B3222" s="115" t="s">
        <v>6705</v>
      </c>
      <c r="C3222" s="116" t="s">
        <v>16</v>
      </c>
      <c r="D3222" s="116">
        <v>0</v>
      </c>
      <c r="E3222" s="136">
        <f ca="1">OFFSET(INDEX(Composições!A:J,MATCH(Orçamentária!A3222,Composições!A:A,0),8),2,0)</f>
        <v>1.7669999999999999</v>
      </c>
      <c r="F3222" s="137">
        <f t="shared" ca="1" si="180"/>
        <v>0</v>
      </c>
      <c r="G3222" s="138" t="e">
        <f>IF(A3222&lt;&gt;"",IF(AND(#REF!="Padrão",$H$4=#REF!),BDI!$B$17,IF(AND(#REF!="Padrão",$H$4=#REF!),BDI!#REF!,IF(AND(#REF!="Diferenciado",$H$4=#REF!),BDI!$E$17,IF(AND(#REF!="Diferenciado",$H$4=#REF!),BDI!#REF!,IF(#REF!="ZERO",0))))),"")</f>
        <v>#REF!</v>
      </c>
      <c r="H3222" s="139" t="e">
        <f t="shared" ca="1" si="181"/>
        <v>#REF!</v>
      </c>
      <c r="I3222" s="137" t="e">
        <f t="shared" ca="1" si="182"/>
        <v>#REF!</v>
      </c>
      <c r="J3222" s="117"/>
    </row>
    <row r="3223" spans="1:10" hidden="1" x14ac:dyDescent="0.25">
      <c r="A3223" s="114" t="s">
        <v>6706</v>
      </c>
      <c r="B3223" s="115" t="s">
        <v>7280</v>
      </c>
      <c r="C3223" s="116" t="s">
        <v>16</v>
      </c>
      <c r="D3223" s="116">
        <v>0</v>
      </c>
      <c r="E3223" s="136" t="s">
        <v>416</v>
      </c>
      <c r="F3223" s="137" t="str">
        <f t="shared" si="180"/>
        <v/>
      </c>
      <c r="G3223" s="138" t="e">
        <f>IF(A3223&lt;&gt;"",IF(AND(#REF!="Padrão",$H$4=#REF!),BDI!$B$17,IF(AND(#REF!="Padrão",$H$4=#REF!),BDI!#REF!,IF(AND(#REF!="Diferenciado",$H$4=#REF!),BDI!$E$17,IF(AND(#REF!="Diferenciado",$H$4=#REF!),BDI!#REF!,IF(#REF!="ZERO",0))))),"")</f>
        <v>#REF!</v>
      </c>
      <c r="H3223" s="139" t="str">
        <f t="shared" si="181"/>
        <v/>
      </c>
      <c r="I3223" s="137" t="str">
        <f t="shared" si="182"/>
        <v/>
      </c>
      <c r="J3223" s="117"/>
    </row>
    <row r="3224" spans="1:10" hidden="1" x14ac:dyDescent="0.25">
      <c r="A3224" s="114" t="s">
        <v>6707</v>
      </c>
      <c r="B3224" s="115" t="s">
        <v>7279</v>
      </c>
      <c r="C3224" s="116" t="s">
        <v>16</v>
      </c>
      <c r="D3224" s="116">
        <v>0</v>
      </c>
      <c r="E3224" s="136" t="s">
        <v>416</v>
      </c>
      <c r="F3224" s="137" t="str">
        <f t="shared" si="180"/>
        <v/>
      </c>
      <c r="G3224" s="138" t="e">
        <f>IF(A3224&lt;&gt;"",IF(AND(#REF!="Padrão",$H$4=#REF!),BDI!$B$17,IF(AND(#REF!="Padrão",$H$4=#REF!),BDI!#REF!,IF(AND(#REF!="Diferenciado",$H$4=#REF!),BDI!$E$17,IF(AND(#REF!="Diferenciado",$H$4=#REF!),BDI!#REF!,IF(#REF!="ZERO",0))))),"")</f>
        <v>#REF!</v>
      </c>
      <c r="H3224" s="139" t="str">
        <f t="shared" si="181"/>
        <v/>
      </c>
      <c r="I3224" s="137" t="str">
        <f t="shared" si="182"/>
        <v/>
      </c>
      <c r="J3224" s="117"/>
    </row>
    <row r="3225" spans="1:10" hidden="1" x14ac:dyDescent="0.25">
      <c r="A3225" s="114" t="s">
        <v>6708</v>
      </c>
      <c r="B3225" s="115" t="s">
        <v>6709</v>
      </c>
      <c r="C3225" s="116" t="s">
        <v>6716</v>
      </c>
      <c r="D3225" s="116">
        <v>0</v>
      </c>
      <c r="E3225" s="136">
        <f ca="1">OFFSET(INDEX(Composições!A:J,MATCH(Orçamentária!A3225,Composições!A:A,0),8),2,0)</f>
        <v>48.449999999999996</v>
      </c>
      <c r="F3225" s="137">
        <f t="shared" ca="1" si="180"/>
        <v>0</v>
      </c>
      <c r="G3225" s="138" t="e">
        <f>IF(A3225&lt;&gt;"",IF(AND(#REF!="Padrão",$H$4=#REF!),BDI!$B$17,IF(AND(#REF!="Padrão",$H$4=#REF!),BDI!#REF!,IF(AND(#REF!="Diferenciado",$H$4=#REF!),BDI!$E$17,IF(AND(#REF!="Diferenciado",$H$4=#REF!),BDI!#REF!,IF(#REF!="ZERO",0))))),"")</f>
        <v>#REF!</v>
      </c>
      <c r="H3225" s="139" t="e">
        <f t="shared" ca="1" si="181"/>
        <v>#REF!</v>
      </c>
      <c r="I3225" s="137" t="e">
        <f t="shared" ca="1" si="182"/>
        <v>#REF!</v>
      </c>
      <c r="J3225" s="117"/>
    </row>
    <row r="3226" spans="1:10" hidden="1" x14ac:dyDescent="0.25">
      <c r="A3226" s="114" t="s">
        <v>6710</v>
      </c>
      <c r="B3226" s="115" t="s">
        <v>6711</v>
      </c>
      <c r="C3226" s="116" t="s">
        <v>70</v>
      </c>
      <c r="D3226" s="116">
        <v>0</v>
      </c>
      <c r="E3226" s="136">
        <f ca="1">OFFSET(INDEX(Composições!A:J,MATCH(Orçamentária!A3226,Composições!A:A,0),8),2,0)</f>
        <v>17.546499999999998</v>
      </c>
      <c r="F3226" s="137">
        <f t="shared" ca="1" si="180"/>
        <v>0</v>
      </c>
      <c r="G3226" s="138" t="e">
        <f>IF(A3226&lt;&gt;"",IF(AND(#REF!="Padrão",$H$4=#REF!),BDI!$B$17,IF(AND(#REF!="Padrão",$H$4=#REF!),BDI!#REF!,IF(AND(#REF!="Diferenciado",$H$4=#REF!),BDI!$E$17,IF(AND(#REF!="Diferenciado",$H$4=#REF!),BDI!#REF!,IF(#REF!="ZERO",0))))),"")</f>
        <v>#REF!</v>
      </c>
      <c r="H3226" s="139" t="e">
        <f t="shared" ca="1" si="181"/>
        <v>#REF!</v>
      </c>
      <c r="I3226" s="137" t="e">
        <f t="shared" ca="1" si="182"/>
        <v>#REF!</v>
      </c>
      <c r="J3226" s="117"/>
    </row>
    <row r="3227" spans="1:10" hidden="1" x14ac:dyDescent="0.25">
      <c r="A3227" s="114" t="s">
        <v>6712</v>
      </c>
      <c r="B3227" s="115" t="s">
        <v>6713</v>
      </c>
      <c r="C3227" s="116" t="s">
        <v>69</v>
      </c>
      <c r="D3227" s="116">
        <v>0</v>
      </c>
      <c r="E3227" s="136">
        <f ca="1">OFFSET(INDEX(Composições!A:J,MATCH(Orçamentária!A3227,Composições!A:A,0),8),2,0)</f>
        <v>0.9723345000000001</v>
      </c>
      <c r="F3227" s="137">
        <f t="shared" ca="1" si="180"/>
        <v>0</v>
      </c>
      <c r="G3227" s="138" t="e">
        <f>IF(A3227&lt;&gt;"",IF(AND(#REF!="Padrão",$H$4=#REF!),BDI!$B$17,IF(AND(#REF!="Padrão",$H$4=#REF!),BDI!#REF!,IF(AND(#REF!="Diferenciado",$H$4=#REF!),BDI!$E$17,IF(AND(#REF!="Diferenciado",$H$4=#REF!),BDI!#REF!,IF(#REF!="ZERO",0))))),"")</f>
        <v>#REF!</v>
      </c>
      <c r="H3227" s="139" t="e">
        <f t="shared" ca="1" si="181"/>
        <v>#REF!</v>
      </c>
      <c r="I3227" s="137" t="e">
        <f t="shared" ca="1" si="182"/>
        <v>#REF!</v>
      </c>
      <c r="J3227" s="117"/>
    </row>
    <row r="3228" spans="1:10" hidden="1" x14ac:dyDescent="0.25">
      <c r="A3228" s="114" t="s">
        <v>6714</v>
      </c>
      <c r="B3228" s="115" t="s">
        <v>6715</v>
      </c>
      <c r="C3228" s="116" t="s">
        <v>6717</v>
      </c>
      <c r="D3228" s="116">
        <v>0</v>
      </c>
      <c r="E3228" s="136">
        <f ca="1">OFFSET(INDEX(Composições!A:J,MATCH(Orçamentária!A3228,Composições!A:A,0),8),2,0)</f>
        <v>0</v>
      </c>
      <c r="F3228" s="137">
        <f t="shared" ca="1" si="180"/>
        <v>0</v>
      </c>
      <c r="G3228" s="138" t="e">
        <f>IF(A3228&lt;&gt;"",IF(AND(#REF!="Padrão",$H$4=#REF!),BDI!$B$17,IF(AND(#REF!="Padrão",$H$4=#REF!),BDI!#REF!,IF(AND(#REF!="Diferenciado",$H$4=#REF!),BDI!$E$17,IF(AND(#REF!="Diferenciado",$H$4=#REF!),BDI!#REF!,IF(#REF!="ZERO",0))))),"")</f>
        <v>#REF!</v>
      </c>
      <c r="H3228" s="139" t="e">
        <f t="shared" ca="1" si="181"/>
        <v>#REF!</v>
      </c>
      <c r="I3228" s="137" t="e">
        <f t="shared" ca="1" si="182"/>
        <v>#REF!</v>
      </c>
      <c r="J3228" s="117"/>
    </row>
    <row r="3229" spans="1:10" hidden="1" x14ac:dyDescent="0.25">
      <c r="A3229" s="114" t="s">
        <v>6722</v>
      </c>
      <c r="B3229" s="115" t="s">
        <v>7278</v>
      </c>
      <c r="C3229" s="116" t="s">
        <v>16</v>
      </c>
      <c r="D3229" s="116">
        <v>0</v>
      </c>
      <c r="E3229" s="136" t="s">
        <v>416</v>
      </c>
      <c r="F3229" s="137" t="str">
        <f t="shared" si="180"/>
        <v/>
      </c>
      <c r="G3229" s="138" t="e">
        <f>IF(A3229&lt;&gt;"",IF(AND(#REF!="Padrão",$H$4=#REF!),BDI!$B$17,IF(AND(#REF!="Padrão",$H$4=#REF!),BDI!#REF!,IF(AND(#REF!="Diferenciado",$H$4=#REF!),BDI!$E$17,IF(AND(#REF!="Diferenciado",$H$4=#REF!),BDI!#REF!,IF(#REF!="ZERO",0))))),"")</f>
        <v>#REF!</v>
      </c>
      <c r="H3229" s="139" t="str">
        <f t="shared" si="181"/>
        <v/>
      </c>
      <c r="I3229" s="137" t="str">
        <f t="shared" si="182"/>
        <v/>
      </c>
      <c r="J3229" s="117"/>
    </row>
    <row r="3230" spans="1:10" hidden="1" x14ac:dyDescent="0.25">
      <c r="A3230" s="114" t="s">
        <v>6723</v>
      </c>
      <c r="B3230" s="115" t="s">
        <v>7275</v>
      </c>
      <c r="C3230" s="116" t="s">
        <v>16</v>
      </c>
      <c r="D3230" s="116">
        <v>0</v>
      </c>
      <c r="E3230" s="136">
        <f ca="1">OFFSET(INDEX(Composições!A:J,MATCH(Orçamentária!A3230,Composições!A:A,0),8),2,0)</f>
        <v>0</v>
      </c>
      <c r="F3230" s="137">
        <f t="shared" ref="F3230:F3237" ca="1" si="183">IF(ISNUMBER(E3230),D3230*E3230,"")</f>
        <v>0</v>
      </c>
      <c r="G3230" s="138" t="e">
        <f>IF(A3230&lt;&gt;"",IF(AND(#REF!="Padrão",$H$4=#REF!),BDI!$B$17,IF(AND(#REF!="Padrão",$H$4=#REF!),BDI!#REF!,IF(AND(#REF!="Diferenciado",$H$4=#REF!),BDI!$E$17,IF(AND(#REF!="Diferenciado",$H$4=#REF!),BDI!#REF!,IF(#REF!="ZERO",0))))),"")</f>
        <v>#REF!</v>
      </c>
      <c r="H3230" s="139" t="e">
        <f t="shared" ref="H3230:H3237" ca="1" si="184">IF(ISNUMBER(E3230),ROUND(E3230*(1+G3230),2),"")</f>
        <v>#REF!</v>
      </c>
      <c r="I3230" s="137" t="e">
        <f t="shared" ref="I3230:I3237" ca="1" si="185">IF(ISNUMBER(E3230),ROUND(H3230*D3230,2),"")</f>
        <v>#REF!</v>
      </c>
      <c r="J3230" s="117"/>
    </row>
    <row r="3231" spans="1:10" hidden="1" x14ac:dyDescent="0.25">
      <c r="A3231" s="114" t="s">
        <v>6724</v>
      </c>
      <c r="B3231" s="115" t="s">
        <v>7274</v>
      </c>
      <c r="C3231" s="116" t="s">
        <v>16</v>
      </c>
      <c r="D3231" s="116">
        <v>0</v>
      </c>
      <c r="E3231" s="136" t="s">
        <v>416</v>
      </c>
      <c r="F3231" s="137" t="str">
        <f t="shared" si="183"/>
        <v/>
      </c>
      <c r="G3231" s="138" t="e">
        <f>IF(A3231&lt;&gt;"",IF(AND(#REF!="Padrão",$H$4=#REF!),BDI!$B$17,IF(AND(#REF!="Padrão",$H$4=#REF!),BDI!#REF!,IF(AND(#REF!="Diferenciado",$H$4=#REF!),BDI!$E$17,IF(AND(#REF!="Diferenciado",$H$4=#REF!),BDI!#REF!,IF(#REF!="ZERO",0))))),"")</f>
        <v>#REF!</v>
      </c>
      <c r="H3231" s="139" t="str">
        <f t="shared" si="184"/>
        <v/>
      </c>
      <c r="I3231" s="137" t="str">
        <f t="shared" si="185"/>
        <v/>
      </c>
      <c r="J3231" s="117"/>
    </row>
    <row r="3232" spans="1:10" hidden="1" x14ac:dyDescent="0.25">
      <c r="A3232" s="114" t="s">
        <v>6725</v>
      </c>
      <c r="B3232" s="115" t="s">
        <v>6733</v>
      </c>
      <c r="C3232" s="116" t="s">
        <v>16</v>
      </c>
      <c r="D3232" s="116">
        <v>0</v>
      </c>
      <c r="E3232" s="136" t="s">
        <v>416</v>
      </c>
      <c r="F3232" s="137" t="str">
        <f t="shared" si="183"/>
        <v/>
      </c>
      <c r="G3232" s="138" t="e">
        <f>IF(A3232&lt;&gt;"",IF(AND(#REF!="Padrão",$H$4=#REF!),BDI!$B$17,IF(AND(#REF!="Padrão",$H$4=#REF!),BDI!#REF!,IF(AND(#REF!="Diferenciado",$H$4=#REF!),BDI!$E$17,IF(AND(#REF!="Diferenciado",$H$4=#REF!),BDI!#REF!,IF(#REF!="ZERO",0))))),"")</f>
        <v>#REF!</v>
      </c>
      <c r="H3232" s="139" t="str">
        <f t="shared" si="184"/>
        <v/>
      </c>
      <c r="I3232" s="137" t="str">
        <f t="shared" si="185"/>
        <v/>
      </c>
      <c r="J3232" s="117"/>
    </row>
    <row r="3233" spans="1:10" hidden="1" x14ac:dyDescent="0.25">
      <c r="A3233" s="114" t="s">
        <v>6726</v>
      </c>
      <c r="B3233" s="115" t="s">
        <v>6807</v>
      </c>
      <c r="C3233" s="116" t="s">
        <v>70</v>
      </c>
      <c r="D3233" s="116">
        <v>0</v>
      </c>
      <c r="E3233" s="136" t="s">
        <v>416</v>
      </c>
      <c r="F3233" s="137" t="str">
        <f t="shared" si="183"/>
        <v/>
      </c>
      <c r="G3233" s="138" t="e">
        <f>IF(A3233&lt;&gt;"",IF(AND(#REF!="Padrão",$H$4=#REF!),BDI!$B$17,IF(AND(#REF!="Padrão",$H$4=#REF!),BDI!#REF!,IF(AND(#REF!="Diferenciado",$H$4=#REF!),BDI!$E$17,IF(AND(#REF!="Diferenciado",$H$4=#REF!),BDI!#REF!,IF(#REF!="ZERO",0))))),"")</f>
        <v>#REF!</v>
      </c>
      <c r="H3233" s="139" t="str">
        <f t="shared" si="184"/>
        <v/>
      </c>
      <c r="I3233" s="137" t="str">
        <f t="shared" si="185"/>
        <v/>
      </c>
      <c r="J3233" s="117"/>
    </row>
    <row r="3234" spans="1:10" hidden="1" x14ac:dyDescent="0.25">
      <c r="A3234" s="114" t="s">
        <v>6727</v>
      </c>
      <c r="B3234" s="115" t="s">
        <v>6730</v>
      </c>
      <c r="C3234" s="116" t="s">
        <v>16</v>
      </c>
      <c r="D3234" s="116">
        <v>0</v>
      </c>
      <c r="E3234" s="136">
        <f ca="1">OFFSET(INDEX(Composições!A:J,MATCH(Orçamentária!A3234,Composições!A:A,0),8),2,0)</f>
        <v>0</v>
      </c>
      <c r="F3234" s="137">
        <f t="shared" ca="1" si="183"/>
        <v>0</v>
      </c>
      <c r="G3234" s="138" t="e">
        <f>IF(A3234&lt;&gt;"",IF(AND(#REF!="Padrão",$H$4=#REF!),BDI!$B$17,IF(AND(#REF!="Padrão",$H$4=#REF!),BDI!#REF!,IF(AND(#REF!="Diferenciado",$H$4=#REF!),BDI!$E$17,IF(AND(#REF!="Diferenciado",$H$4=#REF!),BDI!#REF!,IF(#REF!="ZERO",0))))),"")</f>
        <v>#REF!</v>
      </c>
      <c r="H3234" s="139" t="e">
        <f t="shared" ca="1" si="184"/>
        <v>#REF!</v>
      </c>
      <c r="I3234" s="137" t="e">
        <f t="shared" ca="1" si="185"/>
        <v>#REF!</v>
      </c>
      <c r="J3234" s="117"/>
    </row>
    <row r="3235" spans="1:10" hidden="1" x14ac:dyDescent="0.25">
      <c r="A3235" s="114" t="s">
        <v>6728</v>
      </c>
      <c r="B3235" s="115" t="s">
        <v>7276</v>
      </c>
      <c r="C3235" s="116" t="s">
        <v>16</v>
      </c>
      <c r="D3235" s="116">
        <v>0</v>
      </c>
      <c r="E3235" s="136">
        <f ca="1">OFFSET(INDEX(Composições!A:J,MATCH(Orçamentária!A3235,Composições!A:A,0),8),2,0)</f>
        <v>0</v>
      </c>
      <c r="F3235" s="137">
        <f t="shared" ca="1" si="183"/>
        <v>0</v>
      </c>
      <c r="G3235" s="138" t="e">
        <f>IF(A3235&lt;&gt;"",IF(AND(#REF!="Padrão",$H$4=#REF!),BDI!$B$17,IF(AND(#REF!="Padrão",$H$4=#REF!),BDI!#REF!,IF(AND(#REF!="Diferenciado",$H$4=#REF!),BDI!$E$17,IF(AND(#REF!="Diferenciado",$H$4=#REF!),BDI!#REF!,IF(#REF!="ZERO",0))))),"")</f>
        <v>#REF!</v>
      </c>
      <c r="H3235" s="139" t="e">
        <f t="shared" ca="1" si="184"/>
        <v>#REF!</v>
      </c>
      <c r="I3235" s="137" t="e">
        <f t="shared" ca="1" si="185"/>
        <v>#REF!</v>
      </c>
      <c r="J3235" s="117"/>
    </row>
    <row r="3236" spans="1:10" hidden="1" x14ac:dyDescent="0.25">
      <c r="A3236" s="114" t="s">
        <v>6729</v>
      </c>
      <c r="B3236" s="115" t="s">
        <v>6731</v>
      </c>
      <c r="C3236" s="116" t="s">
        <v>69</v>
      </c>
      <c r="D3236" s="116">
        <v>0</v>
      </c>
      <c r="E3236" s="136">
        <f ca="1">OFFSET(INDEX(Composições!A:J,MATCH(Orçamentária!A3236,Composições!A:A,0),8),2,0)</f>
        <v>17.166499999999999</v>
      </c>
      <c r="F3236" s="137">
        <f t="shared" ca="1" si="183"/>
        <v>0</v>
      </c>
      <c r="G3236" s="138" t="e">
        <f>IF(A3236&lt;&gt;"",IF(AND(#REF!="Padrão",$H$4=#REF!),BDI!$B$17,IF(AND(#REF!="Padrão",$H$4=#REF!),BDI!#REF!,IF(AND(#REF!="Diferenciado",$H$4=#REF!),BDI!$E$17,IF(AND(#REF!="Diferenciado",$H$4=#REF!),BDI!#REF!,IF(#REF!="ZERO",0))))),"")</f>
        <v>#REF!</v>
      </c>
      <c r="H3236" s="139" t="e">
        <f t="shared" ca="1" si="184"/>
        <v>#REF!</v>
      </c>
      <c r="I3236" s="137" t="e">
        <f t="shared" ca="1" si="185"/>
        <v>#REF!</v>
      </c>
      <c r="J3236" s="117"/>
    </row>
    <row r="3237" spans="1:10" hidden="1" x14ac:dyDescent="0.25">
      <c r="A3237" s="114" t="s">
        <v>6734</v>
      </c>
      <c r="B3237" s="115" t="s">
        <v>6732</v>
      </c>
      <c r="C3237" s="116" t="s">
        <v>69</v>
      </c>
      <c r="D3237" s="116">
        <v>0</v>
      </c>
      <c r="E3237" s="136">
        <f ca="1">OFFSET(INDEX(Composições!A:J,MATCH(Orçamentária!A3237,Composições!A:A,0),8),2,0)</f>
        <v>23.778500000000001</v>
      </c>
      <c r="F3237" s="137">
        <f t="shared" ca="1" si="183"/>
        <v>0</v>
      </c>
      <c r="G3237" s="138" t="e">
        <f>IF(A3237&lt;&gt;"",IF(AND(#REF!="Padrão",$H$4=#REF!),BDI!$B$17,IF(AND(#REF!="Padrão",$H$4=#REF!),BDI!#REF!,IF(AND(#REF!="Diferenciado",$H$4=#REF!),BDI!$E$17,IF(AND(#REF!="Diferenciado",$H$4=#REF!),BDI!#REF!,IF(#REF!="ZERO",0))))),"")</f>
        <v>#REF!</v>
      </c>
      <c r="H3237" s="139" t="e">
        <f t="shared" ca="1" si="184"/>
        <v>#REF!</v>
      </c>
      <c r="I3237" s="137" t="e">
        <f t="shared" ca="1" si="185"/>
        <v>#REF!</v>
      </c>
      <c r="J3237" s="117"/>
    </row>
    <row r="3238" spans="1:10" hidden="1" x14ac:dyDescent="0.25">
      <c r="A3238" s="114" t="s">
        <v>6735</v>
      </c>
      <c r="B3238" s="115" t="s">
        <v>7277</v>
      </c>
      <c r="C3238" s="116" t="s">
        <v>69</v>
      </c>
      <c r="D3238" s="116">
        <v>0</v>
      </c>
      <c r="E3238" s="136" t="s">
        <v>416</v>
      </c>
      <c r="F3238" s="137" t="str">
        <f t="shared" ref="F3238" si="186">IF(ISNUMBER(E3238),D3238*E3238,"")</f>
        <v/>
      </c>
      <c r="G3238" s="138" t="e">
        <f>IF(A3238&lt;&gt;"",IF(AND(#REF!="Padrão",$H$4=#REF!),BDI!$B$17,IF(AND(#REF!="Padrão",$H$4=#REF!),BDI!#REF!,IF(AND(#REF!="Diferenciado",$H$4=#REF!),BDI!$E$17,IF(AND(#REF!="Diferenciado",$H$4=#REF!),BDI!#REF!,IF(#REF!="ZERO",0))))),"")</f>
        <v>#REF!</v>
      </c>
      <c r="H3238" s="139" t="str">
        <f t="shared" ref="H3238" si="187">IF(ISNUMBER(E3238),ROUND(E3238*(1+G3238),2),"")</f>
        <v/>
      </c>
      <c r="I3238" s="137" t="str">
        <f t="shared" ref="I3238" si="188">IF(ISNUMBER(E3238),ROUND(H3238*D3238,2),"")</f>
        <v/>
      </c>
      <c r="J3238" s="117"/>
    </row>
    <row r="3239" spans="1:10" hidden="1" x14ac:dyDescent="0.25">
      <c r="A3239" s="114" t="s">
        <v>6736</v>
      </c>
      <c r="B3239" s="115" t="s">
        <v>6821</v>
      </c>
      <c r="C3239" s="116" t="s">
        <v>70</v>
      </c>
      <c r="D3239" s="116">
        <v>0</v>
      </c>
      <c r="E3239" s="136" t="s">
        <v>416</v>
      </c>
      <c r="F3239" s="137" t="str">
        <f t="shared" ref="F3239:F3246" si="189">IF(ISNUMBER(E3239),D3239*E3239,"")</f>
        <v/>
      </c>
      <c r="G3239" s="138" t="e">
        <f>IF(A3239&lt;&gt;"",IF(AND(#REF!="Padrão",$H$4=#REF!),BDI!$B$17,IF(AND(#REF!="Padrão",$H$4=#REF!),BDI!#REF!,IF(AND(#REF!="Diferenciado",$H$4=#REF!),BDI!$E$17,IF(AND(#REF!="Diferenciado",$H$4=#REF!),BDI!#REF!,IF(#REF!="ZERO",0))))),"")</f>
        <v>#REF!</v>
      </c>
      <c r="H3239" s="139" t="str">
        <f t="shared" ref="H3239:H3246" si="190">IF(ISNUMBER(E3239),ROUND(E3239*(1+G3239),2),"")</f>
        <v/>
      </c>
      <c r="I3239" s="137" t="str">
        <f t="shared" ref="I3239:I3246" si="191">IF(ISNUMBER(E3239),ROUND(H3239*D3239,2),"")</f>
        <v/>
      </c>
      <c r="J3239" s="117"/>
    </row>
    <row r="3240" spans="1:10" hidden="1" x14ac:dyDescent="0.25">
      <c r="A3240" s="114" t="s">
        <v>6737</v>
      </c>
      <c r="B3240" s="115" t="s">
        <v>6822</v>
      </c>
      <c r="C3240" s="116" t="s">
        <v>70</v>
      </c>
      <c r="D3240" s="116">
        <v>0</v>
      </c>
      <c r="E3240" s="136">
        <f ca="1">OFFSET(INDEX(Composições!A:J,MATCH(Orçamentária!A3240,Composições!A:A,0),8),2,0)</f>
        <v>286.49976499999997</v>
      </c>
      <c r="F3240" s="137">
        <f t="shared" ca="1" si="189"/>
        <v>0</v>
      </c>
      <c r="G3240" s="138" t="e">
        <f>IF(A3240&lt;&gt;"",IF(AND(#REF!="Padrão",$H$4=#REF!),BDI!$B$17,IF(AND(#REF!="Padrão",$H$4=#REF!),BDI!#REF!,IF(AND(#REF!="Diferenciado",$H$4=#REF!),BDI!$E$17,IF(AND(#REF!="Diferenciado",$H$4=#REF!),BDI!#REF!,IF(#REF!="ZERO",0))))),"")</f>
        <v>#REF!</v>
      </c>
      <c r="H3240" s="139" t="e">
        <f t="shared" ca="1" si="190"/>
        <v>#REF!</v>
      </c>
      <c r="I3240" s="137" t="e">
        <f t="shared" ca="1" si="191"/>
        <v>#REF!</v>
      </c>
      <c r="J3240" s="117"/>
    </row>
    <row r="3241" spans="1:10" hidden="1" x14ac:dyDescent="0.25">
      <c r="A3241" s="114" t="s">
        <v>6738</v>
      </c>
      <c r="B3241" s="115" t="s">
        <v>6823</v>
      </c>
      <c r="C3241" s="116" t="s">
        <v>16</v>
      </c>
      <c r="D3241" s="116">
        <v>0</v>
      </c>
      <c r="E3241" s="136" t="s">
        <v>416</v>
      </c>
      <c r="F3241" s="137" t="str">
        <f t="shared" si="189"/>
        <v/>
      </c>
      <c r="G3241" s="138" t="e">
        <f>IF(A3241&lt;&gt;"",IF(AND(#REF!="Padrão",$H$4=#REF!),BDI!$B$17,IF(AND(#REF!="Padrão",$H$4=#REF!),BDI!#REF!,IF(AND(#REF!="Diferenciado",$H$4=#REF!),BDI!$E$17,IF(AND(#REF!="Diferenciado",$H$4=#REF!),BDI!#REF!,IF(#REF!="ZERO",0))))),"")</f>
        <v>#REF!</v>
      </c>
      <c r="H3241" s="139" t="str">
        <f t="shared" si="190"/>
        <v/>
      </c>
      <c r="I3241" s="137" t="str">
        <f t="shared" si="191"/>
        <v/>
      </c>
      <c r="J3241" s="117"/>
    </row>
    <row r="3242" spans="1:10" ht="25.5" hidden="1" x14ac:dyDescent="0.25">
      <c r="A3242" s="114" t="s">
        <v>6739</v>
      </c>
      <c r="B3242" s="115" t="s">
        <v>6824</v>
      </c>
      <c r="C3242" s="116" t="s">
        <v>16</v>
      </c>
      <c r="D3242" s="116">
        <v>0</v>
      </c>
      <c r="E3242" s="136" t="s">
        <v>416</v>
      </c>
      <c r="F3242" s="137" t="str">
        <f t="shared" si="189"/>
        <v/>
      </c>
      <c r="G3242" s="138" t="e">
        <f>IF(A3242&lt;&gt;"",IF(AND(#REF!="Padrão",$H$4=#REF!),BDI!$B$17,IF(AND(#REF!="Padrão",$H$4=#REF!),BDI!#REF!,IF(AND(#REF!="Diferenciado",$H$4=#REF!),BDI!$E$17,IF(AND(#REF!="Diferenciado",$H$4=#REF!),BDI!#REF!,IF(#REF!="ZERO",0))))),"")</f>
        <v>#REF!</v>
      </c>
      <c r="H3242" s="139" t="str">
        <f t="shared" si="190"/>
        <v/>
      </c>
      <c r="I3242" s="137" t="str">
        <f t="shared" si="191"/>
        <v/>
      </c>
      <c r="J3242" s="117"/>
    </row>
    <row r="3243" spans="1:10" x14ac:dyDescent="0.25">
      <c r="A3243" s="189" t="s">
        <v>6740</v>
      </c>
      <c r="B3243" s="190" t="s">
        <v>6825</v>
      </c>
      <c r="C3243" s="191" t="s">
        <v>69</v>
      </c>
      <c r="D3243" s="191">
        <v>110</v>
      </c>
      <c r="E3243" s="136">
        <f ca="1">OFFSET(INDEX(Composições!A:J,MATCH(Orçamentária!A3243,Composições!A:A,0),8),2,0)</f>
        <v>20.292609899999999</v>
      </c>
      <c r="F3243" s="137">
        <f t="shared" ca="1" si="189"/>
        <v>2232.187089</v>
      </c>
      <c r="G3243" s="138">
        <f>BDI!$B$17</f>
        <v>0.191</v>
      </c>
      <c r="H3243" s="139">
        <f t="shared" ca="1" si="190"/>
        <v>24.17</v>
      </c>
      <c r="I3243" s="137">
        <f t="shared" ca="1" si="191"/>
        <v>2658.7</v>
      </c>
      <c r="J3243" s="117"/>
    </row>
    <row r="3244" spans="1:10" ht="25.5" hidden="1" x14ac:dyDescent="0.25">
      <c r="A3244" s="114" t="s">
        <v>6741</v>
      </c>
      <c r="B3244" s="115" t="s">
        <v>6826</v>
      </c>
      <c r="C3244" s="116" t="s">
        <v>4170</v>
      </c>
      <c r="D3244" s="116">
        <v>0</v>
      </c>
      <c r="E3244" s="136" t="s">
        <v>416</v>
      </c>
      <c r="F3244" s="137" t="str">
        <f t="shared" si="189"/>
        <v/>
      </c>
      <c r="G3244" s="138" t="e">
        <f>IF(A3244&lt;&gt;"",IF(AND(#REF!="Padrão",$H$4=#REF!),BDI!$B$17,IF(AND(#REF!="Padrão",$H$4=#REF!),BDI!#REF!,IF(AND(#REF!="Diferenciado",$H$4=#REF!),BDI!$E$17,IF(AND(#REF!="Diferenciado",$H$4=#REF!),BDI!#REF!,IF(#REF!="ZERO",0))))),"")</f>
        <v>#REF!</v>
      </c>
      <c r="H3244" s="139" t="str">
        <f t="shared" si="190"/>
        <v/>
      </c>
      <c r="I3244" s="137" t="str">
        <f t="shared" si="191"/>
        <v/>
      </c>
      <c r="J3244" s="117"/>
    </row>
    <row r="3245" spans="1:10" hidden="1" x14ac:dyDescent="0.25">
      <c r="A3245" s="114" t="s">
        <v>6742</v>
      </c>
      <c r="B3245" s="115" t="s">
        <v>6827</v>
      </c>
      <c r="C3245" s="116" t="s">
        <v>16</v>
      </c>
      <c r="D3245" s="116">
        <v>0</v>
      </c>
      <c r="E3245" s="136" t="s">
        <v>416</v>
      </c>
      <c r="F3245" s="137" t="str">
        <f t="shared" si="189"/>
        <v/>
      </c>
      <c r="G3245" s="138" t="e">
        <f>IF(A3245&lt;&gt;"",IF(AND(#REF!="Padrão",$H$4=#REF!),BDI!$B$17,IF(AND(#REF!="Padrão",$H$4=#REF!),BDI!#REF!,IF(AND(#REF!="Diferenciado",$H$4=#REF!),BDI!$E$17,IF(AND(#REF!="Diferenciado",$H$4=#REF!),BDI!#REF!,IF(#REF!="ZERO",0))))),"")</f>
        <v>#REF!</v>
      </c>
      <c r="H3245" s="139" t="str">
        <f t="shared" si="190"/>
        <v/>
      </c>
      <c r="I3245" s="137" t="str">
        <f t="shared" si="191"/>
        <v/>
      </c>
      <c r="J3245" s="117"/>
    </row>
    <row r="3246" spans="1:10" ht="25.5" hidden="1" x14ac:dyDescent="0.25">
      <c r="A3246" s="114" t="s">
        <v>6743</v>
      </c>
      <c r="B3246" s="115" t="s">
        <v>6828</v>
      </c>
      <c r="C3246" s="116" t="s">
        <v>16</v>
      </c>
      <c r="D3246" s="116">
        <v>0</v>
      </c>
      <c r="E3246" s="136" t="s">
        <v>416</v>
      </c>
      <c r="F3246" s="137" t="str">
        <f t="shared" si="189"/>
        <v/>
      </c>
      <c r="G3246" s="138" t="e">
        <f>IF(A3246&lt;&gt;"",IF(AND(#REF!="Padrão",$H$4=#REF!),BDI!$B$17,IF(AND(#REF!="Padrão",$H$4=#REF!),BDI!#REF!,IF(AND(#REF!="Diferenciado",$H$4=#REF!),BDI!$E$17,IF(AND(#REF!="Diferenciado",$H$4=#REF!),BDI!#REF!,IF(#REF!="ZERO",0))))),"")</f>
        <v>#REF!</v>
      </c>
      <c r="H3246" s="139" t="str">
        <f t="shared" si="190"/>
        <v/>
      </c>
      <c r="I3246" s="137" t="str">
        <f t="shared" si="191"/>
        <v/>
      </c>
      <c r="J3246" s="117"/>
    </row>
    <row r="3247" spans="1:10" hidden="1" x14ac:dyDescent="0.25">
      <c r="A3247" s="114" t="s">
        <v>6744</v>
      </c>
      <c r="B3247" s="115" t="s">
        <v>7273</v>
      </c>
      <c r="C3247" s="116" t="s">
        <v>16</v>
      </c>
      <c r="D3247" s="116">
        <v>0</v>
      </c>
      <c r="E3247" s="136">
        <f ca="1">OFFSET(INDEX(Composições!A:J,MATCH(Orçamentária!A3247,Composições!A:A,0),8),2,0)</f>
        <v>1844.5500674999998</v>
      </c>
      <c r="F3247" s="137">
        <f t="shared" ref="F3247:F3260" ca="1" si="192">IF(ISNUMBER(E3247),D3247*E3247,"")</f>
        <v>0</v>
      </c>
      <c r="G3247" s="138" t="e">
        <f>IF(A3247&lt;&gt;"",IF(AND(#REF!="Padrão",$H$4=#REF!),BDI!$B$17,IF(AND(#REF!="Padrão",$H$4=#REF!),BDI!#REF!,IF(AND(#REF!="Diferenciado",$H$4=#REF!),BDI!$E$17,IF(AND(#REF!="Diferenciado",$H$4=#REF!),BDI!#REF!,IF(#REF!="ZERO",0))))),"")</f>
        <v>#REF!</v>
      </c>
      <c r="H3247" s="139" t="e">
        <f t="shared" ref="H3247:H3260" ca="1" si="193">IF(ISNUMBER(E3247),ROUND(E3247*(1+G3247),2),"")</f>
        <v>#REF!</v>
      </c>
      <c r="I3247" s="137" t="e">
        <f t="shared" ref="I3247:I3260" ca="1" si="194">IF(ISNUMBER(E3247),ROUND(H3247*D3247,2),"")</f>
        <v>#REF!</v>
      </c>
      <c r="J3247" s="117"/>
    </row>
    <row r="3248" spans="1:10" hidden="1" x14ac:dyDescent="0.25">
      <c r="A3248" s="114" t="s">
        <v>6745</v>
      </c>
      <c r="B3248" s="115" t="s">
        <v>7272</v>
      </c>
      <c r="C3248" s="116" t="s">
        <v>16</v>
      </c>
      <c r="D3248" s="116">
        <v>0</v>
      </c>
      <c r="E3248" s="136">
        <f ca="1">OFFSET(INDEX(Composições!A:J,MATCH(Orçamentária!A3248,Composições!A:A,0),8),2,0)</f>
        <v>1568.8636394999999</v>
      </c>
      <c r="F3248" s="137">
        <f t="shared" ca="1" si="192"/>
        <v>0</v>
      </c>
      <c r="G3248" s="138" t="e">
        <f>IF(A3248&lt;&gt;"",IF(AND(#REF!="Padrão",$H$4=#REF!),BDI!$B$17,IF(AND(#REF!="Padrão",$H$4=#REF!),BDI!#REF!,IF(AND(#REF!="Diferenciado",$H$4=#REF!),BDI!$E$17,IF(AND(#REF!="Diferenciado",$H$4=#REF!),BDI!#REF!,IF(#REF!="ZERO",0))))),"")</f>
        <v>#REF!</v>
      </c>
      <c r="H3248" s="139" t="e">
        <f t="shared" ca="1" si="193"/>
        <v>#REF!</v>
      </c>
      <c r="I3248" s="137" t="e">
        <f t="shared" ca="1" si="194"/>
        <v>#REF!</v>
      </c>
      <c r="J3248" s="117"/>
    </row>
    <row r="3249" spans="1:10" hidden="1" x14ac:dyDescent="0.25">
      <c r="A3249" s="114" t="s">
        <v>6746</v>
      </c>
      <c r="B3249" s="115" t="s">
        <v>6928</v>
      </c>
      <c r="C3249" s="116" t="s">
        <v>16</v>
      </c>
      <c r="D3249" s="116">
        <v>0</v>
      </c>
      <c r="E3249" s="136">
        <f ca="1">OFFSET(INDEX(Composições!A:J,MATCH(Orçamentária!A3249,Composições!A:A,0),8),2,0)</f>
        <v>12.354749999999999</v>
      </c>
      <c r="F3249" s="137">
        <f t="shared" ca="1" si="192"/>
        <v>0</v>
      </c>
      <c r="G3249" s="138" t="e">
        <f>IF(A3249&lt;&gt;"",IF(AND(#REF!="Padrão",$H$4=#REF!),BDI!$B$17,IF(AND(#REF!="Padrão",$H$4=#REF!),BDI!#REF!,IF(AND(#REF!="Diferenciado",$H$4=#REF!),BDI!$E$17,IF(AND(#REF!="Diferenciado",$H$4=#REF!),BDI!#REF!,IF(#REF!="ZERO",0))))),"")</f>
        <v>#REF!</v>
      </c>
      <c r="H3249" s="139" t="e">
        <f t="shared" ca="1" si="193"/>
        <v>#REF!</v>
      </c>
      <c r="I3249" s="137" t="e">
        <f t="shared" ca="1" si="194"/>
        <v>#REF!</v>
      </c>
      <c r="J3249" s="117"/>
    </row>
    <row r="3250" spans="1:10" hidden="1" x14ac:dyDescent="0.25">
      <c r="A3250" s="114" t="s">
        <v>6747</v>
      </c>
      <c r="B3250" s="115" t="s">
        <v>6929</v>
      </c>
      <c r="C3250" s="116" t="s">
        <v>16</v>
      </c>
      <c r="D3250" s="116">
        <v>0</v>
      </c>
      <c r="E3250" s="136">
        <f ca="1">OFFSET(INDEX(Composições!A:J,MATCH(Orçamentária!A3250,Composições!A:A,0),8),2,0)</f>
        <v>247.09500000000003</v>
      </c>
      <c r="F3250" s="137">
        <f t="shared" ca="1" si="192"/>
        <v>0</v>
      </c>
      <c r="G3250" s="138" t="e">
        <f>IF(A3250&lt;&gt;"",IF(AND(#REF!="Padrão",$H$4=#REF!),BDI!$B$17,IF(AND(#REF!="Padrão",$H$4=#REF!),BDI!#REF!,IF(AND(#REF!="Diferenciado",$H$4=#REF!),BDI!$E$17,IF(AND(#REF!="Diferenciado",$H$4=#REF!),BDI!#REF!,IF(#REF!="ZERO",0))))),"")</f>
        <v>#REF!</v>
      </c>
      <c r="H3250" s="139" t="e">
        <f t="shared" ca="1" si="193"/>
        <v>#REF!</v>
      </c>
      <c r="I3250" s="137" t="e">
        <f t="shared" ca="1" si="194"/>
        <v>#REF!</v>
      </c>
      <c r="J3250" s="117"/>
    </row>
    <row r="3251" spans="1:10" hidden="1" x14ac:dyDescent="0.25">
      <c r="A3251" s="114" t="s">
        <v>6748</v>
      </c>
      <c r="B3251" s="115" t="s">
        <v>6930</v>
      </c>
      <c r="C3251" s="116" t="s">
        <v>16</v>
      </c>
      <c r="D3251" s="116">
        <v>0</v>
      </c>
      <c r="E3251" s="136">
        <f ca="1">OFFSET(INDEX(Composições!A:J,MATCH(Orçamentária!A3251,Composições!A:A,0),8),2,0)</f>
        <v>39.535200000000003</v>
      </c>
      <c r="F3251" s="137">
        <f t="shared" ca="1" si="192"/>
        <v>0</v>
      </c>
      <c r="G3251" s="138" t="e">
        <f>IF(A3251&lt;&gt;"",IF(AND(#REF!="Padrão",$H$4=#REF!),BDI!$B$17,IF(AND(#REF!="Padrão",$H$4=#REF!),BDI!#REF!,IF(AND(#REF!="Diferenciado",$H$4=#REF!),BDI!$E$17,IF(AND(#REF!="Diferenciado",$H$4=#REF!),BDI!#REF!,IF(#REF!="ZERO",0))))),"")</f>
        <v>#REF!</v>
      </c>
      <c r="H3251" s="139" t="e">
        <f t="shared" ca="1" si="193"/>
        <v>#REF!</v>
      </c>
      <c r="I3251" s="137" t="e">
        <f t="shared" ca="1" si="194"/>
        <v>#REF!</v>
      </c>
      <c r="J3251" s="117"/>
    </row>
    <row r="3252" spans="1:10" hidden="1" x14ac:dyDescent="0.25">
      <c r="A3252" s="114" t="s">
        <v>6749</v>
      </c>
      <c r="B3252" s="115" t="s">
        <v>7271</v>
      </c>
      <c r="C3252" s="116" t="s">
        <v>69</v>
      </c>
      <c r="D3252" s="116">
        <v>0</v>
      </c>
      <c r="E3252" s="136">
        <f ca="1">OFFSET(INDEX(Composições!A:J,MATCH(Orçamentária!A3252,Composições!A:A,0),8),2,0)</f>
        <v>3.0399012000000005</v>
      </c>
      <c r="F3252" s="137">
        <f t="shared" ca="1" si="192"/>
        <v>0</v>
      </c>
      <c r="G3252" s="138" t="e">
        <f>IF(A3252&lt;&gt;"",IF(AND(#REF!="Padrão",$H$4=#REF!),BDI!$B$17,IF(AND(#REF!="Padrão",$H$4=#REF!),BDI!#REF!,IF(AND(#REF!="Diferenciado",$H$4=#REF!),BDI!$E$17,IF(AND(#REF!="Diferenciado",$H$4=#REF!),BDI!#REF!,IF(#REF!="ZERO",0))))),"")</f>
        <v>#REF!</v>
      </c>
      <c r="H3252" s="139" t="e">
        <f t="shared" ca="1" si="193"/>
        <v>#REF!</v>
      </c>
      <c r="I3252" s="137" t="e">
        <f t="shared" ca="1" si="194"/>
        <v>#REF!</v>
      </c>
      <c r="J3252" s="117"/>
    </row>
    <row r="3253" spans="1:10" hidden="1" x14ac:dyDescent="0.25">
      <c r="A3253" s="114" t="s">
        <v>6750</v>
      </c>
      <c r="B3253" s="115" t="s">
        <v>6932</v>
      </c>
      <c r="C3253" s="116" t="s">
        <v>16</v>
      </c>
      <c r="D3253" s="116">
        <v>0</v>
      </c>
      <c r="E3253" s="136">
        <f ca="1">OFFSET(INDEX(Composições!A:J,MATCH(Orçamentária!A3253,Composições!A:A,0),8),2,0)</f>
        <v>47.417608440249602</v>
      </c>
      <c r="F3253" s="137">
        <f t="shared" ca="1" si="192"/>
        <v>0</v>
      </c>
      <c r="G3253" s="138" t="e">
        <f>IF(A3253&lt;&gt;"",IF(AND(#REF!="Padrão",$H$4=#REF!),BDI!$B$17,IF(AND(#REF!="Padrão",$H$4=#REF!),BDI!#REF!,IF(AND(#REF!="Diferenciado",$H$4=#REF!),BDI!$E$17,IF(AND(#REF!="Diferenciado",$H$4=#REF!),BDI!#REF!,IF(#REF!="ZERO",0))))),"")</f>
        <v>#REF!</v>
      </c>
      <c r="H3253" s="139" t="e">
        <f t="shared" ca="1" si="193"/>
        <v>#REF!</v>
      </c>
      <c r="I3253" s="137" t="e">
        <f t="shared" ca="1" si="194"/>
        <v>#REF!</v>
      </c>
      <c r="J3253" s="117"/>
    </row>
    <row r="3254" spans="1:10" hidden="1" x14ac:dyDescent="0.25">
      <c r="A3254" s="114" t="s">
        <v>6751</v>
      </c>
      <c r="B3254" s="115" t="s">
        <v>7270</v>
      </c>
      <c r="C3254" s="116" t="s">
        <v>16</v>
      </c>
      <c r="D3254" s="116">
        <v>0</v>
      </c>
      <c r="E3254" s="136">
        <f ca="1">OFFSET(INDEX(Composições!A:J,MATCH(Orçamentária!A3254,Composições!A:A,0),8),2,0)</f>
        <v>852.66679809999994</v>
      </c>
      <c r="F3254" s="137">
        <f t="shared" ca="1" si="192"/>
        <v>0</v>
      </c>
      <c r="G3254" s="138" t="e">
        <f>IF(A3254&lt;&gt;"",IF(AND(#REF!="Padrão",$H$4=#REF!),BDI!$B$17,IF(AND(#REF!="Padrão",$H$4=#REF!),BDI!#REF!,IF(AND(#REF!="Diferenciado",$H$4=#REF!),BDI!$E$17,IF(AND(#REF!="Diferenciado",$H$4=#REF!),BDI!#REF!,IF(#REF!="ZERO",0))))),"")</f>
        <v>#REF!</v>
      </c>
      <c r="H3254" s="139" t="e">
        <f t="shared" ca="1" si="193"/>
        <v>#REF!</v>
      </c>
      <c r="I3254" s="137" t="e">
        <f t="shared" ca="1" si="194"/>
        <v>#REF!</v>
      </c>
      <c r="J3254" s="117"/>
    </row>
    <row r="3255" spans="1:10" hidden="1" x14ac:dyDescent="0.25">
      <c r="A3255" s="114" t="s">
        <v>6752</v>
      </c>
      <c r="B3255" s="115" t="s">
        <v>6933</v>
      </c>
      <c r="C3255" s="116" t="s">
        <v>69</v>
      </c>
      <c r="D3255" s="116">
        <v>0</v>
      </c>
      <c r="E3255" s="136">
        <f ca="1">OFFSET(INDEX(Composições!A:J,MATCH(Orçamentária!A3255,Composições!A:A,0),8),2,0)</f>
        <v>7.5218567999999992</v>
      </c>
      <c r="F3255" s="137">
        <f t="shared" ca="1" si="192"/>
        <v>0</v>
      </c>
      <c r="G3255" s="138" t="e">
        <f>IF(A3255&lt;&gt;"",IF(AND(#REF!="Padrão",$H$4=#REF!),BDI!$B$17,IF(AND(#REF!="Padrão",$H$4=#REF!),BDI!#REF!,IF(AND(#REF!="Diferenciado",$H$4=#REF!),BDI!$E$17,IF(AND(#REF!="Diferenciado",$H$4=#REF!),BDI!#REF!,IF(#REF!="ZERO",0))))),"")</f>
        <v>#REF!</v>
      </c>
      <c r="H3255" s="139" t="e">
        <f t="shared" ca="1" si="193"/>
        <v>#REF!</v>
      </c>
      <c r="I3255" s="137" t="e">
        <f t="shared" ca="1" si="194"/>
        <v>#REF!</v>
      </c>
      <c r="J3255" s="117"/>
    </row>
    <row r="3256" spans="1:10" x14ac:dyDescent="0.25">
      <c r="A3256" s="189" t="s">
        <v>6753</v>
      </c>
      <c r="B3256" s="190" t="s">
        <v>3510</v>
      </c>
      <c r="C3256" s="191" t="s">
        <v>69</v>
      </c>
      <c r="D3256" s="191">
        <v>40</v>
      </c>
      <c r="E3256" s="136">
        <f ca="1">OFFSET(INDEX(Composições!A:J,MATCH(Orçamentária!A3256,Composições!A:A,0),8),2,0)</f>
        <v>19.557846999999999</v>
      </c>
      <c r="F3256" s="137">
        <f t="shared" ca="1" si="192"/>
        <v>782.31387999999993</v>
      </c>
      <c r="G3256" s="138">
        <f>BDI!$B$17</f>
        <v>0.191</v>
      </c>
      <c r="H3256" s="139">
        <f t="shared" ca="1" si="193"/>
        <v>23.29</v>
      </c>
      <c r="I3256" s="137">
        <f t="shared" ca="1" si="194"/>
        <v>931.6</v>
      </c>
      <c r="J3256" s="117"/>
    </row>
    <row r="3257" spans="1:10" hidden="1" x14ac:dyDescent="0.25">
      <c r="A3257" s="114" t="s">
        <v>6754</v>
      </c>
      <c r="B3257" s="115" t="s">
        <v>3553</v>
      </c>
      <c r="C3257" s="116" t="s">
        <v>69</v>
      </c>
      <c r="D3257" s="116">
        <v>0</v>
      </c>
      <c r="E3257" s="136">
        <f ca="1">OFFSET(INDEX(Composições!A:J,MATCH(Orçamentária!A3257,Composições!A:A,0),8),2,0)</f>
        <v>24.709499999999998</v>
      </c>
      <c r="F3257" s="137">
        <f t="shared" ca="1" si="192"/>
        <v>0</v>
      </c>
      <c r="G3257" s="138" t="e">
        <f>IF(A3257&lt;&gt;"",IF(AND(#REF!="Padrão",$H$4=#REF!),BDI!$B$17,IF(AND(#REF!="Padrão",$H$4=#REF!),BDI!#REF!,IF(AND(#REF!="Diferenciado",$H$4=#REF!),BDI!$E$17,IF(AND(#REF!="Diferenciado",$H$4=#REF!),BDI!#REF!,IF(#REF!="ZERO",0))))),"")</f>
        <v>#REF!</v>
      </c>
      <c r="H3257" s="139" t="e">
        <f t="shared" ca="1" si="193"/>
        <v>#REF!</v>
      </c>
      <c r="I3257" s="137" t="e">
        <f t="shared" ca="1" si="194"/>
        <v>#REF!</v>
      </c>
      <c r="J3257" s="117"/>
    </row>
    <row r="3258" spans="1:10" hidden="1" x14ac:dyDescent="0.25">
      <c r="A3258" s="114" t="s">
        <v>6755</v>
      </c>
      <c r="B3258" s="115" t="s">
        <v>3555</v>
      </c>
      <c r="C3258" s="116" t="s">
        <v>69</v>
      </c>
      <c r="D3258" s="116">
        <v>0</v>
      </c>
      <c r="E3258" s="136">
        <f ca="1">OFFSET(INDEX(Composições!A:J,MATCH(Orçamentária!A3258,Composições!A:A,0),8),2,0)</f>
        <v>37.064250000000001</v>
      </c>
      <c r="F3258" s="137">
        <f ca="1">IF(ISNUMBER(E3258),D3258*E3258,"")</f>
        <v>0</v>
      </c>
      <c r="G3258" s="138" t="e">
        <f>IF(A3258&lt;&gt;"",IF(AND(#REF!="Padrão",$H$4=#REF!),BDI!$B$17,IF(AND(#REF!="Padrão",$H$4=#REF!),BDI!#REF!,IF(AND(#REF!="Diferenciado",$H$4=#REF!),BDI!$E$17,IF(AND(#REF!="Diferenciado",$H$4=#REF!),BDI!#REF!,IF(#REF!="ZERO",0))))),"")</f>
        <v>#REF!</v>
      </c>
      <c r="H3258" s="139" t="e">
        <f t="shared" ca="1" si="193"/>
        <v>#REF!</v>
      </c>
      <c r="I3258" s="137" t="e">
        <f t="shared" ca="1" si="194"/>
        <v>#REF!</v>
      </c>
      <c r="J3258" s="117"/>
    </row>
    <row r="3259" spans="1:10" hidden="1" x14ac:dyDescent="0.25">
      <c r="A3259" s="114" t="s">
        <v>6756</v>
      </c>
      <c r="B3259" s="115" t="s">
        <v>3556</v>
      </c>
      <c r="C3259" s="116" t="s">
        <v>69</v>
      </c>
      <c r="D3259" s="116">
        <v>0</v>
      </c>
      <c r="E3259" s="136">
        <f ca="1">OFFSET(INDEX(Composições!A:J,MATCH(Orçamentária!A3259,Composições!A:A,0),8),2,0)</f>
        <v>37.064250000000001</v>
      </c>
      <c r="F3259" s="137">
        <f t="shared" ca="1" si="192"/>
        <v>0</v>
      </c>
      <c r="G3259" s="138" t="e">
        <f>IF(A3259&lt;&gt;"",IF(AND(#REF!="Padrão",$H$4=#REF!),BDI!$B$17,IF(AND(#REF!="Padrão",$H$4=#REF!),BDI!#REF!,IF(AND(#REF!="Diferenciado",$H$4=#REF!),BDI!$E$17,IF(AND(#REF!="Diferenciado",$H$4=#REF!),BDI!#REF!,IF(#REF!="ZERO",0))))),"")</f>
        <v>#REF!</v>
      </c>
      <c r="H3259" s="139" t="e">
        <f t="shared" ca="1" si="193"/>
        <v>#REF!</v>
      </c>
      <c r="I3259" s="137" t="e">
        <f t="shared" ca="1" si="194"/>
        <v>#REF!</v>
      </c>
      <c r="J3259" s="117"/>
    </row>
    <row r="3260" spans="1:10" hidden="1" x14ac:dyDescent="0.25">
      <c r="A3260" s="114" t="s">
        <v>6757</v>
      </c>
      <c r="B3260" s="115" t="s">
        <v>3558</v>
      </c>
      <c r="C3260" s="116" t="s">
        <v>69</v>
      </c>
      <c r="D3260" s="116">
        <v>0</v>
      </c>
      <c r="E3260" s="136">
        <f ca="1">OFFSET(INDEX(Composições!A:J,MATCH(Orçamentária!A3260,Composições!A:A,0),8),2,0)</f>
        <v>49.418999999999997</v>
      </c>
      <c r="F3260" s="137">
        <f t="shared" ca="1" si="192"/>
        <v>0</v>
      </c>
      <c r="G3260" s="138" t="e">
        <f>IF(A3260&lt;&gt;"",IF(AND(#REF!="Padrão",$H$4=#REF!),BDI!$B$17,IF(AND(#REF!="Padrão",$H$4=#REF!),BDI!#REF!,IF(AND(#REF!="Diferenciado",$H$4=#REF!),BDI!$E$17,IF(AND(#REF!="Diferenciado",$H$4=#REF!),BDI!#REF!,IF(#REF!="ZERO",0))))),"")</f>
        <v>#REF!</v>
      </c>
      <c r="H3260" s="139" t="e">
        <f t="shared" ca="1" si="193"/>
        <v>#REF!</v>
      </c>
      <c r="I3260" s="137" t="e">
        <f t="shared" ca="1" si="194"/>
        <v>#REF!</v>
      </c>
      <c r="J3260" s="117"/>
    </row>
    <row r="3261" spans="1:10" hidden="1" x14ac:dyDescent="0.25">
      <c r="A3261" s="114" t="s">
        <v>6758</v>
      </c>
      <c r="B3261" s="115" t="s">
        <v>6931</v>
      </c>
      <c r="C3261" s="116" t="s">
        <v>16</v>
      </c>
      <c r="D3261" s="116">
        <v>0</v>
      </c>
      <c r="E3261" s="136">
        <f ca="1">OFFSET(INDEX(Composições!A:J,MATCH(Orçamentária!A3261,Composições!A:A,0),8),2,0)</f>
        <v>5604.62</v>
      </c>
      <c r="F3261" s="137">
        <f t="shared" ref="F3261" ca="1" si="195">IF(ISNUMBER(E3261),D3261*E3261,"")</f>
        <v>0</v>
      </c>
      <c r="G3261" s="138" t="e">
        <f>IF(A3261&lt;&gt;"",IF(AND(#REF!="Padrão",$H$4=#REF!),BDI!$B$17,IF(AND(#REF!="Padrão",$H$4=#REF!),BDI!#REF!,IF(AND(#REF!="Diferenciado",$H$4=#REF!),BDI!$E$17,IF(AND(#REF!="Diferenciado",$H$4=#REF!),BDI!#REF!,IF(#REF!="ZERO",0))))),"")</f>
        <v>#REF!</v>
      </c>
      <c r="H3261" s="139" t="e">
        <f t="shared" ref="H3261" ca="1" si="196">IF(ISNUMBER(E3261),ROUND(E3261*(1+G3261),2),"")</f>
        <v>#REF!</v>
      </c>
      <c r="I3261" s="137" t="e">
        <f t="shared" ref="I3261" ca="1" si="197">IF(ISNUMBER(E3261),ROUND(H3261*D3261,2),"")</f>
        <v>#REF!</v>
      </c>
      <c r="J3261" s="117"/>
    </row>
    <row r="3262" spans="1:10" hidden="1" x14ac:dyDescent="0.25">
      <c r="A3262" s="114" t="s">
        <v>6759</v>
      </c>
      <c r="B3262" s="115" t="s">
        <v>7269</v>
      </c>
      <c r="C3262" s="116" t="s">
        <v>16</v>
      </c>
      <c r="D3262" s="116">
        <v>0</v>
      </c>
      <c r="E3262" s="136">
        <f ca="1">OFFSET(INDEX(Composições!A:J,MATCH(Orçamentária!A3262,Composições!A:A,0),8),2,0)</f>
        <v>744.08179809999979</v>
      </c>
      <c r="F3262" s="137">
        <f t="shared" ref="F3262:F3264" ca="1" si="198">IF(ISNUMBER(E3262),D3262*E3262,"")</f>
        <v>0</v>
      </c>
      <c r="G3262" s="138" t="e">
        <f>IF(A3262&lt;&gt;"",IF(AND(#REF!="Padrão",$H$4=#REF!),BDI!$B$17,IF(AND(#REF!="Padrão",$H$4=#REF!),BDI!#REF!,IF(AND(#REF!="Diferenciado",$H$4=#REF!),BDI!$E$17,IF(AND(#REF!="Diferenciado",$H$4=#REF!),BDI!#REF!,IF(#REF!="ZERO",0))))),"")</f>
        <v>#REF!</v>
      </c>
      <c r="H3262" s="139" t="e">
        <f t="shared" ref="H3262:H3264" ca="1" si="199">IF(ISNUMBER(E3262),ROUND(E3262*(1+G3262),2),"")</f>
        <v>#REF!</v>
      </c>
      <c r="I3262" s="137" t="e">
        <f t="shared" ref="I3262:I3264" ca="1" si="200">IF(ISNUMBER(E3262),ROUND(H3262*D3262,2),"")</f>
        <v>#REF!</v>
      </c>
      <c r="J3262" s="117"/>
    </row>
    <row r="3263" spans="1:10" hidden="1" x14ac:dyDescent="0.25">
      <c r="A3263" s="114" t="s">
        <v>6760</v>
      </c>
      <c r="B3263" s="115" t="s">
        <v>6947</v>
      </c>
      <c r="C3263" s="116" t="s">
        <v>16</v>
      </c>
      <c r="D3263" s="116">
        <v>0</v>
      </c>
      <c r="E3263" s="136">
        <f ca="1">OFFSET(INDEX(Composições!A:J,MATCH(Orçamentária!A3263,Composições!A:A,0),8),2,0)</f>
        <v>12.354749999999999</v>
      </c>
      <c r="F3263" s="137">
        <f t="shared" ca="1" si="198"/>
        <v>0</v>
      </c>
      <c r="G3263" s="138" t="e">
        <f>IF(A3263&lt;&gt;"",IF(AND(#REF!="Padrão",$H$4=#REF!),BDI!$B$17,IF(AND(#REF!="Padrão",$H$4=#REF!),BDI!#REF!,IF(AND(#REF!="Diferenciado",$H$4=#REF!),BDI!$E$17,IF(AND(#REF!="Diferenciado",$H$4=#REF!),BDI!#REF!,IF(#REF!="ZERO",0))))),"")</f>
        <v>#REF!</v>
      </c>
      <c r="H3263" s="139" t="e">
        <f t="shared" ca="1" si="199"/>
        <v>#REF!</v>
      </c>
      <c r="I3263" s="137" t="e">
        <f t="shared" ca="1" si="200"/>
        <v>#REF!</v>
      </c>
      <c r="J3263" s="117"/>
    </row>
    <row r="3264" spans="1:10" hidden="1" x14ac:dyDescent="0.25">
      <c r="A3264" s="114" t="s">
        <v>6761</v>
      </c>
      <c r="B3264" s="115" t="s">
        <v>3663</v>
      </c>
      <c r="C3264" s="116" t="s">
        <v>16</v>
      </c>
      <c r="D3264" s="116">
        <v>0</v>
      </c>
      <c r="E3264" s="136">
        <f ca="1">OFFSET(INDEX(Composições!A:J,MATCH(Orçamentária!A3264,Composições!A:A,0),8),2,0)</f>
        <v>131.93582519999998</v>
      </c>
      <c r="F3264" s="137">
        <f t="shared" ca="1" si="198"/>
        <v>0</v>
      </c>
      <c r="G3264" s="138" t="e">
        <f>IF(A3264&lt;&gt;"",IF(AND(#REF!="Padrão",$H$4=#REF!),BDI!$B$17,IF(AND(#REF!="Padrão",$H$4=#REF!),BDI!#REF!,IF(AND(#REF!="Diferenciado",$H$4=#REF!),BDI!$E$17,IF(AND(#REF!="Diferenciado",$H$4=#REF!),BDI!#REF!,IF(#REF!="ZERO",0))))),"")</f>
        <v>#REF!</v>
      </c>
      <c r="H3264" s="139" t="e">
        <f t="shared" ca="1" si="199"/>
        <v>#REF!</v>
      </c>
      <c r="I3264" s="137" t="e">
        <f t="shared" ca="1" si="200"/>
        <v>#REF!</v>
      </c>
      <c r="J3264" s="117"/>
    </row>
    <row r="3265" spans="1:10" hidden="1" x14ac:dyDescent="0.25">
      <c r="A3265" s="114" t="s">
        <v>6762</v>
      </c>
      <c r="B3265" s="115" t="s">
        <v>6956</v>
      </c>
      <c r="C3265" s="116" t="s">
        <v>16</v>
      </c>
      <c r="D3265" s="116">
        <v>0</v>
      </c>
      <c r="E3265" s="136">
        <f ca="1">OFFSET(INDEX(Composições!A:J,MATCH(Orçamentária!A3265,Composições!A:A,0),8),2,0)</f>
        <v>47.417608440249602</v>
      </c>
      <c r="F3265" s="137">
        <f t="shared" ref="F3265:F3270" ca="1" si="201">IF(ISNUMBER(E3265),D3265*E3265,"")</f>
        <v>0</v>
      </c>
      <c r="G3265" s="138" t="e">
        <f>IF(A3265&lt;&gt;"",IF(AND(#REF!="Padrão",$H$4=#REF!),BDI!$B$17,IF(AND(#REF!="Padrão",$H$4=#REF!),BDI!#REF!,IF(AND(#REF!="Diferenciado",$H$4=#REF!),BDI!$E$17,IF(AND(#REF!="Diferenciado",$H$4=#REF!),BDI!#REF!,IF(#REF!="ZERO",0))))),"")</f>
        <v>#REF!</v>
      </c>
      <c r="H3265" s="139" t="e">
        <f t="shared" ref="H3265:H3270" ca="1" si="202">IF(ISNUMBER(E3265),ROUND(E3265*(1+G3265),2),"")</f>
        <v>#REF!</v>
      </c>
      <c r="I3265" s="137" t="e">
        <f t="shared" ref="I3265:I3270" ca="1" si="203">IF(ISNUMBER(E3265),ROUND(H3265*D3265,2),"")</f>
        <v>#REF!</v>
      </c>
      <c r="J3265" s="117"/>
    </row>
    <row r="3266" spans="1:10" hidden="1" x14ac:dyDescent="0.25">
      <c r="A3266" s="114" t="s">
        <v>6763</v>
      </c>
      <c r="B3266" s="115" t="s">
        <v>6957</v>
      </c>
      <c r="C3266" s="116" t="s">
        <v>16</v>
      </c>
      <c r="D3266" s="116">
        <v>0</v>
      </c>
      <c r="E3266" s="136">
        <f ca="1">OFFSET(INDEX(Composições!A:J,MATCH(Orçamentária!A3266,Composições!A:A,0),8),2,0)</f>
        <v>40.041969899999998</v>
      </c>
      <c r="F3266" s="137">
        <f t="shared" ca="1" si="201"/>
        <v>0</v>
      </c>
      <c r="G3266" s="138" t="e">
        <f>IF(A3266&lt;&gt;"",IF(AND(#REF!="Padrão",$H$4=#REF!),BDI!$B$17,IF(AND(#REF!="Padrão",$H$4=#REF!),BDI!#REF!,IF(AND(#REF!="Diferenciado",$H$4=#REF!),BDI!$E$17,IF(AND(#REF!="Diferenciado",$H$4=#REF!),BDI!#REF!,IF(#REF!="ZERO",0))))),"")</f>
        <v>#REF!</v>
      </c>
      <c r="H3266" s="139" t="e">
        <f t="shared" ca="1" si="202"/>
        <v>#REF!</v>
      </c>
      <c r="I3266" s="137" t="e">
        <f t="shared" ca="1" si="203"/>
        <v>#REF!</v>
      </c>
      <c r="J3266" s="117"/>
    </row>
    <row r="3267" spans="1:10" hidden="1" x14ac:dyDescent="0.25">
      <c r="A3267" s="114" t="s">
        <v>6764</v>
      </c>
      <c r="B3267" s="115" t="s">
        <v>6958</v>
      </c>
      <c r="C3267" s="116" t="s">
        <v>16</v>
      </c>
      <c r="D3267" s="116">
        <v>0</v>
      </c>
      <c r="E3267" s="136">
        <f ca="1">OFFSET(INDEX(Composições!A:J,MATCH(Orçamentária!A3267,Composições!A:A,0),8),2,0)</f>
        <v>71.762469899999999</v>
      </c>
      <c r="F3267" s="137">
        <f t="shared" ca="1" si="201"/>
        <v>0</v>
      </c>
      <c r="G3267" s="138" t="e">
        <f>IF(A3267&lt;&gt;"",IF(AND(#REF!="Padrão",$H$4=#REF!),BDI!$B$17,IF(AND(#REF!="Padrão",$H$4=#REF!),BDI!#REF!,IF(AND(#REF!="Diferenciado",$H$4=#REF!),BDI!$E$17,IF(AND(#REF!="Diferenciado",$H$4=#REF!),BDI!#REF!,IF(#REF!="ZERO",0))))),"")</f>
        <v>#REF!</v>
      </c>
      <c r="H3267" s="139" t="e">
        <f t="shared" ca="1" si="202"/>
        <v>#REF!</v>
      </c>
      <c r="I3267" s="137" t="e">
        <f t="shared" ca="1" si="203"/>
        <v>#REF!</v>
      </c>
      <c r="J3267" s="117"/>
    </row>
    <row r="3268" spans="1:10" hidden="1" x14ac:dyDescent="0.25">
      <c r="A3268" s="114" t="s">
        <v>6765</v>
      </c>
      <c r="B3268" s="115" t="s">
        <v>6959</v>
      </c>
      <c r="C3268" s="116" t="s">
        <v>16</v>
      </c>
      <c r="D3268" s="116">
        <v>0</v>
      </c>
      <c r="E3268" s="136" t="s">
        <v>416</v>
      </c>
      <c r="F3268" s="137" t="str">
        <f t="shared" si="201"/>
        <v/>
      </c>
      <c r="G3268" s="138" t="e">
        <f>IF(A3268&lt;&gt;"",IF(AND(#REF!="Padrão",$H$4=#REF!),BDI!$B$17,IF(AND(#REF!="Padrão",$H$4=#REF!),BDI!#REF!,IF(AND(#REF!="Diferenciado",$H$4=#REF!),BDI!$E$17,IF(AND(#REF!="Diferenciado",$H$4=#REF!),BDI!#REF!,IF(#REF!="ZERO",0))))),"")</f>
        <v>#REF!</v>
      </c>
      <c r="H3268" s="139" t="str">
        <f t="shared" si="202"/>
        <v/>
      </c>
      <c r="I3268" s="137" t="str">
        <f t="shared" si="203"/>
        <v/>
      </c>
      <c r="J3268" s="117"/>
    </row>
    <row r="3269" spans="1:10" hidden="1" x14ac:dyDescent="0.25">
      <c r="A3269" s="114" t="s">
        <v>6766</v>
      </c>
      <c r="B3269" s="115" t="s">
        <v>6960</v>
      </c>
      <c r="C3269" s="116" t="s">
        <v>70</v>
      </c>
      <c r="D3269" s="116">
        <v>0</v>
      </c>
      <c r="E3269" s="136">
        <f ca="1">OFFSET(INDEX(Composições!A:J,MATCH(Orçamentária!A3269,Composições!A:A,0),8),2,0)</f>
        <v>32.594309999999993</v>
      </c>
      <c r="F3269" s="137">
        <f t="shared" ca="1" si="201"/>
        <v>0</v>
      </c>
      <c r="G3269" s="138" t="e">
        <f>IF(A3269&lt;&gt;"",IF(AND(#REF!="Padrão",$H$4=#REF!),BDI!$B$17,IF(AND(#REF!="Padrão",$H$4=#REF!),BDI!#REF!,IF(AND(#REF!="Diferenciado",$H$4=#REF!),BDI!$E$17,IF(AND(#REF!="Diferenciado",$H$4=#REF!),BDI!#REF!,IF(#REF!="ZERO",0))))),"")</f>
        <v>#REF!</v>
      </c>
      <c r="H3269" s="139" t="e">
        <f t="shared" ca="1" si="202"/>
        <v>#REF!</v>
      </c>
      <c r="I3269" s="137" t="e">
        <f t="shared" ca="1" si="203"/>
        <v>#REF!</v>
      </c>
      <c r="J3269" s="117"/>
    </row>
    <row r="3270" spans="1:10" hidden="1" x14ac:dyDescent="0.25">
      <c r="A3270" s="114" t="s">
        <v>6767</v>
      </c>
      <c r="B3270" s="115" t="s">
        <v>6961</v>
      </c>
      <c r="C3270" s="116" t="s">
        <v>70</v>
      </c>
      <c r="D3270" s="116">
        <v>0</v>
      </c>
      <c r="E3270" s="136">
        <f ca="1">OFFSET(INDEX(Composições!A:J,MATCH(Orçamentária!A3270,Composições!A:A,0),8),2,0)</f>
        <v>32.594309999999993</v>
      </c>
      <c r="F3270" s="137">
        <f t="shared" ca="1" si="201"/>
        <v>0</v>
      </c>
      <c r="G3270" s="138" t="e">
        <f>IF(A3270&lt;&gt;"",IF(AND(#REF!="Padrão",$H$4=#REF!),BDI!$B$17,IF(AND(#REF!="Padrão",$H$4=#REF!),BDI!#REF!,IF(AND(#REF!="Diferenciado",$H$4=#REF!),BDI!$E$17,IF(AND(#REF!="Diferenciado",$H$4=#REF!),BDI!#REF!,IF(#REF!="ZERO",0))))),"")</f>
        <v>#REF!</v>
      </c>
      <c r="H3270" s="139" t="e">
        <f t="shared" ca="1" si="202"/>
        <v>#REF!</v>
      </c>
      <c r="I3270" s="137" t="e">
        <f t="shared" ca="1" si="203"/>
        <v>#REF!</v>
      </c>
      <c r="J3270" s="117"/>
    </row>
    <row r="3271" spans="1:10" ht="25.5" hidden="1" x14ac:dyDescent="0.25">
      <c r="A3271" s="114" t="s">
        <v>6768</v>
      </c>
      <c r="B3271" s="115" t="s">
        <v>6962</v>
      </c>
      <c r="C3271" s="116" t="s">
        <v>70</v>
      </c>
      <c r="D3271" s="116">
        <v>0</v>
      </c>
      <c r="E3271" s="136">
        <f ca="1">OFFSET(INDEX(Composições!A:J,MATCH(Orçamentária!A3271,Composições!A:A,0),8),2,0)</f>
        <v>32.594309999999993</v>
      </c>
      <c r="F3271" s="137">
        <f t="shared" ref="F3271:F3278" ca="1" si="204">IF(ISNUMBER(E3271),D3271*E3271,"")</f>
        <v>0</v>
      </c>
      <c r="G3271" s="138" t="e">
        <f>IF(A3271&lt;&gt;"",IF(AND(#REF!="Padrão",$H$4=#REF!),BDI!$B$17,IF(AND(#REF!="Padrão",$H$4=#REF!),BDI!#REF!,IF(AND(#REF!="Diferenciado",$H$4=#REF!),BDI!$E$17,IF(AND(#REF!="Diferenciado",$H$4=#REF!),BDI!#REF!,IF(#REF!="ZERO",0))))),"")</f>
        <v>#REF!</v>
      </c>
      <c r="H3271" s="139" t="e">
        <f t="shared" ref="H3271:H3278" ca="1" si="205">IF(ISNUMBER(E3271),ROUND(E3271*(1+G3271),2),"")</f>
        <v>#REF!</v>
      </c>
      <c r="I3271" s="137" t="e">
        <f t="shared" ref="I3271:I3278" ca="1" si="206">IF(ISNUMBER(E3271),ROUND(H3271*D3271,2),"")</f>
        <v>#REF!</v>
      </c>
      <c r="J3271" s="117"/>
    </row>
    <row r="3272" spans="1:10" hidden="1" x14ac:dyDescent="0.25">
      <c r="A3272" s="114" t="s">
        <v>6769</v>
      </c>
      <c r="B3272" s="115" t="s">
        <v>6963</v>
      </c>
      <c r="C3272" s="116" t="s">
        <v>69</v>
      </c>
      <c r="D3272" s="116">
        <v>0</v>
      </c>
      <c r="E3272" s="136" t="s">
        <v>416</v>
      </c>
      <c r="F3272" s="137" t="str">
        <f t="shared" si="204"/>
        <v/>
      </c>
      <c r="G3272" s="138" t="e">
        <f>IF(A3272&lt;&gt;"",IF(AND(#REF!="Padrão",$H$4=#REF!),BDI!$B$17,IF(AND(#REF!="Padrão",$H$4=#REF!),BDI!#REF!,IF(AND(#REF!="Diferenciado",$H$4=#REF!),BDI!$E$17,IF(AND(#REF!="Diferenciado",$H$4=#REF!),BDI!#REF!,IF(#REF!="ZERO",0))))),"")</f>
        <v>#REF!</v>
      </c>
      <c r="H3272" s="139" t="str">
        <f t="shared" si="205"/>
        <v/>
      </c>
      <c r="I3272" s="137" t="str">
        <f t="shared" si="206"/>
        <v/>
      </c>
      <c r="J3272" s="117"/>
    </row>
    <row r="3273" spans="1:10" hidden="1" x14ac:dyDescent="0.25">
      <c r="A3273" s="114" t="s">
        <v>6770</v>
      </c>
      <c r="B3273" s="115" t="s">
        <v>6964</v>
      </c>
      <c r="C3273" s="116" t="s">
        <v>69</v>
      </c>
      <c r="D3273" s="116">
        <v>0</v>
      </c>
      <c r="E3273" s="136" t="s">
        <v>416</v>
      </c>
      <c r="F3273" s="137" t="str">
        <f t="shared" si="204"/>
        <v/>
      </c>
      <c r="G3273" s="138" t="e">
        <f>IF(A3273&lt;&gt;"",IF(AND(#REF!="Padrão",$H$4=#REF!),BDI!$B$17,IF(AND(#REF!="Padrão",$H$4=#REF!),BDI!#REF!,IF(AND(#REF!="Diferenciado",$H$4=#REF!),BDI!$E$17,IF(AND(#REF!="Diferenciado",$H$4=#REF!),BDI!#REF!,IF(#REF!="ZERO",0))))),"")</f>
        <v>#REF!</v>
      </c>
      <c r="H3273" s="139" t="str">
        <f t="shared" si="205"/>
        <v/>
      </c>
      <c r="I3273" s="137" t="str">
        <f t="shared" si="206"/>
        <v/>
      </c>
      <c r="J3273" s="117"/>
    </row>
    <row r="3274" spans="1:10" hidden="1" x14ac:dyDescent="0.25">
      <c r="A3274" s="114" t="s">
        <v>6771</v>
      </c>
      <c r="B3274" s="115" t="s">
        <v>6965</v>
      </c>
      <c r="C3274" s="116" t="s">
        <v>69</v>
      </c>
      <c r="D3274" s="116">
        <v>0</v>
      </c>
      <c r="E3274" s="136" t="s">
        <v>416</v>
      </c>
      <c r="F3274" s="137" t="str">
        <f t="shared" si="204"/>
        <v/>
      </c>
      <c r="G3274" s="138" t="e">
        <f>IF(A3274&lt;&gt;"",IF(AND(#REF!="Padrão",$H$4=#REF!),BDI!$B$17,IF(AND(#REF!="Padrão",$H$4=#REF!),BDI!#REF!,IF(AND(#REF!="Diferenciado",$H$4=#REF!),BDI!$E$17,IF(AND(#REF!="Diferenciado",$H$4=#REF!),BDI!#REF!,IF(#REF!="ZERO",0))))),"")</f>
        <v>#REF!</v>
      </c>
      <c r="H3274" s="139" t="str">
        <f t="shared" si="205"/>
        <v/>
      </c>
      <c r="I3274" s="137" t="str">
        <f t="shared" si="206"/>
        <v/>
      </c>
      <c r="J3274" s="117"/>
    </row>
    <row r="3275" spans="1:10" hidden="1" x14ac:dyDescent="0.25">
      <c r="A3275" s="114" t="s">
        <v>6772</v>
      </c>
      <c r="B3275" s="115" t="s">
        <v>6966</v>
      </c>
      <c r="C3275" s="116" t="s">
        <v>69</v>
      </c>
      <c r="D3275" s="116">
        <v>0</v>
      </c>
      <c r="E3275" s="136" t="s">
        <v>416</v>
      </c>
      <c r="F3275" s="137" t="str">
        <f t="shared" si="204"/>
        <v/>
      </c>
      <c r="G3275" s="138" t="e">
        <f>IF(A3275&lt;&gt;"",IF(AND(#REF!="Padrão",$H$4=#REF!),BDI!$B$17,IF(AND(#REF!="Padrão",$H$4=#REF!),BDI!#REF!,IF(AND(#REF!="Diferenciado",$H$4=#REF!),BDI!$E$17,IF(AND(#REF!="Diferenciado",$H$4=#REF!),BDI!#REF!,IF(#REF!="ZERO",0))))),"")</f>
        <v>#REF!</v>
      </c>
      <c r="H3275" s="139" t="str">
        <f t="shared" si="205"/>
        <v/>
      </c>
      <c r="I3275" s="137" t="str">
        <f t="shared" si="206"/>
        <v/>
      </c>
      <c r="J3275" s="117"/>
    </row>
    <row r="3276" spans="1:10" hidden="1" x14ac:dyDescent="0.25">
      <c r="A3276" s="114" t="s">
        <v>6773</v>
      </c>
      <c r="B3276" s="115" t="s">
        <v>6967</v>
      </c>
      <c r="C3276" s="116" t="s">
        <v>69</v>
      </c>
      <c r="D3276" s="116">
        <v>0</v>
      </c>
      <c r="E3276" s="136" t="s">
        <v>416</v>
      </c>
      <c r="F3276" s="137" t="str">
        <f t="shared" si="204"/>
        <v/>
      </c>
      <c r="G3276" s="138" t="e">
        <f>IF(A3276&lt;&gt;"",IF(AND(#REF!="Padrão",$H$4=#REF!),BDI!$B$17,IF(AND(#REF!="Padrão",$H$4=#REF!),BDI!#REF!,IF(AND(#REF!="Diferenciado",$H$4=#REF!),BDI!$E$17,IF(AND(#REF!="Diferenciado",$H$4=#REF!),BDI!#REF!,IF(#REF!="ZERO",0))))),"")</f>
        <v>#REF!</v>
      </c>
      <c r="H3276" s="139" t="str">
        <f t="shared" si="205"/>
        <v/>
      </c>
      <c r="I3276" s="137" t="str">
        <f t="shared" si="206"/>
        <v/>
      </c>
      <c r="J3276" s="117"/>
    </row>
    <row r="3277" spans="1:10" hidden="1" x14ac:dyDescent="0.25">
      <c r="A3277" s="114" t="s">
        <v>6774</v>
      </c>
      <c r="B3277" s="115" t="s">
        <v>6968</v>
      </c>
      <c r="C3277" s="116" t="s">
        <v>69</v>
      </c>
      <c r="D3277" s="116">
        <v>0</v>
      </c>
      <c r="E3277" s="136" t="s">
        <v>416</v>
      </c>
      <c r="F3277" s="137" t="str">
        <f t="shared" si="204"/>
        <v/>
      </c>
      <c r="G3277" s="138" t="e">
        <f>IF(A3277&lt;&gt;"",IF(AND(#REF!="Padrão",$H$4=#REF!),BDI!$B$17,IF(AND(#REF!="Padrão",$H$4=#REF!),BDI!#REF!,IF(AND(#REF!="Diferenciado",$H$4=#REF!),BDI!$E$17,IF(AND(#REF!="Diferenciado",$H$4=#REF!),BDI!#REF!,IF(#REF!="ZERO",0))))),"")</f>
        <v>#REF!</v>
      </c>
      <c r="H3277" s="139" t="str">
        <f t="shared" si="205"/>
        <v/>
      </c>
      <c r="I3277" s="137" t="str">
        <f t="shared" si="206"/>
        <v/>
      </c>
      <c r="J3277" s="117"/>
    </row>
    <row r="3278" spans="1:10" hidden="1" x14ac:dyDescent="0.25">
      <c r="A3278" s="114" t="s">
        <v>6775</v>
      </c>
      <c r="B3278" s="115" t="s">
        <v>6969</v>
      </c>
      <c r="C3278" s="116" t="s">
        <v>69</v>
      </c>
      <c r="D3278" s="116">
        <v>0</v>
      </c>
      <c r="E3278" s="136" t="s">
        <v>416</v>
      </c>
      <c r="F3278" s="137" t="str">
        <f t="shared" si="204"/>
        <v/>
      </c>
      <c r="G3278" s="138" t="e">
        <f>IF(A3278&lt;&gt;"",IF(AND(#REF!="Padrão",$H$4=#REF!),BDI!$B$17,IF(AND(#REF!="Padrão",$H$4=#REF!),BDI!#REF!,IF(AND(#REF!="Diferenciado",$H$4=#REF!),BDI!$E$17,IF(AND(#REF!="Diferenciado",$H$4=#REF!),BDI!#REF!,IF(#REF!="ZERO",0))))),"")</f>
        <v>#REF!</v>
      </c>
      <c r="H3278" s="139" t="str">
        <f t="shared" si="205"/>
        <v/>
      </c>
      <c r="I3278" s="137" t="str">
        <f t="shared" si="206"/>
        <v/>
      </c>
      <c r="J3278" s="117"/>
    </row>
    <row r="3279" spans="1:10" hidden="1" x14ac:dyDescent="0.25">
      <c r="A3279" s="114" t="s">
        <v>6776</v>
      </c>
      <c r="B3279" s="115" t="s">
        <v>6974</v>
      </c>
      <c r="C3279" s="116" t="s">
        <v>70</v>
      </c>
      <c r="D3279" s="116">
        <v>0</v>
      </c>
      <c r="E3279" s="136" t="s">
        <v>416</v>
      </c>
      <c r="F3279" s="137" t="str">
        <f t="shared" ref="F3279:F3342" si="207">IF(ISNUMBER(E3279),D3279*E3279,"")</f>
        <v/>
      </c>
      <c r="G3279" s="138" t="e">
        <f>IF(A3279&lt;&gt;"",IF(AND(#REF!="Padrão",$H$4=#REF!),BDI!$B$17,IF(AND(#REF!="Padrão",$H$4=#REF!),BDI!#REF!,IF(AND(#REF!="Diferenciado",$H$4=#REF!),BDI!$E$17,IF(AND(#REF!="Diferenciado",$H$4=#REF!),BDI!#REF!,IF(#REF!="ZERO",0))))),"")</f>
        <v>#REF!</v>
      </c>
      <c r="H3279" s="139" t="str">
        <f t="shared" ref="H3279:H3342" si="208">IF(ISNUMBER(E3279),ROUND(E3279*(1+G3279),2),"")</f>
        <v/>
      </c>
      <c r="I3279" s="137" t="str">
        <f t="shared" ref="I3279:I3342" si="209">IF(ISNUMBER(E3279),ROUND(H3279*D3279,2),"")</f>
        <v/>
      </c>
      <c r="J3279" s="117"/>
    </row>
    <row r="3280" spans="1:10" hidden="1" x14ac:dyDescent="0.25">
      <c r="A3280" s="114" t="s">
        <v>6777</v>
      </c>
      <c r="B3280" s="115" t="s">
        <v>6975</v>
      </c>
      <c r="C3280" s="116" t="s">
        <v>16</v>
      </c>
      <c r="D3280" s="116">
        <v>0</v>
      </c>
      <c r="E3280" s="136" t="s">
        <v>416</v>
      </c>
      <c r="F3280" s="137" t="str">
        <f t="shared" si="207"/>
        <v/>
      </c>
      <c r="G3280" s="138" t="e">
        <f>IF(A3280&lt;&gt;"",IF(AND(#REF!="Padrão",$H$4=#REF!),BDI!$B$17,IF(AND(#REF!="Padrão",$H$4=#REF!),BDI!#REF!,IF(AND(#REF!="Diferenciado",$H$4=#REF!),BDI!$E$17,IF(AND(#REF!="Diferenciado",$H$4=#REF!),BDI!#REF!,IF(#REF!="ZERO",0))))),"")</f>
        <v>#REF!</v>
      </c>
      <c r="H3280" s="139" t="str">
        <f t="shared" si="208"/>
        <v/>
      </c>
      <c r="I3280" s="137" t="str">
        <f t="shared" si="209"/>
        <v/>
      </c>
      <c r="J3280" s="117"/>
    </row>
    <row r="3281" spans="1:10" hidden="1" x14ac:dyDescent="0.25">
      <c r="A3281" s="114" t="s">
        <v>6778</v>
      </c>
      <c r="B3281" s="115" t="s">
        <v>6976</v>
      </c>
      <c r="C3281" s="116" t="s">
        <v>16</v>
      </c>
      <c r="D3281" s="116">
        <v>0</v>
      </c>
      <c r="E3281" s="136">
        <f ca="1">OFFSET(INDEX(Composições!A:J,MATCH(Orçamentária!A3281,Composições!A:A,0),8),2,0)</f>
        <v>183.20749999999998</v>
      </c>
      <c r="F3281" s="137">
        <f t="shared" ca="1" si="207"/>
        <v>0</v>
      </c>
      <c r="G3281" s="138" t="e">
        <f>IF(A3281&lt;&gt;"",IF(AND(#REF!="Padrão",$H$4=#REF!),BDI!$B$17,IF(AND(#REF!="Padrão",$H$4=#REF!),BDI!#REF!,IF(AND(#REF!="Diferenciado",$H$4=#REF!),BDI!$E$17,IF(AND(#REF!="Diferenciado",$H$4=#REF!),BDI!#REF!,IF(#REF!="ZERO",0))))),"")</f>
        <v>#REF!</v>
      </c>
      <c r="H3281" s="139" t="e">
        <f t="shared" ca="1" si="208"/>
        <v>#REF!</v>
      </c>
      <c r="I3281" s="137" t="e">
        <f t="shared" ca="1" si="209"/>
        <v>#REF!</v>
      </c>
      <c r="J3281" s="117"/>
    </row>
    <row r="3282" spans="1:10" hidden="1" x14ac:dyDescent="0.25">
      <c r="A3282" s="114" t="s">
        <v>6779</v>
      </c>
      <c r="B3282" s="115" t="s">
        <v>7935</v>
      </c>
      <c r="C3282" s="116" t="s">
        <v>16</v>
      </c>
      <c r="D3282" s="116">
        <v>0</v>
      </c>
      <c r="E3282" s="136">
        <f ca="1">OFFSET(INDEX(Composições!A:J,MATCH(Orçamentária!A3282,Composições!A:A,0),8),2,0)</f>
        <v>183.20749999999998</v>
      </c>
      <c r="F3282" s="137">
        <f t="shared" ca="1" si="207"/>
        <v>0</v>
      </c>
      <c r="G3282" s="138" t="e">
        <f>IF(A3282&lt;&gt;"",IF(AND(#REF!="Padrão",$H$4=#REF!),BDI!$B$17,IF(AND(#REF!="Padrão",$H$4=#REF!),BDI!#REF!,IF(AND(#REF!="Diferenciado",$H$4=#REF!),BDI!$E$17,IF(AND(#REF!="Diferenciado",$H$4=#REF!),BDI!#REF!,IF(#REF!="ZERO",0))))),"")</f>
        <v>#REF!</v>
      </c>
      <c r="H3282" s="139" t="e">
        <f t="shared" ca="1" si="208"/>
        <v>#REF!</v>
      </c>
      <c r="I3282" s="137" t="e">
        <f t="shared" ca="1" si="209"/>
        <v>#REF!</v>
      </c>
      <c r="J3282" s="117"/>
    </row>
    <row r="3283" spans="1:10" hidden="1" x14ac:dyDescent="0.25">
      <c r="A3283" s="114" t="s">
        <v>6780</v>
      </c>
      <c r="B3283" s="115" t="s">
        <v>7936</v>
      </c>
      <c r="C3283" s="116" t="s">
        <v>16</v>
      </c>
      <c r="D3283" s="116">
        <v>0</v>
      </c>
      <c r="E3283" s="136">
        <f ca="1">OFFSET(INDEX(Composições!A:J,MATCH(Orçamentária!A3283,Composições!A:A,0),8),2,0)</f>
        <v>183.20749999999998</v>
      </c>
      <c r="F3283" s="137">
        <f t="shared" ca="1" si="207"/>
        <v>0</v>
      </c>
      <c r="G3283" s="138" t="e">
        <f>IF(A3283&lt;&gt;"",IF(AND(#REF!="Padrão",$H$4=#REF!),BDI!$B$17,IF(AND(#REF!="Padrão",$H$4=#REF!),BDI!#REF!,IF(AND(#REF!="Diferenciado",$H$4=#REF!),BDI!$E$17,IF(AND(#REF!="Diferenciado",$H$4=#REF!),BDI!#REF!,IF(#REF!="ZERO",0))))),"")</f>
        <v>#REF!</v>
      </c>
      <c r="H3283" s="139" t="e">
        <f t="shared" ca="1" si="208"/>
        <v>#REF!</v>
      </c>
      <c r="I3283" s="137" t="e">
        <f t="shared" ca="1" si="209"/>
        <v>#REF!</v>
      </c>
      <c r="J3283" s="117"/>
    </row>
    <row r="3284" spans="1:10" hidden="1" x14ac:dyDescent="0.25">
      <c r="A3284" s="114" t="s">
        <v>6781</v>
      </c>
      <c r="B3284" s="115" t="s">
        <v>6977</v>
      </c>
      <c r="C3284" s="116" t="s">
        <v>16</v>
      </c>
      <c r="D3284" s="116">
        <v>0</v>
      </c>
      <c r="E3284" s="136">
        <f ca="1">OFFSET(INDEX(Composições!A:J,MATCH(Orçamentária!A3284,Composições!A:A,0),8),2,0)</f>
        <v>836.63503509999987</v>
      </c>
      <c r="F3284" s="137">
        <f t="shared" ca="1" si="207"/>
        <v>0</v>
      </c>
      <c r="G3284" s="138" t="e">
        <f>IF(A3284&lt;&gt;"",IF(AND(#REF!="Padrão",$H$4=#REF!),BDI!$B$17,IF(AND(#REF!="Padrão",$H$4=#REF!),BDI!#REF!,IF(AND(#REF!="Diferenciado",$H$4=#REF!),BDI!$E$17,IF(AND(#REF!="Diferenciado",$H$4=#REF!),BDI!#REF!,IF(#REF!="ZERO",0))))),"")</f>
        <v>#REF!</v>
      </c>
      <c r="H3284" s="139" t="e">
        <f t="shared" ca="1" si="208"/>
        <v>#REF!</v>
      </c>
      <c r="I3284" s="137" t="e">
        <f t="shared" ca="1" si="209"/>
        <v>#REF!</v>
      </c>
      <c r="J3284" s="117"/>
    </row>
    <row r="3285" spans="1:10" hidden="1" x14ac:dyDescent="0.25">
      <c r="A3285" s="114" t="s">
        <v>6782</v>
      </c>
      <c r="B3285" s="115" t="s">
        <v>6978</v>
      </c>
      <c r="C3285" s="116" t="s">
        <v>16</v>
      </c>
      <c r="D3285" s="116">
        <v>0</v>
      </c>
      <c r="E3285" s="136">
        <f ca="1">OFFSET(INDEX(Composições!A:J,MATCH(Orçamentária!A3285,Composições!A:A,0),8),2,0)</f>
        <v>836.63503509999987</v>
      </c>
      <c r="F3285" s="137">
        <f t="shared" ca="1" si="207"/>
        <v>0</v>
      </c>
      <c r="G3285" s="138" t="e">
        <f>IF(A3285&lt;&gt;"",IF(AND(#REF!="Padrão",$H$4=#REF!),BDI!$B$17,IF(AND(#REF!="Padrão",$H$4=#REF!),BDI!#REF!,IF(AND(#REF!="Diferenciado",$H$4=#REF!),BDI!$E$17,IF(AND(#REF!="Diferenciado",$H$4=#REF!),BDI!#REF!,IF(#REF!="ZERO",0))))),"")</f>
        <v>#REF!</v>
      </c>
      <c r="H3285" s="139" t="e">
        <f t="shared" ca="1" si="208"/>
        <v>#REF!</v>
      </c>
      <c r="I3285" s="137" t="e">
        <f t="shared" ca="1" si="209"/>
        <v>#REF!</v>
      </c>
      <c r="J3285" s="117"/>
    </row>
    <row r="3286" spans="1:10" ht="25.5" hidden="1" x14ac:dyDescent="0.25">
      <c r="A3286" s="114" t="s">
        <v>6783</v>
      </c>
      <c r="B3286" s="115" t="s">
        <v>6979</v>
      </c>
      <c r="C3286" s="116" t="s">
        <v>16</v>
      </c>
      <c r="D3286" s="116">
        <v>0</v>
      </c>
      <c r="E3286" s="136">
        <f ca="1">OFFSET(INDEX(Composições!A:J,MATCH(Orçamentária!A3286,Composições!A:A,0),8),2,0)</f>
        <v>47.417608440249602</v>
      </c>
      <c r="F3286" s="137">
        <f t="shared" ca="1" si="207"/>
        <v>0</v>
      </c>
      <c r="G3286" s="138" t="e">
        <f>IF(A3286&lt;&gt;"",IF(AND(#REF!="Padrão",$H$4=#REF!),BDI!$B$17,IF(AND(#REF!="Padrão",$H$4=#REF!),BDI!#REF!,IF(AND(#REF!="Diferenciado",$H$4=#REF!),BDI!$E$17,IF(AND(#REF!="Diferenciado",$H$4=#REF!),BDI!#REF!,IF(#REF!="ZERO",0))))),"")</f>
        <v>#REF!</v>
      </c>
      <c r="H3286" s="139" t="e">
        <f t="shared" ca="1" si="208"/>
        <v>#REF!</v>
      </c>
      <c r="I3286" s="137" t="e">
        <f t="shared" ca="1" si="209"/>
        <v>#REF!</v>
      </c>
      <c r="J3286" s="117"/>
    </row>
    <row r="3287" spans="1:10" hidden="1" x14ac:dyDescent="0.25">
      <c r="A3287" s="114" t="s">
        <v>6784</v>
      </c>
      <c r="B3287" s="115" t="s">
        <v>6980</v>
      </c>
      <c r="C3287" s="116" t="s">
        <v>70</v>
      </c>
      <c r="D3287" s="116">
        <v>0</v>
      </c>
      <c r="E3287" s="136" t="s">
        <v>416</v>
      </c>
      <c r="F3287" s="137" t="str">
        <f t="shared" si="207"/>
        <v/>
      </c>
      <c r="G3287" s="138" t="e">
        <f>IF(A3287&lt;&gt;"",IF(AND(#REF!="Padrão",$H$4=#REF!),BDI!$B$17,IF(AND(#REF!="Padrão",$H$4=#REF!),BDI!#REF!,IF(AND(#REF!="Diferenciado",$H$4=#REF!),BDI!$E$17,IF(AND(#REF!="Diferenciado",$H$4=#REF!),BDI!#REF!,IF(#REF!="ZERO",0))))),"")</f>
        <v>#REF!</v>
      </c>
      <c r="H3287" s="139" t="str">
        <f t="shared" si="208"/>
        <v/>
      </c>
      <c r="I3287" s="137" t="str">
        <f t="shared" si="209"/>
        <v/>
      </c>
      <c r="J3287" s="117"/>
    </row>
    <row r="3288" spans="1:10" hidden="1" x14ac:dyDescent="0.25">
      <c r="A3288" s="114" t="s">
        <v>6785</v>
      </c>
      <c r="B3288" s="115" t="s">
        <v>6981</v>
      </c>
      <c r="C3288" s="116" t="s">
        <v>16</v>
      </c>
      <c r="D3288" s="116">
        <v>0</v>
      </c>
      <c r="E3288" s="136" t="s">
        <v>416</v>
      </c>
      <c r="F3288" s="137" t="str">
        <f t="shared" si="207"/>
        <v/>
      </c>
      <c r="G3288" s="138" t="e">
        <f>IF(A3288&lt;&gt;"",IF(AND(#REF!="Padrão",$H$4=#REF!),BDI!$B$17,IF(AND(#REF!="Padrão",$H$4=#REF!),BDI!#REF!,IF(AND(#REF!="Diferenciado",$H$4=#REF!),BDI!$E$17,IF(AND(#REF!="Diferenciado",$H$4=#REF!),BDI!#REF!,IF(#REF!="ZERO",0))))),"")</f>
        <v>#REF!</v>
      </c>
      <c r="H3288" s="139" t="str">
        <f t="shared" si="208"/>
        <v/>
      </c>
      <c r="I3288" s="137" t="str">
        <f t="shared" si="209"/>
        <v/>
      </c>
      <c r="J3288" s="117"/>
    </row>
    <row r="3289" spans="1:10" hidden="1" x14ac:dyDescent="0.25">
      <c r="A3289" s="114" t="s">
        <v>6786</v>
      </c>
      <c r="B3289" s="115" t="s">
        <v>6982</v>
      </c>
      <c r="C3289" s="116" t="s">
        <v>16</v>
      </c>
      <c r="D3289" s="116">
        <v>0</v>
      </c>
      <c r="E3289" s="136" t="s">
        <v>416</v>
      </c>
      <c r="F3289" s="137" t="str">
        <f t="shared" si="207"/>
        <v/>
      </c>
      <c r="G3289" s="138" t="e">
        <f>IF(A3289&lt;&gt;"",IF(AND(#REF!="Padrão",$H$4=#REF!),BDI!$B$17,IF(AND(#REF!="Padrão",$H$4=#REF!),BDI!#REF!,IF(AND(#REF!="Diferenciado",$H$4=#REF!),BDI!$E$17,IF(AND(#REF!="Diferenciado",$H$4=#REF!),BDI!#REF!,IF(#REF!="ZERO",0))))),"")</f>
        <v>#REF!</v>
      </c>
      <c r="H3289" s="139" t="str">
        <f t="shared" si="208"/>
        <v/>
      </c>
      <c r="I3289" s="137" t="str">
        <f t="shared" si="209"/>
        <v/>
      </c>
      <c r="J3289" s="117"/>
    </row>
    <row r="3290" spans="1:10" hidden="1" x14ac:dyDescent="0.25">
      <c r="A3290" s="114" t="s">
        <v>6787</v>
      </c>
      <c r="B3290" s="115" t="s">
        <v>6983</v>
      </c>
      <c r="C3290" s="116" t="s">
        <v>4170</v>
      </c>
      <c r="D3290" s="116">
        <v>0</v>
      </c>
      <c r="E3290" s="136" t="s">
        <v>416</v>
      </c>
      <c r="F3290" s="137" t="str">
        <f t="shared" si="207"/>
        <v/>
      </c>
      <c r="G3290" s="138" t="e">
        <f>IF(A3290&lt;&gt;"",IF(AND(#REF!="Padrão",$H$4=#REF!),BDI!$B$17,IF(AND(#REF!="Padrão",$H$4=#REF!),BDI!#REF!,IF(AND(#REF!="Diferenciado",$H$4=#REF!),BDI!$E$17,IF(AND(#REF!="Diferenciado",$H$4=#REF!),BDI!#REF!,IF(#REF!="ZERO",0))))),"")</f>
        <v>#REF!</v>
      </c>
      <c r="H3290" s="139" t="str">
        <f t="shared" si="208"/>
        <v/>
      </c>
      <c r="I3290" s="137" t="str">
        <f t="shared" si="209"/>
        <v/>
      </c>
      <c r="J3290" s="117"/>
    </row>
    <row r="3291" spans="1:10" hidden="1" x14ac:dyDescent="0.25">
      <c r="A3291" s="114" t="s">
        <v>6788</v>
      </c>
      <c r="B3291" s="115" t="s">
        <v>6984</v>
      </c>
      <c r="C3291" s="116" t="s">
        <v>16</v>
      </c>
      <c r="D3291" s="116">
        <v>0</v>
      </c>
      <c r="E3291" s="136" t="s">
        <v>416</v>
      </c>
      <c r="F3291" s="137" t="str">
        <f t="shared" si="207"/>
        <v/>
      </c>
      <c r="G3291" s="138" t="e">
        <f>IF(A3291&lt;&gt;"",IF(AND(#REF!="Padrão",$H$4=#REF!),BDI!$B$17,IF(AND(#REF!="Padrão",$H$4=#REF!),BDI!#REF!,IF(AND(#REF!="Diferenciado",$H$4=#REF!),BDI!$E$17,IF(AND(#REF!="Diferenciado",$H$4=#REF!),BDI!#REF!,IF(#REF!="ZERO",0))))),"")</f>
        <v>#REF!</v>
      </c>
      <c r="H3291" s="139" t="str">
        <f t="shared" si="208"/>
        <v/>
      </c>
      <c r="I3291" s="137" t="str">
        <f t="shared" si="209"/>
        <v/>
      </c>
      <c r="J3291" s="117"/>
    </row>
    <row r="3292" spans="1:10" hidden="1" x14ac:dyDescent="0.25">
      <c r="A3292" s="114" t="s">
        <v>6789</v>
      </c>
      <c r="B3292" s="115" t="s">
        <v>6985</v>
      </c>
      <c r="C3292" s="116" t="s">
        <v>16</v>
      </c>
      <c r="D3292" s="116">
        <v>0</v>
      </c>
      <c r="E3292" s="136" t="s">
        <v>416</v>
      </c>
      <c r="F3292" s="137" t="str">
        <f t="shared" si="207"/>
        <v/>
      </c>
      <c r="G3292" s="138" t="e">
        <f>IF(A3292&lt;&gt;"",IF(AND(#REF!="Padrão",$H$4=#REF!),BDI!$B$17,IF(AND(#REF!="Padrão",$H$4=#REF!),BDI!#REF!,IF(AND(#REF!="Diferenciado",$H$4=#REF!),BDI!$E$17,IF(AND(#REF!="Diferenciado",$H$4=#REF!),BDI!#REF!,IF(#REF!="ZERO",0))))),"")</f>
        <v>#REF!</v>
      </c>
      <c r="H3292" s="139" t="str">
        <f t="shared" si="208"/>
        <v/>
      </c>
      <c r="I3292" s="137" t="str">
        <f t="shared" si="209"/>
        <v/>
      </c>
      <c r="J3292" s="117"/>
    </row>
    <row r="3293" spans="1:10" hidden="1" x14ac:dyDescent="0.25">
      <c r="A3293" s="114" t="s">
        <v>6790</v>
      </c>
      <c r="B3293" s="115" t="s">
        <v>6986</v>
      </c>
      <c r="C3293" s="116" t="s">
        <v>16</v>
      </c>
      <c r="D3293" s="116">
        <v>0</v>
      </c>
      <c r="E3293" s="136" t="s">
        <v>416</v>
      </c>
      <c r="F3293" s="137" t="str">
        <f t="shared" si="207"/>
        <v/>
      </c>
      <c r="G3293" s="138" t="e">
        <f>IF(A3293&lt;&gt;"",IF(AND(#REF!="Padrão",$H$4=#REF!),BDI!$B$17,IF(AND(#REF!="Padrão",$H$4=#REF!),BDI!#REF!,IF(AND(#REF!="Diferenciado",$H$4=#REF!),BDI!$E$17,IF(AND(#REF!="Diferenciado",$H$4=#REF!),BDI!#REF!,IF(#REF!="ZERO",0))))),"")</f>
        <v>#REF!</v>
      </c>
      <c r="H3293" s="139" t="str">
        <f t="shared" si="208"/>
        <v/>
      </c>
      <c r="I3293" s="137" t="str">
        <f t="shared" si="209"/>
        <v/>
      </c>
      <c r="J3293" s="117"/>
    </row>
    <row r="3294" spans="1:10" hidden="1" x14ac:dyDescent="0.25">
      <c r="A3294" s="114" t="s">
        <v>6791</v>
      </c>
      <c r="B3294" s="115" t="s">
        <v>7096</v>
      </c>
      <c r="C3294" s="116" t="s">
        <v>16</v>
      </c>
      <c r="D3294" s="116">
        <v>0</v>
      </c>
      <c r="E3294" s="136">
        <f ca="1">OFFSET(INDEX(Composições!A:J,MATCH(Orçamentária!A3294,Composições!A:A,0),8),2,0)</f>
        <v>6.6025</v>
      </c>
      <c r="F3294" s="137">
        <f t="shared" ca="1" si="207"/>
        <v>0</v>
      </c>
      <c r="G3294" s="138" t="e">
        <f>IF(A3294&lt;&gt;"",IF(AND(#REF!="Padrão",$H$4=#REF!),BDI!$B$17,IF(AND(#REF!="Padrão",$H$4=#REF!),BDI!#REF!,IF(AND(#REF!="Diferenciado",$H$4=#REF!),BDI!$E$17,IF(AND(#REF!="Diferenciado",$H$4=#REF!),BDI!#REF!,IF(#REF!="ZERO",0))))),"")</f>
        <v>#REF!</v>
      </c>
      <c r="H3294" s="139" t="e">
        <f t="shared" ca="1" si="208"/>
        <v>#REF!</v>
      </c>
      <c r="I3294" s="137" t="e">
        <f t="shared" ca="1" si="209"/>
        <v>#REF!</v>
      </c>
      <c r="J3294" s="117"/>
    </row>
    <row r="3295" spans="1:10" hidden="1" x14ac:dyDescent="0.25">
      <c r="A3295" s="114" t="s">
        <v>6792</v>
      </c>
      <c r="B3295" s="115" t="s">
        <v>7097</v>
      </c>
      <c r="C3295" s="116" t="s">
        <v>16</v>
      </c>
      <c r="D3295" s="116">
        <v>0</v>
      </c>
      <c r="E3295" s="136">
        <f ca="1">OFFSET(INDEX(Composições!A:J,MATCH(Orçamentária!A3295,Composições!A:A,0),8),2,0)</f>
        <v>0.72199999999999998</v>
      </c>
      <c r="F3295" s="137">
        <f t="shared" ca="1" si="207"/>
        <v>0</v>
      </c>
      <c r="G3295" s="138" t="e">
        <f>IF(A3295&lt;&gt;"",IF(AND(#REF!="Padrão",$H$4=#REF!),BDI!$B$17,IF(AND(#REF!="Padrão",$H$4=#REF!),BDI!#REF!,IF(AND(#REF!="Diferenciado",$H$4=#REF!),BDI!$E$17,IF(AND(#REF!="Diferenciado",$H$4=#REF!),BDI!#REF!,IF(#REF!="ZERO",0))))),"")</f>
        <v>#REF!</v>
      </c>
      <c r="H3295" s="139" t="e">
        <f t="shared" ca="1" si="208"/>
        <v>#REF!</v>
      </c>
      <c r="I3295" s="137" t="e">
        <f t="shared" ca="1" si="209"/>
        <v>#REF!</v>
      </c>
      <c r="J3295" s="117"/>
    </row>
    <row r="3296" spans="1:10" hidden="1" x14ac:dyDescent="0.25">
      <c r="A3296" s="114" t="s">
        <v>6793</v>
      </c>
      <c r="B3296" s="115" t="s">
        <v>7098</v>
      </c>
      <c r="C3296" s="116" t="s">
        <v>16</v>
      </c>
      <c r="D3296" s="116">
        <v>0</v>
      </c>
      <c r="E3296" s="136">
        <f ca="1">OFFSET(INDEX(Composições!A:J,MATCH(Orçamentária!A3296,Composições!A:A,0),8),2,0)</f>
        <v>1.482</v>
      </c>
      <c r="F3296" s="137">
        <f t="shared" ca="1" si="207"/>
        <v>0</v>
      </c>
      <c r="G3296" s="138" t="e">
        <f>IF(A3296&lt;&gt;"",IF(AND(#REF!="Padrão",$H$4=#REF!),BDI!$B$17,IF(AND(#REF!="Padrão",$H$4=#REF!),BDI!#REF!,IF(AND(#REF!="Diferenciado",$H$4=#REF!),BDI!$E$17,IF(AND(#REF!="Diferenciado",$H$4=#REF!),BDI!#REF!,IF(#REF!="ZERO",0))))),"")</f>
        <v>#REF!</v>
      </c>
      <c r="H3296" s="139" t="e">
        <f t="shared" ca="1" si="208"/>
        <v>#REF!</v>
      </c>
      <c r="I3296" s="137" t="e">
        <f t="shared" ca="1" si="209"/>
        <v>#REF!</v>
      </c>
      <c r="J3296" s="117"/>
    </row>
    <row r="3297" spans="1:10" hidden="1" x14ac:dyDescent="0.25">
      <c r="A3297" s="114" t="s">
        <v>6794</v>
      </c>
      <c r="B3297" s="115" t="s">
        <v>7099</v>
      </c>
      <c r="C3297" s="116" t="s">
        <v>16</v>
      </c>
      <c r="D3297" s="116">
        <v>0</v>
      </c>
      <c r="E3297" s="136">
        <f ca="1">OFFSET(INDEX(Composições!A:J,MATCH(Orçamentária!A3297,Composições!A:A,0),8),2,0)</f>
        <v>2.3939999999999997</v>
      </c>
      <c r="F3297" s="137">
        <f t="shared" ca="1" si="207"/>
        <v>0</v>
      </c>
      <c r="G3297" s="138" t="e">
        <f>IF(A3297&lt;&gt;"",IF(AND(#REF!="Padrão",$H$4=#REF!),BDI!$B$17,IF(AND(#REF!="Padrão",$H$4=#REF!),BDI!#REF!,IF(AND(#REF!="Diferenciado",$H$4=#REF!),BDI!$E$17,IF(AND(#REF!="Diferenciado",$H$4=#REF!),BDI!#REF!,IF(#REF!="ZERO",0))))),"")</f>
        <v>#REF!</v>
      </c>
      <c r="H3297" s="139" t="e">
        <f t="shared" ca="1" si="208"/>
        <v>#REF!</v>
      </c>
      <c r="I3297" s="137" t="e">
        <f t="shared" ca="1" si="209"/>
        <v>#REF!</v>
      </c>
      <c r="J3297" s="117"/>
    </row>
    <row r="3298" spans="1:10" hidden="1" x14ac:dyDescent="0.25">
      <c r="A3298" s="114" t="s">
        <v>6795</v>
      </c>
      <c r="B3298" s="115" t="s">
        <v>7100</v>
      </c>
      <c r="C3298" s="116" t="s">
        <v>16</v>
      </c>
      <c r="D3298" s="116">
        <v>0</v>
      </c>
      <c r="E3298" s="136">
        <f ca="1">OFFSET(INDEX(Composições!A:J,MATCH(Orçamentária!A3298,Composições!A:A,0),8),2,0)</f>
        <v>5.2915000000000001</v>
      </c>
      <c r="F3298" s="137">
        <f t="shared" ca="1" si="207"/>
        <v>0</v>
      </c>
      <c r="G3298" s="138" t="e">
        <f>IF(A3298&lt;&gt;"",IF(AND(#REF!="Padrão",$H$4=#REF!),BDI!$B$17,IF(AND(#REF!="Padrão",$H$4=#REF!),BDI!#REF!,IF(AND(#REF!="Diferenciado",$H$4=#REF!),BDI!$E$17,IF(AND(#REF!="Diferenciado",$H$4=#REF!),BDI!#REF!,IF(#REF!="ZERO",0))))),"")</f>
        <v>#REF!</v>
      </c>
      <c r="H3298" s="139" t="e">
        <f t="shared" ca="1" si="208"/>
        <v>#REF!</v>
      </c>
      <c r="I3298" s="137" t="e">
        <f t="shared" ca="1" si="209"/>
        <v>#REF!</v>
      </c>
      <c r="J3298" s="117"/>
    </row>
    <row r="3299" spans="1:10" hidden="1" x14ac:dyDescent="0.25">
      <c r="A3299" s="114" t="s">
        <v>6796</v>
      </c>
      <c r="B3299" s="115" t="s">
        <v>7101</v>
      </c>
      <c r="C3299" s="116" t="s">
        <v>16</v>
      </c>
      <c r="D3299" s="116">
        <v>0</v>
      </c>
      <c r="E3299" s="136">
        <f ca="1">OFFSET(INDEX(Composições!A:J,MATCH(Orçamentária!A3299,Composições!A:A,0),8),2,0)</f>
        <v>7.9610000000000003</v>
      </c>
      <c r="F3299" s="137">
        <f t="shared" ca="1" si="207"/>
        <v>0</v>
      </c>
      <c r="G3299" s="138" t="e">
        <f>IF(A3299&lt;&gt;"",IF(AND(#REF!="Padrão",$H$4=#REF!),BDI!$B$17,IF(AND(#REF!="Padrão",$H$4=#REF!),BDI!#REF!,IF(AND(#REF!="Diferenciado",$H$4=#REF!),BDI!$E$17,IF(AND(#REF!="Diferenciado",$H$4=#REF!),BDI!#REF!,IF(#REF!="ZERO",0))))),"")</f>
        <v>#REF!</v>
      </c>
      <c r="H3299" s="139" t="e">
        <f t="shared" ca="1" si="208"/>
        <v>#REF!</v>
      </c>
      <c r="I3299" s="137" t="e">
        <f t="shared" ca="1" si="209"/>
        <v>#REF!</v>
      </c>
      <c r="J3299" s="117"/>
    </row>
    <row r="3300" spans="1:10" hidden="1" x14ac:dyDescent="0.25">
      <c r="A3300" s="114" t="s">
        <v>6797</v>
      </c>
      <c r="B3300" s="115" t="s">
        <v>7102</v>
      </c>
      <c r="C3300" s="116" t="s">
        <v>16</v>
      </c>
      <c r="D3300" s="116">
        <v>0</v>
      </c>
      <c r="E3300" s="136">
        <f ca="1">OFFSET(INDEX(Composições!A:J,MATCH(Orçamentária!A3300,Composições!A:A,0),8),2,0)</f>
        <v>1.1875</v>
      </c>
      <c r="F3300" s="137">
        <f t="shared" ca="1" si="207"/>
        <v>0</v>
      </c>
      <c r="G3300" s="138" t="e">
        <f>IF(A3300&lt;&gt;"",IF(AND(#REF!="Padrão",$H$4=#REF!),BDI!$B$17,IF(AND(#REF!="Padrão",$H$4=#REF!),BDI!#REF!,IF(AND(#REF!="Diferenciado",$H$4=#REF!),BDI!$E$17,IF(AND(#REF!="Diferenciado",$H$4=#REF!),BDI!#REF!,IF(#REF!="ZERO",0))))),"")</f>
        <v>#REF!</v>
      </c>
      <c r="H3300" s="139" t="e">
        <f t="shared" ca="1" si="208"/>
        <v>#REF!</v>
      </c>
      <c r="I3300" s="137" t="e">
        <f t="shared" ca="1" si="209"/>
        <v>#REF!</v>
      </c>
      <c r="J3300" s="117"/>
    </row>
    <row r="3301" spans="1:10" hidden="1" x14ac:dyDescent="0.25">
      <c r="A3301" s="114" t="s">
        <v>6798</v>
      </c>
      <c r="B3301" s="115" t="s">
        <v>7103</v>
      </c>
      <c r="C3301" s="116" t="s">
        <v>16</v>
      </c>
      <c r="D3301" s="116">
        <v>0</v>
      </c>
      <c r="E3301" s="136">
        <f ca="1">OFFSET(INDEX(Composições!A:J,MATCH(Orçamentária!A3301,Composições!A:A,0),8),2,0)</f>
        <v>4.18</v>
      </c>
      <c r="F3301" s="137">
        <f t="shared" ca="1" si="207"/>
        <v>0</v>
      </c>
      <c r="G3301" s="138" t="e">
        <f>IF(A3301&lt;&gt;"",IF(AND(#REF!="Padrão",$H$4=#REF!),BDI!$B$17,IF(AND(#REF!="Padrão",$H$4=#REF!),BDI!#REF!,IF(AND(#REF!="Diferenciado",$H$4=#REF!),BDI!$E$17,IF(AND(#REF!="Diferenciado",$H$4=#REF!),BDI!#REF!,IF(#REF!="ZERO",0))))),"")</f>
        <v>#REF!</v>
      </c>
      <c r="H3301" s="139" t="e">
        <f t="shared" ca="1" si="208"/>
        <v>#REF!</v>
      </c>
      <c r="I3301" s="137" t="e">
        <f t="shared" ca="1" si="209"/>
        <v>#REF!</v>
      </c>
      <c r="J3301" s="117"/>
    </row>
    <row r="3302" spans="1:10" hidden="1" x14ac:dyDescent="0.25">
      <c r="A3302" s="114" t="s">
        <v>6799</v>
      </c>
      <c r="B3302" s="115" t="s">
        <v>7104</v>
      </c>
      <c r="C3302" s="116" t="s">
        <v>16</v>
      </c>
      <c r="D3302" s="116">
        <v>0</v>
      </c>
      <c r="E3302" s="136">
        <f ca="1">OFFSET(INDEX(Composições!A:J,MATCH(Orçamentária!A3302,Composições!A:A,0),8),2,0)</f>
        <v>5.1395</v>
      </c>
      <c r="F3302" s="137">
        <f t="shared" ca="1" si="207"/>
        <v>0</v>
      </c>
      <c r="G3302" s="138" t="e">
        <f>IF(A3302&lt;&gt;"",IF(AND(#REF!="Padrão",$H$4=#REF!),BDI!$B$17,IF(AND(#REF!="Padrão",$H$4=#REF!),BDI!#REF!,IF(AND(#REF!="Diferenciado",$H$4=#REF!),BDI!$E$17,IF(AND(#REF!="Diferenciado",$H$4=#REF!),BDI!#REF!,IF(#REF!="ZERO",0))))),"")</f>
        <v>#REF!</v>
      </c>
      <c r="H3302" s="139" t="e">
        <f t="shared" ca="1" si="208"/>
        <v>#REF!</v>
      </c>
      <c r="I3302" s="137" t="e">
        <f t="shared" ca="1" si="209"/>
        <v>#REF!</v>
      </c>
      <c r="J3302" s="117"/>
    </row>
    <row r="3303" spans="1:10" hidden="1" x14ac:dyDescent="0.25">
      <c r="A3303" s="114" t="s">
        <v>6800</v>
      </c>
      <c r="B3303" s="115" t="s">
        <v>7105</v>
      </c>
      <c r="C3303" s="116" t="s">
        <v>16</v>
      </c>
      <c r="D3303" s="116">
        <v>0</v>
      </c>
      <c r="E3303" s="136">
        <f ca="1">OFFSET(INDEX(Composições!A:J,MATCH(Orçamentária!A3303,Composições!A:A,0),8),2,0)</f>
        <v>1.2349999999999999</v>
      </c>
      <c r="F3303" s="137">
        <f t="shared" ca="1" si="207"/>
        <v>0</v>
      </c>
      <c r="G3303" s="138" t="e">
        <f>IF(A3303&lt;&gt;"",IF(AND(#REF!="Padrão",$H$4=#REF!),BDI!$B$17,IF(AND(#REF!="Padrão",$H$4=#REF!),BDI!#REF!,IF(AND(#REF!="Diferenciado",$H$4=#REF!),BDI!$E$17,IF(AND(#REF!="Diferenciado",$H$4=#REF!),BDI!#REF!,IF(#REF!="ZERO",0))))),"")</f>
        <v>#REF!</v>
      </c>
      <c r="H3303" s="139" t="e">
        <f t="shared" ca="1" si="208"/>
        <v>#REF!</v>
      </c>
      <c r="I3303" s="137" t="e">
        <f t="shared" ca="1" si="209"/>
        <v>#REF!</v>
      </c>
      <c r="J3303" s="117"/>
    </row>
    <row r="3304" spans="1:10" hidden="1" x14ac:dyDescent="0.25">
      <c r="A3304" s="114" t="s">
        <v>6801</v>
      </c>
      <c r="B3304" s="115" t="s">
        <v>7106</v>
      </c>
      <c r="C3304" s="116" t="s">
        <v>16</v>
      </c>
      <c r="D3304" s="116">
        <v>0</v>
      </c>
      <c r="E3304" s="136">
        <f ca="1">OFFSET(INDEX(Composições!A:J,MATCH(Orçamentária!A3304,Composições!A:A,0),8),2,0)</f>
        <v>1.8144999999999998</v>
      </c>
      <c r="F3304" s="137">
        <f t="shared" ca="1" si="207"/>
        <v>0</v>
      </c>
      <c r="G3304" s="138" t="e">
        <f>IF(A3304&lt;&gt;"",IF(AND(#REF!="Padrão",$H$4=#REF!),BDI!$B$17,IF(AND(#REF!="Padrão",$H$4=#REF!),BDI!#REF!,IF(AND(#REF!="Diferenciado",$H$4=#REF!),BDI!$E$17,IF(AND(#REF!="Diferenciado",$H$4=#REF!),BDI!#REF!,IF(#REF!="ZERO",0))))),"")</f>
        <v>#REF!</v>
      </c>
      <c r="H3304" s="139" t="e">
        <f t="shared" ca="1" si="208"/>
        <v>#REF!</v>
      </c>
      <c r="I3304" s="137" t="e">
        <f t="shared" ca="1" si="209"/>
        <v>#REF!</v>
      </c>
      <c r="J3304" s="117"/>
    </row>
    <row r="3305" spans="1:10" hidden="1" x14ac:dyDescent="0.25">
      <c r="A3305" s="114" t="s">
        <v>6802</v>
      </c>
      <c r="B3305" s="115" t="s">
        <v>7107</v>
      </c>
      <c r="C3305" s="116" t="s">
        <v>16</v>
      </c>
      <c r="D3305" s="116">
        <v>0</v>
      </c>
      <c r="E3305" s="136">
        <f ca="1">OFFSET(INDEX(Composições!A:J,MATCH(Orçamentária!A3305,Composições!A:A,0),8),2,0)</f>
        <v>5.9089999999999998</v>
      </c>
      <c r="F3305" s="137">
        <f t="shared" ca="1" si="207"/>
        <v>0</v>
      </c>
      <c r="G3305" s="138" t="e">
        <f>IF(A3305&lt;&gt;"",IF(AND(#REF!="Padrão",$H$4=#REF!),BDI!$B$17,IF(AND(#REF!="Padrão",$H$4=#REF!),BDI!#REF!,IF(AND(#REF!="Diferenciado",$H$4=#REF!),BDI!$E$17,IF(AND(#REF!="Diferenciado",$H$4=#REF!),BDI!#REF!,IF(#REF!="ZERO",0))))),"")</f>
        <v>#REF!</v>
      </c>
      <c r="H3305" s="139" t="e">
        <f t="shared" ca="1" si="208"/>
        <v>#REF!</v>
      </c>
      <c r="I3305" s="137" t="e">
        <f t="shared" ca="1" si="209"/>
        <v>#REF!</v>
      </c>
      <c r="J3305" s="117"/>
    </row>
    <row r="3306" spans="1:10" hidden="1" x14ac:dyDescent="0.25">
      <c r="A3306" s="114" t="s">
        <v>6803</v>
      </c>
      <c r="B3306" s="115" t="s">
        <v>7108</v>
      </c>
      <c r="C3306" s="116" t="s">
        <v>16</v>
      </c>
      <c r="D3306" s="116">
        <v>0</v>
      </c>
      <c r="E3306" s="136">
        <f ca="1">OFFSET(INDEX(Composições!A:J,MATCH(Orçamentária!A3306,Composições!A:A,0),8),2,0)</f>
        <v>6.4885000000000002</v>
      </c>
      <c r="F3306" s="137">
        <f t="shared" ca="1" si="207"/>
        <v>0</v>
      </c>
      <c r="G3306" s="138" t="e">
        <f>IF(A3306&lt;&gt;"",IF(AND(#REF!="Padrão",$H$4=#REF!),BDI!$B$17,IF(AND(#REF!="Padrão",$H$4=#REF!),BDI!#REF!,IF(AND(#REF!="Diferenciado",$H$4=#REF!),BDI!$E$17,IF(AND(#REF!="Diferenciado",$H$4=#REF!),BDI!#REF!,IF(#REF!="ZERO",0))))),"")</f>
        <v>#REF!</v>
      </c>
      <c r="H3306" s="139" t="e">
        <f t="shared" ca="1" si="208"/>
        <v>#REF!</v>
      </c>
      <c r="I3306" s="137" t="e">
        <f t="shared" ca="1" si="209"/>
        <v>#REF!</v>
      </c>
      <c r="J3306" s="117"/>
    </row>
    <row r="3307" spans="1:10" hidden="1" x14ac:dyDescent="0.25">
      <c r="A3307" s="114" t="s">
        <v>6829</v>
      </c>
      <c r="B3307" s="115" t="s">
        <v>7109</v>
      </c>
      <c r="C3307" s="116" t="s">
        <v>16</v>
      </c>
      <c r="D3307" s="116">
        <v>0</v>
      </c>
      <c r="E3307" s="136">
        <f ca="1">OFFSET(INDEX(Composições!A:J,MATCH(Orçamentária!A3307,Composições!A:A,0),8),2,0)</f>
        <v>12.197999999999999</v>
      </c>
      <c r="F3307" s="137">
        <f t="shared" ca="1" si="207"/>
        <v>0</v>
      </c>
      <c r="G3307" s="138" t="e">
        <f>IF(A3307&lt;&gt;"",IF(AND(#REF!="Padrão",$H$4=#REF!),BDI!$B$17,IF(AND(#REF!="Padrão",$H$4=#REF!),BDI!#REF!,IF(AND(#REF!="Diferenciado",$H$4=#REF!),BDI!$E$17,IF(AND(#REF!="Diferenciado",$H$4=#REF!),BDI!#REF!,IF(#REF!="ZERO",0))))),"")</f>
        <v>#REF!</v>
      </c>
      <c r="H3307" s="139" t="e">
        <f t="shared" ca="1" si="208"/>
        <v>#REF!</v>
      </c>
      <c r="I3307" s="137" t="e">
        <f t="shared" ca="1" si="209"/>
        <v>#REF!</v>
      </c>
      <c r="J3307" s="117"/>
    </row>
    <row r="3308" spans="1:10" hidden="1" x14ac:dyDescent="0.25">
      <c r="A3308" s="114" t="s">
        <v>6830</v>
      </c>
      <c r="B3308" s="115" t="s">
        <v>7110</v>
      </c>
      <c r="C3308" s="116" t="s">
        <v>16</v>
      </c>
      <c r="D3308" s="116">
        <v>0</v>
      </c>
      <c r="E3308" s="136">
        <f ca="1">OFFSET(INDEX(Composições!A:J,MATCH(Orçamentária!A3308,Composições!A:A,0),8),2,0)</f>
        <v>0.8075</v>
      </c>
      <c r="F3308" s="137">
        <f t="shared" ca="1" si="207"/>
        <v>0</v>
      </c>
      <c r="G3308" s="138" t="e">
        <f>IF(A3308&lt;&gt;"",IF(AND(#REF!="Padrão",$H$4=#REF!),BDI!$B$17,IF(AND(#REF!="Padrão",$H$4=#REF!),BDI!#REF!,IF(AND(#REF!="Diferenciado",$H$4=#REF!),BDI!$E$17,IF(AND(#REF!="Diferenciado",$H$4=#REF!),BDI!#REF!,IF(#REF!="ZERO",0))))),"")</f>
        <v>#REF!</v>
      </c>
      <c r="H3308" s="139" t="e">
        <f t="shared" ca="1" si="208"/>
        <v>#REF!</v>
      </c>
      <c r="I3308" s="137" t="e">
        <f t="shared" ca="1" si="209"/>
        <v>#REF!</v>
      </c>
      <c r="J3308" s="117"/>
    </row>
    <row r="3309" spans="1:10" hidden="1" x14ac:dyDescent="0.25">
      <c r="A3309" s="114" t="s">
        <v>6831</v>
      </c>
      <c r="B3309" s="115" t="s">
        <v>7111</v>
      </c>
      <c r="C3309" s="116" t="s">
        <v>16</v>
      </c>
      <c r="D3309" s="116">
        <v>0</v>
      </c>
      <c r="E3309" s="136">
        <f ca="1">OFFSET(INDEX(Composições!A:J,MATCH(Orçamentária!A3309,Composições!A:A,0),8),2,0)</f>
        <v>7.8944999999999999</v>
      </c>
      <c r="F3309" s="137">
        <f t="shared" ca="1" si="207"/>
        <v>0</v>
      </c>
      <c r="G3309" s="138" t="e">
        <f>IF(A3309&lt;&gt;"",IF(AND(#REF!="Padrão",$H$4=#REF!),BDI!$B$17,IF(AND(#REF!="Padrão",$H$4=#REF!),BDI!#REF!,IF(AND(#REF!="Diferenciado",$H$4=#REF!),BDI!$E$17,IF(AND(#REF!="Diferenciado",$H$4=#REF!),BDI!#REF!,IF(#REF!="ZERO",0))))),"")</f>
        <v>#REF!</v>
      </c>
      <c r="H3309" s="139" t="e">
        <f t="shared" ca="1" si="208"/>
        <v>#REF!</v>
      </c>
      <c r="I3309" s="137" t="e">
        <f t="shared" ca="1" si="209"/>
        <v>#REF!</v>
      </c>
      <c r="J3309" s="117"/>
    </row>
    <row r="3310" spans="1:10" hidden="1" x14ac:dyDescent="0.25">
      <c r="A3310" s="114" t="s">
        <v>6832</v>
      </c>
      <c r="B3310" s="115" t="s">
        <v>7112</v>
      </c>
      <c r="C3310" s="116" t="s">
        <v>16</v>
      </c>
      <c r="D3310" s="116">
        <v>0</v>
      </c>
      <c r="E3310" s="136">
        <f ca="1">OFFSET(INDEX(Composições!A:J,MATCH(Orçamentária!A3310,Composições!A:A,0),8),2,0)</f>
        <v>0.88349999999999995</v>
      </c>
      <c r="F3310" s="137">
        <f t="shared" ca="1" si="207"/>
        <v>0</v>
      </c>
      <c r="G3310" s="138" t="e">
        <f>IF(A3310&lt;&gt;"",IF(AND(#REF!="Padrão",$H$4=#REF!),BDI!$B$17,IF(AND(#REF!="Padrão",$H$4=#REF!),BDI!#REF!,IF(AND(#REF!="Diferenciado",$H$4=#REF!),BDI!$E$17,IF(AND(#REF!="Diferenciado",$H$4=#REF!),BDI!#REF!,IF(#REF!="ZERO",0))))),"")</f>
        <v>#REF!</v>
      </c>
      <c r="H3310" s="139" t="e">
        <f t="shared" ca="1" si="208"/>
        <v>#REF!</v>
      </c>
      <c r="I3310" s="137" t="e">
        <f t="shared" ca="1" si="209"/>
        <v>#REF!</v>
      </c>
      <c r="J3310" s="117"/>
    </row>
    <row r="3311" spans="1:10" hidden="1" x14ac:dyDescent="0.25">
      <c r="A3311" s="114" t="s">
        <v>6833</v>
      </c>
      <c r="B3311" s="115" t="s">
        <v>7113</v>
      </c>
      <c r="C3311" s="116" t="s">
        <v>16</v>
      </c>
      <c r="D3311" s="116">
        <v>0</v>
      </c>
      <c r="E3311" s="136">
        <f ca="1">OFFSET(INDEX(Composições!A:J,MATCH(Orçamentária!A3311,Composições!A:A,0),8),2,0)</f>
        <v>12.169499999999999</v>
      </c>
      <c r="F3311" s="137">
        <f t="shared" ca="1" si="207"/>
        <v>0</v>
      </c>
      <c r="G3311" s="138" t="e">
        <f>IF(A3311&lt;&gt;"",IF(AND(#REF!="Padrão",$H$4=#REF!),BDI!$B$17,IF(AND(#REF!="Padrão",$H$4=#REF!),BDI!#REF!,IF(AND(#REF!="Diferenciado",$H$4=#REF!),BDI!$E$17,IF(AND(#REF!="Diferenciado",$H$4=#REF!),BDI!#REF!,IF(#REF!="ZERO",0))))),"")</f>
        <v>#REF!</v>
      </c>
      <c r="H3311" s="139" t="e">
        <f t="shared" ca="1" si="208"/>
        <v>#REF!</v>
      </c>
      <c r="I3311" s="137" t="e">
        <f t="shared" ca="1" si="209"/>
        <v>#REF!</v>
      </c>
      <c r="J3311" s="117"/>
    </row>
    <row r="3312" spans="1:10" hidden="1" x14ac:dyDescent="0.25">
      <c r="A3312" s="114" t="s">
        <v>6834</v>
      </c>
      <c r="B3312" s="115" t="s">
        <v>7114</v>
      </c>
      <c r="C3312" s="116" t="s">
        <v>16</v>
      </c>
      <c r="D3312" s="116">
        <v>0</v>
      </c>
      <c r="E3312" s="136">
        <f ca="1">OFFSET(INDEX(Composições!A:J,MATCH(Orçamentária!A3312,Composições!A:A,0),8),2,0)</f>
        <v>2.3939999999999997</v>
      </c>
      <c r="F3312" s="137">
        <f t="shared" ca="1" si="207"/>
        <v>0</v>
      </c>
      <c r="G3312" s="138" t="e">
        <f>IF(A3312&lt;&gt;"",IF(AND(#REF!="Padrão",$H$4=#REF!),BDI!$B$17,IF(AND(#REF!="Padrão",$H$4=#REF!),BDI!#REF!,IF(AND(#REF!="Diferenciado",$H$4=#REF!),BDI!$E$17,IF(AND(#REF!="Diferenciado",$H$4=#REF!),BDI!#REF!,IF(#REF!="ZERO",0))))),"")</f>
        <v>#REF!</v>
      </c>
      <c r="H3312" s="139" t="e">
        <f t="shared" ca="1" si="208"/>
        <v>#REF!</v>
      </c>
      <c r="I3312" s="137" t="e">
        <f t="shared" ca="1" si="209"/>
        <v>#REF!</v>
      </c>
      <c r="J3312" s="117"/>
    </row>
    <row r="3313" spans="1:10" hidden="1" x14ac:dyDescent="0.25">
      <c r="A3313" s="114" t="s">
        <v>6835</v>
      </c>
      <c r="B3313" s="115" t="s">
        <v>7115</v>
      </c>
      <c r="C3313" s="116" t="s">
        <v>16</v>
      </c>
      <c r="D3313" s="116">
        <v>0</v>
      </c>
      <c r="E3313" s="136">
        <f ca="1">OFFSET(INDEX(Composições!A:J,MATCH(Orçamentária!A3313,Composições!A:A,0),8),2,0)</f>
        <v>4.0944999999999991</v>
      </c>
      <c r="F3313" s="137">
        <f t="shared" ca="1" si="207"/>
        <v>0</v>
      </c>
      <c r="G3313" s="138" t="e">
        <f>IF(A3313&lt;&gt;"",IF(AND(#REF!="Padrão",$H$4=#REF!),BDI!$B$17,IF(AND(#REF!="Padrão",$H$4=#REF!),BDI!#REF!,IF(AND(#REF!="Diferenciado",$H$4=#REF!),BDI!$E$17,IF(AND(#REF!="Diferenciado",$H$4=#REF!),BDI!#REF!,IF(#REF!="ZERO",0))))),"")</f>
        <v>#REF!</v>
      </c>
      <c r="H3313" s="139" t="e">
        <f t="shared" ca="1" si="208"/>
        <v>#REF!</v>
      </c>
      <c r="I3313" s="137" t="e">
        <f t="shared" ca="1" si="209"/>
        <v>#REF!</v>
      </c>
      <c r="J3313" s="117"/>
    </row>
    <row r="3314" spans="1:10" hidden="1" x14ac:dyDescent="0.25">
      <c r="A3314" s="114" t="s">
        <v>6836</v>
      </c>
      <c r="B3314" s="115" t="s">
        <v>7116</v>
      </c>
      <c r="C3314" s="116" t="s">
        <v>16</v>
      </c>
      <c r="D3314" s="116">
        <v>0</v>
      </c>
      <c r="E3314" s="136">
        <f ca="1">OFFSET(INDEX(Composições!A:J,MATCH(Orçamentária!A3314,Composições!A:A,0),8),2,0)</f>
        <v>2.0234999999999999</v>
      </c>
      <c r="F3314" s="137">
        <f t="shared" ca="1" si="207"/>
        <v>0</v>
      </c>
      <c r="G3314" s="138" t="e">
        <f>IF(A3314&lt;&gt;"",IF(AND(#REF!="Padrão",$H$4=#REF!),BDI!$B$17,IF(AND(#REF!="Padrão",$H$4=#REF!),BDI!#REF!,IF(AND(#REF!="Diferenciado",$H$4=#REF!),BDI!$E$17,IF(AND(#REF!="Diferenciado",$H$4=#REF!),BDI!#REF!,IF(#REF!="ZERO",0))))),"")</f>
        <v>#REF!</v>
      </c>
      <c r="H3314" s="139" t="e">
        <f t="shared" ca="1" si="208"/>
        <v>#REF!</v>
      </c>
      <c r="I3314" s="137" t="e">
        <f t="shared" ca="1" si="209"/>
        <v>#REF!</v>
      </c>
      <c r="J3314" s="117"/>
    </row>
    <row r="3315" spans="1:10" hidden="1" x14ac:dyDescent="0.25">
      <c r="A3315" s="114" t="s">
        <v>6837</v>
      </c>
      <c r="B3315" s="115" t="s">
        <v>7117</v>
      </c>
      <c r="C3315" s="116" t="s">
        <v>16</v>
      </c>
      <c r="D3315" s="116">
        <v>0</v>
      </c>
      <c r="E3315" s="136">
        <f ca="1">OFFSET(INDEX(Composições!A:J,MATCH(Orçamentária!A3315,Composições!A:A,0),8),2,0)</f>
        <v>6.3839999999999995</v>
      </c>
      <c r="F3315" s="137">
        <f t="shared" ca="1" si="207"/>
        <v>0</v>
      </c>
      <c r="G3315" s="138" t="e">
        <f>IF(A3315&lt;&gt;"",IF(AND(#REF!="Padrão",$H$4=#REF!),BDI!$B$17,IF(AND(#REF!="Padrão",$H$4=#REF!),BDI!#REF!,IF(AND(#REF!="Diferenciado",$H$4=#REF!),BDI!$E$17,IF(AND(#REF!="Diferenciado",$H$4=#REF!),BDI!#REF!,IF(#REF!="ZERO",0))))),"")</f>
        <v>#REF!</v>
      </c>
      <c r="H3315" s="139" t="e">
        <f t="shared" ca="1" si="208"/>
        <v>#REF!</v>
      </c>
      <c r="I3315" s="137" t="e">
        <f t="shared" ca="1" si="209"/>
        <v>#REF!</v>
      </c>
      <c r="J3315" s="117"/>
    </row>
    <row r="3316" spans="1:10" hidden="1" x14ac:dyDescent="0.25">
      <c r="A3316" s="114" t="s">
        <v>6838</v>
      </c>
      <c r="B3316" s="115" t="s">
        <v>7118</v>
      </c>
      <c r="C3316" s="116" t="s">
        <v>16</v>
      </c>
      <c r="D3316" s="116">
        <v>0</v>
      </c>
      <c r="E3316" s="136">
        <f ca="1">OFFSET(INDEX(Composições!A:J,MATCH(Orçamentária!A3316,Composições!A:A,0),8),2,0)</f>
        <v>3.7239999999999998</v>
      </c>
      <c r="F3316" s="137">
        <f t="shared" ca="1" si="207"/>
        <v>0</v>
      </c>
      <c r="G3316" s="138" t="e">
        <f>IF(A3316&lt;&gt;"",IF(AND(#REF!="Padrão",$H$4=#REF!),BDI!$B$17,IF(AND(#REF!="Padrão",$H$4=#REF!),BDI!#REF!,IF(AND(#REF!="Diferenciado",$H$4=#REF!),BDI!$E$17,IF(AND(#REF!="Diferenciado",$H$4=#REF!),BDI!#REF!,IF(#REF!="ZERO",0))))),"")</f>
        <v>#REF!</v>
      </c>
      <c r="H3316" s="139" t="e">
        <f t="shared" ca="1" si="208"/>
        <v>#REF!</v>
      </c>
      <c r="I3316" s="137" t="e">
        <f t="shared" ca="1" si="209"/>
        <v>#REF!</v>
      </c>
      <c r="J3316" s="117"/>
    </row>
    <row r="3317" spans="1:10" hidden="1" x14ac:dyDescent="0.25">
      <c r="A3317" s="114" t="s">
        <v>6839</v>
      </c>
      <c r="B3317" s="115" t="s">
        <v>7119</v>
      </c>
      <c r="C3317" s="116" t="s">
        <v>16</v>
      </c>
      <c r="D3317" s="116">
        <v>0</v>
      </c>
      <c r="E3317" s="136">
        <f ca="1">OFFSET(INDEX(Composições!A:J,MATCH(Orçamentária!A3317,Composições!A:A,0),8),2,0)</f>
        <v>1.976</v>
      </c>
      <c r="F3317" s="137">
        <f t="shared" ca="1" si="207"/>
        <v>0</v>
      </c>
      <c r="G3317" s="138" t="e">
        <f>IF(A3317&lt;&gt;"",IF(AND(#REF!="Padrão",$H$4=#REF!),BDI!$B$17,IF(AND(#REF!="Padrão",$H$4=#REF!),BDI!#REF!,IF(AND(#REF!="Diferenciado",$H$4=#REF!),BDI!$E$17,IF(AND(#REF!="Diferenciado",$H$4=#REF!),BDI!#REF!,IF(#REF!="ZERO",0))))),"")</f>
        <v>#REF!</v>
      </c>
      <c r="H3317" s="139" t="e">
        <f t="shared" ca="1" si="208"/>
        <v>#REF!</v>
      </c>
      <c r="I3317" s="137" t="e">
        <f t="shared" ca="1" si="209"/>
        <v>#REF!</v>
      </c>
      <c r="J3317" s="117"/>
    </row>
    <row r="3318" spans="1:10" hidden="1" x14ac:dyDescent="0.25">
      <c r="A3318" s="114" t="s">
        <v>6840</v>
      </c>
      <c r="B3318" s="115" t="s">
        <v>7120</v>
      </c>
      <c r="C3318" s="116" t="s">
        <v>16</v>
      </c>
      <c r="D3318" s="116">
        <v>0</v>
      </c>
      <c r="E3318" s="136">
        <f ca="1">OFFSET(INDEX(Composições!A:J,MATCH(Orçamentária!A3318,Composições!A:A,0),8),2,0)</f>
        <v>21.650499999999997</v>
      </c>
      <c r="F3318" s="137">
        <f t="shared" ca="1" si="207"/>
        <v>0</v>
      </c>
      <c r="G3318" s="138" t="e">
        <f>IF(A3318&lt;&gt;"",IF(AND(#REF!="Padrão",$H$4=#REF!),BDI!$B$17,IF(AND(#REF!="Padrão",$H$4=#REF!),BDI!#REF!,IF(AND(#REF!="Diferenciado",$H$4=#REF!),BDI!$E$17,IF(AND(#REF!="Diferenciado",$H$4=#REF!),BDI!#REF!,IF(#REF!="ZERO",0))))),"")</f>
        <v>#REF!</v>
      </c>
      <c r="H3318" s="139" t="e">
        <f t="shared" ca="1" si="208"/>
        <v>#REF!</v>
      </c>
      <c r="I3318" s="137" t="e">
        <f t="shared" ca="1" si="209"/>
        <v>#REF!</v>
      </c>
      <c r="J3318" s="117"/>
    </row>
    <row r="3319" spans="1:10" hidden="1" x14ac:dyDescent="0.25">
      <c r="A3319" s="114" t="s">
        <v>6841</v>
      </c>
      <c r="B3319" s="115" t="s">
        <v>7121</v>
      </c>
      <c r="C3319" s="116" t="s">
        <v>16</v>
      </c>
      <c r="D3319" s="116">
        <v>0</v>
      </c>
      <c r="E3319" s="136">
        <f ca="1">OFFSET(INDEX(Composições!A:J,MATCH(Orçamentária!A3319,Composições!A:A,0),8),2,0)</f>
        <v>13.299999999999999</v>
      </c>
      <c r="F3319" s="137">
        <f t="shared" ca="1" si="207"/>
        <v>0</v>
      </c>
      <c r="G3319" s="138" t="e">
        <f>IF(A3319&lt;&gt;"",IF(AND(#REF!="Padrão",$H$4=#REF!),BDI!$B$17,IF(AND(#REF!="Padrão",$H$4=#REF!),BDI!#REF!,IF(AND(#REF!="Diferenciado",$H$4=#REF!),BDI!$E$17,IF(AND(#REF!="Diferenciado",$H$4=#REF!),BDI!#REF!,IF(#REF!="ZERO",0))))),"")</f>
        <v>#REF!</v>
      </c>
      <c r="H3319" s="139" t="e">
        <f t="shared" ca="1" si="208"/>
        <v>#REF!</v>
      </c>
      <c r="I3319" s="137" t="e">
        <f t="shared" ca="1" si="209"/>
        <v>#REF!</v>
      </c>
      <c r="J3319" s="117"/>
    </row>
    <row r="3320" spans="1:10" hidden="1" x14ac:dyDescent="0.25">
      <c r="A3320" s="114" t="s">
        <v>6842</v>
      </c>
      <c r="B3320" s="115" t="s">
        <v>7122</v>
      </c>
      <c r="C3320" s="116" t="s">
        <v>16</v>
      </c>
      <c r="D3320" s="116">
        <v>0</v>
      </c>
      <c r="E3320" s="136">
        <f ca="1">OFFSET(INDEX(Composições!A:J,MATCH(Orçamentária!A3320,Composições!A:A,0),8),2,0)</f>
        <v>2.7835000000000001</v>
      </c>
      <c r="F3320" s="137">
        <f t="shared" ca="1" si="207"/>
        <v>0</v>
      </c>
      <c r="G3320" s="138" t="e">
        <f>IF(A3320&lt;&gt;"",IF(AND(#REF!="Padrão",$H$4=#REF!),BDI!$B$17,IF(AND(#REF!="Padrão",$H$4=#REF!),BDI!#REF!,IF(AND(#REF!="Diferenciado",$H$4=#REF!),BDI!$E$17,IF(AND(#REF!="Diferenciado",$H$4=#REF!),BDI!#REF!,IF(#REF!="ZERO",0))))),"")</f>
        <v>#REF!</v>
      </c>
      <c r="H3320" s="139" t="e">
        <f t="shared" ca="1" si="208"/>
        <v>#REF!</v>
      </c>
      <c r="I3320" s="137" t="e">
        <f t="shared" ca="1" si="209"/>
        <v>#REF!</v>
      </c>
      <c r="J3320" s="117"/>
    </row>
    <row r="3321" spans="1:10" hidden="1" x14ac:dyDescent="0.25">
      <c r="A3321" s="114" t="s">
        <v>6843</v>
      </c>
      <c r="B3321" s="115" t="s">
        <v>7123</v>
      </c>
      <c r="C3321" s="116" t="s">
        <v>16</v>
      </c>
      <c r="D3321" s="116">
        <v>0</v>
      </c>
      <c r="E3321" s="136">
        <f ca="1">OFFSET(INDEX(Composições!A:J,MATCH(Orçamentária!A3321,Composições!A:A,0),8),2,0)</f>
        <v>0.9405</v>
      </c>
      <c r="F3321" s="137">
        <f t="shared" ca="1" si="207"/>
        <v>0</v>
      </c>
      <c r="G3321" s="138" t="e">
        <f>IF(A3321&lt;&gt;"",IF(AND(#REF!="Padrão",$H$4=#REF!),BDI!$B$17,IF(AND(#REF!="Padrão",$H$4=#REF!),BDI!#REF!,IF(AND(#REF!="Diferenciado",$H$4=#REF!),BDI!$E$17,IF(AND(#REF!="Diferenciado",$H$4=#REF!),BDI!#REF!,IF(#REF!="ZERO",0))))),"")</f>
        <v>#REF!</v>
      </c>
      <c r="H3321" s="139" t="e">
        <f t="shared" ca="1" si="208"/>
        <v>#REF!</v>
      </c>
      <c r="I3321" s="137" t="e">
        <f t="shared" ca="1" si="209"/>
        <v>#REF!</v>
      </c>
      <c r="J3321" s="117"/>
    </row>
    <row r="3322" spans="1:10" hidden="1" x14ac:dyDescent="0.25">
      <c r="A3322" s="114" t="s">
        <v>6844</v>
      </c>
      <c r="B3322" s="115" t="s">
        <v>7124</v>
      </c>
      <c r="C3322" s="116" t="s">
        <v>16</v>
      </c>
      <c r="D3322" s="116">
        <v>0</v>
      </c>
      <c r="E3322" s="136">
        <f ca="1">OFFSET(INDEX(Composições!A:J,MATCH(Orçamentária!A3322,Composições!A:A,0),8),2,0)</f>
        <v>1.7669999999999999</v>
      </c>
      <c r="F3322" s="137">
        <f t="shared" ca="1" si="207"/>
        <v>0</v>
      </c>
      <c r="G3322" s="138" t="e">
        <f>IF(A3322&lt;&gt;"",IF(AND(#REF!="Padrão",$H$4=#REF!),BDI!$B$17,IF(AND(#REF!="Padrão",$H$4=#REF!),BDI!#REF!,IF(AND(#REF!="Diferenciado",$H$4=#REF!),BDI!$E$17,IF(AND(#REF!="Diferenciado",$H$4=#REF!),BDI!#REF!,IF(#REF!="ZERO",0))))),"")</f>
        <v>#REF!</v>
      </c>
      <c r="H3322" s="139" t="e">
        <f t="shared" ca="1" si="208"/>
        <v>#REF!</v>
      </c>
      <c r="I3322" s="137" t="e">
        <f t="shared" ca="1" si="209"/>
        <v>#REF!</v>
      </c>
      <c r="J3322" s="117"/>
    </row>
    <row r="3323" spans="1:10" hidden="1" x14ac:dyDescent="0.25">
      <c r="A3323" s="114" t="s">
        <v>6845</v>
      </c>
      <c r="B3323" s="115" t="s">
        <v>7125</v>
      </c>
      <c r="C3323" s="116" t="s">
        <v>16</v>
      </c>
      <c r="D3323" s="116">
        <v>0</v>
      </c>
      <c r="E3323" s="136">
        <f ca="1">OFFSET(INDEX(Composições!A:J,MATCH(Orçamentária!A3323,Composições!A:A,0),8),2,0)</f>
        <v>18.315999999999999</v>
      </c>
      <c r="F3323" s="137">
        <f t="shared" ca="1" si="207"/>
        <v>0</v>
      </c>
      <c r="G3323" s="138" t="e">
        <f>IF(A3323&lt;&gt;"",IF(AND(#REF!="Padrão",$H$4=#REF!),BDI!$B$17,IF(AND(#REF!="Padrão",$H$4=#REF!),BDI!#REF!,IF(AND(#REF!="Diferenciado",$H$4=#REF!),BDI!$E$17,IF(AND(#REF!="Diferenciado",$H$4=#REF!),BDI!#REF!,IF(#REF!="ZERO",0))))),"")</f>
        <v>#REF!</v>
      </c>
      <c r="H3323" s="139" t="e">
        <f t="shared" ca="1" si="208"/>
        <v>#REF!</v>
      </c>
      <c r="I3323" s="137" t="e">
        <f t="shared" ca="1" si="209"/>
        <v>#REF!</v>
      </c>
      <c r="J3323" s="117"/>
    </row>
    <row r="3324" spans="1:10" hidden="1" x14ac:dyDescent="0.25">
      <c r="A3324" s="114" t="s">
        <v>6846</v>
      </c>
      <c r="B3324" s="115" t="s">
        <v>7126</v>
      </c>
      <c r="C3324" s="116" t="s">
        <v>16</v>
      </c>
      <c r="D3324" s="116">
        <v>0</v>
      </c>
      <c r="E3324" s="136">
        <f ca="1">OFFSET(INDEX(Composições!A:J,MATCH(Orçamentária!A3324,Composições!A:A,0),8),2,0)</f>
        <v>5.8329999999999993</v>
      </c>
      <c r="F3324" s="137">
        <f t="shared" ca="1" si="207"/>
        <v>0</v>
      </c>
      <c r="G3324" s="138" t="e">
        <f>IF(A3324&lt;&gt;"",IF(AND(#REF!="Padrão",$H$4=#REF!),BDI!$B$17,IF(AND(#REF!="Padrão",$H$4=#REF!),BDI!#REF!,IF(AND(#REF!="Diferenciado",$H$4=#REF!),BDI!$E$17,IF(AND(#REF!="Diferenciado",$H$4=#REF!),BDI!#REF!,IF(#REF!="ZERO",0))))),"")</f>
        <v>#REF!</v>
      </c>
      <c r="H3324" s="139" t="e">
        <f t="shared" ca="1" si="208"/>
        <v>#REF!</v>
      </c>
      <c r="I3324" s="137" t="e">
        <f t="shared" ca="1" si="209"/>
        <v>#REF!</v>
      </c>
      <c r="J3324" s="117"/>
    </row>
    <row r="3325" spans="1:10" hidden="1" x14ac:dyDescent="0.25">
      <c r="A3325" s="114" t="s">
        <v>6847</v>
      </c>
      <c r="B3325" s="115" t="s">
        <v>7127</v>
      </c>
      <c r="C3325" s="116" t="s">
        <v>16</v>
      </c>
      <c r="D3325" s="116">
        <v>0</v>
      </c>
      <c r="E3325" s="136">
        <f ca="1">OFFSET(INDEX(Composições!A:J,MATCH(Orçamentária!A3325,Composições!A:A,0),8),2,0)</f>
        <v>3.8854999999999995</v>
      </c>
      <c r="F3325" s="137">
        <f t="shared" ca="1" si="207"/>
        <v>0</v>
      </c>
      <c r="G3325" s="138" t="e">
        <f>IF(A3325&lt;&gt;"",IF(AND(#REF!="Padrão",$H$4=#REF!),BDI!$B$17,IF(AND(#REF!="Padrão",$H$4=#REF!),BDI!#REF!,IF(AND(#REF!="Diferenciado",$H$4=#REF!),BDI!$E$17,IF(AND(#REF!="Diferenciado",$H$4=#REF!),BDI!#REF!,IF(#REF!="ZERO",0))))),"")</f>
        <v>#REF!</v>
      </c>
      <c r="H3325" s="139" t="e">
        <f t="shared" ca="1" si="208"/>
        <v>#REF!</v>
      </c>
      <c r="I3325" s="137" t="e">
        <f t="shared" ca="1" si="209"/>
        <v>#REF!</v>
      </c>
      <c r="J3325" s="117"/>
    </row>
    <row r="3326" spans="1:10" hidden="1" x14ac:dyDescent="0.25">
      <c r="A3326" s="114" t="s">
        <v>6848</v>
      </c>
      <c r="B3326" s="115" t="s">
        <v>7128</v>
      </c>
      <c r="C3326" s="116" t="s">
        <v>16</v>
      </c>
      <c r="D3326" s="116">
        <v>0</v>
      </c>
      <c r="E3326" s="136">
        <f ca="1">OFFSET(INDEX(Composições!A:J,MATCH(Orçamentária!A3326,Composições!A:A,0),8),2,0)</f>
        <v>11.875</v>
      </c>
      <c r="F3326" s="137">
        <f t="shared" ca="1" si="207"/>
        <v>0</v>
      </c>
      <c r="G3326" s="138" t="e">
        <f>IF(A3326&lt;&gt;"",IF(AND(#REF!="Padrão",$H$4=#REF!),BDI!$B$17,IF(AND(#REF!="Padrão",$H$4=#REF!),BDI!#REF!,IF(AND(#REF!="Diferenciado",$H$4=#REF!),BDI!$E$17,IF(AND(#REF!="Diferenciado",$H$4=#REF!),BDI!#REF!,IF(#REF!="ZERO",0))))),"")</f>
        <v>#REF!</v>
      </c>
      <c r="H3326" s="139" t="e">
        <f t="shared" ca="1" si="208"/>
        <v>#REF!</v>
      </c>
      <c r="I3326" s="137" t="e">
        <f t="shared" ca="1" si="209"/>
        <v>#REF!</v>
      </c>
      <c r="J3326" s="117"/>
    </row>
    <row r="3327" spans="1:10" hidden="1" x14ac:dyDescent="0.25">
      <c r="A3327" s="114" t="s">
        <v>6849</v>
      </c>
      <c r="B3327" s="115" t="s">
        <v>7129</v>
      </c>
      <c r="C3327" s="116" t="s">
        <v>16</v>
      </c>
      <c r="D3327" s="116">
        <v>0</v>
      </c>
      <c r="E3327" s="136">
        <f ca="1">OFFSET(INDEX(Composições!A:J,MATCH(Orçamentária!A3327,Composições!A:A,0),8),2,0)</f>
        <v>5.89</v>
      </c>
      <c r="F3327" s="137">
        <f t="shared" ca="1" si="207"/>
        <v>0</v>
      </c>
      <c r="G3327" s="138" t="e">
        <f>IF(A3327&lt;&gt;"",IF(AND(#REF!="Padrão",$H$4=#REF!),BDI!$B$17,IF(AND(#REF!="Padrão",$H$4=#REF!),BDI!#REF!,IF(AND(#REF!="Diferenciado",$H$4=#REF!),BDI!$E$17,IF(AND(#REF!="Diferenciado",$H$4=#REF!),BDI!#REF!,IF(#REF!="ZERO",0))))),"")</f>
        <v>#REF!</v>
      </c>
      <c r="H3327" s="139" t="e">
        <f t="shared" ca="1" si="208"/>
        <v>#REF!</v>
      </c>
      <c r="I3327" s="137" t="e">
        <f t="shared" ca="1" si="209"/>
        <v>#REF!</v>
      </c>
      <c r="J3327" s="117"/>
    </row>
    <row r="3328" spans="1:10" hidden="1" x14ac:dyDescent="0.25">
      <c r="A3328" s="114" t="s">
        <v>6850</v>
      </c>
      <c r="B3328" s="115" t="s">
        <v>7130</v>
      </c>
      <c r="C3328" s="116" t="s">
        <v>16</v>
      </c>
      <c r="D3328" s="116">
        <v>0</v>
      </c>
      <c r="E3328" s="136">
        <f ca="1">OFFSET(INDEX(Composições!A:J,MATCH(Orçamentária!A3328,Composições!A:A,0),8),2,0)</f>
        <v>9.1105</v>
      </c>
      <c r="F3328" s="137">
        <f t="shared" ca="1" si="207"/>
        <v>0</v>
      </c>
      <c r="G3328" s="138" t="e">
        <f>IF(A3328&lt;&gt;"",IF(AND(#REF!="Padrão",$H$4=#REF!),BDI!$B$17,IF(AND(#REF!="Padrão",$H$4=#REF!),BDI!#REF!,IF(AND(#REF!="Diferenciado",$H$4=#REF!),BDI!$E$17,IF(AND(#REF!="Diferenciado",$H$4=#REF!),BDI!#REF!,IF(#REF!="ZERO",0))))),"")</f>
        <v>#REF!</v>
      </c>
      <c r="H3328" s="139" t="e">
        <f t="shared" ca="1" si="208"/>
        <v>#REF!</v>
      </c>
      <c r="I3328" s="137" t="e">
        <f t="shared" ca="1" si="209"/>
        <v>#REF!</v>
      </c>
      <c r="J3328" s="117"/>
    </row>
    <row r="3329" spans="1:10" hidden="1" x14ac:dyDescent="0.25">
      <c r="A3329" s="114" t="s">
        <v>6851</v>
      </c>
      <c r="B3329" s="115" t="s">
        <v>7131</v>
      </c>
      <c r="C3329" s="116" t="s">
        <v>16</v>
      </c>
      <c r="D3329" s="116">
        <v>0</v>
      </c>
      <c r="E3329" s="136">
        <f ca="1">OFFSET(INDEX(Composições!A:J,MATCH(Orçamentária!A3329,Composições!A:A,0),8),2,0)</f>
        <v>4.2084999999999999</v>
      </c>
      <c r="F3329" s="137">
        <f t="shared" ca="1" si="207"/>
        <v>0</v>
      </c>
      <c r="G3329" s="138" t="e">
        <f>IF(A3329&lt;&gt;"",IF(AND(#REF!="Padrão",$H$4=#REF!),BDI!$B$17,IF(AND(#REF!="Padrão",$H$4=#REF!),BDI!#REF!,IF(AND(#REF!="Diferenciado",$H$4=#REF!),BDI!$E$17,IF(AND(#REF!="Diferenciado",$H$4=#REF!),BDI!#REF!,IF(#REF!="ZERO",0))))),"")</f>
        <v>#REF!</v>
      </c>
      <c r="H3329" s="139" t="e">
        <f t="shared" ca="1" si="208"/>
        <v>#REF!</v>
      </c>
      <c r="I3329" s="137" t="e">
        <f t="shared" ca="1" si="209"/>
        <v>#REF!</v>
      </c>
      <c r="J3329" s="117"/>
    </row>
    <row r="3330" spans="1:10" hidden="1" x14ac:dyDescent="0.25">
      <c r="A3330" s="114" t="s">
        <v>6852</v>
      </c>
      <c r="B3330" s="115" t="s">
        <v>7132</v>
      </c>
      <c r="C3330" s="116" t="s">
        <v>16</v>
      </c>
      <c r="D3330" s="116">
        <v>0</v>
      </c>
      <c r="E3330" s="136">
        <f ca="1">OFFSET(INDEX(Composições!A:J,MATCH(Orçamentária!A3330,Composições!A:A,0),8),2,0)</f>
        <v>27.986999999999998</v>
      </c>
      <c r="F3330" s="137">
        <f t="shared" ca="1" si="207"/>
        <v>0</v>
      </c>
      <c r="G3330" s="138" t="e">
        <f>IF(A3330&lt;&gt;"",IF(AND(#REF!="Padrão",$H$4=#REF!),BDI!$B$17,IF(AND(#REF!="Padrão",$H$4=#REF!),BDI!#REF!,IF(AND(#REF!="Diferenciado",$H$4=#REF!),BDI!$E$17,IF(AND(#REF!="Diferenciado",$H$4=#REF!),BDI!#REF!,IF(#REF!="ZERO",0))))),"")</f>
        <v>#REF!</v>
      </c>
      <c r="H3330" s="139" t="e">
        <f t="shared" ca="1" si="208"/>
        <v>#REF!</v>
      </c>
      <c r="I3330" s="137" t="e">
        <f t="shared" ca="1" si="209"/>
        <v>#REF!</v>
      </c>
      <c r="J3330" s="117"/>
    </row>
    <row r="3331" spans="1:10" hidden="1" x14ac:dyDescent="0.25">
      <c r="A3331" s="114" t="s">
        <v>6853</v>
      </c>
      <c r="B3331" s="115" t="s">
        <v>7133</v>
      </c>
      <c r="C3331" s="116" t="s">
        <v>16</v>
      </c>
      <c r="D3331" s="116">
        <v>0</v>
      </c>
      <c r="E3331" s="136">
        <f ca="1">OFFSET(INDEX(Composições!A:J,MATCH(Orçamentária!A3331,Composições!A:A,0),8),2,0)</f>
        <v>25.574000000000002</v>
      </c>
      <c r="F3331" s="137">
        <f t="shared" ca="1" si="207"/>
        <v>0</v>
      </c>
      <c r="G3331" s="138" t="e">
        <f>IF(A3331&lt;&gt;"",IF(AND(#REF!="Padrão",$H$4=#REF!),BDI!$B$17,IF(AND(#REF!="Padrão",$H$4=#REF!),BDI!#REF!,IF(AND(#REF!="Diferenciado",$H$4=#REF!),BDI!$E$17,IF(AND(#REF!="Diferenciado",$H$4=#REF!),BDI!#REF!,IF(#REF!="ZERO",0))))),"")</f>
        <v>#REF!</v>
      </c>
      <c r="H3331" s="139" t="e">
        <f t="shared" ca="1" si="208"/>
        <v>#REF!</v>
      </c>
      <c r="I3331" s="137" t="e">
        <f t="shared" ca="1" si="209"/>
        <v>#REF!</v>
      </c>
      <c r="J3331" s="117"/>
    </row>
    <row r="3332" spans="1:10" hidden="1" x14ac:dyDescent="0.25">
      <c r="A3332" s="114" t="s">
        <v>6854</v>
      </c>
      <c r="B3332" s="115" t="s">
        <v>7134</v>
      </c>
      <c r="C3332" s="116" t="s">
        <v>16</v>
      </c>
      <c r="D3332" s="116">
        <v>0</v>
      </c>
      <c r="E3332" s="136">
        <f ca="1">OFFSET(INDEX(Composições!A:J,MATCH(Orçamentária!A3332,Composições!A:A,0),8),2,0)</f>
        <v>2.0804999999999998</v>
      </c>
      <c r="F3332" s="137">
        <f t="shared" ca="1" si="207"/>
        <v>0</v>
      </c>
      <c r="G3332" s="138" t="e">
        <f>IF(A3332&lt;&gt;"",IF(AND(#REF!="Padrão",$H$4=#REF!),BDI!$B$17,IF(AND(#REF!="Padrão",$H$4=#REF!),BDI!#REF!,IF(AND(#REF!="Diferenciado",$H$4=#REF!),BDI!$E$17,IF(AND(#REF!="Diferenciado",$H$4=#REF!),BDI!#REF!,IF(#REF!="ZERO",0))))),"")</f>
        <v>#REF!</v>
      </c>
      <c r="H3332" s="139" t="e">
        <f t="shared" ca="1" si="208"/>
        <v>#REF!</v>
      </c>
      <c r="I3332" s="137" t="e">
        <f t="shared" ca="1" si="209"/>
        <v>#REF!</v>
      </c>
      <c r="J3332" s="117"/>
    </row>
    <row r="3333" spans="1:10" hidden="1" x14ac:dyDescent="0.25">
      <c r="A3333" s="114" t="s">
        <v>6855</v>
      </c>
      <c r="B3333" s="115" t="s">
        <v>7135</v>
      </c>
      <c r="C3333" s="116" t="s">
        <v>16</v>
      </c>
      <c r="D3333" s="116">
        <v>0</v>
      </c>
      <c r="E3333" s="136">
        <f ca="1">OFFSET(INDEX(Composições!A:J,MATCH(Orçamentária!A3333,Composições!A:A,0),8),2,0)</f>
        <v>3.6574999999999998</v>
      </c>
      <c r="F3333" s="137">
        <f t="shared" ca="1" si="207"/>
        <v>0</v>
      </c>
      <c r="G3333" s="138" t="e">
        <f>IF(A3333&lt;&gt;"",IF(AND(#REF!="Padrão",$H$4=#REF!),BDI!$B$17,IF(AND(#REF!="Padrão",$H$4=#REF!),BDI!#REF!,IF(AND(#REF!="Diferenciado",$H$4=#REF!),BDI!$E$17,IF(AND(#REF!="Diferenciado",$H$4=#REF!),BDI!#REF!,IF(#REF!="ZERO",0))))),"")</f>
        <v>#REF!</v>
      </c>
      <c r="H3333" s="139" t="e">
        <f t="shared" ca="1" si="208"/>
        <v>#REF!</v>
      </c>
      <c r="I3333" s="137" t="e">
        <f t="shared" ca="1" si="209"/>
        <v>#REF!</v>
      </c>
      <c r="J3333" s="117"/>
    </row>
    <row r="3334" spans="1:10" hidden="1" x14ac:dyDescent="0.25">
      <c r="A3334" s="114" t="s">
        <v>6856</v>
      </c>
      <c r="B3334" s="115" t="s">
        <v>7136</v>
      </c>
      <c r="C3334" s="116" t="s">
        <v>16</v>
      </c>
      <c r="D3334" s="116">
        <v>0</v>
      </c>
      <c r="E3334" s="136">
        <f ca="1">OFFSET(INDEX(Composições!A:J,MATCH(Orçamentária!A3334,Composições!A:A,0),8),2,0)</f>
        <v>27.416999999999998</v>
      </c>
      <c r="F3334" s="137">
        <f t="shared" ca="1" si="207"/>
        <v>0</v>
      </c>
      <c r="G3334" s="138" t="e">
        <f>IF(A3334&lt;&gt;"",IF(AND(#REF!="Padrão",$H$4=#REF!),BDI!$B$17,IF(AND(#REF!="Padrão",$H$4=#REF!),BDI!#REF!,IF(AND(#REF!="Diferenciado",$H$4=#REF!),BDI!$E$17,IF(AND(#REF!="Diferenciado",$H$4=#REF!),BDI!#REF!,IF(#REF!="ZERO",0))))),"")</f>
        <v>#REF!</v>
      </c>
      <c r="H3334" s="139" t="e">
        <f t="shared" ca="1" si="208"/>
        <v>#REF!</v>
      </c>
      <c r="I3334" s="137" t="e">
        <f t="shared" ca="1" si="209"/>
        <v>#REF!</v>
      </c>
      <c r="J3334" s="117"/>
    </row>
    <row r="3335" spans="1:10" hidden="1" x14ac:dyDescent="0.25">
      <c r="A3335" s="114" t="s">
        <v>6857</v>
      </c>
      <c r="B3335" s="115" t="s">
        <v>7137</v>
      </c>
      <c r="C3335" s="116" t="s">
        <v>16</v>
      </c>
      <c r="D3335" s="116">
        <v>0</v>
      </c>
      <c r="E3335" s="136">
        <f ca="1">OFFSET(INDEX(Composições!A:J,MATCH(Orçamentária!A3335,Composições!A:A,0),8),2,0)</f>
        <v>4.9305000000000003</v>
      </c>
      <c r="F3335" s="137">
        <f t="shared" ca="1" si="207"/>
        <v>0</v>
      </c>
      <c r="G3335" s="138" t="e">
        <f>IF(A3335&lt;&gt;"",IF(AND(#REF!="Padrão",$H$4=#REF!),BDI!$B$17,IF(AND(#REF!="Padrão",$H$4=#REF!),BDI!#REF!,IF(AND(#REF!="Diferenciado",$H$4=#REF!),BDI!$E$17,IF(AND(#REF!="Diferenciado",$H$4=#REF!),BDI!#REF!,IF(#REF!="ZERO",0))))),"")</f>
        <v>#REF!</v>
      </c>
      <c r="H3335" s="139" t="e">
        <f t="shared" ca="1" si="208"/>
        <v>#REF!</v>
      </c>
      <c r="I3335" s="137" t="e">
        <f t="shared" ca="1" si="209"/>
        <v>#REF!</v>
      </c>
      <c r="J3335" s="117"/>
    </row>
    <row r="3336" spans="1:10" hidden="1" x14ac:dyDescent="0.25">
      <c r="A3336" s="114" t="s">
        <v>6858</v>
      </c>
      <c r="B3336" s="115" t="s">
        <v>7138</v>
      </c>
      <c r="C3336" s="116" t="s">
        <v>16</v>
      </c>
      <c r="D3336" s="116">
        <v>0</v>
      </c>
      <c r="E3336" s="136">
        <f ca="1">OFFSET(INDEX(Composições!A:J,MATCH(Orçamentária!A3336,Composições!A:A,0),8),2,0)</f>
        <v>7.0109999999999992</v>
      </c>
      <c r="F3336" s="137">
        <f t="shared" ca="1" si="207"/>
        <v>0</v>
      </c>
      <c r="G3336" s="138" t="e">
        <f>IF(A3336&lt;&gt;"",IF(AND(#REF!="Padrão",$H$4=#REF!),BDI!$B$17,IF(AND(#REF!="Padrão",$H$4=#REF!),BDI!#REF!,IF(AND(#REF!="Diferenciado",$H$4=#REF!),BDI!$E$17,IF(AND(#REF!="Diferenciado",$H$4=#REF!),BDI!#REF!,IF(#REF!="ZERO",0))))),"")</f>
        <v>#REF!</v>
      </c>
      <c r="H3336" s="139" t="e">
        <f t="shared" ca="1" si="208"/>
        <v>#REF!</v>
      </c>
      <c r="I3336" s="137" t="e">
        <f t="shared" ca="1" si="209"/>
        <v>#REF!</v>
      </c>
      <c r="J3336" s="117"/>
    </row>
    <row r="3337" spans="1:10" hidden="1" x14ac:dyDescent="0.25">
      <c r="A3337" s="114" t="s">
        <v>6859</v>
      </c>
      <c r="B3337" s="115" t="s">
        <v>7139</v>
      </c>
      <c r="C3337" s="116" t="s">
        <v>16</v>
      </c>
      <c r="D3337" s="116">
        <v>0</v>
      </c>
      <c r="E3337" s="136">
        <f ca="1">OFFSET(INDEX(Composições!A:J,MATCH(Orçamentária!A3337,Composições!A:A,0),8),2,0)</f>
        <v>12.891499999999999</v>
      </c>
      <c r="F3337" s="137">
        <f t="shared" ca="1" si="207"/>
        <v>0</v>
      </c>
      <c r="G3337" s="138" t="e">
        <f>IF(A3337&lt;&gt;"",IF(AND(#REF!="Padrão",$H$4=#REF!),BDI!$B$17,IF(AND(#REF!="Padrão",$H$4=#REF!),BDI!#REF!,IF(AND(#REF!="Diferenciado",$H$4=#REF!),BDI!$E$17,IF(AND(#REF!="Diferenciado",$H$4=#REF!),BDI!#REF!,IF(#REF!="ZERO",0))))),"")</f>
        <v>#REF!</v>
      </c>
      <c r="H3337" s="139" t="e">
        <f t="shared" ca="1" si="208"/>
        <v>#REF!</v>
      </c>
      <c r="I3337" s="137" t="e">
        <f t="shared" ca="1" si="209"/>
        <v>#REF!</v>
      </c>
      <c r="J3337" s="117"/>
    </row>
    <row r="3338" spans="1:10" hidden="1" x14ac:dyDescent="0.25">
      <c r="A3338" s="114" t="s">
        <v>6860</v>
      </c>
      <c r="B3338" s="115" t="s">
        <v>7140</v>
      </c>
      <c r="C3338" s="116" t="s">
        <v>16</v>
      </c>
      <c r="D3338" s="116">
        <v>0</v>
      </c>
      <c r="E3338" s="136">
        <f ca="1">OFFSET(INDEX(Composições!A:J,MATCH(Orçamentária!A3338,Composições!A:A,0),8),2,0)</f>
        <v>7.4005000000000001</v>
      </c>
      <c r="F3338" s="137">
        <f t="shared" ca="1" si="207"/>
        <v>0</v>
      </c>
      <c r="G3338" s="138" t="e">
        <f>IF(A3338&lt;&gt;"",IF(AND(#REF!="Padrão",$H$4=#REF!),BDI!$B$17,IF(AND(#REF!="Padrão",$H$4=#REF!),BDI!#REF!,IF(AND(#REF!="Diferenciado",$H$4=#REF!),BDI!$E$17,IF(AND(#REF!="Diferenciado",$H$4=#REF!),BDI!#REF!,IF(#REF!="ZERO",0))))),"")</f>
        <v>#REF!</v>
      </c>
      <c r="H3338" s="139" t="e">
        <f t="shared" ca="1" si="208"/>
        <v>#REF!</v>
      </c>
      <c r="I3338" s="137" t="e">
        <f t="shared" ca="1" si="209"/>
        <v>#REF!</v>
      </c>
      <c r="J3338" s="117"/>
    </row>
    <row r="3339" spans="1:10" hidden="1" x14ac:dyDescent="0.25">
      <c r="A3339" s="114" t="s">
        <v>6861</v>
      </c>
      <c r="B3339" s="115" t="s">
        <v>7141</v>
      </c>
      <c r="C3339" s="116" t="s">
        <v>16</v>
      </c>
      <c r="D3339" s="116">
        <v>0</v>
      </c>
      <c r="E3339" s="136">
        <f ca="1">OFFSET(INDEX(Composições!A:J,MATCH(Orçamentária!A3339,Composições!A:A,0),8),2,0)</f>
        <v>9.5284999999999993</v>
      </c>
      <c r="F3339" s="137">
        <f t="shared" ca="1" si="207"/>
        <v>0</v>
      </c>
      <c r="G3339" s="138" t="e">
        <f>IF(A3339&lt;&gt;"",IF(AND(#REF!="Padrão",$H$4=#REF!),BDI!$B$17,IF(AND(#REF!="Padrão",$H$4=#REF!),BDI!#REF!,IF(AND(#REF!="Diferenciado",$H$4=#REF!),BDI!$E$17,IF(AND(#REF!="Diferenciado",$H$4=#REF!),BDI!#REF!,IF(#REF!="ZERO",0))))),"")</f>
        <v>#REF!</v>
      </c>
      <c r="H3339" s="139" t="e">
        <f t="shared" ca="1" si="208"/>
        <v>#REF!</v>
      </c>
      <c r="I3339" s="137" t="e">
        <f t="shared" ca="1" si="209"/>
        <v>#REF!</v>
      </c>
      <c r="J3339" s="117"/>
    </row>
    <row r="3340" spans="1:10" hidden="1" x14ac:dyDescent="0.25">
      <c r="A3340" s="114" t="s">
        <v>6862</v>
      </c>
      <c r="B3340" s="115" t="s">
        <v>7142</v>
      </c>
      <c r="C3340" s="116" t="s">
        <v>16</v>
      </c>
      <c r="D3340" s="116">
        <v>0</v>
      </c>
      <c r="E3340" s="136">
        <f ca="1">OFFSET(INDEX(Composições!A:J,MATCH(Orçamentária!A3340,Composições!A:A,0),8),2,0)</f>
        <v>4.3129999999999997</v>
      </c>
      <c r="F3340" s="137">
        <f t="shared" ca="1" si="207"/>
        <v>0</v>
      </c>
      <c r="G3340" s="138" t="e">
        <f>IF(A3340&lt;&gt;"",IF(AND(#REF!="Padrão",$H$4=#REF!),BDI!$B$17,IF(AND(#REF!="Padrão",$H$4=#REF!),BDI!#REF!,IF(AND(#REF!="Diferenciado",$H$4=#REF!),BDI!$E$17,IF(AND(#REF!="Diferenciado",$H$4=#REF!),BDI!#REF!,IF(#REF!="ZERO",0))))),"")</f>
        <v>#REF!</v>
      </c>
      <c r="H3340" s="139" t="e">
        <f t="shared" ca="1" si="208"/>
        <v>#REF!</v>
      </c>
      <c r="I3340" s="137" t="e">
        <f t="shared" ca="1" si="209"/>
        <v>#REF!</v>
      </c>
      <c r="J3340" s="117"/>
    </row>
    <row r="3341" spans="1:10" hidden="1" x14ac:dyDescent="0.25">
      <c r="A3341" s="114" t="s">
        <v>6863</v>
      </c>
      <c r="B3341" s="115" t="s">
        <v>7143</v>
      </c>
      <c r="C3341" s="116" t="s">
        <v>16</v>
      </c>
      <c r="D3341" s="116">
        <v>0</v>
      </c>
      <c r="E3341" s="136">
        <f ca="1">OFFSET(INDEX(Composições!A:J,MATCH(Orçamentária!A3341,Composições!A:A,0),8),2,0)</f>
        <v>28.224499999999999</v>
      </c>
      <c r="F3341" s="137">
        <f t="shared" ca="1" si="207"/>
        <v>0</v>
      </c>
      <c r="G3341" s="138" t="e">
        <f>IF(A3341&lt;&gt;"",IF(AND(#REF!="Padrão",$H$4=#REF!),BDI!$B$17,IF(AND(#REF!="Padrão",$H$4=#REF!),BDI!#REF!,IF(AND(#REF!="Diferenciado",$H$4=#REF!),BDI!$E$17,IF(AND(#REF!="Diferenciado",$H$4=#REF!),BDI!#REF!,IF(#REF!="ZERO",0))))),"")</f>
        <v>#REF!</v>
      </c>
      <c r="H3341" s="139" t="e">
        <f t="shared" ca="1" si="208"/>
        <v>#REF!</v>
      </c>
      <c r="I3341" s="137" t="e">
        <f t="shared" ca="1" si="209"/>
        <v>#REF!</v>
      </c>
      <c r="J3341" s="117"/>
    </row>
    <row r="3342" spans="1:10" hidden="1" x14ac:dyDescent="0.25">
      <c r="A3342" s="114" t="s">
        <v>6864</v>
      </c>
      <c r="B3342" s="115" t="s">
        <v>7144</v>
      </c>
      <c r="C3342" s="116" t="s">
        <v>16</v>
      </c>
      <c r="D3342" s="116">
        <v>0</v>
      </c>
      <c r="E3342" s="136">
        <f ca="1">OFFSET(INDEX(Composições!A:J,MATCH(Orçamentária!A3342,Composições!A:A,0),8),2,0)</f>
        <v>27.302999999999997</v>
      </c>
      <c r="F3342" s="137">
        <f t="shared" ca="1" si="207"/>
        <v>0</v>
      </c>
      <c r="G3342" s="138" t="e">
        <f>IF(A3342&lt;&gt;"",IF(AND(#REF!="Padrão",$H$4=#REF!),BDI!$B$17,IF(AND(#REF!="Padrão",$H$4=#REF!),BDI!#REF!,IF(AND(#REF!="Diferenciado",$H$4=#REF!),BDI!$E$17,IF(AND(#REF!="Diferenciado",$H$4=#REF!),BDI!#REF!,IF(#REF!="ZERO",0))))),"")</f>
        <v>#REF!</v>
      </c>
      <c r="H3342" s="139" t="e">
        <f t="shared" ca="1" si="208"/>
        <v>#REF!</v>
      </c>
      <c r="I3342" s="137" t="e">
        <f t="shared" ca="1" si="209"/>
        <v>#REF!</v>
      </c>
      <c r="J3342" s="117"/>
    </row>
    <row r="3343" spans="1:10" hidden="1" x14ac:dyDescent="0.25">
      <c r="A3343" s="114" t="s">
        <v>6865</v>
      </c>
      <c r="B3343" s="115" t="s">
        <v>7145</v>
      </c>
      <c r="C3343" s="116" t="s">
        <v>16</v>
      </c>
      <c r="D3343" s="116">
        <v>0</v>
      </c>
      <c r="E3343" s="136">
        <f ca="1">OFFSET(INDEX(Composições!A:J,MATCH(Orçamentária!A3343,Composições!A:A,0),8),2,0)</f>
        <v>3.61</v>
      </c>
      <c r="F3343" s="137">
        <f t="shared" ref="F3343:F3406" ca="1" si="210">IF(ISNUMBER(E3343),D3343*E3343,"")</f>
        <v>0</v>
      </c>
      <c r="G3343" s="138" t="e">
        <f>IF(A3343&lt;&gt;"",IF(AND(#REF!="Padrão",$H$4=#REF!),BDI!$B$17,IF(AND(#REF!="Padrão",$H$4=#REF!),BDI!#REF!,IF(AND(#REF!="Diferenciado",$H$4=#REF!),BDI!$E$17,IF(AND(#REF!="Diferenciado",$H$4=#REF!),BDI!#REF!,IF(#REF!="ZERO",0))))),"")</f>
        <v>#REF!</v>
      </c>
      <c r="H3343" s="139" t="e">
        <f t="shared" ref="H3343:H3406" ca="1" si="211">IF(ISNUMBER(E3343),ROUND(E3343*(1+G3343),2),"")</f>
        <v>#REF!</v>
      </c>
      <c r="I3343" s="137" t="e">
        <f t="shared" ref="I3343:I3406" ca="1" si="212">IF(ISNUMBER(E3343),ROUND(H3343*D3343,2),"")</f>
        <v>#REF!</v>
      </c>
      <c r="J3343" s="117"/>
    </row>
    <row r="3344" spans="1:10" hidden="1" x14ac:dyDescent="0.25">
      <c r="A3344" s="114" t="s">
        <v>6866</v>
      </c>
      <c r="B3344" s="115" t="s">
        <v>7146</v>
      </c>
      <c r="C3344" s="116" t="s">
        <v>16</v>
      </c>
      <c r="D3344" s="116">
        <v>0</v>
      </c>
      <c r="E3344" s="136">
        <f ca="1">OFFSET(INDEX(Composições!A:J,MATCH(Orçamentária!A3344,Composições!A:A,0),8),2,0)</f>
        <v>4.4079999999999995</v>
      </c>
      <c r="F3344" s="137">
        <f t="shared" ca="1" si="210"/>
        <v>0</v>
      </c>
      <c r="G3344" s="138" t="e">
        <f>IF(A3344&lt;&gt;"",IF(AND(#REF!="Padrão",$H$4=#REF!),BDI!$B$17,IF(AND(#REF!="Padrão",$H$4=#REF!),BDI!#REF!,IF(AND(#REF!="Diferenciado",$H$4=#REF!),BDI!$E$17,IF(AND(#REF!="Diferenciado",$H$4=#REF!),BDI!#REF!,IF(#REF!="ZERO",0))))),"")</f>
        <v>#REF!</v>
      </c>
      <c r="H3344" s="139" t="e">
        <f t="shared" ca="1" si="211"/>
        <v>#REF!</v>
      </c>
      <c r="I3344" s="137" t="e">
        <f t="shared" ca="1" si="212"/>
        <v>#REF!</v>
      </c>
      <c r="J3344" s="117"/>
    </row>
    <row r="3345" spans="1:10" hidden="1" x14ac:dyDescent="0.25">
      <c r="A3345" s="114" t="s">
        <v>6867</v>
      </c>
      <c r="B3345" s="115" t="s">
        <v>7147</v>
      </c>
      <c r="C3345" s="116" t="s">
        <v>16</v>
      </c>
      <c r="D3345" s="116">
        <v>0</v>
      </c>
      <c r="E3345" s="136">
        <f ca="1">OFFSET(INDEX(Composições!A:J,MATCH(Orçamentária!A3345,Composições!A:A,0),8),2,0)</f>
        <v>25.916</v>
      </c>
      <c r="F3345" s="137">
        <f t="shared" ca="1" si="210"/>
        <v>0</v>
      </c>
      <c r="G3345" s="138" t="e">
        <f>IF(A3345&lt;&gt;"",IF(AND(#REF!="Padrão",$H$4=#REF!),BDI!$B$17,IF(AND(#REF!="Padrão",$H$4=#REF!),BDI!#REF!,IF(AND(#REF!="Diferenciado",$H$4=#REF!),BDI!$E$17,IF(AND(#REF!="Diferenciado",$H$4=#REF!),BDI!#REF!,IF(#REF!="ZERO",0))))),"")</f>
        <v>#REF!</v>
      </c>
      <c r="H3345" s="139" t="e">
        <f t="shared" ca="1" si="211"/>
        <v>#REF!</v>
      </c>
      <c r="I3345" s="137" t="e">
        <f t="shared" ca="1" si="212"/>
        <v>#REF!</v>
      </c>
      <c r="J3345" s="117"/>
    </row>
    <row r="3346" spans="1:10" hidden="1" x14ac:dyDescent="0.25">
      <c r="A3346" s="114" t="s">
        <v>6868</v>
      </c>
      <c r="B3346" s="115" t="s">
        <v>7148</v>
      </c>
      <c r="C3346" s="116" t="s">
        <v>16</v>
      </c>
      <c r="D3346" s="116">
        <v>0</v>
      </c>
      <c r="E3346" s="136">
        <f ca="1">OFFSET(INDEX(Composições!A:J,MATCH(Orçamentária!A3346,Composições!A:A,0),8),2,0)</f>
        <v>33.686999999999998</v>
      </c>
      <c r="F3346" s="137">
        <f t="shared" ca="1" si="210"/>
        <v>0</v>
      </c>
      <c r="G3346" s="138" t="e">
        <f>IF(A3346&lt;&gt;"",IF(AND(#REF!="Padrão",$H$4=#REF!),BDI!$B$17,IF(AND(#REF!="Padrão",$H$4=#REF!),BDI!#REF!,IF(AND(#REF!="Diferenciado",$H$4=#REF!),BDI!$E$17,IF(AND(#REF!="Diferenciado",$H$4=#REF!),BDI!#REF!,IF(#REF!="ZERO",0))))),"")</f>
        <v>#REF!</v>
      </c>
      <c r="H3346" s="139" t="e">
        <f t="shared" ca="1" si="211"/>
        <v>#REF!</v>
      </c>
      <c r="I3346" s="137" t="e">
        <f t="shared" ca="1" si="212"/>
        <v>#REF!</v>
      </c>
      <c r="J3346" s="117"/>
    </row>
    <row r="3347" spans="1:10" hidden="1" x14ac:dyDescent="0.25">
      <c r="A3347" s="114" t="s">
        <v>6869</v>
      </c>
      <c r="B3347" s="115" t="s">
        <v>7149</v>
      </c>
      <c r="C3347" s="116" t="s">
        <v>16</v>
      </c>
      <c r="D3347" s="116">
        <v>0</v>
      </c>
      <c r="E3347" s="136">
        <f ca="1">OFFSET(INDEX(Composições!A:J,MATCH(Orçamentária!A3347,Composições!A:A,0),8),2,0)</f>
        <v>38.788499999999999</v>
      </c>
      <c r="F3347" s="137">
        <f t="shared" ca="1" si="210"/>
        <v>0</v>
      </c>
      <c r="G3347" s="138" t="e">
        <f>IF(A3347&lt;&gt;"",IF(AND(#REF!="Padrão",$H$4=#REF!),BDI!$B$17,IF(AND(#REF!="Padrão",$H$4=#REF!),BDI!#REF!,IF(AND(#REF!="Diferenciado",$H$4=#REF!),BDI!$E$17,IF(AND(#REF!="Diferenciado",$H$4=#REF!),BDI!#REF!,IF(#REF!="ZERO",0))))),"")</f>
        <v>#REF!</v>
      </c>
      <c r="H3347" s="139" t="e">
        <f t="shared" ca="1" si="211"/>
        <v>#REF!</v>
      </c>
      <c r="I3347" s="137" t="e">
        <f t="shared" ca="1" si="212"/>
        <v>#REF!</v>
      </c>
      <c r="J3347" s="117"/>
    </row>
    <row r="3348" spans="1:10" hidden="1" x14ac:dyDescent="0.25">
      <c r="A3348" s="114" t="s">
        <v>6870</v>
      </c>
      <c r="B3348" s="115" t="s">
        <v>7150</v>
      </c>
      <c r="C3348" s="116" t="s">
        <v>16</v>
      </c>
      <c r="D3348" s="116">
        <v>0</v>
      </c>
      <c r="E3348" s="136">
        <f ca="1">OFFSET(INDEX(Composições!A:J,MATCH(Orçamentária!A3348,Composições!A:A,0),8),2,0)</f>
        <v>6.7354999999999992</v>
      </c>
      <c r="F3348" s="137">
        <f t="shared" ca="1" si="210"/>
        <v>0</v>
      </c>
      <c r="G3348" s="138" t="e">
        <f>IF(A3348&lt;&gt;"",IF(AND(#REF!="Padrão",$H$4=#REF!),BDI!$B$17,IF(AND(#REF!="Padrão",$H$4=#REF!),BDI!#REF!,IF(AND(#REF!="Diferenciado",$H$4=#REF!),BDI!$E$17,IF(AND(#REF!="Diferenciado",$H$4=#REF!),BDI!#REF!,IF(#REF!="ZERO",0))))),"")</f>
        <v>#REF!</v>
      </c>
      <c r="H3348" s="139" t="e">
        <f t="shared" ca="1" si="211"/>
        <v>#REF!</v>
      </c>
      <c r="I3348" s="137" t="e">
        <f t="shared" ca="1" si="212"/>
        <v>#REF!</v>
      </c>
      <c r="J3348" s="117"/>
    </row>
    <row r="3349" spans="1:10" hidden="1" x14ac:dyDescent="0.25">
      <c r="A3349" s="114" t="s">
        <v>6871</v>
      </c>
      <c r="B3349" s="115" t="s">
        <v>7151</v>
      </c>
      <c r="C3349" s="116" t="s">
        <v>16</v>
      </c>
      <c r="D3349" s="116">
        <v>0</v>
      </c>
      <c r="E3349" s="136">
        <f ca="1">OFFSET(INDEX(Composições!A:J,MATCH(Orçamentária!A3349,Composições!A:A,0),8),2,0)</f>
        <v>45.276999999999994</v>
      </c>
      <c r="F3349" s="137">
        <f t="shared" ca="1" si="210"/>
        <v>0</v>
      </c>
      <c r="G3349" s="138" t="e">
        <f>IF(A3349&lt;&gt;"",IF(AND(#REF!="Padrão",$H$4=#REF!),BDI!$B$17,IF(AND(#REF!="Padrão",$H$4=#REF!),BDI!#REF!,IF(AND(#REF!="Diferenciado",$H$4=#REF!),BDI!$E$17,IF(AND(#REF!="Diferenciado",$H$4=#REF!),BDI!#REF!,IF(#REF!="ZERO",0))))),"")</f>
        <v>#REF!</v>
      </c>
      <c r="H3349" s="139" t="e">
        <f t="shared" ca="1" si="211"/>
        <v>#REF!</v>
      </c>
      <c r="I3349" s="137" t="e">
        <f t="shared" ca="1" si="212"/>
        <v>#REF!</v>
      </c>
      <c r="J3349" s="117"/>
    </row>
    <row r="3350" spans="1:10" hidden="1" x14ac:dyDescent="0.25">
      <c r="A3350" s="114" t="s">
        <v>6872</v>
      </c>
      <c r="B3350" s="115" t="s">
        <v>7152</v>
      </c>
      <c r="C3350" s="116" t="s">
        <v>16</v>
      </c>
      <c r="D3350" s="116">
        <v>0</v>
      </c>
      <c r="E3350" s="136">
        <f ca="1">OFFSET(INDEX(Composições!A:J,MATCH(Orçamentária!A3350,Composições!A:A,0),8),2,0)</f>
        <v>84.36</v>
      </c>
      <c r="F3350" s="137">
        <f t="shared" ca="1" si="210"/>
        <v>0</v>
      </c>
      <c r="G3350" s="138" t="e">
        <f>IF(A3350&lt;&gt;"",IF(AND(#REF!="Padrão",$H$4=#REF!),BDI!$B$17,IF(AND(#REF!="Padrão",$H$4=#REF!),BDI!#REF!,IF(AND(#REF!="Diferenciado",$H$4=#REF!),BDI!$E$17,IF(AND(#REF!="Diferenciado",$H$4=#REF!),BDI!#REF!,IF(#REF!="ZERO",0))))),"")</f>
        <v>#REF!</v>
      </c>
      <c r="H3350" s="139" t="e">
        <f t="shared" ca="1" si="211"/>
        <v>#REF!</v>
      </c>
      <c r="I3350" s="137" t="e">
        <f t="shared" ca="1" si="212"/>
        <v>#REF!</v>
      </c>
      <c r="J3350" s="117"/>
    </row>
    <row r="3351" spans="1:10" hidden="1" x14ac:dyDescent="0.25">
      <c r="A3351" s="114" t="s">
        <v>6873</v>
      </c>
      <c r="B3351" s="115" t="s">
        <v>7153</v>
      </c>
      <c r="C3351" s="116" t="s">
        <v>16</v>
      </c>
      <c r="D3351" s="116">
        <v>0</v>
      </c>
      <c r="E3351" s="136">
        <f ca="1">OFFSET(INDEX(Composições!A:J,MATCH(Orçamentária!A3351,Composições!A:A,0),8),2,0)</f>
        <v>20.6435</v>
      </c>
      <c r="F3351" s="137">
        <f t="shared" ca="1" si="210"/>
        <v>0</v>
      </c>
      <c r="G3351" s="138" t="e">
        <f>IF(A3351&lt;&gt;"",IF(AND(#REF!="Padrão",$H$4=#REF!),BDI!$B$17,IF(AND(#REF!="Padrão",$H$4=#REF!),BDI!#REF!,IF(AND(#REF!="Diferenciado",$H$4=#REF!),BDI!$E$17,IF(AND(#REF!="Diferenciado",$H$4=#REF!),BDI!#REF!,IF(#REF!="ZERO",0))))),"")</f>
        <v>#REF!</v>
      </c>
      <c r="H3351" s="139" t="e">
        <f t="shared" ca="1" si="211"/>
        <v>#REF!</v>
      </c>
      <c r="I3351" s="137" t="e">
        <f t="shared" ca="1" si="212"/>
        <v>#REF!</v>
      </c>
      <c r="J3351" s="117"/>
    </row>
    <row r="3352" spans="1:10" hidden="1" x14ac:dyDescent="0.25">
      <c r="A3352" s="114" t="s">
        <v>6874</v>
      </c>
      <c r="B3352" s="115" t="s">
        <v>7154</v>
      </c>
      <c r="C3352" s="116" t="s">
        <v>16</v>
      </c>
      <c r="D3352" s="116">
        <v>0</v>
      </c>
      <c r="E3352" s="136">
        <f ca="1">OFFSET(INDEX(Composições!A:J,MATCH(Orçamentária!A3352,Composições!A:A,0),8),2,0)</f>
        <v>64.447999999999993</v>
      </c>
      <c r="F3352" s="137">
        <f t="shared" ca="1" si="210"/>
        <v>0</v>
      </c>
      <c r="G3352" s="138" t="e">
        <f>IF(A3352&lt;&gt;"",IF(AND(#REF!="Padrão",$H$4=#REF!),BDI!$B$17,IF(AND(#REF!="Padrão",$H$4=#REF!),BDI!#REF!,IF(AND(#REF!="Diferenciado",$H$4=#REF!),BDI!$E$17,IF(AND(#REF!="Diferenciado",$H$4=#REF!),BDI!#REF!,IF(#REF!="ZERO",0))))),"")</f>
        <v>#REF!</v>
      </c>
      <c r="H3352" s="139" t="e">
        <f t="shared" ca="1" si="211"/>
        <v>#REF!</v>
      </c>
      <c r="I3352" s="137" t="e">
        <f t="shared" ca="1" si="212"/>
        <v>#REF!</v>
      </c>
      <c r="J3352" s="117"/>
    </row>
    <row r="3353" spans="1:10" hidden="1" x14ac:dyDescent="0.25">
      <c r="A3353" s="114" t="s">
        <v>6875</v>
      </c>
      <c r="B3353" s="115" t="s">
        <v>7155</v>
      </c>
      <c r="C3353" s="116" t="s">
        <v>16</v>
      </c>
      <c r="D3353" s="116">
        <v>0</v>
      </c>
      <c r="E3353" s="136">
        <f ca="1">OFFSET(INDEX(Composições!A:J,MATCH(Orçamentária!A3353,Composições!A:A,0),8),2,0)</f>
        <v>51.737000000000002</v>
      </c>
      <c r="F3353" s="137">
        <f t="shared" ca="1" si="210"/>
        <v>0</v>
      </c>
      <c r="G3353" s="138" t="e">
        <f>IF(A3353&lt;&gt;"",IF(AND(#REF!="Padrão",$H$4=#REF!),BDI!$B$17,IF(AND(#REF!="Padrão",$H$4=#REF!),BDI!#REF!,IF(AND(#REF!="Diferenciado",$H$4=#REF!),BDI!$E$17,IF(AND(#REF!="Diferenciado",$H$4=#REF!),BDI!#REF!,IF(#REF!="ZERO",0))))),"")</f>
        <v>#REF!</v>
      </c>
      <c r="H3353" s="139" t="e">
        <f t="shared" ca="1" si="211"/>
        <v>#REF!</v>
      </c>
      <c r="I3353" s="137" t="e">
        <f t="shared" ca="1" si="212"/>
        <v>#REF!</v>
      </c>
      <c r="J3353" s="117"/>
    </row>
    <row r="3354" spans="1:10" hidden="1" x14ac:dyDescent="0.25">
      <c r="A3354" s="114" t="s">
        <v>6876</v>
      </c>
      <c r="B3354" s="115" t="s">
        <v>7156</v>
      </c>
      <c r="C3354" s="116" t="s">
        <v>16</v>
      </c>
      <c r="D3354" s="116">
        <v>0</v>
      </c>
      <c r="E3354" s="136">
        <f ca="1">OFFSET(INDEX(Composições!A:J,MATCH(Orçamentária!A3354,Composições!A:A,0),8),2,0)</f>
        <v>56.753</v>
      </c>
      <c r="F3354" s="137">
        <f t="shared" ca="1" si="210"/>
        <v>0</v>
      </c>
      <c r="G3354" s="138" t="e">
        <f>IF(A3354&lt;&gt;"",IF(AND(#REF!="Padrão",$H$4=#REF!),BDI!$B$17,IF(AND(#REF!="Padrão",$H$4=#REF!),BDI!#REF!,IF(AND(#REF!="Diferenciado",$H$4=#REF!),BDI!$E$17,IF(AND(#REF!="Diferenciado",$H$4=#REF!),BDI!#REF!,IF(#REF!="ZERO",0))))),"")</f>
        <v>#REF!</v>
      </c>
      <c r="H3354" s="139" t="e">
        <f t="shared" ca="1" si="211"/>
        <v>#REF!</v>
      </c>
      <c r="I3354" s="137" t="e">
        <f t="shared" ca="1" si="212"/>
        <v>#REF!</v>
      </c>
      <c r="J3354" s="117"/>
    </row>
    <row r="3355" spans="1:10" hidden="1" x14ac:dyDescent="0.25">
      <c r="A3355" s="114" t="s">
        <v>6877</v>
      </c>
      <c r="B3355" s="115" t="s">
        <v>7157</v>
      </c>
      <c r="C3355" s="116" t="s">
        <v>16</v>
      </c>
      <c r="D3355" s="116">
        <v>0</v>
      </c>
      <c r="E3355" s="136">
        <f ca="1">OFFSET(INDEX(Composições!A:J,MATCH(Orçamentária!A3355,Composições!A:A,0),8),2,0)</f>
        <v>19.303999999999998</v>
      </c>
      <c r="F3355" s="137">
        <f t="shared" ca="1" si="210"/>
        <v>0</v>
      </c>
      <c r="G3355" s="138" t="e">
        <f>IF(A3355&lt;&gt;"",IF(AND(#REF!="Padrão",$H$4=#REF!),BDI!$B$17,IF(AND(#REF!="Padrão",$H$4=#REF!),BDI!#REF!,IF(AND(#REF!="Diferenciado",$H$4=#REF!),BDI!$E$17,IF(AND(#REF!="Diferenciado",$H$4=#REF!),BDI!#REF!,IF(#REF!="ZERO",0))))),"")</f>
        <v>#REF!</v>
      </c>
      <c r="H3355" s="139" t="e">
        <f t="shared" ca="1" si="211"/>
        <v>#REF!</v>
      </c>
      <c r="I3355" s="137" t="e">
        <f t="shared" ca="1" si="212"/>
        <v>#REF!</v>
      </c>
      <c r="J3355" s="117"/>
    </row>
    <row r="3356" spans="1:10" hidden="1" x14ac:dyDescent="0.25">
      <c r="A3356" s="114" t="s">
        <v>6878</v>
      </c>
      <c r="B3356" s="115" t="s">
        <v>7158</v>
      </c>
      <c r="C3356" s="116" t="s">
        <v>16</v>
      </c>
      <c r="D3356" s="116">
        <v>0</v>
      </c>
      <c r="E3356" s="136">
        <f ca="1">OFFSET(INDEX(Composições!A:J,MATCH(Orçamentária!A3356,Composições!A:A,0),8),2,0)</f>
        <v>34.6845</v>
      </c>
      <c r="F3356" s="137">
        <f t="shared" ca="1" si="210"/>
        <v>0</v>
      </c>
      <c r="G3356" s="138" t="e">
        <f>IF(A3356&lt;&gt;"",IF(AND(#REF!="Padrão",$H$4=#REF!),BDI!$B$17,IF(AND(#REF!="Padrão",$H$4=#REF!),BDI!#REF!,IF(AND(#REF!="Diferenciado",$H$4=#REF!),BDI!$E$17,IF(AND(#REF!="Diferenciado",$H$4=#REF!),BDI!#REF!,IF(#REF!="ZERO",0))))),"")</f>
        <v>#REF!</v>
      </c>
      <c r="H3356" s="139" t="e">
        <f t="shared" ca="1" si="211"/>
        <v>#REF!</v>
      </c>
      <c r="I3356" s="137" t="e">
        <f t="shared" ca="1" si="212"/>
        <v>#REF!</v>
      </c>
      <c r="J3356" s="117"/>
    </row>
    <row r="3357" spans="1:10" hidden="1" x14ac:dyDescent="0.25">
      <c r="A3357" s="114" t="s">
        <v>6879</v>
      </c>
      <c r="B3357" s="115" t="s">
        <v>7159</v>
      </c>
      <c r="C3357" s="116" t="s">
        <v>16</v>
      </c>
      <c r="D3357" s="116">
        <v>0</v>
      </c>
      <c r="E3357" s="136">
        <f ca="1">OFFSET(INDEX(Composições!A:J,MATCH(Orçamentária!A3357,Composições!A:A,0),8),2,0)</f>
        <v>144.69450000000001</v>
      </c>
      <c r="F3357" s="137">
        <f t="shared" ca="1" si="210"/>
        <v>0</v>
      </c>
      <c r="G3357" s="138" t="e">
        <f>IF(A3357&lt;&gt;"",IF(AND(#REF!="Padrão",$H$4=#REF!),BDI!$B$17,IF(AND(#REF!="Padrão",$H$4=#REF!),BDI!#REF!,IF(AND(#REF!="Diferenciado",$H$4=#REF!),BDI!$E$17,IF(AND(#REF!="Diferenciado",$H$4=#REF!),BDI!#REF!,IF(#REF!="ZERO",0))))),"")</f>
        <v>#REF!</v>
      </c>
      <c r="H3357" s="139" t="e">
        <f t="shared" ca="1" si="211"/>
        <v>#REF!</v>
      </c>
      <c r="I3357" s="137" t="e">
        <f t="shared" ca="1" si="212"/>
        <v>#REF!</v>
      </c>
      <c r="J3357" s="117"/>
    </row>
    <row r="3358" spans="1:10" hidden="1" x14ac:dyDescent="0.25">
      <c r="A3358" s="114" t="s">
        <v>6880</v>
      </c>
      <c r="B3358" s="115" t="s">
        <v>7160</v>
      </c>
      <c r="C3358" s="116" t="s">
        <v>16</v>
      </c>
      <c r="D3358" s="116">
        <v>0</v>
      </c>
      <c r="E3358" s="136">
        <f ca="1">OFFSET(INDEX(Composições!A:J,MATCH(Orçamentária!A3358,Composições!A:A,0),8),2,0)</f>
        <v>0</v>
      </c>
      <c r="F3358" s="137">
        <f t="shared" ca="1" si="210"/>
        <v>0</v>
      </c>
      <c r="G3358" s="138" t="e">
        <f>IF(A3358&lt;&gt;"",IF(AND(#REF!="Padrão",$H$4=#REF!),BDI!$B$17,IF(AND(#REF!="Padrão",$H$4=#REF!),BDI!#REF!,IF(AND(#REF!="Diferenciado",$H$4=#REF!),BDI!$E$17,IF(AND(#REF!="Diferenciado",$H$4=#REF!),BDI!#REF!,IF(#REF!="ZERO",0))))),"")</f>
        <v>#REF!</v>
      </c>
      <c r="H3358" s="139" t="e">
        <f t="shared" ca="1" si="211"/>
        <v>#REF!</v>
      </c>
      <c r="I3358" s="137" t="e">
        <f t="shared" ca="1" si="212"/>
        <v>#REF!</v>
      </c>
      <c r="J3358" s="117"/>
    </row>
    <row r="3359" spans="1:10" hidden="1" x14ac:dyDescent="0.25">
      <c r="A3359" s="114" t="s">
        <v>6881</v>
      </c>
      <c r="B3359" s="115" t="s">
        <v>7161</v>
      </c>
      <c r="C3359" s="116" t="s">
        <v>16</v>
      </c>
      <c r="D3359" s="116">
        <v>0</v>
      </c>
      <c r="E3359" s="136">
        <f ca="1">OFFSET(INDEX(Composições!A:J,MATCH(Orçamentária!A3359,Composições!A:A,0),8),2,0)</f>
        <v>19.209</v>
      </c>
      <c r="F3359" s="137">
        <f t="shared" ca="1" si="210"/>
        <v>0</v>
      </c>
      <c r="G3359" s="138" t="e">
        <f>IF(A3359&lt;&gt;"",IF(AND(#REF!="Padrão",$H$4=#REF!),BDI!$B$17,IF(AND(#REF!="Padrão",$H$4=#REF!),BDI!#REF!,IF(AND(#REF!="Diferenciado",$H$4=#REF!),BDI!$E$17,IF(AND(#REF!="Diferenciado",$H$4=#REF!),BDI!#REF!,IF(#REF!="ZERO",0))))),"")</f>
        <v>#REF!</v>
      </c>
      <c r="H3359" s="139" t="e">
        <f t="shared" ca="1" si="211"/>
        <v>#REF!</v>
      </c>
      <c r="I3359" s="137" t="e">
        <f t="shared" ca="1" si="212"/>
        <v>#REF!</v>
      </c>
      <c r="J3359" s="117"/>
    </row>
    <row r="3360" spans="1:10" hidden="1" x14ac:dyDescent="0.25">
      <c r="A3360" s="114" t="s">
        <v>6882</v>
      </c>
      <c r="B3360" s="115" t="s">
        <v>7162</v>
      </c>
      <c r="C3360" s="116" t="s">
        <v>16</v>
      </c>
      <c r="D3360" s="116">
        <v>0</v>
      </c>
      <c r="E3360" s="136">
        <f ca="1">OFFSET(INDEX(Composições!A:J,MATCH(Orçamentária!A3360,Composições!A:A,0),8),2,0)</f>
        <v>211.03299999999999</v>
      </c>
      <c r="F3360" s="137">
        <f t="shared" ca="1" si="210"/>
        <v>0</v>
      </c>
      <c r="G3360" s="138" t="e">
        <f>IF(A3360&lt;&gt;"",IF(AND(#REF!="Padrão",$H$4=#REF!),BDI!$B$17,IF(AND(#REF!="Padrão",$H$4=#REF!),BDI!#REF!,IF(AND(#REF!="Diferenciado",$H$4=#REF!),BDI!$E$17,IF(AND(#REF!="Diferenciado",$H$4=#REF!),BDI!#REF!,IF(#REF!="ZERO",0))))),"")</f>
        <v>#REF!</v>
      </c>
      <c r="H3360" s="139" t="e">
        <f t="shared" ca="1" si="211"/>
        <v>#REF!</v>
      </c>
      <c r="I3360" s="137" t="e">
        <f t="shared" ca="1" si="212"/>
        <v>#REF!</v>
      </c>
      <c r="J3360" s="117"/>
    </row>
    <row r="3361" spans="1:10" hidden="1" x14ac:dyDescent="0.25">
      <c r="A3361" s="114" t="s">
        <v>6883</v>
      </c>
      <c r="B3361" s="115" t="s">
        <v>7163</v>
      </c>
      <c r="C3361" s="116" t="s">
        <v>16</v>
      </c>
      <c r="D3361" s="116">
        <v>0</v>
      </c>
      <c r="E3361" s="136">
        <f ca="1">OFFSET(INDEX(Composições!A:J,MATCH(Orçamentária!A3361,Composições!A:A,0),8),2,0)</f>
        <v>100.86149999999999</v>
      </c>
      <c r="F3361" s="137">
        <f t="shared" ca="1" si="210"/>
        <v>0</v>
      </c>
      <c r="G3361" s="138" t="e">
        <f>IF(A3361&lt;&gt;"",IF(AND(#REF!="Padrão",$H$4=#REF!),BDI!$B$17,IF(AND(#REF!="Padrão",$H$4=#REF!),BDI!#REF!,IF(AND(#REF!="Diferenciado",$H$4=#REF!),BDI!$E$17,IF(AND(#REF!="Diferenciado",$H$4=#REF!),BDI!#REF!,IF(#REF!="ZERO",0))))),"")</f>
        <v>#REF!</v>
      </c>
      <c r="H3361" s="139" t="e">
        <f t="shared" ca="1" si="211"/>
        <v>#REF!</v>
      </c>
      <c r="I3361" s="137" t="e">
        <f t="shared" ca="1" si="212"/>
        <v>#REF!</v>
      </c>
      <c r="J3361" s="117"/>
    </row>
    <row r="3362" spans="1:10" hidden="1" x14ac:dyDescent="0.25">
      <c r="A3362" s="114" t="s">
        <v>6884</v>
      </c>
      <c r="B3362" s="115" t="s">
        <v>7164</v>
      </c>
      <c r="C3362" s="116" t="s">
        <v>16</v>
      </c>
      <c r="D3362" s="116">
        <v>0</v>
      </c>
      <c r="E3362" s="136">
        <f ca="1">OFFSET(INDEX(Composições!A:J,MATCH(Orçamentária!A3362,Composições!A:A,0),8),2,0)</f>
        <v>22.514999999999997</v>
      </c>
      <c r="F3362" s="137">
        <f t="shared" ca="1" si="210"/>
        <v>0</v>
      </c>
      <c r="G3362" s="138" t="e">
        <f>IF(A3362&lt;&gt;"",IF(AND(#REF!="Padrão",$H$4=#REF!),BDI!$B$17,IF(AND(#REF!="Padrão",$H$4=#REF!),BDI!#REF!,IF(AND(#REF!="Diferenciado",$H$4=#REF!),BDI!$E$17,IF(AND(#REF!="Diferenciado",$H$4=#REF!),BDI!#REF!,IF(#REF!="ZERO",0))))),"")</f>
        <v>#REF!</v>
      </c>
      <c r="H3362" s="139" t="e">
        <f t="shared" ca="1" si="211"/>
        <v>#REF!</v>
      </c>
      <c r="I3362" s="137" t="e">
        <f t="shared" ca="1" si="212"/>
        <v>#REF!</v>
      </c>
      <c r="J3362" s="117"/>
    </row>
    <row r="3363" spans="1:10" hidden="1" x14ac:dyDescent="0.25">
      <c r="A3363" s="114" t="s">
        <v>6885</v>
      </c>
      <c r="B3363" s="115" t="s">
        <v>7165</v>
      </c>
      <c r="C3363" s="116" t="s">
        <v>16</v>
      </c>
      <c r="D3363" s="116">
        <v>0</v>
      </c>
      <c r="E3363" s="136">
        <f ca="1">OFFSET(INDEX(Composições!A:J,MATCH(Orçamentária!A3363,Composições!A:A,0),8),2,0)</f>
        <v>79.533999999999992</v>
      </c>
      <c r="F3363" s="137">
        <f t="shared" ca="1" si="210"/>
        <v>0</v>
      </c>
      <c r="G3363" s="138" t="e">
        <f>IF(A3363&lt;&gt;"",IF(AND(#REF!="Padrão",$H$4=#REF!),BDI!$B$17,IF(AND(#REF!="Padrão",$H$4=#REF!),BDI!#REF!,IF(AND(#REF!="Diferenciado",$H$4=#REF!),BDI!$E$17,IF(AND(#REF!="Diferenciado",$H$4=#REF!),BDI!#REF!,IF(#REF!="ZERO",0))))),"")</f>
        <v>#REF!</v>
      </c>
      <c r="H3363" s="139" t="e">
        <f t="shared" ca="1" si="211"/>
        <v>#REF!</v>
      </c>
      <c r="I3363" s="137" t="e">
        <f t="shared" ca="1" si="212"/>
        <v>#REF!</v>
      </c>
      <c r="J3363" s="117"/>
    </row>
    <row r="3364" spans="1:10" hidden="1" x14ac:dyDescent="0.25">
      <c r="A3364" s="114" t="s">
        <v>6886</v>
      </c>
      <c r="B3364" s="115" t="s">
        <v>7166</v>
      </c>
      <c r="C3364" s="116" t="s">
        <v>16</v>
      </c>
      <c r="D3364" s="116">
        <v>0</v>
      </c>
      <c r="E3364" s="136">
        <f ca="1">OFFSET(INDEX(Composições!A:J,MATCH(Orçamentária!A3364,Composições!A:A,0),8),2,0)</f>
        <v>66.272000000000006</v>
      </c>
      <c r="F3364" s="137">
        <f t="shared" ca="1" si="210"/>
        <v>0</v>
      </c>
      <c r="G3364" s="138" t="e">
        <f>IF(A3364&lt;&gt;"",IF(AND(#REF!="Padrão",$H$4=#REF!),BDI!$B$17,IF(AND(#REF!="Padrão",$H$4=#REF!),BDI!#REF!,IF(AND(#REF!="Diferenciado",$H$4=#REF!),BDI!$E$17,IF(AND(#REF!="Diferenciado",$H$4=#REF!),BDI!#REF!,IF(#REF!="ZERO",0))))),"")</f>
        <v>#REF!</v>
      </c>
      <c r="H3364" s="139" t="e">
        <f t="shared" ca="1" si="211"/>
        <v>#REF!</v>
      </c>
      <c r="I3364" s="137" t="e">
        <f t="shared" ca="1" si="212"/>
        <v>#REF!</v>
      </c>
      <c r="J3364" s="117"/>
    </row>
    <row r="3365" spans="1:10" hidden="1" x14ac:dyDescent="0.25">
      <c r="A3365" s="114" t="s">
        <v>6887</v>
      </c>
      <c r="B3365" s="115" t="s">
        <v>7167</v>
      </c>
      <c r="C3365" s="116" t="s">
        <v>16</v>
      </c>
      <c r="D3365" s="116">
        <v>0</v>
      </c>
      <c r="E3365" s="136">
        <f ca="1">OFFSET(INDEX(Composições!A:J,MATCH(Orçamentária!A3365,Composições!A:A,0),8),2,0)</f>
        <v>77.168499999999995</v>
      </c>
      <c r="F3365" s="137">
        <f t="shared" ca="1" si="210"/>
        <v>0</v>
      </c>
      <c r="G3365" s="138" t="e">
        <f>IF(A3365&lt;&gt;"",IF(AND(#REF!="Padrão",$H$4=#REF!),BDI!$B$17,IF(AND(#REF!="Padrão",$H$4=#REF!),BDI!#REF!,IF(AND(#REF!="Diferenciado",$H$4=#REF!),BDI!$E$17,IF(AND(#REF!="Diferenciado",$H$4=#REF!),BDI!#REF!,IF(#REF!="ZERO",0))))),"")</f>
        <v>#REF!</v>
      </c>
      <c r="H3365" s="139" t="e">
        <f t="shared" ca="1" si="211"/>
        <v>#REF!</v>
      </c>
      <c r="I3365" s="137" t="e">
        <f t="shared" ca="1" si="212"/>
        <v>#REF!</v>
      </c>
      <c r="J3365" s="117"/>
    </row>
    <row r="3366" spans="1:10" hidden="1" x14ac:dyDescent="0.25">
      <c r="A3366" s="114" t="s">
        <v>6888</v>
      </c>
      <c r="B3366" s="115" t="s">
        <v>7168</v>
      </c>
      <c r="C3366" s="116" t="s">
        <v>16</v>
      </c>
      <c r="D3366" s="116">
        <v>0</v>
      </c>
      <c r="E3366" s="136">
        <f ca="1">OFFSET(INDEX(Composições!A:J,MATCH(Orçamentária!A3366,Composições!A:A,0),8),2,0)</f>
        <v>43.338999999999999</v>
      </c>
      <c r="F3366" s="137">
        <f t="shared" ca="1" si="210"/>
        <v>0</v>
      </c>
      <c r="G3366" s="138" t="e">
        <f>IF(A3366&lt;&gt;"",IF(AND(#REF!="Padrão",$H$4=#REF!),BDI!$B$17,IF(AND(#REF!="Padrão",$H$4=#REF!),BDI!#REF!,IF(AND(#REF!="Diferenciado",$H$4=#REF!),BDI!$E$17,IF(AND(#REF!="Diferenciado",$H$4=#REF!),BDI!#REF!,IF(#REF!="ZERO",0))))),"")</f>
        <v>#REF!</v>
      </c>
      <c r="H3366" s="139" t="e">
        <f t="shared" ca="1" si="211"/>
        <v>#REF!</v>
      </c>
      <c r="I3366" s="137" t="e">
        <f t="shared" ca="1" si="212"/>
        <v>#REF!</v>
      </c>
      <c r="J3366" s="117"/>
    </row>
    <row r="3367" spans="1:10" hidden="1" x14ac:dyDescent="0.25">
      <c r="A3367" s="114" t="s">
        <v>6889</v>
      </c>
      <c r="B3367" s="115" t="s">
        <v>7169</v>
      </c>
      <c r="C3367" s="116" t="s">
        <v>16</v>
      </c>
      <c r="D3367" s="116">
        <v>0</v>
      </c>
      <c r="E3367" s="136">
        <f ca="1">OFFSET(INDEX(Composições!A:J,MATCH(Orçamentária!A3367,Composições!A:A,0),8),2,0)</f>
        <v>34.6845</v>
      </c>
      <c r="F3367" s="137">
        <f t="shared" ca="1" si="210"/>
        <v>0</v>
      </c>
      <c r="G3367" s="138" t="e">
        <f>IF(A3367&lt;&gt;"",IF(AND(#REF!="Padrão",$H$4=#REF!),BDI!$B$17,IF(AND(#REF!="Padrão",$H$4=#REF!),BDI!#REF!,IF(AND(#REF!="Diferenciado",$H$4=#REF!),BDI!$E$17,IF(AND(#REF!="Diferenciado",$H$4=#REF!),BDI!#REF!,IF(#REF!="ZERO",0))))),"")</f>
        <v>#REF!</v>
      </c>
      <c r="H3367" s="139" t="e">
        <f t="shared" ca="1" si="211"/>
        <v>#REF!</v>
      </c>
      <c r="I3367" s="137" t="e">
        <f t="shared" ca="1" si="212"/>
        <v>#REF!</v>
      </c>
      <c r="J3367" s="117"/>
    </row>
    <row r="3368" spans="1:10" hidden="1" x14ac:dyDescent="0.25">
      <c r="A3368" s="114" t="s">
        <v>6890</v>
      </c>
      <c r="B3368" s="115" t="s">
        <v>7170</v>
      </c>
      <c r="C3368" s="116" t="s">
        <v>16</v>
      </c>
      <c r="D3368" s="116">
        <v>0</v>
      </c>
      <c r="E3368" s="136">
        <f ca="1">OFFSET(INDEX(Composições!A:J,MATCH(Orçamentária!A3368,Composições!A:A,0),8),2,0)</f>
        <v>0</v>
      </c>
      <c r="F3368" s="137">
        <f t="shared" ca="1" si="210"/>
        <v>0</v>
      </c>
      <c r="G3368" s="138" t="e">
        <f>IF(A3368&lt;&gt;"",IF(AND(#REF!="Padrão",$H$4=#REF!),BDI!$B$17,IF(AND(#REF!="Padrão",$H$4=#REF!),BDI!#REF!,IF(AND(#REF!="Diferenciado",$H$4=#REF!),BDI!$E$17,IF(AND(#REF!="Diferenciado",$H$4=#REF!),BDI!#REF!,IF(#REF!="ZERO",0))))),"")</f>
        <v>#REF!</v>
      </c>
      <c r="H3368" s="139" t="e">
        <f t="shared" ca="1" si="211"/>
        <v>#REF!</v>
      </c>
      <c r="I3368" s="137" t="e">
        <f t="shared" ca="1" si="212"/>
        <v>#REF!</v>
      </c>
      <c r="J3368" s="117"/>
    </row>
    <row r="3369" spans="1:10" hidden="1" x14ac:dyDescent="0.25">
      <c r="A3369" s="114" t="s">
        <v>6891</v>
      </c>
      <c r="B3369" s="115" t="s">
        <v>7171</v>
      </c>
      <c r="C3369" s="116" t="s">
        <v>16</v>
      </c>
      <c r="D3369" s="116">
        <v>0</v>
      </c>
      <c r="E3369" s="136">
        <f ca="1">OFFSET(INDEX(Composições!A:J,MATCH(Orçamentária!A3369,Composições!A:A,0),8),2,0)</f>
        <v>26.485999999999997</v>
      </c>
      <c r="F3369" s="137">
        <f t="shared" ca="1" si="210"/>
        <v>0</v>
      </c>
      <c r="G3369" s="138" t="e">
        <f>IF(A3369&lt;&gt;"",IF(AND(#REF!="Padrão",$H$4=#REF!),BDI!$B$17,IF(AND(#REF!="Padrão",$H$4=#REF!),BDI!#REF!,IF(AND(#REF!="Diferenciado",$H$4=#REF!),BDI!$E$17,IF(AND(#REF!="Diferenciado",$H$4=#REF!),BDI!#REF!,IF(#REF!="ZERO",0))))),"")</f>
        <v>#REF!</v>
      </c>
      <c r="H3369" s="139" t="e">
        <f t="shared" ca="1" si="211"/>
        <v>#REF!</v>
      </c>
      <c r="I3369" s="137" t="e">
        <f t="shared" ca="1" si="212"/>
        <v>#REF!</v>
      </c>
      <c r="J3369" s="117"/>
    </row>
    <row r="3370" spans="1:10" hidden="1" x14ac:dyDescent="0.25">
      <c r="A3370" s="114" t="s">
        <v>6892</v>
      </c>
      <c r="B3370" s="115" t="s">
        <v>7172</v>
      </c>
      <c r="C3370" s="116" t="s">
        <v>16</v>
      </c>
      <c r="D3370" s="116">
        <v>0</v>
      </c>
      <c r="E3370" s="136">
        <f ca="1">OFFSET(INDEX(Composições!A:J,MATCH(Orçamentária!A3370,Composições!A:A,0),8),2,0)</f>
        <v>204.37349999999998</v>
      </c>
      <c r="F3370" s="137">
        <f t="shared" ca="1" si="210"/>
        <v>0</v>
      </c>
      <c r="G3370" s="138" t="e">
        <f>IF(A3370&lt;&gt;"",IF(AND(#REF!="Padrão",$H$4=#REF!),BDI!$B$17,IF(AND(#REF!="Padrão",$H$4=#REF!),BDI!#REF!,IF(AND(#REF!="Diferenciado",$H$4=#REF!),BDI!$E$17,IF(AND(#REF!="Diferenciado",$H$4=#REF!),BDI!#REF!,IF(#REF!="ZERO",0))))),"")</f>
        <v>#REF!</v>
      </c>
      <c r="H3370" s="139" t="e">
        <f t="shared" ca="1" si="211"/>
        <v>#REF!</v>
      </c>
      <c r="I3370" s="137" t="e">
        <f t="shared" ca="1" si="212"/>
        <v>#REF!</v>
      </c>
      <c r="J3370" s="117"/>
    </row>
    <row r="3371" spans="1:10" hidden="1" x14ac:dyDescent="0.25">
      <c r="A3371" s="114" t="s">
        <v>6893</v>
      </c>
      <c r="B3371" s="115" t="s">
        <v>7173</v>
      </c>
      <c r="C3371" s="116" t="s">
        <v>16</v>
      </c>
      <c r="D3371" s="116">
        <v>0</v>
      </c>
      <c r="E3371" s="136">
        <f ca="1">OFFSET(INDEX(Composições!A:J,MATCH(Orçamentária!A3371,Composições!A:A,0),8),2,0)</f>
        <v>0</v>
      </c>
      <c r="F3371" s="137">
        <f t="shared" ca="1" si="210"/>
        <v>0</v>
      </c>
      <c r="G3371" s="138" t="e">
        <f>IF(A3371&lt;&gt;"",IF(AND(#REF!="Padrão",$H$4=#REF!),BDI!$B$17,IF(AND(#REF!="Padrão",$H$4=#REF!),BDI!#REF!,IF(AND(#REF!="Diferenciado",$H$4=#REF!),BDI!$E$17,IF(AND(#REF!="Diferenciado",$H$4=#REF!),BDI!#REF!,IF(#REF!="ZERO",0))))),"")</f>
        <v>#REF!</v>
      </c>
      <c r="H3371" s="139" t="e">
        <f t="shared" ca="1" si="211"/>
        <v>#REF!</v>
      </c>
      <c r="I3371" s="137" t="e">
        <f t="shared" ca="1" si="212"/>
        <v>#REF!</v>
      </c>
      <c r="J3371" s="117"/>
    </row>
    <row r="3372" spans="1:10" hidden="1" x14ac:dyDescent="0.25">
      <c r="A3372" s="114" t="s">
        <v>6894</v>
      </c>
      <c r="B3372" s="115" t="s">
        <v>7174</v>
      </c>
      <c r="C3372" s="116" t="s">
        <v>16</v>
      </c>
      <c r="D3372" s="116">
        <v>0</v>
      </c>
      <c r="E3372" s="136">
        <f ca="1">OFFSET(INDEX(Composições!A:J,MATCH(Orçamentária!A3372,Composições!A:A,0),8),2,0)</f>
        <v>34.475499999999997</v>
      </c>
      <c r="F3372" s="137">
        <f t="shared" ca="1" si="210"/>
        <v>0</v>
      </c>
      <c r="G3372" s="138" t="e">
        <f>IF(A3372&lt;&gt;"",IF(AND(#REF!="Padrão",$H$4=#REF!),BDI!$B$17,IF(AND(#REF!="Padrão",$H$4=#REF!),BDI!#REF!,IF(AND(#REF!="Diferenciado",$H$4=#REF!),BDI!$E$17,IF(AND(#REF!="Diferenciado",$H$4=#REF!),BDI!#REF!,IF(#REF!="ZERO",0))))),"")</f>
        <v>#REF!</v>
      </c>
      <c r="H3372" s="139" t="e">
        <f t="shared" ca="1" si="211"/>
        <v>#REF!</v>
      </c>
      <c r="I3372" s="137" t="e">
        <f t="shared" ca="1" si="212"/>
        <v>#REF!</v>
      </c>
      <c r="J3372" s="117"/>
    </row>
    <row r="3373" spans="1:10" hidden="1" x14ac:dyDescent="0.25">
      <c r="A3373" s="114" t="s">
        <v>6895</v>
      </c>
      <c r="B3373" s="115" t="s">
        <v>7175</v>
      </c>
      <c r="C3373" s="116" t="s">
        <v>16</v>
      </c>
      <c r="D3373" s="116">
        <v>0</v>
      </c>
      <c r="E3373" s="136">
        <f ca="1">OFFSET(INDEX(Composições!A:J,MATCH(Orçamentária!A3373,Composições!A:A,0),8),2,0)</f>
        <v>175.58850000000001</v>
      </c>
      <c r="F3373" s="137">
        <f t="shared" ca="1" si="210"/>
        <v>0</v>
      </c>
      <c r="G3373" s="138" t="e">
        <f>IF(A3373&lt;&gt;"",IF(AND(#REF!="Padrão",$H$4=#REF!),BDI!$B$17,IF(AND(#REF!="Padrão",$H$4=#REF!),BDI!#REF!,IF(AND(#REF!="Diferenciado",$H$4=#REF!),BDI!$E$17,IF(AND(#REF!="Diferenciado",$H$4=#REF!),BDI!#REF!,IF(#REF!="ZERO",0))))),"")</f>
        <v>#REF!</v>
      </c>
      <c r="H3373" s="139" t="e">
        <f t="shared" ca="1" si="211"/>
        <v>#REF!</v>
      </c>
      <c r="I3373" s="137" t="e">
        <f t="shared" ca="1" si="212"/>
        <v>#REF!</v>
      </c>
      <c r="J3373" s="117"/>
    </row>
    <row r="3374" spans="1:10" hidden="1" x14ac:dyDescent="0.25">
      <c r="A3374" s="114" t="s">
        <v>6896</v>
      </c>
      <c r="B3374" s="115" t="s">
        <v>7176</v>
      </c>
      <c r="C3374" s="116" t="s">
        <v>16</v>
      </c>
      <c r="D3374" s="116">
        <v>0</v>
      </c>
      <c r="E3374" s="136">
        <f ca="1">OFFSET(INDEX(Composições!A:J,MATCH(Orçamentária!A3374,Composições!A:A,0),8),2,0)</f>
        <v>73.586999999999989</v>
      </c>
      <c r="F3374" s="137">
        <f t="shared" ca="1" si="210"/>
        <v>0</v>
      </c>
      <c r="G3374" s="138" t="e">
        <f>IF(A3374&lt;&gt;"",IF(AND(#REF!="Padrão",$H$4=#REF!),BDI!$B$17,IF(AND(#REF!="Padrão",$H$4=#REF!),BDI!#REF!,IF(AND(#REF!="Diferenciado",$H$4=#REF!),BDI!$E$17,IF(AND(#REF!="Diferenciado",$H$4=#REF!),BDI!#REF!,IF(#REF!="ZERO",0))))),"")</f>
        <v>#REF!</v>
      </c>
      <c r="H3374" s="139" t="e">
        <f t="shared" ca="1" si="211"/>
        <v>#REF!</v>
      </c>
      <c r="I3374" s="137" t="e">
        <f t="shared" ca="1" si="212"/>
        <v>#REF!</v>
      </c>
      <c r="J3374" s="117"/>
    </row>
    <row r="3375" spans="1:10" hidden="1" x14ac:dyDescent="0.25">
      <c r="A3375" s="114" t="s">
        <v>6897</v>
      </c>
      <c r="B3375" s="115" t="s">
        <v>7177</v>
      </c>
      <c r="C3375" s="116" t="s">
        <v>16</v>
      </c>
      <c r="D3375" s="116">
        <v>0</v>
      </c>
      <c r="E3375" s="136" t="e">
        <f ca="1">OFFSET(INDEX(Composições!A:J,MATCH(Orçamentária!A3375,Composições!A:A,0),8),2,0)</f>
        <v>#N/A</v>
      </c>
      <c r="F3375" s="137" t="str">
        <f t="shared" ca="1" si="210"/>
        <v/>
      </c>
      <c r="G3375" s="138" t="e">
        <f>IF(A3375&lt;&gt;"",IF(AND(#REF!="Padrão",$H$4=#REF!),BDI!$B$17,IF(AND(#REF!="Padrão",$H$4=#REF!),BDI!#REF!,IF(AND(#REF!="Diferenciado",$H$4=#REF!),BDI!$E$17,IF(AND(#REF!="Diferenciado",$H$4=#REF!),BDI!#REF!,IF(#REF!="ZERO",0))))),"")</f>
        <v>#REF!</v>
      </c>
      <c r="H3375" s="139" t="str">
        <f t="shared" ca="1" si="211"/>
        <v/>
      </c>
      <c r="I3375" s="137" t="str">
        <f t="shared" ca="1" si="212"/>
        <v/>
      </c>
      <c r="J3375" s="117"/>
    </row>
    <row r="3376" spans="1:10" hidden="1" x14ac:dyDescent="0.25">
      <c r="A3376" s="114" t="s">
        <v>6898</v>
      </c>
      <c r="B3376" s="115" t="s">
        <v>7178</v>
      </c>
      <c r="C3376" s="116" t="s">
        <v>16</v>
      </c>
      <c r="D3376" s="116">
        <v>0</v>
      </c>
      <c r="E3376" s="136" t="e">
        <f ca="1">OFFSET(INDEX(Composições!A:J,MATCH(Orçamentária!A3376,Composições!A:A,0),8),2,0)</f>
        <v>#N/A</v>
      </c>
      <c r="F3376" s="137" t="str">
        <f t="shared" ca="1" si="210"/>
        <v/>
      </c>
      <c r="G3376" s="138" t="e">
        <f>IF(A3376&lt;&gt;"",IF(AND(#REF!="Padrão",$H$4=#REF!),BDI!$B$17,IF(AND(#REF!="Padrão",$H$4=#REF!),BDI!#REF!,IF(AND(#REF!="Diferenciado",$H$4=#REF!),BDI!$E$17,IF(AND(#REF!="Diferenciado",$H$4=#REF!),BDI!#REF!,IF(#REF!="ZERO",0))))),"")</f>
        <v>#REF!</v>
      </c>
      <c r="H3376" s="139" t="str">
        <f t="shared" ca="1" si="211"/>
        <v/>
      </c>
      <c r="I3376" s="137" t="str">
        <f t="shared" ca="1" si="212"/>
        <v/>
      </c>
      <c r="J3376" s="117"/>
    </row>
    <row r="3377" spans="1:10" hidden="1" x14ac:dyDescent="0.25">
      <c r="A3377" s="114" t="s">
        <v>6899</v>
      </c>
      <c r="B3377" s="115" t="s">
        <v>7179</v>
      </c>
      <c r="C3377" s="116" t="s">
        <v>16</v>
      </c>
      <c r="D3377" s="116">
        <v>0</v>
      </c>
      <c r="E3377" s="136">
        <f ca="1">OFFSET(INDEX(Composições!A:J,MATCH(Orçamentária!A3377,Composições!A:A,0),8),2,0)</f>
        <v>42.740499999999997</v>
      </c>
      <c r="F3377" s="137">
        <f t="shared" ca="1" si="210"/>
        <v>0</v>
      </c>
      <c r="G3377" s="138" t="e">
        <f>IF(A3377&lt;&gt;"",IF(AND(#REF!="Padrão",$H$4=#REF!),BDI!$B$17,IF(AND(#REF!="Padrão",$H$4=#REF!),BDI!#REF!,IF(AND(#REF!="Diferenciado",$H$4=#REF!),BDI!$E$17,IF(AND(#REF!="Diferenciado",$H$4=#REF!),BDI!#REF!,IF(#REF!="ZERO",0))))),"")</f>
        <v>#REF!</v>
      </c>
      <c r="H3377" s="139" t="e">
        <f t="shared" ca="1" si="211"/>
        <v>#REF!</v>
      </c>
      <c r="I3377" s="137" t="e">
        <f t="shared" ca="1" si="212"/>
        <v>#REF!</v>
      </c>
      <c r="J3377" s="117"/>
    </row>
    <row r="3378" spans="1:10" hidden="1" x14ac:dyDescent="0.25">
      <c r="A3378" s="114" t="s">
        <v>6900</v>
      </c>
      <c r="B3378" s="115" t="s">
        <v>7180</v>
      </c>
      <c r="C3378" s="116" t="s">
        <v>16</v>
      </c>
      <c r="D3378" s="116">
        <v>0</v>
      </c>
      <c r="E3378" s="136">
        <f ca="1">OFFSET(INDEX(Composições!A:J,MATCH(Orçamentária!A3378,Composições!A:A,0),8),2,0)</f>
        <v>263.96699999999998</v>
      </c>
      <c r="F3378" s="137">
        <f t="shared" ca="1" si="210"/>
        <v>0</v>
      </c>
      <c r="G3378" s="138" t="e">
        <f>IF(A3378&lt;&gt;"",IF(AND(#REF!="Padrão",$H$4=#REF!),BDI!$B$17,IF(AND(#REF!="Padrão",$H$4=#REF!),BDI!#REF!,IF(AND(#REF!="Diferenciado",$H$4=#REF!),BDI!$E$17,IF(AND(#REF!="Diferenciado",$H$4=#REF!),BDI!#REF!,IF(#REF!="ZERO",0))))),"")</f>
        <v>#REF!</v>
      </c>
      <c r="H3378" s="139" t="e">
        <f t="shared" ca="1" si="211"/>
        <v>#REF!</v>
      </c>
      <c r="I3378" s="137" t="e">
        <f t="shared" ca="1" si="212"/>
        <v>#REF!</v>
      </c>
      <c r="J3378" s="117"/>
    </row>
    <row r="3379" spans="1:10" hidden="1" x14ac:dyDescent="0.25">
      <c r="A3379" s="114" t="s">
        <v>6901</v>
      </c>
      <c r="B3379" s="115" t="s">
        <v>7181</v>
      </c>
      <c r="C3379" s="116" t="s">
        <v>16</v>
      </c>
      <c r="D3379" s="116">
        <v>0</v>
      </c>
      <c r="E3379" s="136">
        <f ca="1">OFFSET(INDEX(Composições!A:J,MATCH(Orçamentária!A3379,Composições!A:A,0),8),2,0)</f>
        <v>4.2084999999999999</v>
      </c>
      <c r="F3379" s="137">
        <f t="shared" ca="1" si="210"/>
        <v>0</v>
      </c>
      <c r="G3379" s="138" t="e">
        <f>IF(A3379&lt;&gt;"",IF(AND(#REF!="Padrão",$H$4=#REF!),BDI!$B$17,IF(AND(#REF!="Padrão",$H$4=#REF!),BDI!#REF!,IF(AND(#REF!="Diferenciado",$H$4=#REF!),BDI!$E$17,IF(AND(#REF!="Diferenciado",$H$4=#REF!),BDI!#REF!,IF(#REF!="ZERO",0))))),"")</f>
        <v>#REF!</v>
      </c>
      <c r="H3379" s="139" t="e">
        <f t="shared" ca="1" si="211"/>
        <v>#REF!</v>
      </c>
      <c r="I3379" s="137" t="e">
        <f t="shared" ca="1" si="212"/>
        <v>#REF!</v>
      </c>
      <c r="J3379" s="117"/>
    </row>
    <row r="3380" spans="1:10" hidden="1" x14ac:dyDescent="0.25">
      <c r="A3380" s="114" t="s">
        <v>6902</v>
      </c>
      <c r="B3380" s="115" t="s">
        <v>7182</v>
      </c>
      <c r="C3380" s="116" t="s">
        <v>16</v>
      </c>
      <c r="D3380" s="116">
        <v>0</v>
      </c>
      <c r="E3380" s="136">
        <f ca="1">OFFSET(INDEX(Composições!A:J,MATCH(Orçamentária!A3380,Composições!A:A,0),8),2,0)</f>
        <v>0</v>
      </c>
      <c r="F3380" s="137">
        <f t="shared" ca="1" si="210"/>
        <v>0</v>
      </c>
      <c r="G3380" s="138" t="e">
        <f>IF(A3380&lt;&gt;"",IF(AND(#REF!="Padrão",$H$4=#REF!),BDI!$B$17,IF(AND(#REF!="Padrão",$H$4=#REF!),BDI!#REF!,IF(AND(#REF!="Diferenciado",$H$4=#REF!),BDI!$E$17,IF(AND(#REF!="Diferenciado",$H$4=#REF!),BDI!#REF!,IF(#REF!="ZERO",0))))),"")</f>
        <v>#REF!</v>
      </c>
      <c r="H3380" s="139" t="e">
        <f t="shared" ca="1" si="211"/>
        <v>#REF!</v>
      </c>
      <c r="I3380" s="137" t="e">
        <f t="shared" ca="1" si="212"/>
        <v>#REF!</v>
      </c>
      <c r="J3380" s="117"/>
    </row>
    <row r="3381" spans="1:10" hidden="1" x14ac:dyDescent="0.25">
      <c r="A3381" s="114" t="s">
        <v>6903</v>
      </c>
      <c r="B3381" s="115" t="s">
        <v>7183</v>
      </c>
      <c r="C3381" s="116" t="s">
        <v>16</v>
      </c>
      <c r="D3381" s="116">
        <v>0</v>
      </c>
      <c r="E3381" s="136">
        <f ca="1">OFFSET(INDEX(Composições!A:J,MATCH(Orçamentária!A3381,Composições!A:A,0),8),2,0)</f>
        <v>3.7145000000000001</v>
      </c>
      <c r="F3381" s="137">
        <f t="shared" ca="1" si="210"/>
        <v>0</v>
      </c>
      <c r="G3381" s="138" t="e">
        <f>IF(A3381&lt;&gt;"",IF(AND(#REF!="Padrão",$H$4=#REF!),BDI!$B$17,IF(AND(#REF!="Padrão",$H$4=#REF!),BDI!#REF!,IF(AND(#REF!="Diferenciado",$H$4=#REF!),BDI!$E$17,IF(AND(#REF!="Diferenciado",$H$4=#REF!),BDI!#REF!,IF(#REF!="ZERO",0))))),"")</f>
        <v>#REF!</v>
      </c>
      <c r="H3381" s="139" t="e">
        <f t="shared" ca="1" si="211"/>
        <v>#REF!</v>
      </c>
      <c r="I3381" s="137" t="e">
        <f t="shared" ca="1" si="212"/>
        <v>#REF!</v>
      </c>
      <c r="J3381" s="117"/>
    </row>
    <row r="3382" spans="1:10" hidden="1" x14ac:dyDescent="0.25">
      <c r="A3382" s="114" t="s">
        <v>6904</v>
      </c>
      <c r="B3382" s="115" t="s">
        <v>7184</v>
      </c>
      <c r="C3382" s="116" t="s">
        <v>16</v>
      </c>
      <c r="D3382" s="116">
        <v>0</v>
      </c>
      <c r="E3382" s="136">
        <f ca="1">OFFSET(INDEX(Composições!A:J,MATCH(Orçamentária!A3382,Composições!A:A,0),8),2,0)</f>
        <v>3.6194999999999999</v>
      </c>
      <c r="F3382" s="137">
        <f t="shared" ca="1" si="210"/>
        <v>0</v>
      </c>
      <c r="G3382" s="138" t="e">
        <f>IF(A3382&lt;&gt;"",IF(AND(#REF!="Padrão",$H$4=#REF!),BDI!$B$17,IF(AND(#REF!="Padrão",$H$4=#REF!),BDI!#REF!,IF(AND(#REF!="Diferenciado",$H$4=#REF!),BDI!$E$17,IF(AND(#REF!="Diferenciado",$H$4=#REF!),BDI!#REF!,IF(#REF!="ZERO",0))))),"")</f>
        <v>#REF!</v>
      </c>
      <c r="H3382" s="139" t="e">
        <f t="shared" ca="1" si="211"/>
        <v>#REF!</v>
      </c>
      <c r="I3382" s="137" t="e">
        <f t="shared" ca="1" si="212"/>
        <v>#REF!</v>
      </c>
      <c r="J3382" s="117"/>
    </row>
    <row r="3383" spans="1:10" hidden="1" x14ac:dyDescent="0.25">
      <c r="A3383" s="114" t="s">
        <v>6905</v>
      </c>
      <c r="B3383" s="115" t="s">
        <v>7185</v>
      </c>
      <c r="C3383" s="116" t="s">
        <v>16</v>
      </c>
      <c r="D3383" s="116">
        <v>0</v>
      </c>
      <c r="E3383" s="136">
        <f ca="1">OFFSET(INDEX(Composições!A:J,MATCH(Orçamentária!A3383,Composições!A:A,0),8),2,0)</f>
        <v>3.8854999999999995</v>
      </c>
      <c r="F3383" s="137">
        <f t="shared" ca="1" si="210"/>
        <v>0</v>
      </c>
      <c r="G3383" s="138" t="e">
        <f>IF(A3383&lt;&gt;"",IF(AND(#REF!="Padrão",$H$4=#REF!),BDI!$B$17,IF(AND(#REF!="Padrão",$H$4=#REF!),BDI!#REF!,IF(AND(#REF!="Diferenciado",$H$4=#REF!),BDI!$E$17,IF(AND(#REF!="Diferenciado",$H$4=#REF!),BDI!#REF!,IF(#REF!="ZERO",0))))),"")</f>
        <v>#REF!</v>
      </c>
      <c r="H3383" s="139" t="e">
        <f t="shared" ca="1" si="211"/>
        <v>#REF!</v>
      </c>
      <c r="I3383" s="137" t="e">
        <f t="shared" ca="1" si="212"/>
        <v>#REF!</v>
      </c>
      <c r="J3383" s="117"/>
    </row>
    <row r="3384" spans="1:10" hidden="1" x14ac:dyDescent="0.25">
      <c r="A3384" s="114" t="s">
        <v>6906</v>
      </c>
      <c r="B3384" s="115" t="s">
        <v>7186</v>
      </c>
      <c r="C3384" s="116" t="s">
        <v>16</v>
      </c>
      <c r="D3384" s="116">
        <v>0</v>
      </c>
      <c r="E3384" s="136">
        <f ca="1">OFFSET(INDEX(Composições!A:J,MATCH(Orçamentária!A3384,Composições!A:A,0),8),2,0)</f>
        <v>5.5670000000000002</v>
      </c>
      <c r="F3384" s="137">
        <f t="shared" ca="1" si="210"/>
        <v>0</v>
      </c>
      <c r="G3384" s="138" t="e">
        <f>IF(A3384&lt;&gt;"",IF(AND(#REF!="Padrão",$H$4=#REF!),BDI!$B$17,IF(AND(#REF!="Padrão",$H$4=#REF!),BDI!#REF!,IF(AND(#REF!="Diferenciado",$H$4=#REF!),BDI!$E$17,IF(AND(#REF!="Diferenciado",$H$4=#REF!),BDI!#REF!,IF(#REF!="ZERO",0))))),"")</f>
        <v>#REF!</v>
      </c>
      <c r="H3384" s="139" t="e">
        <f t="shared" ca="1" si="211"/>
        <v>#REF!</v>
      </c>
      <c r="I3384" s="137" t="e">
        <f t="shared" ca="1" si="212"/>
        <v>#REF!</v>
      </c>
      <c r="J3384" s="117"/>
    </row>
    <row r="3385" spans="1:10" hidden="1" x14ac:dyDescent="0.25">
      <c r="A3385" s="114" t="s">
        <v>6907</v>
      </c>
      <c r="B3385" s="115" t="s">
        <v>7187</v>
      </c>
      <c r="C3385" s="116" t="s">
        <v>16</v>
      </c>
      <c r="D3385" s="116">
        <v>0</v>
      </c>
      <c r="E3385" s="136">
        <f ca="1">OFFSET(INDEX(Composições!A:J,MATCH(Orçamentária!A3385,Composições!A:A,0),8),2,0)</f>
        <v>2.1849999999999996</v>
      </c>
      <c r="F3385" s="137">
        <f t="shared" ca="1" si="210"/>
        <v>0</v>
      </c>
      <c r="G3385" s="138" t="e">
        <f>IF(A3385&lt;&gt;"",IF(AND(#REF!="Padrão",$H$4=#REF!),BDI!$B$17,IF(AND(#REF!="Padrão",$H$4=#REF!),BDI!#REF!,IF(AND(#REF!="Diferenciado",$H$4=#REF!),BDI!$E$17,IF(AND(#REF!="Diferenciado",$H$4=#REF!),BDI!#REF!,IF(#REF!="ZERO",0))))),"")</f>
        <v>#REF!</v>
      </c>
      <c r="H3385" s="139" t="e">
        <f t="shared" ca="1" si="211"/>
        <v>#REF!</v>
      </c>
      <c r="I3385" s="137" t="e">
        <f t="shared" ca="1" si="212"/>
        <v>#REF!</v>
      </c>
      <c r="J3385" s="117"/>
    </row>
    <row r="3386" spans="1:10" hidden="1" x14ac:dyDescent="0.25">
      <c r="A3386" s="114" t="s">
        <v>6908</v>
      </c>
      <c r="B3386" s="115" t="s">
        <v>7188</v>
      </c>
      <c r="C3386" s="116" t="s">
        <v>16</v>
      </c>
      <c r="D3386" s="116">
        <v>0</v>
      </c>
      <c r="E3386" s="136">
        <f ca="1">OFFSET(INDEX(Composições!A:J,MATCH(Orçamentária!A3386,Composições!A:A,0),8),2,0)</f>
        <v>2.4224999999999999</v>
      </c>
      <c r="F3386" s="137">
        <f t="shared" ca="1" si="210"/>
        <v>0</v>
      </c>
      <c r="G3386" s="138" t="e">
        <f>IF(A3386&lt;&gt;"",IF(AND(#REF!="Padrão",$H$4=#REF!),BDI!$B$17,IF(AND(#REF!="Padrão",$H$4=#REF!),BDI!#REF!,IF(AND(#REF!="Diferenciado",$H$4=#REF!),BDI!$E$17,IF(AND(#REF!="Diferenciado",$H$4=#REF!),BDI!#REF!,IF(#REF!="ZERO",0))))),"")</f>
        <v>#REF!</v>
      </c>
      <c r="H3386" s="139" t="e">
        <f t="shared" ca="1" si="211"/>
        <v>#REF!</v>
      </c>
      <c r="I3386" s="137" t="e">
        <f t="shared" ca="1" si="212"/>
        <v>#REF!</v>
      </c>
      <c r="J3386" s="117"/>
    </row>
    <row r="3387" spans="1:10" hidden="1" x14ac:dyDescent="0.25">
      <c r="A3387" s="114" t="s">
        <v>6909</v>
      </c>
      <c r="B3387" s="115" t="s">
        <v>7189</v>
      </c>
      <c r="C3387" s="116" t="s">
        <v>16</v>
      </c>
      <c r="D3387" s="116">
        <v>0</v>
      </c>
      <c r="E3387" s="136">
        <f ca="1">OFFSET(INDEX(Composições!A:J,MATCH(Orçamentária!A3387,Composições!A:A,0),8),2,0)</f>
        <v>6.8019999999999996</v>
      </c>
      <c r="F3387" s="137">
        <f t="shared" ca="1" si="210"/>
        <v>0</v>
      </c>
      <c r="G3387" s="138" t="e">
        <f>IF(A3387&lt;&gt;"",IF(AND(#REF!="Padrão",$H$4=#REF!),BDI!$B$17,IF(AND(#REF!="Padrão",$H$4=#REF!),BDI!#REF!,IF(AND(#REF!="Diferenciado",$H$4=#REF!),BDI!$E$17,IF(AND(#REF!="Diferenciado",$H$4=#REF!),BDI!#REF!,IF(#REF!="ZERO",0))))),"")</f>
        <v>#REF!</v>
      </c>
      <c r="H3387" s="139" t="e">
        <f t="shared" ca="1" si="211"/>
        <v>#REF!</v>
      </c>
      <c r="I3387" s="137" t="e">
        <f t="shared" ca="1" si="212"/>
        <v>#REF!</v>
      </c>
      <c r="J3387" s="117"/>
    </row>
    <row r="3388" spans="1:10" hidden="1" x14ac:dyDescent="0.25">
      <c r="A3388" s="114" t="s">
        <v>6910</v>
      </c>
      <c r="B3388" s="115" t="s">
        <v>7190</v>
      </c>
      <c r="C3388" s="116" t="s">
        <v>16</v>
      </c>
      <c r="D3388" s="116">
        <v>0</v>
      </c>
      <c r="E3388" s="136">
        <f ca="1">OFFSET(INDEX(Composições!A:J,MATCH(Orçamentária!A3388,Composições!A:A,0),8),2,0)</f>
        <v>3.2489999999999997</v>
      </c>
      <c r="F3388" s="137">
        <f t="shared" ca="1" si="210"/>
        <v>0</v>
      </c>
      <c r="G3388" s="138" t="e">
        <f>IF(A3388&lt;&gt;"",IF(AND(#REF!="Padrão",$H$4=#REF!),BDI!$B$17,IF(AND(#REF!="Padrão",$H$4=#REF!),BDI!#REF!,IF(AND(#REF!="Diferenciado",$H$4=#REF!),BDI!$E$17,IF(AND(#REF!="Diferenciado",$H$4=#REF!),BDI!#REF!,IF(#REF!="ZERO",0))))),"")</f>
        <v>#REF!</v>
      </c>
      <c r="H3388" s="139" t="e">
        <f t="shared" ca="1" si="211"/>
        <v>#REF!</v>
      </c>
      <c r="I3388" s="137" t="e">
        <f t="shared" ca="1" si="212"/>
        <v>#REF!</v>
      </c>
      <c r="J3388" s="117"/>
    </row>
    <row r="3389" spans="1:10" hidden="1" x14ac:dyDescent="0.25">
      <c r="A3389" s="114" t="s">
        <v>6911</v>
      </c>
      <c r="B3389" s="115" t="s">
        <v>7191</v>
      </c>
      <c r="C3389" s="116" t="s">
        <v>16</v>
      </c>
      <c r="D3389" s="116">
        <v>0</v>
      </c>
      <c r="E3389" s="136">
        <f ca="1">OFFSET(INDEX(Composições!A:J,MATCH(Orçamentária!A3389,Composições!A:A,0),8),2,0)</f>
        <v>11.058</v>
      </c>
      <c r="F3389" s="137">
        <f t="shared" ca="1" si="210"/>
        <v>0</v>
      </c>
      <c r="G3389" s="138" t="e">
        <f>IF(A3389&lt;&gt;"",IF(AND(#REF!="Padrão",$H$4=#REF!),BDI!$B$17,IF(AND(#REF!="Padrão",$H$4=#REF!),BDI!#REF!,IF(AND(#REF!="Diferenciado",$H$4=#REF!),BDI!$E$17,IF(AND(#REF!="Diferenciado",$H$4=#REF!),BDI!#REF!,IF(#REF!="ZERO",0))))),"")</f>
        <v>#REF!</v>
      </c>
      <c r="H3389" s="139" t="e">
        <f t="shared" ca="1" si="211"/>
        <v>#REF!</v>
      </c>
      <c r="I3389" s="137" t="e">
        <f t="shared" ca="1" si="212"/>
        <v>#REF!</v>
      </c>
      <c r="J3389" s="117"/>
    </row>
    <row r="3390" spans="1:10" hidden="1" x14ac:dyDescent="0.25">
      <c r="A3390" s="114" t="s">
        <v>6912</v>
      </c>
      <c r="B3390" s="115" t="s">
        <v>7192</v>
      </c>
      <c r="C3390" s="116" t="s">
        <v>16</v>
      </c>
      <c r="D3390" s="116">
        <v>0</v>
      </c>
      <c r="E3390" s="136">
        <f ca="1">OFFSET(INDEX(Composições!A:J,MATCH(Orçamentária!A3390,Composições!A:A,0),8),2,0)</f>
        <v>9.69</v>
      </c>
      <c r="F3390" s="137">
        <f t="shared" ca="1" si="210"/>
        <v>0</v>
      </c>
      <c r="G3390" s="138" t="e">
        <f>IF(A3390&lt;&gt;"",IF(AND(#REF!="Padrão",$H$4=#REF!),BDI!$B$17,IF(AND(#REF!="Padrão",$H$4=#REF!),BDI!#REF!,IF(AND(#REF!="Diferenciado",$H$4=#REF!),BDI!$E$17,IF(AND(#REF!="Diferenciado",$H$4=#REF!),BDI!#REF!,IF(#REF!="ZERO",0))))),"")</f>
        <v>#REF!</v>
      </c>
      <c r="H3390" s="139" t="e">
        <f t="shared" ca="1" si="211"/>
        <v>#REF!</v>
      </c>
      <c r="I3390" s="137" t="e">
        <f t="shared" ca="1" si="212"/>
        <v>#REF!</v>
      </c>
      <c r="J3390" s="117"/>
    </row>
    <row r="3391" spans="1:10" hidden="1" x14ac:dyDescent="0.25">
      <c r="A3391" s="114" t="s">
        <v>6913</v>
      </c>
      <c r="B3391" s="115" t="s">
        <v>7193</v>
      </c>
      <c r="C3391" s="116" t="s">
        <v>16</v>
      </c>
      <c r="D3391" s="116">
        <v>0</v>
      </c>
      <c r="E3391" s="136">
        <f ca="1">OFFSET(INDEX(Composições!A:J,MATCH(Orçamentária!A3391,Composições!A:A,0),8),2,0)</f>
        <v>7.3814999999999991</v>
      </c>
      <c r="F3391" s="137">
        <f t="shared" ca="1" si="210"/>
        <v>0</v>
      </c>
      <c r="G3391" s="138" t="e">
        <f>IF(A3391&lt;&gt;"",IF(AND(#REF!="Padrão",$H$4=#REF!),BDI!$B$17,IF(AND(#REF!="Padrão",$H$4=#REF!),BDI!#REF!,IF(AND(#REF!="Diferenciado",$H$4=#REF!),BDI!$E$17,IF(AND(#REF!="Diferenciado",$H$4=#REF!),BDI!#REF!,IF(#REF!="ZERO",0))))),"")</f>
        <v>#REF!</v>
      </c>
      <c r="H3391" s="139" t="e">
        <f t="shared" ca="1" si="211"/>
        <v>#REF!</v>
      </c>
      <c r="I3391" s="137" t="e">
        <f t="shared" ca="1" si="212"/>
        <v>#REF!</v>
      </c>
      <c r="J3391" s="117"/>
    </row>
    <row r="3392" spans="1:10" hidden="1" x14ac:dyDescent="0.25">
      <c r="A3392" s="114" t="s">
        <v>6914</v>
      </c>
      <c r="B3392" s="115" t="s">
        <v>7194</v>
      </c>
      <c r="C3392" s="116" t="s">
        <v>16</v>
      </c>
      <c r="D3392" s="116">
        <v>0</v>
      </c>
      <c r="E3392" s="136">
        <f ca="1">OFFSET(INDEX(Composições!A:J,MATCH(Orçamentária!A3392,Composições!A:A,0),8),2,0)</f>
        <v>0</v>
      </c>
      <c r="F3392" s="137">
        <f t="shared" ca="1" si="210"/>
        <v>0</v>
      </c>
      <c r="G3392" s="138" t="e">
        <f>IF(A3392&lt;&gt;"",IF(AND(#REF!="Padrão",$H$4=#REF!),BDI!$B$17,IF(AND(#REF!="Padrão",$H$4=#REF!),BDI!#REF!,IF(AND(#REF!="Diferenciado",$H$4=#REF!),BDI!$E$17,IF(AND(#REF!="Diferenciado",$H$4=#REF!),BDI!#REF!,IF(#REF!="ZERO",0))))),"")</f>
        <v>#REF!</v>
      </c>
      <c r="H3392" s="139" t="e">
        <f t="shared" ca="1" si="211"/>
        <v>#REF!</v>
      </c>
      <c r="I3392" s="137" t="e">
        <f t="shared" ca="1" si="212"/>
        <v>#REF!</v>
      </c>
      <c r="J3392" s="117"/>
    </row>
    <row r="3393" spans="1:10" hidden="1" x14ac:dyDescent="0.25">
      <c r="A3393" s="114" t="s">
        <v>6915</v>
      </c>
      <c r="B3393" s="115" t="s">
        <v>7195</v>
      </c>
      <c r="C3393" s="116" t="s">
        <v>16</v>
      </c>
      <c r="D3393" s="116">
        <v>0</v>
      </c>
      <c r="E3393" s="136">
        <f ca="1">OFFSET(INDEX(Composições!A:J,MATCH(Orçamentária!A3393,Composições!A:A,0),8),2,0)</f>
        <v>3.0114999999999998</v>
      </c>
      <c r="F3393" s="137">
        <f t="shared" ca="1" si="210"/>
        <v>0</v>
      </c>
      <c r="G3393" s="138" t="e">
        <f>IF(A3393&lt;&gt;"",IF(AND(#REF!="Padrão",$H$4=#REF!),BDI!$B$17,IF(AND(#REF!="Padrão",$H$4=#REF!),BDI!#REF!,IF(AND(#REF!="Diferenciado",$H$4=#REF!),BDI!$E$17,IF(AND(#REF!="Diferenciado",$H$4=#REF!),BDI!#REF!,IF(#REF!="ZERO",0))))),"")</f>
        <v>#REF!</v>
      </c>
      <c r="H3393" s="139" t="e">
        <f t="shared" ca="1" si="211"/>
        <v>#REF!</v>
      </c>
      <c r="I3393" s="137" t="e">
        <f t="shared" ca="1" si="212"/>
        <v>#REF!</v>
      </c>
      <c r="J3393" s="117"/>
    </row>
    <row r="3394" spans="1:10" hidden="1" x14ac:dyDescent="0.25">
      <c r="A3394" s="114" t="s">
        <v>6916</v>
      </c>
      <c r="B3394" s="115" t="s">
        <v>7196</v>
      </c>
      <c r="C3394" s="116" t="s">
        <v>16</v>
      </c>
      <c r="D3394" s="116">
        <v>0</v>
      </c>
      <c r="E3394" s="136">
        <f ca="1">OFFSET(INDEX(Composições!A:J,MATCH(Orçamentária!A3394,Composições!A:A,0),8),2,0)</f>
        <v>4.3984999999999994</v>
      </c>
      <c r="F3394" s="137">
        <f t="shared" ca="1" si="210"/>
        <v>0</v>
      </c>
      <c r="G3394" s="138" t="e">
        <f>IF(A3394&lt;&gt;"",IF(AND(#REF!="Padrão",$H$4=#REF!),BDI!$B$17,IF(AND(#REF!="Padrão",$H$4=#REF!),BDI!#REF!,IF(AND(#REF!="Diferenciado",$H$4=#REF!),BDI!$E$17,IF(AND(#REF!="Diferenciado",$H$4=#REF!),BDI!#REF!,IF(#REF!="ZERO",0))))),"")</f>
        <v>#REF!</v>
      </c>
      <c r="H3394" s="139" t="e">
        <f t="shared" ca="1" si="211"/>
        <v>#REF!</v>
      </c>
      <c r="I3394" s="137" t="e">
        <f t="shared" ca="1" si="212"/>
        <v>#REF!</v>
      </c>
      <c r="J3394" s="117"/>
    </row>
    <row r="3395" spans="1:10" hidden="1" x14ac:dyDescent="0.25">
      <c r="A3395" s="114" t="s">
        <v>6917</v>
      </c>
      <c r="B3395" s="115" t="s">
        <v>7197</v>
      </c>
      <c r="C3395" s="116" t="s">
        <v>16</v>
      </c>
      <c r="D3395" s="116">
        <v>0</v>
      </c>
      <c r="E3395" s="136">
        <f ca="1">OFFSET(INDEX(Composições!A:J,MATCH(Orçamentária!A3395,Composições!A:A,0),8),2,0)</f>
        <v>5.2154999999999996</v>
      </c>
      <c r="F3395" s="137">
        <f t="shared" ca="1" si="210"/>
        <v>0</v>
      </c>
      <c r="G3395" s="138" t="e">
        <f>IF(A3395&lt;&gt;"",IF(AND(#REF!="Padrão",$H$4=#REF!),BDI!$B$17,IF(AND(#REF!="Padrão",$H$4=#REF!),BDI!#REF!,IF(AND(#REF!="Diferenciado",$H$4=#REF!),BDI!$E$17,IF(AND(#REF!="Diferenciado",$H$4=#REF!),BDI!#REF!,IF(#REF!="ZERO",0))))),"")</f>
        <v>#REF!</v>
      </c>
      <c r="H3395" s="139" t="e">
        <f t="shared" ca="1" si="211"/>
        <v>#REF!</v>
      </c>
      <c r="I3395" s="137" t="e">
        <f t="shared" ca="1" si="212"/>
        <v>#REF!</v>
      </c>
      <c r="J3395" s="117"/>
    </row>
    <row r="3396" spans="1:10" hidden="1" x14ac:dyDescent="0.25">
      <c r="A3396" s="114" t="s">
        <v>6918</v>
      </c>
      <c r="B3396" s="115" t="s">
        <v>7198</v>
      </c>
      <c r="C3396" s="116" t="s">
        <v>16</v>
      </c>
      <c r="D3396" s="116">
        <v>0</v>
      </c>
      <c r="E3396" s="136">
        <f ca="1">OFFSET(INDEX(Composições!A:J,MATCH(Orçamentária!A3396,Composições!A:A,0),8),2,0)</f>
        <v>13.442499999999999</v>
      </c>
      <c r="F3396" s="137">
        <f t="shared" ca="1" si="210"/>
        <v>0</v>
      </c>
      <c r="G3396" s="138" t="e">
        <f>IF(A3396&lt;&gt;"",IF(AND(#REF!="Padrão",$H$4=#REF!),BDI!$B$17,IF(AND(#REF!="Padrão",$H$4=#REF!),BDI!#REF!,IF(AND(#REF!="Diferenciado",$H$4=#REF!),BDI!$E$17,IF(AND(#REF!="Diferenciado",$H$4=#REF!),BDI!#REF!,IF(#REF!="ZERO",0))))),"")</f>
        <v>#REF!</v>
      </c>
      <c r="H3396" s="139" t="e">
        <f t="shared" ca="1" si="211"/>
        <v>#REF!</v>
      </c>
      <c r="I3396" s="137" t="e">
        <f t="shared" ca="1" si="212"/>
        <v>#REF!</v>
      </c>
      <c r="J3396" s="117"/>
    </row>
    <row r="3397" spans="1:10" hidden="1" x14ac:dyDescent="0.25">
      <c r="A3397" s="114" t="s">
        <v>6919</v>
      </c>
      <c r="B3397" s="115" t="s">
        <v>7199</v>
      </c>
      <c r="C3397" s="116" t="s">
        <v>16</v>
      </c>
      <c r="D3397" s="116">
        <v>0</v>
      </c>
      <c r="E3397" s="136">
        <f ca="1">OFFSET(INDEX(Composições!A:J,MATCH(Orçamentária!A3397,Composições!A:A,0),8),2,0)</f>
        <v>6.593</v>
      </c>
      <c r="F3397" s="137">
        <f t="shared" ca="1" si="210"/>
        <v>0</v>
      </c>
      <c r="G3397" s="138" t="e">
        <f>IF(A3397&lt;&gt;"",IF(AND(#REF!="Padrão",$H$4=#REF!),BDI!$B$17,IF(AND(#REF!="Padrão",$H$4=#REF!),BDI!#REF!,IF(AND(#REF!="Diferenciado",$H$4=#REF!),BDI!$E$17,IF(AND(#REF!="Diferenciado",$H$4=#REF!),BDI!#REF!,IF(#REF!="ZERO",0))))),"")</f>
        <v>#REF!</v>
      </c>
      <c r="H3397" s="139" t="e">
        <f t="shared" ca="1" si="211"/>
        <v>#REF!</v>
      </c>
      <c r="I3397" s="137" t="e">
        <f t="shared" ca="1" si="212"/>
        <v>#REF!</v>
      </c>
      <c r="J3397" s="117"/>
    </row>
    <row r="3398" spans="1:10" hidden="1" x14ac:dyDescent="0.25">
      <c r="A3398" s="114" t="s">
        <v>6920</v>
      </c>
      <c r="B3398" s="115" t="s">
        <v>7200</v>
      </c>
      <c r="C3398" s="116" t="s">
        <v>16</v>
      </c>
      <c r="D3398" s="116">
        <v>0</v>
      </c>
      <c r="E3398" s="136">
        <f ca="1">OFFSET(INDEX(Composições!A:J,MATCH(Orçamentária!A3398,Composições!A:A,0),8),2,0)</f>
        <v>6.8304999999999998</v>
      </c>
      <c r="F3398" s="137">
        <f t="shared" ca="1" si="210"/>
        <v>0</v>
      </c>
      <c r="G3398" s="138" t="e">
        <f>IF(A3398&lt;&gt;"",IF(AND(#REF!="Padrão",$H$4=#REF!),BDI!$B$17,IF(AND(#REF!="Padrão",$H$4=#REF!),BDI!#REF!,IF(AND(#REF!="Diferenciado",$H$4=#REF!),BDI!$E$17,IF(AND(#REF!="Diferenciado",$H$4=#REF!),BDI!#REF!,IF(#REF!="ZERO",0))))),"")</f>
        <v>#REF!</v>
      </c>
      <c r="H3398" s="139" t="e">
        <f t="shared" ca="1" si="211"/>
        <v>#REF!</v>
      </c>
      <c r="I3398" s="137" t="e">
        <f t="shared" ca="1" si="212"/>
        <v>#REF!</v>
      </c>
      <c r="J3398" s="117"/>
    </row>
    <row r="3399" spans="1:10" hidden="1" x14ac:dyDescent="0.25">
      <c r="A3399" s="114" t="s">
        <v>6921</v>
      </c>
      <c r="B3399" s="115" t="s">
        <v>7201</v>
      </c>
      <c r="C3399" s="116" t="s">
        <v>16</v>
      </c>
      <c r="D3399" s="116">
        <v>0</v>
      </c>
      <c r="E3399" s="136">
        <f ca="1">OFFSET(INDEX(Composições!A:J,MATCH(Orçamentária!A3399,Composições!A:A,0),8),2,0)</f>
        <v>43.775999999999996</v>
      </c>
      <c r="F3399" s="137">
        <f t="shared" ca="1" si="210"/>
        <v>0</v>
      </c>
      <c r="G3399" s="138" t="e">
        <f>IF(A3399&lt;&gt;"",IF(AND(#REF!="Padrão",$H$4=#REF!),BDI!$B$17,IF(AND(#REF!="Padrão",$H$4=#REF!),BDI!#REF!,IF(AND(#REF!="Diferenciado",$H$4=#REF!),BDI!$E$17,IF(AND(#REF!="Diferenciado",$H$4=#REF!),BDI!#REF!,IF(#REF!="ZERO",0))))),"")</f>
        <v>#REF!</v>
      </c>
      <c r="H3399" s="139" t="e">
        <f t="shared" ca="1" si="211"/>
        <v>#REF!</v>
      </c>
      <c r="I3399" s="137" t="e">
        <f t="shared" ca="1" si="212"/>
        <v>#REF!</v>
      </c>
      <c r="J3399" s="117"/>
    </row>
    <row r="3400" spans="1:10" hidden="1" x14ac:dyDescent="0.25">
      <c r="A3400" s="114" t="s">
        <v>6922</v>
      </c>
      <c r="B3400" s="115" t="s">
        <v>7202</v>
      </c>
      <c r="C3400" s="116" t="s">
        <v>16</v>
      </c>
      <c r="D3400" s="116">
        <v>0</v>
      </c>
      <c r="E3400" s="136">
        <f ca="1">OFFSET(INDEX(Composições!A:J,MATCH(Orçamentária!A3400,Composições!A:A,0),8),2,0)</f>
        <v>7.7899999999999991</v>
      </c>
      <c r="F3400" s="137">
        <f t="shared" ca="1" si="210"/>
        <v>0</v>
      </c>
      <c r="G3400" s="138" t="e">
        <f>IF(A3400&lt;&gt;"",IF(AND(#REF!="Padrão",$H$4=#REF!),BDI!$B$17,IF(AND(#REF!="Padrão",$H$4=#REF!),BDI!#REF!,IF(AND(#REF!="Diferenciado",$H$4=#REF!),BDI!$E$17,IF(AND(#REF!="Diferenciado",$H$4=#REF!),BDI!#REF!,IF(#REF!="ZERO",0))))),"")</f>
        <v>#REF!</v>
      </c>
      <c r="H3400" s="139" t="e">
        <f t="shared" ca="1" si="211"/>
        <v>#REF!</v>
      </c>
      <c r="I3400" s="137" t="e">
        <f t="shared" ca="1" si="212"/>
        <v>#REF!</v>
      </c>
      <c r="J3400" s="117"/>
    </row>
    <row r="3401" spans="1:10" hidden="1" x14ac:dyDescent="0.25">
      <c r="A3401" s="114" t="s">
        <v>6923</v>
      </c>
      <c r="B3401" s="115" t="s">
        <v>7203</v>
      </c>
      <c r="C3401" s="116" t="s">
        <v>16</v>
      </c>
      <c r="D3401" s="116">
        <v>0</v>
      </c>
      <c r="E3401" s="136">
        <f ca="1">OFFSET(INDEX(Composições!A:J,MATCH(Orçamentária!A3401,Composições!A:A,0),8),2,0)</f>
        <v>12.283499999999998</v>
      </c>
      <c r="F3401" s="137">
        <f t="shared" ca="1" si="210"/>
        <v>0</v>
      </c>
      <c r="G3401" s="138" t="e">
        <f>IF(A3401&lt;&gt;"",IF(AND(#REF!="Padrão",$H$4=#REF!),BDI!$B$17,IF(AND(#REF!="Padrão",$H$4=#REF!),BDI!#REF!,IF(AND(#REF!="Diferenciado",$H$4=#REF!),BDI!$E$17,IF(AND(#REF!="Diferenciado",$H$4=#REF!),BDI!#REF!,IF(#REF!="ZERO",0))))),"")</f>
        <v>#REF!</v>
      </c>
      <c r="H3401" s="139" t="e">
        <f t="shared" ca="1" si="211"/>
        <v>#REF!</v>
      </c>
      <c r="I3401" s="137" t="e">
        <f t="shared" ca="1" si="212"/>
        <v>#REF!</v>
      </c>
      <c r="J3401" s="117"/>
    </row>
    <row r="3402" spans="1:10" hidden="1" x14ac:dyDescent="0.25">
      <c r="A3402" s="114" t="s">
        <v>6924</v>
      </c>
      <c r="B3402" s="115" t="s">
        <v>7204</v>
      </c>
      <c r="C3402" s="116" t="s">
        <v>16</v>
      </c>
      <c r="D3402" s="116">
        <v>0</v>
      </c>
      <c r="E3402" s="136">
        <f ca="1">OFFSET(INDEX(Composições!A:J,MATCH(Orçamentária!A3402,Composições!A:A,0),8),2,0)</f>
        <v>28.186499999999999</v>
      </c>
      <c r="F3402" s="137">
        <f t="shared" ca="1" si="210"/>
        <v>0</v>
      </c>
      <c r="G3402" s="138" t="e">
        <f>IF(A3402&lt;&gt;"",IF(AND(#REF!="Padrão",$H$4=#REF!),BDI!$B$17,IF(AND(#REF!="Padrão",$H$4=#REF!),BDI!#REF!,IF(AND(#REF!="Diferenciado",$H$4=#REF!),BDI!$E$17,IF(AND(#REF!="Diferenciado",$H$4=#REF!),BDI!#REF!,IF(#REF!="ZERO",0))))),"")</f>
        <v>#REF!</v>
      </c>
      <c r="H3402" s="139" t="e">
        <f t="shared" ca="1" si="211"/>
        <v>#REF!</v>
      </c>
      <c r="I3402" s="137" t="e">
        <f t="shared" ca="1" si="212"/>
        <v>#REF!</v>
      </c>
      <c r="J3402" s="117"/>
    </row>
    <row r="3403" spans="1:10" hidden="1" x14ac:dyDescent="0.25">
      <c r="A3403" s="114" t="s">
        <v>6925</v>
      </c>
      <c r="B3403" s="115" t="s">
        <v>7205</v>
      </c>
      <c r="C3403" s="116" t="s">
        <v>16</v>
      </c>
      <c r="D3403" s="116">
        <v>0</v>
      </c>
      <c r="E3403" s="136">
        <f ca="1">OFFSET(INDEX(Composições!A:J,MATCH(Orçamentária!A3403,Composições!A:A,0),8),2,0)</f>
        <v>10.45</v>
      </c>
      <c r="F3403" s="137">
        <f t="shared" ca="1" si="210"/>
        <v>0</v>
      </c>
      <c r="G3403" s="138" t="e">
        <f>IF(A3403&lt;&gt;"",IF(AND(#REF!="Padrão",$H$4=#REF!),BDI!$B$17,IF(AND(#REF!="Padrão",$H$4=#REF!),BDI!#REF!,IF(AND(#REF!="Diferenciado",$H$4=#REF!),BDI!$E$17,IF(AND(#REF!="Diferenciado",$H$4=#REF!),BDI!#REF!,IF(#REF!="ZERO",0))))),"")</f>
        <v>#REF!</v>
      </c>
      <c r="H3403" s="139" t="e">
        <f t="shared" ca="1" si="211"/>
        <v>#REF!</v>
      </c>
      <c r="I3403" s="137" t="e">
        <f t="shared" ca="1" si="212"/>
        <v>#REF!</v>
      </c>
      <c r="J3403" s="117"/>
    </row>
    <row r="3404" spans="1:10" hidden="1" x14ac:dyDescent="0.25">
      <c r="A3404" s="114" t="s">
        <v>6926</v>
      </c>
      <c r="B3404" s="115" t="s">
        <v>7206</v>
      </c>
      <c r="C3404" s="116" t="s">
        <v>16</v>
      </c>
      <c r="D3404" s="116">
        <v>0</v>
      </c>
      <c r="E3404" s="136">
        <f ca="1">OFFSET(INDEX(Composições!A:J,MATCH(Orçamentária!A3404,Composições!A:A,0),8),2,0)</f>
        <v>7.6475</v>
      </c>
      <c r="F3404" s="137">
        <f t="shared" ca="1" si="210"/>
        <v>0</v>
      </c>
      <c r="G3404" s="138" t="e">
        <f>IF(A3404&lt;&gt;"",IF(AND(#REF!="Padrão",$H$4=#REF!),BDI!$B$17,IF(AND(#REF!="Padrão",$H$4=#REF!),BDI!#REF!,IF(AND(#REF!="Diferenciado",$H$4=#REF!),BDI!$E$17,IF(AND(#REF!="Diferenciado",$H$4=#REF!),BDI!#REF!,IF(#REF!="ZERO",0))))),"")</f>
        <v>#REF!</v>
      </c>
      <c r="H3404" s="139" t="e">
        <f t="shared" ca="1" si="211"/>
        <v>#REF!</v>
      </c>
      <c r="I3404" s="137" t="e">
        <f t="shared" ca="1" si="212"/>
        <v>#REF!</v>
      </c>
      <c r="J3404" s="117"/>
    </row>
    <row r="3405" spans="1:10" hidden="1" x14ac:dyDescent="0.25">
      <c r="A3405" s="114" t="s">
        <v>6927</v>
      </c>
      <c r="B3405" s="115" t="s">
        <v>7207</v>
      </c>
      <c r="C3405" s="116" t="s">
        <v>16</v>
      </c>
      <c r="D3405" s="116">
        <v>0</v>
      </c>
      <c r="E3405" s="136">
        <f ca="1">OFFSET(INDEX(Composições!A:J,MATCH(Orçamentária!A3405,Composições!A:A,0),8),2,0)</f>
        <v>6.4409999999999998</v>
      </c>
      <c r="F3405" s="137">
        <f t="shared" ca="1" si="210"/>
        <v>0</v>
      </c>
      <c r="G3405" s="138" t="e">
        <f>IF(A3405&lt;&gt;"",IF(AND(#REF!="Padrão",$H$4=#REF!),BDI!$B$17,IF(AND(#REF!="Padrão",$H$4=#REF!),BDI!#REF!,IF(AND(#REF!="Diferenciado",$H$4=#REF!),BDI!$E$17,IF(AND(#REF!="Diferenciado",$H$4=#REF!),BDI!#REF!,IF(#REF!="ZERO",0))))),"")</f>
        <v>#REF!</v>
      </c>
      <c r="H3405" s="139" t="e">
        <f t="shared" ca="1" si="211"/>
        <v>#REF!</v>
      </c>
      <c r="I3405" s="137" t="e">
        <f t="shared" ca="1" si="212"/>
        <v>#REF!</v>
      </c>
      <c r="J3405" s="117"/>
    </row>
    <row r="3406" spans="1:10" hidden="1" x14ac:dyDescent="0.25">
      <c r="A3406" s="114" t="s">
        <v>6987</v>
      </c>
      <c r="B3406" s="115" t="s">
        <v>7208</v>
      </c>
      <c r="C3406" s="116" t="s">
        <v>16</v>
      </c>
      <c r="D3406" s="116">
        <v>0</v>
      </c>
      <c r="E3406" s="136">
        <f ca="1">OFFSET(INDEX(Composições!A:J,MATCH(Orçamentária!A3406,Composições!A:A,0),8),2,0)</f>
        <v>8.17</v>
      </c>
      <c r="F3406" s="137">
        <f t="shared" ca="1" si="210"/>
        <v>0</v>
      </c>
      <c r="G3406" s="138" t="e">
        <f>IF(A3406&lt;&gt;"",IF(AND(#REF!="Padrão",$H$4=#REF!),BDI!$B$17,IF(AND(#REF!="Padrão",$H$4=#REF!),BDI!#REF!,IF(AND(#REF!="Diferenciado",$H$4=#REF!),BDI!$E$17,IF(AND(#REF!="Diferenciado",$H$4=#REF!),BDI!#REF!,IF(#REF!="ZERO",0))))),"")</f>
        <v>#REF!</v>
      </c>
      <c r="H3406" s="139" t="e">
        <f t="shared" ca="1" si="211"/>
        <v>#REF!</v>
      </c>
      <c r="I3406" s="137" t="e">
        <f t="shared" ca="1" si="212"/>
        <v>#REF!</v>
      </c>
      <c r="J3406" s="117"/>
    </row>
    <row r="3407" spans="1:10" hidden="1" x14ac:dyDescent="0.25">
      <c r="A3407" s="114" t="s">
        <v>6988</v>
      </c>
      <c r="B3407" s="115" t="s">
        <v>7209</v>
      </c>
      <c r="C3407" s="116" t="s">
        <v>16</v>
      </c>
      <c r="D3407" s="116">
        <v>0</v>
      </c>
      <c r="E3407" s="136">
        <f ca="1">OFFSET(INDEX(Composições!A:J,MATCH(Orçamentária!A3407,Composições!A:A,0),8),2,0)</f>
        <v>57.294499999999999</v>
      </c>
      <c r="F3407" s="137">
        <f t="shared" ref="F3407:F3470" ca="1" si="213">IF(ISNUMBER(E3407),D3407*E3407,"")</f>
        <v>0</v>
      </c>
      <c r="G3407" s="138" t="e">
        <f>IF(A3407&lt;&gt;"",IF(AND(#REF!="Padrão",$H$4=#REF!),BDI!$B$17,IF(AND(#REF!="Padrão",$H$4=#REF!),BDI!#REF!,IF(AND(#REF!="Diferenciado",$H$4=#REF!),BDI!$E$17,IF(AND(#REF!="Diferenciado",$H$4=#REF!),BDI!#REF!,IF(#REF!="ZERO",0))))),"")</f>
        <v>#REF!</v>
      </c>
      <c r="H3407" s="139" t="e">
        <f t="shared" ref="H3407:H3470" ca="1" si="214">IF(ISNUMBER(E3407),ROUND(E3407*(1+G3407),2),"")</f>
        <v>#REF!</v>
      </c>
      <c r="I3407" s="137" t="e">
        <f t="shared" ref="I3407:I3470" ca="1" si="215">IF(ISNUMBER(E3407),ROUND(H3407*D3407,2),"")</f>
        <v>#REF!</v>
      </c>
      <c r="J3407" s="117"/>
    </row>
    <row r="3408" spans="1:10" hidden="1" x14ac:dyDescent="0.25">
      <c r="A3408" s="114" t="s">
        <v>6989</v>
      </c>
      <c r="B3408" s="115" t="s">
        <v>7210</v>
      </c>
      <c r="C3408" s="116" t="s">
        <v>16</v>
      </c>
      <c r="D3408" s="116">
        <v>0</v>
      </c>
      <c r="E3408" s="136">
        <f ca="1">OFFSET(INDEX(Composições!A:J,MATCH(Orçamentária!A3408,Composições!A:A,0),8),2,0)</f>
        <v>8.9870000000000001</v>
      </c>
      <c r="F3408" s="137">
        <f t="shared" ca="1" si="213"/>
        <v>0</v>
      </c>
      <c r="G3408" s="138" t="e">
        <f>IF(A3408&lt;&gt;"",IF(AND(#REF!="Padrão",$H$4=#REF!),BDI!$B$17,IF(AND(#REF!="Padrão",$H$4=#REF!),BDI!#REF!,IF(AND(#REF!="Diferenciado",$H$4=#REF!),BDI!$E$17,IF(AND(#REF!="Diferenciado",$H$4=#REF!),BDI!#REF!,IF(#REF!="ZERO",0))))),"")</f>
        <v>#REF!</v>
      </c>
      <c r="H3408" s="139" t="e">
        <f t="shared" ca="1" si="214"/>
        <v>#REF!</v>
      </c>
      <c r="I3408" s="137" t="e">
        <f t="shared" ca="1" si="215"/>
        <v>#REF!</v>
      </c>
      <c r="J3408" s="117"/>
    </row>
    <row r="3409" spans="1:10" hidden="1" x14ac:dyDescent="0.25">
      <c r="A3409" s="114" t="s">
        <v>6990</v>
      </c>
      <c r="B3409" s="115" t="s">
        <v>7211</v>
      </c>
      <c r="C3409" s="116" t="s">
        <v>16</v>
      </c>
      <c r="D3409" s="116">
        <v>0</v>
      </c>
      <c r="E3409" s="136">
        <f ca="1">OFFSET(INDEX(Composições!A:J,MATCH(Orçamentária!A3409,Composições!A:A,0),8),2,0)</f>
        <v>41.163499999999999</v>
      </c>
      <c r="F3409" s="137">
        <f t="shared" ca="1" si="213"/>
        <v>0</v>
      </c>
      <c r="G3409" s="138" t="e">
        <f>IF(A3409&lt;&gt;"",IF(AND(#REF!="Padrão",$H$4=#REF!),BDI!$B$17,IF(AND(#REF!="Padrão",$H$4=#REF!),BDI!#REF!,IF(AND(#REF!="Diferenciado",$H$4=#REF!),BDI!$E$17,IF(AND(#REF!="Diferenciado",$H$4=#REF!),BDI!#REF!,IF(#REF!="ZERO",0))))),"")</f>
        <v>#REF!</v>
      </c>
      <c r="H3409" s="139" t="e">
        <f t="shared" ca="1" si="214"/>
        <v>#REF!</v>
      </c>
      <c r="I3409" s="137" t="e">
        <f t="shared" ca="1" si="215"/>
        <v>#REF!</v>
      </c>
      <c r="J3409" s="117"/>
    </row>
    <row r="3410" spans="1:10" hidden="1" x14ac:dyDescent="0.25">
      <c r="A3410" s="114" t="s">
        <v>6991</v>
      </c>
      <c r="B3410" s="115" t="s">
        <v>7212</v>
      </c>
      <c r="C3410" s="116" t="s">
        <v>16</v>
      </c>
      <c r="D3410" s="116">
        <v>0</v>
      </c>
      <c r="E3410" s="136">
        <f ca="1">OFFSET(INDEX(Composições!A:J,MATCH(Orçamentária!A3410,Composições!A:A,0),8),2,0)</f>
        <v>23.607500000000002</v>
      </c>
      <c r="F3410" s="137">
        <f t="shared" ca="1" si="213"/>
        <v>0</v>
      </c>
      <c r="G3410" s="138" t="e">
        <f>IF(A3410&lt;&gt;"",IF(AND(#REF!="Padrão",$H$4=#REF!),BDI!$B$17,IF(AND(#REF!="Padrão",$H$4=#REF!),BDI!#REF!,IF(AND(#REF!="Diferenciado",$H$4=#REF!),BDI!$E$17,IF(AND(#REF!="Diferenciado",$H$4=#REF!),BDI!#REF!,IF(#REF!="ZERO",0))))),"")</f>
        <v>#REF!</v>
      </c>
      <c r="H3410" s="139" t="e">
        <f t="shared" ca="1" si="214"/>
        <v>#REF!</v>
      </c>
      <c r="I3410" s="137" t="e">
        <f t="shared" ca="1" si="215"/>
        <v>#REF!</v>
      </c>
      <c r="J3410" s="117"/>
    </row>
    <row r="3411" spans="1:10" hidden="1" x14ac:dyDescent="0.25">
      <c r="A3411" s="114" t="s">
        <v>6992</v>
      </c>
      <c r="B3411" s="115" t="s">
        <v>7213</v>
      </c>
      <c r="C3411" s="116" t="s">
        <v>16</v>
      </c>
      <c r="D3411" s="116">
        <v>0</v>
      </c>
      <c r="E3411" s="136">
        <f ca="1">OFFSET(INDEX(Composições!A:J,MATCH(Orçamentária!A3411,Composições!A:A,0),8),2,0)</f>
        <v>12.625499999999999</v>
      </c>
      <c r="F3411" s="137">
        <f t="shared" ca="1" si="213"/>
        <v>0</v>
      </c>
      <c r="G3411" s="138" t="e">
        <f>IF(A3411&lt;&gt;"",IF(AND(#REF!="Padrão",$H$4=#REF!),BDI!$B$17,IF(AND(#REF!="Padrão",$H$4=#REF!),BDI!#REF!,IF(AND(#REF!="Diferenciado",$H$4=#REF!),BDI!$E$17,IF(AND(#REF!="Diferenciado",$H$4=#REF!),BDI!#REF!,IF(#REF!="ZERO",0))))),"")</f>
        <v>#REF!</v>
      </c>
      <c r="H3411" s="139" t="e">
        <f t="shared" ca="1" si="214"/>
        <v>#REF!</v>
      </c>
      <c r="I3411" s="137" t="e">
        <f t="shared" ca="1" si="215"/>
        <v>#REF!</v>
      </c>
      <c r="J3411" s="117"/>
    </row>
    <row r="3412" spans="1:10" hidden="1" x14ac:dyDescent="0.25">
      <c r="A3412" s="114" t="s">
        <v>6993</v>
      </c>
      <c r="B3412" s="115" t="s">
        <v>7214</v>
      </c>
      <c r="C3412" s="116" t="s">
        <v>16</v>
      </c>
      <c r="D3412" s="116">
        <v>0</v>
      </c>
      <c r="E3412" s="136">
        <f ca="1">OFFSET(INDEX(Composições!A:J,MATCH(Orçamentária!A3412,Composições!A:A,0),8),2,0)</f>
        <v>43.025499999999994</v>
      </c>
      <c r="F3412" s="137">
        <f t="shared" ca="1" si="213"/>
        <v>0</v>
      </c>
      <c r="G3412" s="138" t="e">
        <f>IF(A3412&lt;&gt;"",IF(AND(#REF!="Padrão",$H$4=#REF!),BDI!$B$17,IF(AND(#REF!="Padrão",$H$4=#REF!),BDI!#REF!,IF(AND(#REF!="Diferenciado",$H$4=#REF!),BDI!$E$17,IF(AND(#REF!="Diferenciado",$H$4=#REF!),BDI!#REF!,IF(#REF!="ZERO",0))))),"")</f>
        <v>#REF!</v>
      </c>
      <c r="H3412" s="139" t="e">
        <f t="shared" ca="1" si="214"/>
        <v>#REF!</v>
      </c>
      <c r="I3412" s="137" t="e">
        <f t="shared" ca="1" si="215"/>
        <v>#REF!</v>
      </c>
      <c r="J3412" s="117"/>
    </row>
    <row r="3413" spans="1:10" hidden="1" x14ac:dyDescent="0.25">
      <c r="A3413" s="114" t="s">
        <v>6994</v>
      </c>
      <c r="B3413" s="115" t="s">
        <v>7215</v>
      </c>
      <c r="C3413" s="116" t="s">
        <v>16</v>
      </c>
      <c r="D3413" s="116">
        <v>0</v>
      </c>
      <c r="E3413" s="136">
        <f ca="1">OFFSET(INDEX(Composições!A:J,MATCH(Orçamentária!A3413,Composições!A:A,0),8),2,0)</f>
        <v>40.336999999999996</v>
      </c>
      <c r="F3413" s="137">
        <f t="shared" ca="1" si="213"/>
        <v>0</v>
      </c>
      <c r="G3413" s="138" t="e">
        <f>IF(A3413&lt;&gt;"",IF(AND(#REF!="Padrão",$H$4=#REF!),BDI!$B$17,IF(AND(#REF!="Padrão",$H$4=#REF!),BDI!#REF!,IF(AND(#REF!="Diferenciado",$H$4=#REF!),BDI!$E$17,IF(AND(#REF!="Diferenciado",$H$4=#REF!),BDI!#REF!,IF(#REF!="ZERO",0))))),"")</f>
        <v>#REF!</v>
      </c>
      <c r="H3413" s="139" t="e">
        <f t="shared" ca="1" si="214"/>
        <v>#REF!</v>
      </c>
      <c r="I3413" s="137" t="e">
        <f t="shared" ca="1" si="215"/>
        <v>#REF!</v>
      </c>
      <c r="J3413" s="117"/>
    </row>
    <row r="3414" spans="1:10" hidden="1" x14ac:dyDescent="0.25">
      <c r="A3414" s="114" t="s">
        <v>6995</v>
      </c>
      <c r="B3414" s="115" t="s">
        <v>7216</v>
      </c>
      <c r="C3414" s="116" t="s">
        <v>16</v>
      </c>
      <c r="D3414" s="116">
        <v>0</v>
      </c>
      <c r="E3414" s="136">
        <f ca="1">OFFSET(INDEX(Composições!A:J,MATCH(Orçamentária!A3414,Composições!A:A,0),8),2,0)</f>
        <v>19.959500000000002</v>
      </c>
      <c r="F3414" s="137">
        <f t="shared" ca="1" si="213"/>
        <v>0</v>
      </c>
      <c r="G3414" s="138" t="e">
        <f>IF(A3414&lt;&gt;"",IF(AND(#REF!="Padrão",$H$4=#REF!),BDI!$B$17,IF(AND(#REF!="Padrão",$H$4=#REF!),BDI!#REF!,IF(AND(#REF!="Diferenciado",$H$4=#REF!),BDI!$E$17,IF(AND(#REF!="Diferenciado",$H$4=#REF!),BDI!#REF!,IF(#REF!="ZERO",0))))),"")</f>
        <v>#REF!</v>
      </c>
      <c r="H3414" s="139" t="e">
        <f t="shared" ca="1" si="214"/>
        <v>#REF!</v>
      </c>
      <c r="I3414" s="137" t="e">
        <f t="shared" ca="1" si="215"/>
        <v>#REF!</v>
      </c>
      <c r="J3414" s="117"/>
    </row>
    <row r="3415" spans="1:10" hidden="1" x14ac:dyDescent="0.25">
      <c r="A3415" s="114" t="s">
        <v>6996</v>
      </c>
      <c r="B3415" s="115" t="s">
        <v>7217</v>
      </c>
      <c r="C3415" s="116" t="s">
        <v>16</v>
      </c>
      <c r="D3415" s="116">
        <v>0</v>
      </c>
      <c r="E3415" s="136">
        <f ca="1">OFFSET(INDEX(Composições!A:J,MATCH(Orçamentária!A3415,Composições!A:A,0),8),2,0)</f>
        <v>10.222</v>
      </c>
      <c r="F3415" s="137">
        <f t="shared" ca="1" si="213"/>
        <v>0</v>
      </c>
      <c r="G3415" s="138" t="e">
        <f>IF(A3415&lt;&gt;"",IF(AND(#REF!="Padrão",$H$4=#REF!),BDI!$B$17,IF(AND(#REF!="Padrão",$H$4=#REF!),BDI!#REF!,IF(AND(#REF!="Diferenciado",$H$4=#REF!),BDI!$E$17,IF(AND(#REF!="Diferenciado",$H$4=#REF!),BDI!#REF!,IF(#REF!="ZERO",0))))),"")</f>
        <v>#REF!</v>
      </c>
      <c r="H3415" s="139" t="e">
        <f t="shared" ca="1" si="214"/>
        <v>#REF!</v>
      </c>
      <c r="I3415" s="137" t="e">
        <f t="shared" ca="1" si="215"/>
        <v>#REF!</v>
      </c>
      <c r="J3415" s="117"/>
    </row>
    <row r="3416" spans="1:10" hidden="1" x14ac:dyDescent="0.25">
      <c r="A3416" s="114" t="s">
        <v>6997</v>
      </c>
      <c r="B3416" s="115" t="s">
        <v>7218</v>
      </c>
      <c r="C3416" s="116" t="s">
        <v>16</v>
      </c>
      <c r="D3416" s="116">
        <v>0</v>
      </c>
      <c r="E3416" s="136">
        <f ca="1">OFFSET(INDEX(Composições!A:J,MATCH(Orçamentária!A3416,Composições!A:A,0),8),2,0)</f>
        <v>32.242999999999995</v>
      </c>
      <c r="F3416" s="137">
        <f t="shared" ca="1" si="213"/>
        <v>0</v>
      </c>
      <c r="G3416" s="138" t="e">
        <f>IF(A3416&lt;&gt;"",IF(AND(#REF!="Padrão",$H$4=#REF!),BDI!$B$17,IF(AND(#REF!="Padrão",$H$4=#REF!),BDI!#REF!,IF(AND(#REF!="Diferenciado",$H$4=#REF!),BDI!$E$17,IF(AND(#REF!="Diferenciado",$H$4=#REF!),BDI!#REF!,IF(#REF!="ZERO",0))))),"")</f>
        <v>#REF!</v>
      </c>
      <c r="H3416" s="139" t="e">
        <f t="shared" ca="1" si="214"/>
        <v>#REF!</v>
      </c>
      <c r="I3416" s="137" t="e">
        <f t="shared" ca="1" si="215"/>
        <v>#REF!</v>
      </c>
      <c r="J3416" s="117"/>
    </row>
    <row r="3417" spans="1:10" hidden="1" x14ac:dyDescent="0.25">
      <c r="A3417" s="114" t="s">
        <v>6998</v>
      </c>
      <c r="B3417" s="115" t="s">
        <v>7219</v>
      </c>
      <c r="C3417" s="116" t="s">
        <v>16</v>
      </c>
      <c r="D3417" s="116">
        <v>0</v>
      </c>
      <c r="E3417" s="136">
        <f ca="1">OFFSET(INDEX(Composições!A:J,MATCH(Orçamentária!A3417,Composições!A:A,0),8),2,0)</f>
        <v>73.558500000000009</v>
      </c>
      <c r="F3417" s="137">
        <f t="shared" ca="1" si="213"/>
        <v>0</v>
      </c>
      <c r="G3417" s="138" t="e">
        <f>IF(A3417&lt;&gt;"",IF(AND(#REF!="Padrão",$H$4=#REF!),BDI!$B$17,IF(AND(#REF!="Padrão",$H$4=#REF!),BDI!#REF!,IF(AND(#REF!="Diferenciado",$H$4=#REF!),BDI!$E$17,IF(AND(#REF!="Diferenciado",$H$4=#REF!),BDI!#REF!,IF(#REF!="ZERO",0))))),"")</f>
        <v>#REF!</v>
      </c>
      <c r="H3417" s="139" t="e">
        <f t="shared" ca="1" si="214"/>
        <v>#REF!</v>
      </c>
      <c r="I3417" s="137" t="e">
        <f t="shared" ca="1" si="215"/>
        <v>#REF!</v>
      </c>
      <c r="J3417" s="117"/>
    </row>
    <row r="3418" spans="1:10" hidden="1" x14ac:dyDescent="0.25">
      <c r="A3418" s="114" t="s">
        <v>6999</v>
      </c>
      <c r="B3418" s="115" t="s">
        <v>7220</v>
      </c>
      <c r="C3418" s="116" t="s">
        <v>16</v>
      </c>
      <c r="D3418" s="116">
        <v>0</v>
      </c>
      <c r="E3418" s="136">
        <f ca="1">OFFSET(INDEX(Composições!A:J,MATCH(Orçamentária!A3418,Composições!A:A,0),8),2,0)</f>
        <v>179.64499999999998</v>
      </c>
      <c r="F3418" s="137">
        <f t="shared" ca="1" si="213"/>
        <v>0</v>
      </c>
      <c r="G3418" s="138" t="e">
        <f>IF(A3418&lt;&gt;"",IF(AND(#REF!="Padrão",$H$4=#REF!),BDI!$B$17,IF(AND(#REF!="Padrão",$H$4=#REF!),BDI!#REF!,IF(AND(#REF!="Diferenciado",$H$4=#REF!),BDI!$E$17,IF(AND(#REF!="Diferenciado",$H$4=#REF!),BDI!#REF!,IF(#REF!="ZERO",0))))),"")</f>
        <v>#REF!</v>
      </c>
      <c r="H3418" s="139" t="e">
        <f t="shared" ca="1" si="214"/>
        <v>#REF!</v>
      </c>
      <c r="I3418" s="137" t="e">
        <f t="shared" ca="1" si="215"/>
        <v>#REF!</v>
      </c>
      <c r="J3418" s="117"/>
    </row>
    <row r="3419" spans="1:10" hidden="1" x14ac:dyDescent="0.25">
      <c r="A3419" s="114" t="s">
        <v>7000</v>
      </c>
      <c r="B3419" s="115" t="s">
        <v>7223</v>
      </c>
      <c r="C3419" s="116" t="s">
        <v>16</v>
      </c>
      <c r="D3419" s="116">
        <v>0</v>
      </c>
      <c r="E3419" s="136">
        <f ca="1">OFFSET(INDEX(Composições!A:J,MATCH(Orçamentária!A3419,Composições!A:A,0),8),2,0)</f>
        <v>113.96199999999999</v>
      </c>
      <c r="F3419" s="137">
        <f t="shared" ca="1" si="213"/>
        <v>0</v>
      </c>
      <c r="G3419" s="138" t="e">
        <f>IF(A3419&lt;&gt;"",IF(AND(#REF!="Padrão",$H$4=#REF!),BDI!$B$17,IF(AND(#REF!="Padrão",$H$4=#REF!),BDI!#REF!,IF(AND(#REF!="Diferenciado",$H$4=#REF!),BDI!$E$17,IF(AND(#REF!="Diferenciado",$H$4=#REF!),BDI!#REF!,IF(#REF!="ZERO",0))))),"")</f>
        <v>#REF!</v>
      </c>
      <c r="H3419" s="139" t="e">
        <f t="shared" ca="1" si="214"/>
        <v>#REF!</v>
      </c>
      <c r="I3419" s="137" t="e">
        <f t="shared" ca="1" si="215"/>
        <v>#REF!</v>
      </c>
      <c r="J3419" s="117"/>
    </row>
    <row r="3420" spans="1:10" hidden="1" x14ac:dyDescent="0.25">
      <c r="A3420" s="114" t="s">
        <v>7001</v>
      </c>
      <c r="B3420" s="115" t="s">
        <v>7221</v>
      </c>
      <c r="C3420" s="116" t="s">
        <v>16</v>
      </c>
      <c r="D3420" s="116">
        <v>0</v>
      </c>
      <c r="E3420" s="136">
        <f ca="1">OFFSET(INDEX(Composições!A:J,MATCH(Orçamentária!A3420,Composições!A:A,0),8),2,0)</f>
        <v>59.289499999999997</v>
      </c>
      <c r="F3420" s="137">
        <f t="shared" ca="1" si="213"/>
        <v>0</v>
      </c>
      <c r="G3420" s="138" t="e">
        <f>IF(A3420&lt;&gt;"",IF(AND(#REF!="Padrão",$H$4=#REF!),BDI!$B$17,IF(AND(#REF!="Padrão",$H$4=#REF!),BDI!#REF!,IF(AND(#REF!="Diferenciado",$H$4=#REF!),BDI!$E$17,IF(AND(#REF!="Diferenciado",$H$4=#REF!),BDI!#REF!,IF(#REF!="ZERO",0))))),"")</f>
        <v>#REF!</v>
      </c>
      <c r="H3420" s="139" t="e">
        <f t="shared" ca="1" si="214"/>
        <v>#REF!</v>
      </c>
      <c r="I3420" s="137" t="e">
        <f t="shared" ca="1" si="215"/>
        <v>#REF!</v>
      </c>
      <c r="J3420" s="117"/>
    </row>
    <row r="3421" spans="1:10" hidden="1" x14ac:dyDescent="0.25">
      <c r="A3421" s="114" t="s">
        <v>7002</v>
      </c>
      <c r="B3421" s="115" t="s">
        <v>7222</v>
      </c>
      <c r="C3421" s="116" t="s">
        <v>16</v>
      </c>
      <c r="D3421" s="116">
        <v>0</v>
      </c>
      <c r="E3421" s="136">
        <f ca="1">OFFSET(INDEX(Composições!A:J,MATCH(Orçamentária!A3421,Composições!A:A,0),8),2,0)</f>
        <v>64.400500000000008</v>
      </c>
      <c r="F3421" s="137">
        <f t="shared" ca="1" si="213"/>
        <v>0</v>
      </c>
      <c r="G3421" s="138" t="e">
        <f>IF(A3421&lt;&gt;"",IF(AND(#REF!="Padrão",$H$4=#REF!),BDI!$B$17,IF(AND(#REF!="Padrão",$H$4=#REF!),BDI!#REF!,IF(AND(#REF!="Diferenciado",$H$4=#REF!),BDI!$E$17,IF(AND(#REF!="Diferenciado",$H$4=#REF!),BDI!#REF!,IF(#REF!="ZERO",0))))),"")</f>
        <v>#REF!</v>
      </c>
      <c r="H3421" s="139" t="e">
        <f t="shared" ca="1" si="214"/>
        <v>#REF!</v>
      </c>
      <c r="I3421" s="137" t="e">
        <f t="shared" ca="1" si="215"/>
        <v>#REF!</v>
      </c>
      <c r="J3421" s="117"/>
    </row>
    <row r="3422" spans="1:10" hidden="1" x14ac:dyDescent="0.25">
      <c r="A3422" s="114" t="s">
        <v>7003</v>
      </c>
      <c r="B3422" s="115" t="s">
        <v>7224</v>
      </c>
      <c r="C3422" s="116" t="s">
        <v>16</v>
      </c>
      <c r="D3422" s="116">
        <v>0</v>
      </c>
      <c r="E3422" s="136">
        <f ca="1">OFFSET(INDEX(Composições!A:J,MATCH(Orçamentária!A3422,Composições!A:A,0),8),2,0)</f>
        <v>149.75799999999998</v>
      </c>
      <c r="F3422" s="137">
        <f t="shared" ca="1" si="213"/>
        <v>0</v>
      </c>
      <c r="G3422" s="138" t="e">
        <f>IF(A3422&lt;&gt;"",IF(AND(#REF!="Padrão",$H$4=#REF!),BDI!$B$17,IF(AND(#REF!="Padrão",$H$4=#REF!),BDI!#REF!,IF(AND(#REF!="Diferenciado",$H$4=#REF!),BDI!$E$17,IF(AND(#REF!="Diferenciado",$H$4=#REF!),BDI!#REF!,IF(#REF!="ZERO",0))))),"")</f>
        <v>#REF!</v>
      </c>
      <c r="H3422" s="139" t="e">
        <f t="shared" ca="1" si="214"/>
        <v>#REF!</v>
      </c>
      <c r="I3422" s="137" t="e">
        <f t="shared" ca="1" si="215"/>
        <v>#REF!</v>
      </c>
      <c r="J3422" s="117"/>
    </row>
    <row r="3423" spans="1:10" hidden="1" x14ac:dyDescent="0.25">
      <c r="A3423" s="114" t="s">
        <v>7004</v>
      </c>
      <c r="B3423" s="115" t="s">
        <v>7225</v>
      </c>
      <c r="C3423" s="116" t="s">
        <v>16</v>
      </c>
      <c r="D3423" s="116">
        <v>0</v>
      </c>
      <c r="E3423" s="136">
        <f ca="1">OFFSET(INDEX(Composições!A:J,MATCH(Orçamentária!A3423,Composições!A:A,0),8),2,0)</f>
        <v>61.901999999999994</v>
      </c>
      <c r="F3423" s="137">
        <f t="shared" ca="1" si="213"/>
        <v>0</v>
      </c>
      <c r="G3423" s="138" t="e">
        <f>IF(A3423&lt;&gt;"",IF(AND(#REF!="Padrão",$H$4=#REF!),BDI!$B$17,IF(AND(#REF!="Padrão",$H$4=#REF!),BDI!#REF!,IF(AND(#REF!="Diferenciado",$H$4=#REF!),BDI!$E$17,IF(AND(#REF!="Diferenciado",$H$4=#REF!),BDI!#REF!,IF(#REF!="ZERO",0))))),"")</f>
        <v>#REF!</v>
      </c>
      <c r="H3423" s="139" t="e">
        <f t="shared" ca="1" si="214"/>
        <v>#REF!</v>
      </c>
      <c r="I3423" s="137" t="e">
        <f t="shared" ca="1" si="215"/>
        <v>#REF!</v>
      </c>
      <c r="J3423" s="117"/>
    </row>
    <row r="3424" spans="1:10" hidden="1" x14ac:dyDescent="0.25">
      <c r="A3424" s="114" t="s">
        <v>7005</v>
      </c>
      <c r="B3424" s="115" t="s">
        <v>7226</v>
      </c>
      <c r="C3424" s="116" t="s">
        <v>16</v>
      </c>
      <c r="D3424" s="116">
        <v>0</v>
      </c>
      <c r="E3424" s="136">
        <f ca="1">OFFSET(INDEX(Composições!A:J,MATCH(Orçamentária!A3424,Composições!A:A,0),8),2,0)</f>
        <v>54.301999999999992</v>
      </c>
      <c r="F3424" s="137">
        <f t="shared" ca="1" si="213"/>
        <v>0</v>
      </c>
      <c r="G3424" s="138" t="e">
        <f>IF(A3424&lt;&gt;"",IF(AND(#REF!="Padrão",$H$4=#REF!),BDI!$B$17,IF(AND(#REF!="Padrão",$H$4=#REF!),BDI!#REF!,IF(AND(#REF!="Diferenciado",$H$4=#REF!),BDI!$E$17,IF(AND(#REF!="Diferenciado",$H$4=#REF!),BDI!#REF!,IF(#REF!="ZERO",0))))),"")</f>
        <v>#REF!</v>
      </c>
      <c r="H3424" s="139" t="e">
        <f t="shared" ca="1" si="214"/>
        <v>#REF!</v>
      </c>
      <c r="I3424" s="137" t="e">
        <f t="shared" ca="1" si="215"/>
        <v>#REF!</v>
      </c>
      <c r="J3424" s="117"/>
    </row>
    <row r="3425" spans="1:10" hidden="1" x14ac:dyDescent="0.25">
      <c r="A3425" s="114" t="s">
        <v>7006</v>
      </c>
      <c r="B3425" s="115" t="s">
        <v>7227</v>
      </c>
      <c r="C3425" s="116" t="s">
        <v>16</v>
      </c>
      <c r="D3425" s="116">
        <v>0</v>
      </c>
      <c r="E3425" s="136" t="s">
        <v>416</v>
      </c>
      <c r="F3425" s="137" t="str">
        <f t="shared" si="213"/>
        <v/>
      </c>
      <c r="G3425" s="138" t="e">
        <f>IF(A3425&lt;&gt;"",IF(AND(#REF!="Padrão",$H$4=#REF!),BDI!$B$17,IF(AND(#REF!="Padrão",$H$4=#REF!),BDI!#REF!,IF(AND(#REF!="Diferenciado",$H$4=#REF!),BDI!$E$17,IF(AND(#REF!="Diferenciado",$H$4=#REF!),BDI!#REF!,IF(#REF!="ZERO",0))))),"")</f>
        <v>#REF!</v>
      </c>
      <c r="H3425" s="139" t="str">
        <f t="shared" si="214"/>
        <v/>
      </c>
      <c r="I3425" s="137" t="str">
        <f t="shared" si="215"/>
        <v/>
      </c>
      <c r="J3425" s="117"/>
    </row>
    <row r="3426" spans="1:10" hidden="1" x14ac:dyDescent="0.25">
      <c r="A3426" s="114" t="s">
        <v>7007</v>
      </c>
      <c r="B3426" s="115" t="s">
        <v>7228</v>
      </c>
      <c r="C3426" s="116" t="s">
        <v>16</v>
      </c>
      <c r="D3426" s="116">
        <v>0</v>
      </c>
      <c r="E3426" s="136">
        <f ca="1">OFFSET(INDEX(Composições!A:J,MATCH(Orçamentária!A3426,Composições!A:A,0),8),2,0)</f>
        <v>41.742999999999995</v>
      </c>
      <c r="F3426" s="137">
        <f t="shared" ca="1" si="213"/>
        <v>0</v>
      </c>
      <c r="G3426" s="138" t="e">
        <f>IF(A3426&lt;&gt;"",IF(AND(#REF!="Padrão",$H$4=#REF!),BDI!$B$17,IF(AND(#REF!="Padrão",$H$4=#REF!),BDI!#REF!,IF(AND(#REF!="Diferenciado",$H$4=#REF!),BDI!$E$17,IF(AND(#REF!="Diferenciado",$H$4=#REF!),BDI!#REF!,IF(#REF!="ZERO",0))))),"")</f>
        <v>#REF!</v>
      </c>
      <c r="H3426" s="139" t="e">
        <f t="shared" ca="1" si="214"/>
        <v>#REF!</v>
      </c>
      <c r="I3426" s="137" t="e">
        <f t="shared" ca="1" si="215"/>
        <v>#REF!</v>
      </c>
      <c r="J3426" s="117"/>
    </row>
    <row r="3427" spans="1:10" hidden="1" x14ac:dyDescent="0.25">
      <c r="A3427" s="114" t="s">
        <v>7008</v>
      </c>
      <c r="B3427" s="115" t="s">
        <v>7229</v>
      </c>
      <c r="C3427" s="116" t="s">
        <v>16</v>
      </c>
      <c r="D3427" s="116">
        <v>0</v>
      </c>
      <c r="E3427" s="136">
        <f ca="1">OFFSET(INDEX(Composições!A:J,MATCH(Orçamentária!A3427,Composições!A:A,0),8),2,0)</f>
        <v>25.934999999999999</v>
      </c>
      <c r="F3427" s="137">
        <f t="shared" ca="1" si="213"/>
        <v>0</v>
      </c>
      <c r="G3427" s="138" t="e">
        <f>IF(A3427&lt;&gt;"",IF(AND(#REF!="Padrão",$H$4=#REF!),BDI!$B$17,IF(AND(#REF!="Padrão",$H$4=#REF!),BDI!#REF!,IF(AND(#REF!="Diferenciado",$H$4=#REF!),BDI!$E$17,IF(AND(#REF!="Diferenciado",$H$4=#REF!),BDI!#REF!,IF(#REF!="ZERO",0))))),"")</f>
        <v>#REF!</v>
      </c>
      <c r="H3427" s="139" t="e">
        <f t="shared" ca="1" si="214"/>
        <v>#REF!</v>
      </c>
      <c r="I3427" s="137" t="e">
        <f t="shared" ca="1" si="215"/>
        <v>#REF!</v>
      </c>
      <c r="J3427" s="117"/>
    </row>
    <row r="3428" spans="1:10" hidden="1" x14ac:dyDescent="0.25">
      <c r="A3428" s="114" t="s">
        <v>7009</v>
      </c>
      <c r="B3428" s="115" t="s">
        <v>7230</v>
      </c>
      <c r="C3428" s="116" t="s">
        <v>16</v>
      </c>
      <c r="D3428" s="116">
        <v>0</v>
      </c>
      <c r="E3428" s="136">
        <f ca="1">OFFSET(INDEX(Composições!A:J,MATCH(Orçamentária!A3428,Composições!A:A,0),8),2,0)</f>
        <v>59.716999999999999</v>
      </c>
      <c r="F3428" s="137">
        <f t="shared" ca="1" si="213"/>
        <v>0</v>
      </c>
      <c r="G3428" s="138" t="e">
        <f>IF(A3428&lt;&gt;"",IF(AND(#REF!="Padrão",$H$4=#REF!),BDI!$B$17,IF(AND(#REF!="Padrão",$H$4=#REF!),BDI!#REF!,IF(AND(#REF!="Diferenciado",$H$4=#REF!),BDI!$E$17,IF(AND(#REF!="Diferenciado",$H$4=#REF!),BDI!#REF!,IF(#REF!="ZERO",0))))),"")</f>
        <v>#REF!</v>
      </c>
      <c r="H3428" s="139" t="e">
        <f t="shared" ca="1" si="214"/>
        <v>#REF!</v>
      </c>
      <c r="I3428" s="137" t="e">
        <f t="shared" ca="1" si="215"/>
        <v>#REF!</v>
      </c>
      <c r="J3428" s="117"/>
    </row>
    <row r="3429" spans="1:10" hidden="1" x14ac:dyDescent="0.25">
      <c r="A3429" s="114" t="s">
        <v>7010</v>
      </c>
      <c r="B3429" s="115" t="s">
        <v>7231</v>
      </c>
      <c r="C3429" s="116" t="s">
        <v>16</v>
      </c>
      <c r="D3429" s="116">
        <v>0</v>
      </c>
      <c r="E3429" s="136" t="s">
        <v>416</v>
      </c>
      <c r="F3429" s="137" t="str">
        <f t="shared" si="213"/>
        <v/>
      </c>
      <c r="G3429" s="138" t="e">
        <f>IF(A3429&lt;&gt;"",IF(AND(#REF!="Padrão",$H$4=#REF!),BDI!$B$17,IF(AND(#REF!="Padrão",$H$4=#REF!),BDI!#REF!,IF(AND(#REF!="Diferenciado",$H$4=#REF!),BDI!$E$17,IF(AND(#REF!="Diferenciado",$H$4=#REF!),BDI!#REF!,IF(#REF!="ZERO",0))))),"")</f>
        <v>#REF!</v>
      </c>
      <c r="H3429" s="139" t="str">
        <f t="shared" si="214"/>
        <v/>
      </c>
      <c r="I3429" s="137" t="str">
        <f t="shared" si="215"/>
        <v/>
      </c>
      <c r="J3429" s="117"/>
    </row>
    <row r="3430" spans="1:10" hidden="1" x14ac:dyDescent="0.25">
      <c r="A3430" s="114" t="s">
        <v>7011</v>
      </c>
      <c r="B3430" s="115" t="s">
        <v>7260</v>
      </c>
      <c r="C3430" s="116" t="s">
        <v>16</v>
      </c>
      <c r="D3430" s="116">
        <v>0</v>
      </c>
      <c r="E3430" s="136" t="s">
        <v>416</v>
      </c>
      <c r="F3430" s="137" t="str">
        <f t="shared" si="213"/>
        <v/>
      </c>
      <c r="G3430" s="138" t="e">
        <f>IF(A3430&lt;&gt;"",IF(AND(#REF!="Padrão",$H$4=#REF!),BDI!$B$17,IF(AND(#REF!="Padrão",$H$4=#REF!),BDI!#REF!,IF(AND(#REF!="Diferenciado",$H$4=#REF!),BDI!$E$17,IF(AND(#REF!="Diferenciado",$H$4=#REF!),BDI!#REF!,IF(#REF!="ZERO",0))))),"")</f>
        <v>#REF!</v>
      </c>
      <c r="H3430" s="139" t="str">
        <f t="shared" si="214"/>
        <v/>
      </c>
      <c r="I3430" s="137" t="str">
        <f t="shared" si="215"/>
        <v/>
      </c>
      <c r="J3430" s="117"/>
    </row>
    <row r="3431" spans="1:10" hidden="1" x14ac:dyDescent="0.25">
      <c r="A3431" s="114" t="s">
        <v>7012</v>
      </c>
      <c r="B3431" s="115" t="s">
        <v>7232</v>
      </c>
      <c r="C3431" s="116" t="s">
        <v>16</v>
      </c>
      <c r="D3431" s="116">
        <v>0</v>
      </c>
      <c r="E3431" s="136" t="s">
        <v>416</v>
      </c>
      <c r="F3431" s="137" t="str">
        <f t="shared" si="213"/>
        <v/>
      </c>
      <c r="G3431" s="138" t="e">
        <f>IF(A3431&lt;&gt;"",IF(AND(#REF!="Padrão",$H$4=#REF!),BDI!$B$17,IF(AND(#REF!="Padrão",$H$4=#REF!),BDI!#REF!,IF(AND(#REF!="Diferenciado",$H$4=#REF!),BDI!$E$17,IF(AND(#REF!="Diferenciado",$H$4=#REF!),BDI!#REF!,IF(#REF!="ZERO",0))))),"")</f>
        <v>#REF!</v>
      </c>
      <c r="H3431" s="139" t="str">
        <f t="shared" si="214"/>
        <v/>
      </c>
      <c r="I3431" s="137" t="str">
        <f t="shared" si="215"/>
        <v/>
      </c>
      <c r="J3431" s="117"/>
    </row>
    <row r="3432" spans="1:10" hidden="1" x14ac:dyDescent="0.25">
      <c r="A3432" s="114" t="s">
        <v>7013</v>
      </c>
      <c r="B3432" s="115" t="s">
        <v>7233</v>
      </c>
      <c r="C3432" s="116" t="s">
        <v>16</v>
      </c>
      <c r="D3432" s="116">
        <v>0</v>
      </c>
      <c r="E3432" s="136" t="s">
        <v>416</v>
      </c>
      <c r="F3432" s="137" t="str">
        <f t="shared" si="213"/>
        <v/>
      </c>
      <c r="G3432" s="138" t="e">
        <f>IF(A3432&lt;&gt;"",IF(AND(#REF!="Padrão",$H$4=#REF!),BDI!$B$17,IF(AND(#REF!="Padrão",$H$4=#REF!),BDI!#REF!,IF(AND(#REF!="Diferenciado",$H$4=#REF!),BDI!$E$17,IF(AND(#REF!="Diferenciado",$H$4=#REF!),BDI!#REF!,IF(#REF!="ZERO",0))))),"")</f>
        <v>#REF!</v>
      </c>
      <c r="H3432" s="139" t="str">
        <f t="shared" si="214"/>
        <v/>
      </c>
      <c r="I3432" s="137" t="str">
        <f t="shared" si="215"/>
        <v/>
      </c>
      <c r="J3432" s="117"/>
    </row>
    <row r="3433" spans="1:10" hidden="1" x14ac:dyDescent="0.25">
      <c r="A3433" s="114" t="s">
        <v>7014</v>
      </c>
      <c r="B3433" s="115" t="s">
        <v>7234</v>
      </c>
      <c r="C3433" s="116" t="s">
        <v>16</v>
      </c>
      <c r="D3433" s="116">
        <v>0</v>
      </c>
      <c r="E3433" s="136">
        <f ca="1">OFFSET(INDEX(Composições!A:J,MATCH(Orçamentária!A3433,Composições!A:A,0),8),2,0)</f>
        <v>64.067999999999998</v>
      </c>
      <c r="F3433" s="137">
        <f t="shared" ca="1" si="213"/>
        <v>0</v>
      </c>
      <c r="G3433" s="138" t="e">
        <f>IF(A3433&lt;&gt;"",IF(AND(#REF!="Padrão",$H$4=#REF!),BDI!$B$17,IF(AND(#REF!="Padrão",$H$4=#REF!),BDI!#REF!,IF(AND(#REF!="Diferenciado",$H$4=#REF!),BDI!$E$17,IF(AND(#REF!="Diferenciado",$H$4=#REF!),BDI!#REF!,IF(#REF!="ZERO",0))))),"")</f>
        <v>#REF!</v>
      </c>
      <c r="H3433" s="139" t="e">
        <f t="shared" ca="1" si="214"/>
        <v>#REF!</v>
      </c>
      <c r="I3433" s="137" t="e">
        <f t="shared" ca="1" si="215"/>
        <v>#REF!</v>
      </c>
      <c r="J3433" s="117"/>
    </row>
    <row r="3434" spans="1:10" hidden="1" x14ac:dyDescent="0.25">
      <c r="A3434" s="114" t="s">
        <v>7015</v>
      </c>
      <c r="B3434" s="115" t="s">
        <v>7235</v>
      </c>
      <c r="C3434" s="116" t="s">
        <v>16</v>
      </c>
      <c r="D3434" s="116">
        <v>0</v>
      </c>
      <c r="E3434" s="136">
        <f ca="1">OFFSET(INDEX(Composições!A:J,MATCH(Orçamentária!A3434,Composições!A:A,0),8),2,0)</f>
        <v>32.888999999999996</v>
      </c>
      <c r="F3434" s="137">
        <f t="shared" ca="1" si="213"/>
        <v>0</v>
      </c>
      <c r="G3434" s="138" t="e">
        <f>IF(A3434&lt;&gt;"",IF(AND(#REF!="Padrão",$H$4=#REF!),BDI!$B$17,IF(AND(#REF!="Padrão",$H$4=#REF!),BDI!#REF!,IF(AND(#REF!="Diferenciado",$H$4=#REF!),BDI!$E$17,IF(AND(#REF!="Diferenciado",$H$4=#REF!),BDI!#REF!,IF(#REF!="ZERO",0))))),"")</f>
        <v>#REF!</v>
      </c>
      <c r="H3434" s="139" t="e">
        <f t="shared" ca="1" si="214"/>
        <v>#REF!</v>
      </c>
      <c r="I3434" s="137" t="e">
        <f t="shared" ca="1" si="215"/>
        <v>#REF!</v>
      </c>
      <c r="J3434" s="117"/>
    </row>
    <row r="3435" spans="1:10" hidden="1" x14ac:dyDescent="0.25">
      <c r="A3435" s="114" t="s">
        <v>7016</v>
      </c>
      <c r="B3435" s="115" t="s">
        <v>7236</v>
      </c>
      <c r="C3435" s="116" t="s">
        <v>16</v>
      </c>
      <c r="D3435" s="116">
        <v>0</v>
      </c>
      <c r="E3435" s="136">
        <f ca="1">OFFSET(INDEX(Composições!A:J,MATCH(Orçamentária!A3435,Composições!A:A,0),8),2,0)</f>
        <v>76.930999999999997</v>
      </c>
      <c r="F3435" s="137">
        <f t="shared" ca="1" si="213"/>
        <v>0</v>
      </c>
      <c r="G3435" s="138" t="e">
        <f>IF(A3435&lt;&gt;"",IF(AND(#REF!="Padrão",$H$4=#REF!),BDI!$B$17,IF(AND(#REF!="Padrão",$H$4=#REF!),BDI!#REF!,IF(AND(#REF!="Diferenciado",$H$4=#REF!),BDI!$E$17,IF(AND(#REF!="Diferenciado",$H$4=#REF!),BDI!#REF!,IF(#REF!="ZERO",0))))),"")</f>
        <v>#REF!</v>
      </c>
      <c r="H3435" s="139" t="e">
        <f t="shared" ca="1" si="214"/>
        <v>#REF!</v>
      </c>
      <c r="I3435" s="137" t="e">
        <f t="shared" ca="1" si="215"/>
        <v>#REF!</v>
      </c>
      <c r="J3435" s="117"/>
    </row>
    <row r="3436" spans="1:10" hidden="1" x14ac:dyDescent="0.25">
      <c r="A3436" s="114" t="s">
        <v>7017</v>
      </c>
      <c r="B3436" s="115" t="s">
        <v>7237</v>
      </c>
      <c r="C3436" s="116" t="s">
        <v>16</v>
      </c>
      <c r="D3436" s="116">
        <v>0</v>
      </c>
      <c r="E3436" s="136" t="s">
        <v>416</v>
      </c>
      <c r="F3436" s="137" t="str">
        <f t="shared" si="213"/>
        <v/>
      </c>
      <c r="G3436" s="138" t="e">
        <f>IF(A3436&lt;&gt;"",IF(AND(#REF!="Padrão",$H$4=#REF!),BDI!$B$17,IF(AND(#REF!="Padrão",$H$4=#REF!),BDI!#REF!,IF(AND(#REF!="Diferenciado",$H$4=#REF!),BDI!$E$17,IF(AND(#REF!="Diferenciado",$H$4=#REF!),BDI!#REF!,IF(#REF!="ZERO",0))))),"")</f>
        <v>#REF!</v>
      </c>
      <c r="H3436" s="139" t="str">
        <f t="shared" si="214"/>
        <v/>
      </c>
      <c r="I3436" s="137" t="str">
        <f t="shared" si="215"/>
        <v/>
      </c>
      <c r="J3436" s="117"/>
    </row>
    <row r="3437" spans="1:10" hidden="1" x14ac:dyDescent="0.25">
      <c r="A3437" s="114" t="s">
        <v>7018</v>
      </c>
      <c r="B3437" s="115" t="s">
        <v>7238</v>
      </c>
      <c r="C3437" s="116" t="s">
        <v>16</v>
      </c>
      <c r="D3437" s="116">
        <v>0</v>
      </c>
      <c r="E3437" s="136">
        <f ca="1">OFFSET(INDEX(Composições!A:J,MATCH(Orçamentária!A3437,Composições!A:A,0),8),2,0)</f>
        <v>36.898000000000003</v>
      </c>
      <c r="F3437" s="137">
        <f t="shared" ca="1" si="213"/>
        <v>0</v>
      </c>
      <c r="G3437" s="138" t="e">
        <f>IF(A3437&lt;&gt;"",IF(AND(#REF!="Padrão",$H$4=#REF!),BDI!$B$17,IF(AND(#REF!="Padrão",$H$4=#REF!),BDI!#REF!,IF(AND(#REF!="Diferenciado",$H$4=#REF!),BDI!$E$17,IF(AND(#REF!="Diferenciado",$H$4=#REF!),BDI!#REF!,IF(#REF!="ZERO",0))))),"")</f>
        <v>#REF!</v>
      </c>
      <c r="H3437" s="139" t="e">
        <f t="shared" ca="1" si="214"/>
        <v>#REF!</v>
      </c>
      <c r="I3437" s="137" t="e">
        <f t="shared" ca="1" si="215"/>
        <v>#REF!</v>
      </c>
      <c r="J3437" s="117"/>
    </row>
    <row r="3438" spans="1:10" hidden="1" x14ac:dyDescent="0.25">
      <c r="A3438" s="114" t="s">
        <v>7019</v>
      </c>
      <c r="B3438" s="115" t="s">
        <v>7239</v>
      </c>
      <c r="C3438" s="116" t="s">
        <v>16</v>
      </c>
      <c r="D3438" s="116">
        <v>0</v>
      </c>
      <c r="E3438" s="136" t="s">
        <v>416</v>
      </c>
      <c r="F3438" s="137" t="str">
        <f t="shared" si="213"/>
        <v/>
      </c>
      <c r="G3438" s="138" t="e">
        <f>IF(A3438&lt;&gt;"",IF(AND(#REF!="Padrão",$H$4=#REF!),BDI!$B$17,IF(AND(#REF!="Padrão",$H$4=#REF!),BDI!#REF!,IF(AND(#REF!="Diferenciado",$H$4=#REF!),BDI!$E$17,IF(AND(#REF!="Diferenciado",$H$4=#REF!),BDI!#REF!,IF(#REF!="ZERO",0))))),"")</f>
        <v>#REF!</v>
      </c>
      <c r="H3438" s="139" t="str">
        <f t="shared" si="214"/>
        <v/>
      </c>
      <c r="I3438" s="137" t="str">
        <f t="shared" si="215"/>
        <v/>
      </c>
      <c r="J3438" s="117"/>
    </row>
    <row r="3439" spans="1:10" hidden="1" x14ac:dyDescent="0.25">
      <c r="A3439" s="114" t="s">
        <v>7020</v>
      </c>
      <c r="B3439" s="115" t="s">
        <v>7240</v>
      </c>
      <c r="C3439" s="116" t="s">
        <v>16</v>
      </c>
      <c r="D3439" s="116">
        <v>0</v>
      </c>
      <c r="E3439" s="136">
        <f ca="1">OFFSET(INDEX(Composições!A:J,MATCH(Orçamentária!A3439,Composições!A:A,0),8),2,0)</f>
        <v>101.69749999999999</v>
      </c>
      <c r="F3439" s="137">
        <f t="shared" ca="1" si="213"/>
        <v>0</v>
      </c>
      <c r="G3439" s="138" t="e">
        <f>IF(A3439&lt;&gt;"",IF(AND(#REF!="Padrão",$H$4=#REF!),BDI!$B$17,IF(AND(#REF!="Padrão",$H$4=#REF!),BDI!#REF!,IF(AND(#REF!="Diferenciado",$H$4=#REF!),BDI!$E$17,IF(AND(#REF!="Diferenciado",$H$4=#REF!),BDI!#REF!,IF(#REF!="ZERO",0))))),"")</f>
        <v>#REF!</v>
      </c>
      <c r="H3439" s="139" t="e">
        <f t="shared" ca="1" si="214"/>
        <v>#REF!</v>
      </c>
      <c r="I3439" s="137" t="e">
        <f t="shared" ca="1" si="215"/>
        <v>#REF!</v>
      </c>
      <c r="J3439" s="117"/>
    </row>
    <row r="3440" spans="1:10" hidden="1" x14ac:dyDescent="0.25">
      <c r="A3440" s="114" t="s">
        <v>7021</v>
      </c>
      <c r="B3440" s="115" t="s">
        <v>7241</v>
      </c>
      <c r="C3440" s="116" t="s">
        <v>16</v>
      </c>
      <c r="D3440" s="116">
        <v>0</v>
      </c>
      <c r="E3440" s="136" t="s">
        <v>416</v>
      </c>
      <c r="F3440" s="137" t="str">
        <f t="shared" si="213"/>
        <v/>
      </c>
      <c r="G3440" s="138" t="e">
        <f>IF(A3440&lt;&gt;"",IF(AND(#REF!="Padrão",$H$4=#REF!),BDI!$B$17,IF(AND(#REF!="Padrão",$H$4=#REF!),BDI!#REF!,IF(AND(#REF!="Diferenciado",$H$4=#REF!),BDI!$E$17,IF(AND(#REF!="Diferenciado",$H$4=#REF!),BDI!#REF!,IF(#REF!="ZERO",0))))),"")</f>
        <v>#REF!</v>
      </c>
      <c r="H3440" s="139" t="str">
        <f t="shared" si="214"/>
        <v/>
      </c>
      <c r="I3440" s="137" t="str">
        <f t="shared" si="215"/>
        <v/>
      </c>
      <c r="J3440" s="117"/>
    </row>
    <row r="3441" spans="1:10" hidden="1" x14ac:dyDescent="0.25">
      <c r="A3441" s="114" t="s">
        <v>7022</v>
      </c>
      <c r="B3441" s="115" t="s">
        <v>7242</v>
      </c>
      <c r="C3441" s="116" t="s">
        <v>16</v>
      </c>
      <c r="D3441" s="116">
        <v>0</v>
      </c>
      <c r="E3441" s="136">
        <f ca="1">OFFSET(INDEX(Composições!A:J,MATCH(Orçamentária!A3441,Composições!A:A,0),8),2,0)</f>
        <v>53.712999999999994</v>
      </c>
      <c r="F3441" s="137">
        <f t="shared" ca="1" si="213"/>
        <v>0</v>
      </c>
      <c r="G3441" s="138" t="e">
        <f>IF(A3441&lt;&gt;"",IF(AND(#REF!="Padrão",$H$4=#REF!),BDI!$B$17,IF(AND(#REF!="Padrão",$H$4=#REF!),BDI!#REF!,IF(AND(#REF!="Diferenciado",$H$4=#REF!),BDI!$E$17,IF(AND(#REF!="Diferenciado",$H$4=#REF!),BDI!#REF!,IF(#REF!="ZERO",0))))),"")</f>
        <v>#REF!</v>
      </c>
      <c r="H3441" s="139" t="e">
        <f t="shared" ca="1" si="214"/>
        <v>#REF!</v>
      </c>
      <c r="I3441" s="137" t="e">
        <f t="shared" ca="1" si="215"/>
        <v>#REF!</v>
      </c>
      <c r="J3441" s="117"/>
    </row>
    <row r="3442" spans="1:10" hidden="1" x14ac:dyDescent="0.25">
      <c r="A3442" s="114" t="s">
        <v>7023</v>
      </c>
      <c r="B3442" s="115" t="s">
        <v>7243</v>
      </c>
      <c r="C3442" s="116" t="s">
        <v>16</v>
      </c>
      <c r="D3442" s="116">
        <v>0</v>
      </c>
      <c r="E3442" s="136">
        <f ca="1">OFFSET(INDEX(Composições!A:J,MATCH(Orçamentária!A3442,Composições!A:A,0),8),2,0)</f>
        <v>152.04750000000001</v>
      </c>
      <c r="F3442" s="137">
        <f t="shared" ca="1" si="213"/>
        <v>0</v>
      </c>
      <c r="G3442" s="138" t="e">
        <f>IF(A3442&lt;&gt;"",IF(AND(#REF!="Padrão",$H$4=#REF!),BDI!$B$17,IF(AND(#REF!="Padrão",$H$4=#REF!),BDI!#REF!,IF(AND(#REF!="Diferenciado",$H$4=#REF!),BDI!$E$17,IF(AND(#REF!="Diferenciado",$H$4=#REF!),BDI!#REF!,IF(#REF!="ZERO",0))))),"")</f>
        <v>#REF!</v>
      </c>
      <c r="H3442" s="139" t="e">
        <f t="shared" ca="1" si="214"/>
        <v>#REF!</v>
      </c>
      <c r="I3442" s="137" t="e">
        <f t="shared" ca="1" si="215"/>
        <v>#REF!</v>
      </c>
      <c r="J3442" s="117"/>
    </row>
    <row r="3443" spans="1:10" hidden="1" x14ac:dyDescent="0.25">
      <c r="A3443" s="114" t="s">
        <v>7024</v>
      </c>
      <c r="B3443" s="115" t="s">
        <v>7244</v>
      </c>
      <c r="C3443" s="116" t="s">
        <v>16</v>
      </c>
      <c r="D3443" s="116">
        <v>0</v>
      </c>
      <c r="E3443" s="136" t="s">
        <v>416</v>
      </c>
      <c r="F3443" s="137" t="str">
        <f t="shared" si="213"/>
        <v/>
      </c>
      <c r="G3443" s="138" t="e">
        <f>IF(A3443&lt;&gt;"",IF(AND(#REF!="Padrão",$H$4=#REF!),BDI!$B$17,IF(AND(#REF!="Padrão",$H$4=#REF!),BDI!#REF!,IF(AND(#REF!="Diferenciado",$H$4=#REF!),BDI!$E$17,IF(AND(#REF!="Diferenciado",$H$4=#REF!),BDI!#REF!,IF(#REF!="ZERO",0))))),"")</f>
        <v>#REF!</v>
      </c>
      <c r="H3443" s="139" t="str">
        <f t="shared" si="214"/>
        <v/>
      </c>
      <c r="I3443" s="137" t="str">
        <f t="shared" si="215"/>
        <v/>
      </c>
      <c r="J3443" s="117"/>
    </row>
    <row r="3444" spans="1:10" hidden="1" x14ac:dyDescent="0.25">
      <c r="A3444" s="114" t="s">
        <v>7025</v>
      </c>
      <c r="B3444" s="115" t="s">
        <v>7245</v>
      </c>
      <c r="C3444" s="116" t="s">
        <v>16</v>
      </c>
      <c r="D3444" s="116">
        <v>0</v>
      </c>
      <c r="E3444" s="136">
        <f ca="1">OFFSET(INDEX(Composições!A:J,MATCH(Orçamentária!A3444,Composições!A:A,0),8),2,0)</f>
        <v>52.021999999999998</v>
      </c>
      <c r="F3444" s="137">
        <f t="shared" ca="1" si="213"/>
        <v>0</v>
      </c>
      <c r="G3444" s="138" t="e">
        <f>IF(A3444&lt;&gt;"",IF(AND(#REF!="Padrão",$H$4=#REF!),BDI!$B$17,IF(AND(#REF!="Padrão",$H$4=#REF!),BDI!#REF!,IF(AND(#REF!="Diferenciado",$H$4=#REF!),BDI!$E$17,IF(AND(#REF!="Diferenciado",$H$4=#REF!),BDI!#REF!,IF(#REF!="ZERO",0))))),"")</f>
        <v>#REF!</v>
      </c>
      <c r="H3444" s="139" t="e">
        <f t="shared" ca="1" si="214"/>
        <v>#REF!</v>
      </c>
      <c r="I3444" s="137" t="e">
        <f t="shared" ca="1" si="215"/>
        <v>#REF!</v>
      </c>
      <c r="J3444" s="117"/>
    </row>
    <row r="3445" spans="1:10" hidden="1" x14ac:dyDescent="0.25">
      <c r="A3445" s="114" t="s">
        <v>7026</v>
      </c>
      <c r="B3445" s="115" t="s">
        <v>7246</v>
      </c>
      <c r="C3445" s="116" t="s">
        <v>16</v>
      </c>
      <c r="D3445" s="116">
        <v>0</v>
      </c>
      <c r="E3445" s="136" t="s">
        <v>416</v>
      </c>
      <c r="F3445" s="137" t="str">
        <f t="shared" si="213"/>
        <v/>
      </c>
      <c r="G3445" s="138" t="e">
        <f>IF(A3445&lt;&gt;"",IF(AND(#REF!="Padrão",$H$4=#REF!),BDI!$B$17,IF(AND(#REF!="Padrão",$H$4=#REF!),BDI!#REF!,IF(AND(#REF!="Diferenciado",$H$4=#REF!),BDI!$E$17,IF(AND(#REF!="Diferenciado",$H$4=#REF!),BDI!#REF!,IF(#REF!="ZERO",0))))),"")</f>
        <v>#REF!</v>
      </c>
      <c r="H3445" s="139" t="str">
        <f t="shared" si="214"/>
        <v/>
      </c>
      <c r="I3445" s="137" t="str">
        <f t="shared" si="215"/>
        <v/>
      </c>
      <c r="J3445" s="117"/>
    </row>
    <row r="3446" spans="1:10" hidden="1" x14ac:dyDescent="0.25">
      <c r="A3446" s="114" t="s">
        <v>7027</v>
      </c>
      <c r="B3446" s="115" t="s">
        <v>7247</v>
      </c>
      <c r="C3446" s="116" t="s">
        <v>16</v>
      </c>
      <c r="D3446" s="116">
        <v>0</v>
      </c>
      <c r="E3446" s="136">
        <f ca="1">OFFSET(INDEX(Composições!A:J,MATCH(Orçamentária!A3446,Composições!A:A,0),8),2,0)</f>
        <v>354.12199999999996</v>
      </c>
      <c r="F3446" s="137">
        <f t="shared" ca="1" si="213"/>
        <v>0</v>
      </c>
      <c r="G3446" s="138" t="e">
        <f>IF(A3446&lt;&gt;"",IF(AND(#REF!="Padrão",$H$4=#REF!),BDI!$B$17,IF(AND(#REF!="Padrão",$H$4=#REF!),BDI!#REF!,IF(AND(#REF!="Diferenciado",$H$4=#REF!),BDI!$E$17,IF(AND(#REF!="Diferenciado",$H$4=#REF!),BDI!#REF!,IF(#REF!="ZERO",0))))),"")</f>
        <v>#REF!</v>
      </c>
      <c r="H3446" s="139" t="e">
        <f t="shared" ca="1" si="214"/>
        <v>#REF!</v>
      </c>
      <c r="I3446" s="137" t="e">
        <f t="shared" ca="1" si="215"/>
        <v>#REF!</v>
      </c>
      <c r="J3446" s="117"/>
    </row>
    <row r="3447" spans="1:10" hidden="1" x14ac:dyDescent="0.25">
      <c r="A3447" s="114" t="s">
        <v>7028</v>
      </c>
      <c r="B3447" s="115" t="s">
        <v>7248</v>
      </c>
      <c r="C3447" s="116" t="s">
        <v>16</v>
      </c>
      <c r="D3447" s="116">
        <v>0</v>
      </c>
      <c r="E3447" s="136" t="s">
        <v>416</v>
      </c>
      <c r="F3447" s="137" t="str">
        <f t="shared" si="213"/>
        <v/>
      </c>
      <c r="G3447" s="138" t="e">
        <f>IF(A3447&lt;&gt;"",IF(AND(#REF!="Padrão",$H$4=#REF!),BDI!$B$17,IF(AND(#REF!="Padrão",$H$4=#REF!),BDI!#REF!,IF(AND(#REF!="Diferenciado",$H$4=#REF!),BDI!$E$17,IF(AND(#REF!="Diferenciado",$H$4=#REF!),BDI!#REF!,IF(#REF!="ZERO",0))))),"")</f>
        <v>#REF!</v>
      </c>
      <c r="H3447" s="139" t="str">
        <f t="shared" si="214"/>
        <v/>
      </c>
      <c r="I3447" s="137" t="str">
        <f t="shared" si="215"/>
        <v/>
      </c>
      <c r="J3447" s="117"/>
    </row>
    <row r="3448" spans="1:10" hidden="1" x14ac:dyDescent="0.25">
      <c r="A3448" s="114" t="s">
        <v>7029</v>
      </c>
      <c r="B3448" s="115" t="s">
        <v>7249</v>
      </c>
      <c r="C3448" s="116" t="s">
        <v>16</v>
      </c>
      <c r="D3448" s="116">
        <v>0</v>
      </c>
      <c r="E3448" s="136">
        <f ca="1">OFFSET(INDEX(Composições!A:J,MATCH(Orçamentária!A3448,Composições!A:A,0),8),2,0)</f>
        <v>176.0635</v>
      </c>
      <c r="F3448" s="137">
        <f t="shared" ca="1" si="213"/>
        <v>0</v>
      </c>
      <c r="G3448" s="138" t="e">
        <f>IF(A3448&lt;&gt;"",IF(AND(#REF!="Padrão",$H$4=#REF!),BDI!$B$17,IF(AND(#REF!="Padrão",$H$4=#REF!),BDI!#REF!,IF(AND(#REF!="Diferenciado",$H$4=#REF!),BDI!$E$17,IF(AND(#REF!="Diferenciado",$H$4=#REF!),BDI!#REF!,IF(#REF!="ZERO",0))))),"")</f>
        <v>#REF!</v>
      </c>
      <c r="H3448" s="139" t="e">
        <f t="shared" ca="1" si="214"/>
        <v>#REF!</v>
      </c>
      <c r="I3448" s="137" t="e">
        <f t="shared" ca="1" si="215"/>
        <v>#REF!</v>
      </c>
      <c r="J3448" s="117"/>
    </row>
    <row r="3449" spans="1:10" hidden="1" x14ac:dyDescent="0.25">
      <c r="A3449" s="114" t="s">
        <v>7030</v>
      </c>
      <c r="B3449" s="115" t="s">
        <v>7250</v>
      </c>
      <c r="C3449" s="116" t="s">
        <v>16</v>
      </c>
      <c r="D3449" s="116">
        <v>0</v>
      </c>
      <c r="E3449" s="136">
        <f ca="1">OFFSET(INDEX(Composições!A:J,MATCH(Orçamentária!A3449,Composições!A:A,0),8),2,0)</f>
        <v>432.82</v>
      </c>
      <c r="F3449" s="137">
        <f t="shared" ca="1" si="213"/>
        <v>0</v>
      </c>
      <c r="G3449" s="138" t="e">
        <f>IF(A3449&lt;&gt;"",IF(AND(#REF!="Padrão",$H$4=#REF!),BDI!$B$17,IF(AND(#REF!="Padrão",$H$4=#REF!),BDI!#REF!,IF(AND(#REF!="Diferenciado",$H$4=#REF!),BDI!$E$17,IF(AND(#REF!="Diferenciado",$H$4=#REF!),BDI!#REF!,IF(#REF!="ZERO",0))))),"")</f>
        <v>#REF!</v>
      </c>
      <c r="H3449" s="139" t="e">
        <f t="shared" ca="1" si="214"/>
        <v>#REF!</v>
      </c>
      <c r="I3449" s="137" t="e">
        <f t="shared" ca="1" si="215"/>
        <v>#REF!</v>
      </c>
      <c r="J3449" s="117"/>
    </row>
    <row r="3450" spans="1:10" hidden="1" x14ac:dyDescent="0.25">
      <c r="A3450" s="114" t="s">
        <v>7031</v>
      </c>
      <c r="B3450" s="115" t="s">
        <v>7251</v>
      </c>
      <c r="C3450" s="116" t="s">
        <v>16</v>
      </c>
      <c r="D3450" s="116">
        <v>0</v>
      </c>
      <c r="E3450" s="136" t="s">
        <v>416</v>
      </c>
      <c r="F3450" s="137" t="str">
        <f t="shared" si="213"/>
        <v/>
      </c>
      <c r="G3450" s="138" t="e">
        <f>IF(A3450&lt;&gt;"",IF(AND(#REF!="Padrão",$H$4=#REF!),BDI!$B$17,IF(AND(#REF!="Padrão",$H$4=#REF!),BDI!#REF!,IF(AND(#REF!="Diferenciado",$H$4=#REF!),BDI!$E$17,IF(AND(#REF!="Diferenciado",$H$4=#REF!),BDI!#REF!,IF(#REF!="ZERO",0))))),"")</f>
        <v>#REF!</v>
      </c>
      <c r="H3450" s="139" t="str">
        <f t="shared" si="214"/>
        <v/>
      </c>
      <c r="I3450" s="137" t="str">
        <f t="shared" si="215"/>
        <v/>
      </c>
      <c r="J3450" s="117"/>
    </row>
    <row r="3451" spans="1:10" hidden="1" x14ac:dyDescent="0.25">
      <c r="A3451" s="114" t="s">
        <v>7032</v>
      </c>
      <c r="B3451" s="115" t="s">
        <v>7259</v>
      </c>
      <c r="C3451" s="116" t="s">
        <v>16</v>
      </c>
      <c r="D3451" s="116">
        <v>0</v>
      </c>
      <c r="E3451" s="136">
        <f ca="1">OFFSET(INDEX(Composições!A:J,MATCH(Orçamentária!A3451,Composições!A:A,0),8),2,0)</f>
        <v>162.15549999999999</v>
      </c>
      <c r="F3451" s="137">
        <f t="shared" ca="1" si="213"/>
        <v>0</v>
      </c>
      <c r="G3451" s="138" t="e">
        <f>IF(A3451&lt;&gt;"",IF(AND(#REF!="Padrão",$H$4=#REF!),BDI!$B$17,IF(AND(#REF!="Padrão",$H$4=#REF!),BDI!#REF!,IF(AND(#REF!="Diferenciado",$H$4=#REF!),BDI!$E$17,IF(AND(#REF!="Diferenciado",$H$4=#REF!),BDI!#REF!,IF(#REF!="ZERO",0))))),"")</f>
        <v>#REF!</v>
      </c>
      <c r="H3451" s="139" t="e">
        <f t="shared" ca="1" si="214"/>
        <v>#REF!</v>
      </c>
      <c r="I3451" s="137" t="e">
        <f t="shared" ca="1" si="215"/>
        <v>#REF!</v>
      </c>
      <c r="J3451" s="117"/>
    </row>
    <row r="3452" spans="1:10" hidden="1" x14ac:dyDescent="0.25">
      <c r="A3452" s="114" t="s">
        <v>7033</v>
      </c>
      <c r="B3452" s="115" t="s">
        <v>7252</v>
      </c>
      <c r="C3452" s="116" t="s">
        <v>16</v>
      </c>
      <c r="D3452" s="116">
        <v>0</v>
      </c>
      <c r="E3452" s="136" t="s">
        <v>416</v>
      </c>
      <c r="F3452" s="137" t="str">
        <f t="shared" si="213"/>
        <v/>
      </c>
      <c r="G3452" s="138" t="e">
        <f>IF(A3452&lt;&gt;"",IF(AND(#REF!="Padrão",$H$4=#REF!),BDI!$B$17,IF(AND(#REF!="Padrão",$H$4=#REF!),BDI!#REF!,IF(AND(#REF!="Diferenciado",$H$4=#REF!),BDI!$E$17,IF(AND(#REF!="Diferenciado",$H$4=#REF!),BDI!#REF!,IF(#REF!="ZERO",0))))),"")</f>
        <v>#REF!</v>
      </c>
      <c r="H3452" s="139" t="str">
        <f t="shared" si="214"/>
        <v/>
      </c>
      <c r="I3452" s="137" t="str">
        <f t="shared" si="215"/>
        <v/>
      </c>
      <c r="J3452" s="117"/>
    </row>
    <row r="3453" spans="1:10" hidden="1" x14ac:dyDescent="0.25">
      <c r="A3453" s="114" t="s">
        <v>7034</v>
      </c>
      <c r="B3453" s="115" t="s">
        <v>7253</v>
      </c>
      <c r="C3453" s="116" t="s">
        <v>16</v>
      </c>
      <c r="D3453" s="116">
        <v>0</v>
      </c>
      <c r="E3453" s="136">
        <f ca="1">OFFSET(INDEX(Composições!A:J,MATCH(Orçamentária!A3453,Composições!A:A,0),8),2,0)</f>
        <v>339.57749999999999</v>
      </c>
      <c r="F3453" s="137">
        <f t="shared" ca="1" si="213"/>
        <v>0</v>
      </c>
      <c r="G3453" s="138" t="e">
        <f>IF(A3453&lt;&gt;"",IF(AND(#REF!="Padrão",$H$4=#REF!),BDI!$B$17,IF(AND(#REF!="Padrão",$H$4=#REF!),BDI!#REF!,IF(AND(#REF!="Diferenciado",$H$4=#REF!),BDI!$E$17,IF(AND(#REF!="Diferenciado",$H$4=#REF!),BDI!#REF!,IF(#REF!="ZERO",0))))),"")</f>
        <v>#REF!</v>
      </c>
      <c r="H3453" s="139" t="e">
        <f t="shared" ca="1" si="214"/>
        <v>#REF!</v>
      </c>
      <c r="I3453" s="137" t="e">
        <f t="shared" ca="1" si="215"/>
        <v>#REF!</v>
      </c>
      <c r="J3453" s="117"/>
    </row>
    <row r="3454" spans="1:10" hidden="1" x14ac:dyDescent="0.25">
      <c r="A3454" s="114" t="s">
        <v>7035</v>
      </c>
      <c r="B3454" s="115" t="s">
        <v>7254</v>
      </c>
      <c r="C3454" s="116" t="s">
        <v>16</v>
      </c>
      <c r="D3454" s="116">
        <v>0</v>
      </c>
      <c r="E3454" s="136" t="s">
        <v>416</v>
      </c>
      <c r="F3454" s="137" t="str">
        <f t="shared" si="213"/>
        <v/>
      </c>
      <c r="G3454" s="138" t="e">
        <f>IF(A3454&lt;&gt;"",IF(AND(#REF!="Padrão",$H$4=#REF!),BDI!$B$17,IF(AND(#REF!="Padrão",$H$4=#REF!),BDI!#REF!,IF(AND(#REF!="Diferenciado",$H$4=#REF!),BDI!$E$17,IF(AND(#REF!="Diferenciado",$H$4=#REF!),BDI!#REF!,IF(#REF!="ZERO",0))))),"")</f>
        <v>#REF!</v>
      </c>
      <c r="H3454" s="139" t="str">
        <f t="shared" si="214"/>
        <v/>
      </c>
      <c r="I3454" s="137" t="str">
        <f t="shared" si="215"/>
        <v/>
      </c>
      <c r="J3454" s="117"/>
    </row>
    <row r="3455" spans="1:10" hidden="1" x14ac:dyDescent="0.25">
      <c r="A3455" s="114" t="s">
        <v>7036</v>
      </c>
      <c r="B3455" s="115" t="s">
        <v>7255</v>
      </c>
      <c r="C3455" s="116" t="s">
        <v>16</v>
      </c>
      <c r="D3455" s="116">
        <v>0</v>
      </c>
      <c r="E3455" s="136">
        <f ca="1">OFFSET(INDEX(Composições!A:J,MATCH(Orçamentária!A3455,Composições!A:A,0),8),2,0)</f>
        <v>269.5625</v>
      </c>
      <c r="F3455" s="137">
        <f t="shared" ca="1" si="213"/>
        <v>0</v>
      </c>
      <c r="G3455" s="138" t="e">
        <f>IF(A3455&lt;&gt;"",IF(AND(#REF!="Padrão",$H$4=#REF!),BDI!$B$17,IF(AND(#REF!="Padrão",$H$4=#REF!),BDI!#REF!,IF(AND(#REF!="Diferenciado",$H$4=#REF!),BDI!$E$17,IF(AND(#REF!="Diferenciado",$H$4=#REF!),BDI!#REF!,IF(#REF!="ZERO",0))))),"")</f>
        <v>#REF!</v>
      </c>
      <c r="H3455" s="139" t="e">
        <f t="shared" ca="1" si="214"/>
        <v>#REF!</v>
      </c>
      <c r="I3455" s="137" t="e">
        <f t="shared" ca="1" si="215"/>
        <v>#REF!</v>
      </c>
      <c r="J3455" s="117"/>
    </row>
    <row r="3456" spans="1:10" hidden="1" x14ac:dyDescent="0.25">
      <c r="A3456" s="114" t="s">
        <v>7037</v>
      </c>
      <c r="B3456" s="115" t="s">
        <v>7256</v>
      </c>
      <c r="C3456" s="116" t="s">
        <v>16</v>
      </c>
      <c r="D3456" s="116">
        <v>0</v>
      </c>
      <c r="E3456" s="136">
        <f ca="1">OFFSET(INDEX(Composições!A:J,MATCH(Orçamentária!A3456,Composições!A:A,0),8),2,0)</f>
        <v>677.16949999999997</v>
      </c>
      <c r="F3456" s="137">
        <f t="shared" ca="1" si="213"/>
        <v>0</v>
      </c>
      <c r="G3456" s="138" t="e">
        <f>IF(A3456&lt;&gt;"",IF(AND(#REF!="Padrão",$H$4=#REF!),BDI!$B$17,IF(AND(#REF!="Padrão",$H$4=#REF!),BDI!#REF!,IF(AND(#REF!="Diferenciado",$H$4=#REF!),BDI!$E$17,IF(AND(#REF!="Diferenciado",$H$4=#REF!),BDI!#REF!,IF(#REF!="ZERO",0))))),"")</f>
        <v>#REF!</v>
      </c>
      <c r="H3456" s="139" t="e">
        <f t="shared" ca="1" si="214"/>
        <v>#REF!</v>
      </c>
      <c r="I3456" s="137" t="e">
        <f t="shared" ca="1" si="215"/>
        <v>#REF!</v>
      </c>
      <c r="J3456" s="117"/>
    </row>
    <row r="3457" spans="1:10" hidden="1" x14ac:dyDescent="0.25">
      <c r="A3457" s="114" t="s">
        <v>7038</v>
      </c>
      <c r="B3457" s="115" t="s">
        <v>7257</v>
      </c>
      <c r="C3457" s="116" t="s">
        <v>16</v>
      </c>
      <c r="D3457" s="116">
        <v>0</v>
      </c>
      <c r="E3457" s="136" t="s">
        <v>416</v>
      </c>
      <c r="F3457" s="137" t="str">
        <f t="shared" si="213"/>
        <v/>
      </c>
      <c r="G3457" s="138" t="e">
        <f>IF(A3457&lt;&gt;"",IF(AND(#REF!="Padrão",$H$4=#REF!),BDI!$B$17,IF(AND(#REF!="Padrão",$H$4=#REF!),BDI!#REF!,IF(AND(#REF!="Diferenciado",$H$4=#REF!),BDI!$E$17,IF(AND(#REF!="Diferenciado",$H$4=#REF!),BDI!#REF!,IF(#REF!="ZERO",0))))),"")</f>
        <v>#REF!</v>
      </c>
      <c r="H3457" s="139" t="str">
        <f t="shared" si="214"/>
        <v/>
      </c>
      <c r="I3457" s="137" t="str">
        <f t="shared" si="215"/>
        <v/>
      </c>
      <c r="J3457" s="117"/>
    </row>
    <row r="3458" spans="1:10" hidden="1" x14ac:dyDescent="0.25">
      <c r="A3458" s="114" t="s">
        <v>7039</v>
      </c>
      <c r="B3458" s="115" t="s">
        <v>7258</v>
      </c>
      <c r="C3458" s="116" t="s">
        <v>16</v>
      </c>
      <c r="D3458" s="116">
        <v>0</v>
      </c>
      <c r="E3458" s="136" t="s">
        <v>416</v>
      </c>
      <c r="F3458" s="137" t="str">
        <f t="shared" si="213"/>
        <v/>
      </c>
      <c r="G3458" s="138" t="e">
        <f>IF(A3458&lt;&gt;"",IF(AND(#REF!="Padrão",$H$4=#REF!),BDI!$B$17,IF(AND(#REF!="Padrão",$H$4=#REF!),BDI!#REF!,IF(AND(#REF!="Diferenciado",$H$4=#REF!),BDI!$E$17,IF(AND(#REF!="Diferenciado",$H$4=#REF!),BDI!#REF!,IF(#REF!="ZERO",0))))),"")</f>
        <v>#REF!</v>
      </c>
      <c r="H3458" s="139" t="str">
        <f t="shared" si="214"/>
        <v/>
      </c>
      <c r="I3458" s="137" t="str">
        <f t="shared" si="215"/>
        <v/>
      </c>
      <c r="J3458" s="117"/>
    </row>
    <row r="3459" spans="1:10" hidden="1" x14ac:dyDescent="0.25">
      <c r="A3459" s="114" t="s">
        <v>7040</v>
      </c>
      <c r="B3459" s="115" t="s">
        <v>7261</v>
      </c>
      <c r="C3459" s="116" t="s">
        <v>16</v>
      </c>
      <c r="D3459" s="116">
        <v>0</v>
      </c>
      <c r="E3459" s="136" t="s">
        <v>416</v>
      </c>
      <c r="F3459" s="137" t="str">
        <f t="shared" si="213"/>
        <v/>
      </c>
      <c r="G3459" s="138" t="e">
        <f>IF(A3459&lt;&gt;"",IF(AND(#REF!="Padrão",$H$4=#REF!),BDI!$B$17,IF(AND(#REF!="Padrão",$H$4=#REF!),BDI!#REF!,IF(AND(#REF!="Diferenciado",$H$4=#REF!),BDI!$E$17,IF(AND(#REF!="Diferenciado",$H$4=#REF!),BDI!#REF!,IF(#REF!="ZERO",0))))),"")</f>
        <v>#REF!</v>
      </c>
      <c r="H3459" s="139" t="str">
        <f t="shared" si="214"/>
        <v/>
      </c>
      <c r="I3459" s="137" t="str">
        <f t="shared" si="215"/>
        <v/>
      </c>
      <c r="J3459" s="117"/>
    </row>
    <row r="3460" spans="1:10" hidden="1" x14ac:dyDescent="0.25">
      <c r="A3460" s="114" t="s">
        <v>7041</v>
      </c>
      <c r="B3460" s="115" t="s">
        <v>7042</v>
      </c>
      <c r="C3460" s="116" t="s">
        <v>16</v>
      </c>
      <c r="D3460" s="116">
        <v>0</v>
      </c>
      <c r="E3460" s="136">
        <f ca="1">OFFSET(INDEX(Composições!A:J,MATCH(Orçamentária!A3460,Composições!A:A,0),8),2,0)</f>
        <v>45.884999999999998</v>
      </c>
      <c r="F3460" s="137">
        <f t="shared" ca="1" si="213"/>
        <v>0</v>
      </c>
      <c r="G3460" s="138" t="e">
        <f>IF(A3460&lt;&gt;"",IF(AND(#REF!="Padrão",$H$4=#REF!),BDI!$B$17,IF(AND(#REF!="Padrão",$H$4=#REF!),BDI!#REF!,IF(AND(#REF!="Diferenciado",$H$4=#REF!),BDI!$E$17,IF(AND(#REF!="Diferenciado",$H$4=#REF!),BDI!#REF!,IF(#REF!="ZERO",0))))),"")</f>
        <v>#REF!</v>
      </c>
      <c r="H3460" s="139" t="e">
        <f t="shared" ca="1" si="214"/>
        <v>#REF!</v>
      </c>
      <c r="I3460" s="137" t="e">
        <f t="shared" ca="1" si="215"/>
        <v>#REF!</v>
      </c>
      <c r="J3460" s="117"/>
    </row>
    <row r="3461" spans="1:10" hidden="1" x14ac:dyDescent="0.25">
      <c r="A3461" s="114" t="s">
        <v>7043</v>
      </c>
      <c r="B3461" s="115" t="s">
        <v>7044</v>
      </c>
      <c r="C3461" s="116" t="s">
        <v>16</v>
      </c>
      <c r="D3461" s="116">
        <v>0</v>
      </c>
      <c r="E3461" s="136">
        <f ca="1">OFFSET(INDEX(Composições!A:J,MATCH(Orçamentária!A3461,Composições!A:A,0),8),2,0)</f>
        <v>13.727499999999999</v>
      </c>
      <c r="F3461" s="137">
        <f t="shared" ca="1" si="213"/>
        <v>0</v>
      </c>
      <c r="G3461" s="138" t="e">
        <f>IF(A3461&lt;&gt;"",IF(AND(#REF!="Padrão",$H$4=#REF!),BDI!$B$17,IF(AND(#REF!="Padrão",$H$4=#REF!),BDI!#REF!,IF(AND(#REF!="Diferenciado",$H$4=#REF!),BDI!$E$17,IF(AND(#REF!="Diferenciado",$H$4=#REF!),BDI!#REF!,IF(#REF!="ZERO",0))))),"")</f>
        <v>#REF!</v>
      </c>
      <c r="H3461" s="139" t="e">
        <f t="shared" ca="1" si="214"/>
        <v>#REF!</v>
      </c>
      <c r="I3461" s="137" t="e">
        <f t="shared" ca="1" si="215"/>
        <v>#REF!</v>
      </c>
      <c r="J3461" s="117"/>
    </row>
    <row r="3462" spans="1:10" hidden="1" x14ac:dyDescent="0.25">
      <c r="A3462" s="114" t="s">
        <v>7045</v>
      </c>
      <c r="B3462" s="115" t="s">
        <v>7046</v>
      </c>
      <c r="C3462" s="116" t="s">
        <v>16</v>
      </c>
      <c r="D3462" s="116">
        <v>0</v>
      </c>
      <c r="E3462" s="136">
        <f ca="1">OFFSET(INDEX(Composições!A:J,MATCH(Orçamentária!A3462,Composições!A:A,0),8),2,0)</f>
        <v>17.736499999999999</v>
      </c>
      <c r="F3462" s="137">
        <f t="shared" ca="1" si="213"/>
        <v>0</v>
      </c>
      <c r="G3462" s="138" t="e">
        <f>IF(A3462&lt;&gt;"",IF(AND(#REF!="Padrão",$H$4=#REF!),BDI!$B$17,IF(AND(#REF!="Padrão",$H$4=#REF!),BDI!#REF!,IF(AND(#REF!="Diferenciado",$H$4=#REF!),BDI!$E$17,IF(AND(#REF!="Diferenciado",$H$4=#REF!),BDI!#REF!,IF(#REF!="ZERO",0))))),"")</f>
        <v>#REF!</v>
      </c>
      <c r="H3462" s="139" t="e">
        <f t="shared" ca="1" si="214"/>
        <v>#REF!</v>
      </c>
      <c r="I3462" s="137" t="e">
        <f t="shared" ca="1" si="215"/>
        <v>#REF!</v>
      </c>
      <c r="J3462" s="117"/>
    </row>
    <row r="3463" spans="1:10" hidden="1" x14ac:dyDescent="0.25">
      <c r="A3463" s="114" t="s">
        <v>7047</v>
      </c>
      <c r="B3463" s="115" t="s">
        <v>7262</v>
      </c>
      <c r="C3463" s="116" t="s">
        <v>16</v>
      </c>
      <c r="D3463" s="116">
        <v>0</v>
      </c>
      <c r="E3463" s="136">
        <f ca="1">OFFSET(INDEX(Composições!A:J,MATCH(Orçamentária!A3463,Composições!A:A,0),8),2,0)</f>
        <v>6.8780000000000001</v>
      </c>
      <c r="F3463" s="137">
        <f t="shared" ca="1" si="213"/>
        <v>0</v>
      </c>
      <c r="G3463" s="138" t="e">
        <f>IF(A3463&lt;&gt;"",IF(AND(#REF!="Padrão",$H$4=#REF!),BDI!$B$17,IF(AND(#REF!="Padrão",$H$4=#REF!),BDI!#REF!,IF(AND(#REF!="Diferenciado",$H$4=#REF!),BDI!$E$17,IF(AND(#REF!="Diferenciado",$H$4=#REF!),BDI!#REF!,IF(#REF!="ZERO",0))))),"")</f>
        <v>#REF!</v>
      </c>
      <c r="H3463" s="139" t="e">
        <f t="shared" ca="1" si="214"/>
        <v>#REF!</v>
      </c>
      <c r="I3463" s="137" t="e">
        <f t="shared" ca="1" si="215"/>
        <v>#REF!</v>
      </c>
      <c r="J3463" s="117"/>
    </row>
    <row r="3464" spans="1:10" hidden="1" x14ac:dyDescent="0.25">
      <c r="A3464" s="114" t="s">
        <v>7048</v>
      </c>
      <c r="B3464" s="115" t="s">
        <v>7263</v>
      </c>
      <c r="C3464" s="116" t="s">
        <v>16</v>
      </c>
      <c r="D3464" s="116">
        <v>0</v>
      </c>
      <c r="E3464" s="136">
        <f ca="1">OFFSET(INDEX(Composições!A:J,MATCH(Orçamentária!A3464,Composições!A:A,0),8),2,0)</f>
        <v>1.159</v>
      </c>
      <c r="F3464" s="137">
        <f t="shared" ca="1" si="213"/>
        <v>0</v>
      </c>
      <c r="G3464" s="138" t="e">
        <f>IF(A3464&lt;&gt;"",IF(AND(#REF!="Padrão",$H$4=#REF!),BDI!$B$17,IF(AND(#REF!="Padrão",$H$4=#REF!),BDI!#REF!,IF(AND(#REF!="Diferenciado",$H$4=#REF!),BDI!$E$17,IF(AND(#REF!="Diferenciado",$H$4=#REF!),BDI!#REF!,IF(#REF!="ZERO",0))))),"")</f>
        <v>#REF!</v>
      </c>
      <c r="H3464" s="139" t="e">
        <f t="shared" ca="1" si="214"/>
        <v>#REF!</v>
      </c>
      <c r="I3464" s="137" t="e">
        <f t="shared" ca="1" si="215"/>
        <v>#REF!</v>
      </c>
      <c r="J3464" s="117"/>
    </row>
    <row r="3465" spans="1:10" hidden="1" x14ac:dyDescent="0.25">
      <c r="A3465" s="114" t="s">
        <v>7049</v>
      </c>
      <c r="B3465" s="115" t="s">
        <v>7050</v>
      </c>
      <c r="C3465" s="116" t="s">
        <v>16</v>
      </c>
      <c r="D3465" s="116">
        <v>0</v>
      </c>
      <c r="E3465" s="136">
        <f ca="1">OFFSET(INDEX(Composições!A:J,MATCH(Orçamentária!A3465,Composições!A:A,0),8),2,0)</f>
        <v>18.3825</v>
      </c>
      <c r="F3465" s="137">
        <f t="shared" ca="1" si="213"/>
        <v>0</v>
      </c>
      <c r="G3465" s="138" t="e">
        <f>IF(A3465&lt;&gt;"",IF(AND(#REF!="Padrão",$H$4=#REF!),BDI!$B$17,IF(AND(#REF!="Padrão",$H$4=#REF!),BDI!#REF!,IF(AND(#REF!="Diferenciado",$H$4=#REF!),BDI!$E$17,IF(AND(#REF!="Diferenciado",$H$4=#REF!),BDI!#REF!,IF(#REF!="ZERO",0))))),"")</f>
        <v>#REF!</v>
      </c>
      <c r="H3465" s="139" t="e">
        <f t="shared" ca="1" si="214"/>
        <v>#REF!</v>
      </c>
      <c r="I3465" s="137" t="e">
        <f t="shared" ca="1" si="215"/>
        <v>#REF!</v>
      </c>
      <c r="J3465" s="117"/>
    </row>
    <row r="3466" spans="1:10" hidden="1" x14ac:dyDescent="0.25">
      <c r="A3466" s="114" t="s">
        <v>7051</v>
      </c>
      <c r="B3466" s="115" t="s">
        <v>7052</v>
      </c>
      <c r="C3466" s="116" t="s">
        <v>16</v>
      </c>
      <c r="D3466" s="116">
        <v>0</v>
      </c>
      <c r="E3466" s="136">
        <f ca="1">OFFSET(INDEX(Composições!A:J,MATCH(Orçamentária!A3466,Composições!A:A,0),8),2,0)</f>
        <v>46.074999999999996</v>
      </c>
      <c r="F3466" s="137">
        <f t="shared" ca="1" si="213"/>
        <v>0</v>
      </c>
      <c r="G3466" s="138" t="e">
        <f>IF(A3466&lt;&gt;"",IF(AND(#REF!="Padrão",$H$4=#REF!),BDI!$B$17,IF(AND(#REF!="Padrão",$H$4=#REF!),BDI!#REF!,IF(AND(#REF!="Diferenciado",$H$4=#REF!),BDI!$E$17,IF(AND(#REF!="Diferenciado",$H$4=#REF!),BDI!#REF!,IF(#REF!="ZERO",0))))),"")</f>
        <v>#REF!</v>
      </c>
      <c r="H3466" s="139" t="e">
        <f t="shared" ca="1" si="214"/>
        <v>#REF!</v>
      </c>
      <c r="I3466" s="137" t="e">
        <f t="shared" ca="1" si="215"/>
        <v>#REF!</v>
      </c>
      <c r="J3466" s="117"/>
    </row>
    <row r="3467" spans="1:10" hidden="1" x14ac:dyDescent="0.25">
      <c r="A3467" s="114" t="s">
        <v>7053</v>
      </c>
      <c r="B3467" s="115" t="s">
        <v>7054</v>
      </c>
      <c r="C3467" s="116" t="s">
        <v>16</v>
      </c>
      <c r="D3467" s="116">
        <v>0</v>
      </c>
      <c r="E3467" s="136" t="s">
        <v>416</v>
      </c>
      <c r="F3467" s="137" t="str">
        <f t="shared" si="213"/>
        <v/>
      </c>
      <c r="G3467" s="138" t="e">
        <f>IF(A3467&lt;&gt;"",IF(AND(#REF!="Padrão",$H$4=#REF!),BDI!$B$17,IF(AND(#REF!="Padrão",$H$4=#REF!),BDI!#REF!,IF(AND(#REF!="Diferenciado",$H$4=#REF!),BDI!$E$17,IF(AND(#REF!="Diferenciado",$H$4=#REF!),BDI!#REF!,IF(#REF!="ZERO",0))))),"")</f>
        <v>#REF!</v>
      </c>
      <c r="H3467" s="139" t="str">
        <f t="shared" si="214"/>
        <v/>
      </c>
      <c r="I3467" s="137" t="str">
        <f t="shared" si="215"/>
        <v/>
      </c>
      <c r="J3467" s="117"/>
    </row>
    <row r="3468" spans="1:10" hidden="1" x14ac:dyDescent="0.25">
      <c r="A3468" s="114" t="s">
        <v>7055</v>
      </c>
      <c r="B3468" s="115" t="s">
        <v>7264</v>
      </c>
      <c r="C3468" s="116" t="s">
        <v>16</v>
      </c>
      <c r="D3468" s="116">
        <v>0</v>
      </c>
      <c r="E3468" s="136">
        <f ca="1">OFFSET(INDEX(Composições!A:J,MATCH(Orçamentária!A3468,Composições!A:A,0),8),2,0)</f>
        <v>6.9349999999999996</v>
      </c>
      <c r="F3468" s="137">
        <f t="shared" ca="1" si="213"/>
        <v>0</v>
      </c>
      <c r="G3468" s="138" t="e">
        <f>IF(A3468&lt;&gt;"",IF(AND(#REF!="Padrão",$H$4=#REF!),BDI!$B$17,IF(AND(#REF!="Padrão",$H$4=#REF!),BDI!#REF!,IF(AND(#REF!="Diferenciado",$H$4=#REF!),BDI!$E$17,IF(AND(#REF!="Diferenciado",$H$4=#REF!),BDI!#REF!,IF(#REF!="ZERO",0))))),"")</f>
        <v>#REF!</v>
      </c>
      <c r="H3468" s="139" t="e">
        <f t="shared" ca="1" si="214"/>
        <v>#REF!</v>
      </c>
      <c r="I3468" s="137" t="e">
        <f t="shared" ca="1" si="215"/>
        <v>#REF!</v>
      </c>
      <c r="J3468" s="117"/>
    </row>
    <row r="3469" spans="1:10" hidden="1" x14ac:dyDescent="0.25">
      <c r="A3469" s="114" t="s">
        <v>7056</v>
      </c>
      <c r="B3469" s="115" t="s">
        <v>7265</v>
      </c>
      <c r="C3469" s="116" t="s">
        <v>16</v>
      </c>
      <c r="D3469" s="116">
        <v>0</v>
      </c>
      <c r="E3469" s="136">
        <f ca="1">OFFSET(INDEX(Composições!A:J,MATCH(Orçamentária!A3469,Composições!A:A,0),8),2,0)</f>
        <v>10.250499999999999</v>
      </c>
      <c r="F3469" s="137">
        <f t="shared" ca="1" si="213"/>
        <v>0</v>
      </c>
      <c r="G3469" s="138" t="e">
        <f>IF(A3469&lt;&gt;"",IF(AND(#REF!="Padrão",$H$4=#REF!),BDI!$B$17,IF(AND(#REF!="Padrão",$H$4=#REF!),BDI!#REF!,IF(AND(#REF!="Diferenciado",$H$4=#REF!),BDI!$E$17,IF(AND(#REF!="Diferenciado",$H$4=#REF!),BDI!#REF!,IF(#REF!="ZERO",0))))),"")</f>
        <v>#REF!</v>
      </c>
      <c r="H3469" s="139" t="e">
        <f t="shared" ca="1" si="214"/>
        <v>#REF!</v>
      </c>
      <c r="I3469" s="137" t="e">
        <f t="shared" ca="1" si="215"/>
        <v>#REF!</v>
      </c>
      <c r="J3469" s="117"/>
    </row>
    <row r="3470" spans="1:10" hidden="1" x14ac:dyDescent="0.25">
      <c r="A3470" s="114" t="s">
        <v>7057</v>
      </c>
      <c r="B3470" s="115" t="s">
        <v>7058</v>
      </c>
      <c r="C3470" s="116" t="s">
        <v>16</v>
      </c>
      <c r="D3470" s="116">
        <v>0</v>
      </c>
      <c r="E3470" s="136" t="s">
        <v>416</v>
      </c>
      <c r="F3470" s="137" t="str">
        <f t="shared" si="213"/>
        <v/>
      </c>
      <c r="G3470" s="138" t="e">
        <f>IF(A3470&lt;&gt;"",IF(AND(#REF!="Padrão",$H$4=#REF!),BDI!$B$17,IF(AND(#REF!="Padrão",$H$4=#REF!),BDI!#REF!,IF(AND(#REF!="Diferenciado",$H$4=#REF!),BDI!$E$17,IF(AND(#REF!="Diferenciado",$H$4=#REF!),BDI!#REF!,IF(#REF!="ZERO",0))))),"")</f>
        <v>#REF!</v>
      </c>
      <c r="H3470" s="139" t="str">
        <f t="shared" si="214"/>
        <v/>
      </c>
      <c r="I3470" s="137" t="str">
        <f t="shared" si="215"/>
        <v/>
      </c>
      <c r="J3470" s="117"/>
    </row>
    <row r="3471" spans="1:10" hidden="1" x14ac:dyDescent="0.25">
      <c r="A3471" s="114" t="s">
        <v>7059</v>
      </c>
      <c r="B3471" s="115" t="s">
        <v>7060</v>
      </c>
      <c r="C3471" s="116" t="s">
        <v>16</v>
      </c>
      <c r="D3471" s="116">
        <v>0</v>
      </c>
      <c r="E3471" s="136" t="s">
        <v>416</v>
      </c>
      <c r="F3471" s="137" t="str">
        <f t="shared" ref="F3471:F3475" si="216">IF(ISNUMBER(E3471),D3471*E3471,"")</f>
        <v/>
      </c>
      <c r="G3471" s="138" t="e">
        <f>IF(A3471&lt;&gt;"",IF(AND(#REF!="Padrão",$H$4=#REF!),BDI!$B$17,IF(AND(#REF!="Padrão",$H$4=#REF!),BDI!#REF!,IF(AND(#REF!="Diferenciado",$H$4=#REF!),BDI!$E$17,IF(AND(#REF!="Diferenciado",$H$4=#REF!),BDI!#REF!,IF(#REF!="ZERO",0))))),"")</f>
        <v>#REF!</v>
      </c>
      <c r="H3471" s="139" t="str">
        <f t="shared" ref="H3471:H3475" si="217">IF(ISNUMBER(E3471),ROUND(E3471*(1+G3471),2),"")</f>
        <v/>
      </c>
      <c r="I3471" s="137" t="str">
        <f t="shared" ref="I3471:I3475" si="218">IF(ISNUMBER(E3471),ROUND(H3471*D3471,2),"")</f>
        <v/>
      </c>
      <c r="J3471" s="117"/>
    </row>
    <row r="3472" spans="1:10" hidden="1" x14ac:dyDescent="0.25">
      <c r="A3472" s="114" t="s">
        <v>7061</v>
      </c>
      <c r="B3472" s="115" t="s">
        <v>7266</v>
      </c>
      <c r="C3472" s="116" t="s">
        <v>16</v>
      </c>
      <c r="D3472" s="116">
        <v>0</v>
      </c>
      <c r="E3472" s="136" t="s">
        <v>416</v>
      </c>
      <c r="F3472" s="137" t="str">
        <f t="shared" si="216"/>
        <v/>
      </c>
      <c r="G3472" s="138" t="e">
        <f>IF(A3472&lt;&gt;"",IF(AND(#REF!="Padrão",$H$4=#REF!),BDI!$B$17,IF(AND(#REF!="Padrão",$H$4=#REF!),BDI!#REF!,IF(AND(#REF!="Diferenciado",$H$4=#REF!),BDI!$E$17,IF(AND(#REF!="Diferenciado",$H$4=#REF!),BDI!#REF!,IF(#REF!="ZERO",0))))),"")</f>
        <v>#REF!</v>
      </c>
      <c r="H3472" s="139" t="str">
        <f t="shared" si="217"/>
        <v/>
      </c>
      <c r="I3472" s="137" t="str">
        <f t="shared" si="218"/>
        <v/>
      </c>
      <c r="J3472" s="117"/>
    </row>
    <row r="3473" spans="1:10" hidden="1" x14ac:dyDescent="0.25">
      <c r="A3473" s="114" t="s">
        <v>7062</v>
      </c>
      <c r="B3473" s="115" t="s">
        <v>7267</v>
      </c>
      <c r="C3473" s="116" t="s">
        <v>16</v>
      </c>
      <c r="D3473" s="116">
        <v>0</v>
      </c>
      <c r="E3473" s="136" t="s">
        <v>416</v>
      </c>
      <c r="F3473" s="137" t="str">
        <f t="shared" si="216"/>
        <v/>
      </c>
      <c r="G3473" s="138" t="e">
        <f>IF(A3473&lt;&gt;"",IF(AND(#REF!="Padrão",$H$4=#REF!),BDI!$B$17,IF(AND(#REF!="Padrão",$H$4=#REF!),BDI!#REF!,IF(AND(#REF!="Diferenciado",$H$4=#REF!),BDI!$E$17,IF(AND(#REF!="Diferenciado",$H$4=#REF!),BDI!#REF!,IF(#REF!="ZERO",0))))),"")</f>
        <v>#REF!</v>
      </c>
      <c r="H3473" s="139" t="str">
        <f t="shared" si="217"/>
        <v/>
      </c>
      <c r="I3473" s="137" t="str">
        <f t="shared" si="218"/>
        <v/>
      </c>
      <c r="J3473" s="117"/>
    </row>
    <row r="3474" spans="1:10" hidden="1" x14ac:dyDescent="0.25">
      <c r="A3474" s="114" t="s">
        <v>7063</v>
      </c>
      <c r="B3474" s="115" t="s">
        <v>7268</v>
      </c>
      <c r="C3474" s="116" t="s">
        <v>16</v>
      </c>
      <c r="D3474" s="116">
        <v>0</v>
      </c>
      <c r="E3474" s="136" t="s">
        <v>416</v>
      </c>
      <c r="F3474" s="137" t="str">
        <f t="shared" si="216"/>
        <v/>
      </c>
      <c r="G3474" s="138" t="e">
        <f>IF(A3474&lt;&gt;"",IF(AND(#REF!="Padrão",$H$4=#REF!),BDI!$B$17,IF(AND(#REF!="Padrão",$H$4=#REF!),BDI!#REF!,IF(AND(#REF!="Diferenciado",$H$4=#REF!),BDI!$E$17,IF(AND(#REF!="Diferenciado",$H$4=#REF!),BDI!#REF!,IF(#REF!="ZERO",0))))),"")</f>
        <v>#REF!</v>
      </c>
      <c r="H3474" s="139" t="str">
        <f t="shared" si="217"/>
        <v/>
      </c>
      <c r="I3474" s="137" t="str">
        <f t="shared" si="218"/>
        <v/>
      </c>
      <c r="J3474" s="117"/>
    </row>
    <row r="3475" spans="1:10" hidden="1" x14ac:dyDescent="0.25">
      <c r="A3475" s="114" t="s">
        <v>7064</v>
      </c>
      <c r="B3475" s="115" t="s">
        <v>7065</v>
      </c>
      <c r="C3475" s="116" t="s">
        <v>16</v>
      </c>
      <c r="D3475" s="116">
        <v>0</v>
      </c>
      <c r="E3475" s="136" t="s">
        <v>416</v>
      </c>
      <c r="F3475" s="137" t="str">
        <f t="shared" si="216"/>
        <v/>
      </c>
      <c r="G3475" s="138" t="e">
        <f>IF(A3475&lt;&gt;"",IF(AND(#REF!="Padrão",$H$4=#REF!),BDI!$B$17,IF(AND(#REF!="Padrão",$H$4=#REF!),BDI!#REF!,IF(AND(#REF!="Diferenciado",$H$4=#REF!),BDI!$E$17,IF(AND(#REF!="Diferenciado",$H$4=#REF!),BDI!#REF!,IF(#REF!="ZERO",0))))),"")</f>
        <v>#REF!</v>
      </c>
      <c r="H3475" s="139" t="str">
        <f t="shared" si="217"/>
        <v/>
      </c>
      <c r="I3475" s="137" t="str">
        <f t="shared" si="218"/>
        <v/>
      </c>
      <c r="J3475" s="117"/>
    </row>
    <row r="3476" spans="1:10" ht="25.5" hidden="1" x14ac:dyDescent="0.25">
      <c r="A3476" s="114" t="s">
        <v>7066</v>
      </c>
      <c r="B3476" s="115" t="s">
        <v>7942</v>
      </c>
      <c r="C3476" s="116" t="s">
        <v>69</v>
      </c>
      <c r="D3476" s="116">
        <v>0</v>
      </c>
      <c r="E3476" s="136" t="s">
        <v>416</v>
      </c>
      <c r="F3476" s="137" t="str">
        <f t="shared" ref="F3476:F3486" si="219">IF(ISNUMBER(E3476),D3476*E3476,"")</f>
        <v/>
      </c>
      <c r="G3476" s="138" t="e">
        <f>IF(A3476&lt;&gt;"",IF(AND(#REF!="Padrão",$H$4=#REF!),BDI!$B$17,IF(AND(#REF!="Padrão",$H$4=#REF!),BDI!#REF!,IF(AND(#REF!="Diferenciado",$H$4=#REF!),BDI!$E$17,IF(AND(#REF!="Diferenciado",$H$4=#REF!),BDI!#REF!,IF(#REF!="ZERO",0))))),"")</f>
        <v>#REF!</v>
      </c>
      <c r="H3476" s="139" t="str">
        <f t="shared" ref="H3476:H3486" si="220">IF(ISNUMBER(E3476),ROUND(E3476*(1+G3476),2),"")</f>
        <v/>
      </c>
      <c r="I3476" s="137" t="str">
        <f t="shared" ref="I3476:I3486" si="221">IF(ISNUMBER(E3476),ROUND(H3476*D3476,2),"")</f>
        <v/>
      </c>
      <c r="J3476" s="117"/>
    </row>
    <row r="3477" spans="1:10" hidden="1" x14ac:dyDescent="0.25">
      <c r="A3477" s="114" t="s">
        <v>7067</v>
      </c>
      <c r="B3477" s="115" t="s">
        <v>7943</v>
      </c>
      <c r="C3477" s="116" t="s">
        <v>2177</v>
      </c>
      <c r="D3477" s="116">
        <v>0</v>
      </c>
      <c r="E3477" s="136" t="s">
        <v>416</v>
      </c>
      <c r="F3477" s="137" t="str">
        <f t="shared" si="219"/>
        <v/>
      </c>
      <c r="G3477" s="138" t="e">
        <f>IF(A3477&lt;&gt;"",IF(AND(#REF!="Padrão",$H$4=#REF!),BDI!$B$17,IF(AND(#REF!="Padrão",$H$4=#REF!),BDI!#REF!,IF(AND(#REF!="Diferenciado",$H$4=#REF!),BDI!$E$17,IF(AND(#REF!="Diferenciado",$H$4=#REF!),BDI!#REF!,IF(#REF!="ZERO",0))))),"")</f>
        <v>#REF!</v>
      </c>
      <c r="H3477" s="139" t="str">
        <f t="shared" si="220"/>
        <v/>
      </c>
      <c r="I3477" s="137" t="str">
        <f t="shared" si="221"/>
        <v/>
      </c>
      <c r="J3477" s="117"/>
    </row>
    <row r="3478" spans="1:10" hidden="1" x14ac:dyDescent="0.25">
      <c r="A3478" s="114" t="s">
        <v>7068</v>
      </c>
      <c r="B3478" s="115" t="s">
        <v>7949</v>
      </c>
      <c r="C3478" s="116" t="s">
        <v>16</v>
      </c>
      <c r="D3478" s="116">
        <v>0</v>
      </c>
      <c r="E3478" s="136" t="s">
        <v>416</v>
      </c>
      <c r="F3478" s="137" t="str">
        <f t="shared" si="219"/>
        <v/>
      </c>
      <c r="G3478" s="138" t="e">
        <f>IF(A3478&lt;&gt;"",IF(AND(#REF!="Padrão",$H$4=#REF!),BDI!$B$17,IF(AND(#REF!="Padrão",$H$4=#REF!),BDI!#REF!,IF(AND(#REF!="Diferenciado",$H$4=#REF!),BDI!$E$17,IF(AND(#REF!="Diferenciado",$H$4=#REF!),BDI!#REF!,IF(#REF!="ZERO",0))))),"")</f>
        <v>#REF!</v>
      </c>
      <c r="H3478" s="139" t="str">
        <f t="shared" si="220"/>
        <v/>
      </c>
      <c r="I3478" s="137" t="str">
        <f t="shared" si="221"/>
        <v/>
      </c>
      <c r="J3478" s="117"/>
    </row>
    <row r="3479" spans="1:10" hidden="1" x14ac:dyDescent="0.25">
      <c r="A3479" s="114" t="s">
        <v>7069</v>
      </c>
      <c r="B3479" s="115" t="s">
        <v>7950</v>
      </c>
      <c r="C3479" s="116" t="s">
        <v>70</v>
      </c>
      <c r="D3479" s="116">
        <v>0</v>
      </c>
      <c r="E3479" s="136">
        <f ca="1">OFFSET(INDEX(Composições!A:J,MATCH(Orçamentária!A3479,Composições!A:A,0),8),2,0)</f>
        <v>248.84394999999998</v>
      </c>
      <c r="F3479" s="137">
        <f t="shared" ca="1" si="219"/>
        <v>0</v>
      </c>
      <c r="G3479" s="138" t="e">
        <f>IF(A3479&lt;&gt;"",IF(AND(#REF!="Padrão",$H$4=#REF!),BDI!$B$17,IF(AND(#REF!="Padrão",$H$4=#REF!),BDI!#REF!,IF(AND(#REF!="Diferenciado",$H$4=#REF!),BDI!$E$17,IF(AND(#REF!="Diferenciado",$H$4=#REF!),BDI!#REF!,IF(#REF!="ZERO",0))))),"")</f>
        <v>#REF!</v>
      </c>
      <c r="H3479" s="139" t="e">
        <f t="shared" ca="1" si="220"/>
        <v>#REF!</v>
      </c>
      <c r="I3479" s="137" t="e">
        <f t="shared" ca="1" si="221"/>
        <v>#REF!</v>
      </c>
      <c r="J3479" s="117"/>
    </row>
    <row r="3480" spans="1:10" hidden="1" x14ac:dyDescent="0.25">
      <c r="A3480" s="114" t="s">
        <v>7070</v>
      </c>
      <c r="B3480" s="115" t="s">
        <v>7951</v>
      </c>
      <c r="C3480" s="116" t="s">
        <v>70</v>
      </c>
      <c r="D3480" s="116">
        <v>0</v>
      </c>
      <c r="E3480" s="136">
        <f ca="1">OFFSET(INDEX(Composições!A:J,MATCH(Orçamentária!A3480,Composições!A:A,0),8),2,0)</f>
        <v>248.84394999999998</v>
      </c>
      <c r="F3480" s="137">
        <f t="shared" ca="1" si="219"/>
        <v>0</v>
      </c>
      <c r="G3480" s="138" t="e">
        <f>IF(A3480&lt;&gt;"",IF(AND(#REF!="Padrão",$H$4=#REF!),BDI!$B$17,IF(AND(#REF!="Padrão",$H$4=#REF!),BDI!#REF!,IF(AND(#REF!="Diferenciado",$H$4=#REF!),BDI!$E$17,IF(AND(#REF!="Diferenciado",$H$4=#REF!),BDI!#REF!,IF(#REF!="ZERO",0))))),"")</f>
        <v>#REF!</v>
      </c>
      <c r="H3480" s="139" t="e">
        <f t="shared" ca="1" si="220"/>
        <v>#REF!</v>
      </c>
      <c r="I3480" s="137" t="e">
        <f t="shared" ca="1" si="221"/>
        <v>#REF!</v>
      </c>
      <c r="J3480" s="117"/>
    </row>
    <row r="3481" spans="1:10" hidden="1" x14ac:dyDescent="0.25">
      <c r="A3481" s="114" t="s">
        <v>7071</v>
      </c>
      <c r="B3481" s="115" t="s">
        <v>7944</v>
      </c>
      <c r="C3481" s="116" t="s">
        <v>70</v>
      </c>
      <c r="D3481" s="116">
        <v>0</v>
      </c>
      <c r="E3481" s="136" t="s">
        <v>416</v>
      </c>
      <c r="F3481" s="137" t="str">
        <f t="shared" si="219"/>
        <v/>
      </c>
      <c r="G3481" s="138" t="e">
        <f>IF(A3481&lt;&gt;"",IF(AND(#REF!="Padrão",$H$4=#REF!),BDI!$B$17,IF(AND(#REF!="Padrão",$H$4=#REF!),BDI!#REF!,IF(AND(#REF!="Diferenciado",$H$4=#REF!),BDI!$E$17,IF(AND(#REF!="Diferenciado",$H$4=#REF!),BDI!#REF!,IF(#REF!="ZERO",0))))),"")</f>
        <v>#REF!</v>
      </c>
      <c r="H3481" s="139" t="str">
        <f t="shared" si="220"/>
        <v/>
      </c>
      <c r="I3481" s="137" t="str">
        <f t="shared" si="221"/>
        <v/>
      </c>
      <c r="J3481" s="117"/>
    </row>
    <row r="3482" spans="1:10" hidden="1" x14ac:dyDescent="0.25">
      <c r="A3482" s="114" t="s">
        <v>7072</v>
      </c>
      <c r="B3482" s="115" t="s">
        <v>7945</v>
      </c>
      <c r="C3482" s="116" t="s">
        <v>70</v>
      </c>
      <c r="D3482" s="116">
        <v>0</v>
      </c>
      <c r="E3482" s="136" t="s">
        <v>416</v>
      </c>
      <c r="F3482" s="137" t="str">
        <f t="shared" si="219"/>
        <v/>
      </c>
      <c r="G3482" s="138" t="e">
        <f>IF(A3482&lt;&gt;"",IF(AND(#REF!="Padrão",$H$4=#REF!),BDI!$B$17,IF(AND(#REF!="Padrão",$H$4=#REF!),BDI!#REF!,IF(AND(#REF!="Diferenciado",$H$4=#REF!),BDI!$E$17,IF(AND(#REF!="Diferenciado",$H$4=#REF!),BDI!#REF!,IF(#REF!="ZERO",0))))),"")</f>
        <v>#REF!</v>
      </c>
      <c r="H3482" s="139" t="str">
        <f t="shared" si="220"/>
        <v/>
      </c>
      <c r="I3482" s="137" t="str">
        <f t="shared" si="221"/>
        <v/>
      </c>
      <c r="J3482" s="117"/>
    </row>
    <row r="3483" spans="1:10" hidden="1" x14ac:dyDescent="0.25">
      <c r="A3483" s="114" t="s">
        <v>7073</v>
      </c>
      <c r="B3483" s="115" t="s">
        <v>7946</v>
      </c>
      <c r="C3483" s="116" t="s">
        <v>70</v>
      </c>
      <c r="D3483" s="116">
        <v>0</v>
      </c>
      <c r="E3483" s="136">
        <f ca="1">OFFSET(INDEX(Composições!A:J,MATCH(Orçamentária!A3483,Composições!A:A,0),8),2,0)</f>
        <v>133.75771362031705</v>
      </c>
      <c r="F3483" s="137">
        <f t="shared" ca="1" si="219"/>
        <v>0</v>
      </c>
      <c r="G3483" s="138" t="e">
        <f>IF(A3483&lt;&gt;"",IF(AND(#REF!="Padrão",$H$4=#REF!),BDI!$B$17,IF(AND(#REF!="Padrão",$H$4=#REF!),BDI!#REF!,IF(AND(#REF!="Diferenciado",$H$4=#REF!),BDI!$E$17,IF(AND(#REF!="Diferenciado",$H$4=#REF!),BDI!#REF!,IF(#REF!="ZERO",0))))),"")</f>
        <v>#REF!</v>
      </c>
      <c r="H3483" s="139" t="e">
        <f t="shared" ca="1" si="220"/>
        <v>#REF!</v>
      </c>
      <c r="I3483" s="137" t="e">
        <f t="shared" ca="1" si="221"/>
        <v>#REF!</v>
      </c>
      <c r="J3483" s="117"/>
    </row>
    <row r="3484" spans="1:10" hidden="1" x14ac:dyDescent="0.25">
      <c r="A3484" s="114" t="s">
        <v>7074</v>
      </c>
      <c r="B3484" s="115" t="s">
        <v>7952</v>
      </c>
      <c r="C3484" s="116" t="s">
        <v>16</v>
      </c>
      <c r="D3484" s="116">
        <v>0</v>
      </c>
      <c r="E3484" s="136" t="s">
        <v>416</v>
      </c>
      <c r="F3484" s="137" t="str">
        <f t="shared" si="219"/>
        <v/>
      </c>
      <c r="G3484" s="138" t="e">
        <f>IF(A3484&lt;&gt;"",IF(AND(#REF!="Padrão",$H$4=#REF!),BDI!$B$17,IF(AND(#REF!="Padrão",$H$4=#REF!),BDI!#REF!,IF(AND(#REF!="Diferenciado",$H$4=#REF!),BDI!$E$17,IF(AND(#REF!="Diferenciado",$H$4=#REF!),BDI!#REF!,IF(#REF!="ZERO",0))))),"")</f>
        <v>#REF!</v>
      </c>
      <c r="H3484" s="139" t="str">
        <f t="shared" si="220"/>
        <v/>
      </c>
      <c r="I3484" s="137" t="str">
        <f t="shared" si="221"/>
        <v/>
      </c>
      <c r="J3484" s="117"/>
    </row>
    <row r="3485" spans="1:10" hidden="1" x14ac:dyDescent="0.25">
      <c r="A3485" s="114" t="s">
        <v>7075</v>
      </c>
      <c r="B3485" s="115" t="s">
        <v>7947</v>
      </c>
      <c r="C3485" s="116" t="s">
        <v>80</v>
      </c>
      <c r="D3485" s="116">
        <v>0</v>
      </c>
      <c r="E3485" s="136">
        <f ca="1">OFFSET(INDEX(Composições!A:J,MATCH(Orçamentária!A3485,Composições!A:A,0),8),2,0)</f>
        <v>127.01499999999999</v>
      </c>
      <c r="F3485" s="137">
        <f t="shared" ca="1" si="219"/>
        <v>0</v>
      </c>
      <c r="G3485" s="138" t="e">
        <f>IF(A3485&lt;&gt;"",IF(AND(#REF!="Padrão",$H$4=#REF!),BDI!$B$17,IF(AND(#REF!="Padrão",$H$4=#REF!),BDI!#REF!,IF(AND(#REF!="Diferenciado",$H$4=#REF!),BDI!$E$17,IF(AND(#REF!="Diferenciado",$H$4=#REF!),BDI!#REF!,IF(#REF!="ZERO",0))))),"")</f>
        <v>#REF!</v>
      </c>
      <c r="H3485" s="139" t="e">
        <f t="shared" ca="1" si="220"/>
        <v>#REF!</v>
      </c>
      <c r="I3485" s="137" t="e">
        <f t="shared" ca="1" si="221"/>
        <v>#REF!</v>
      </c>
      <c r="J3485" s="117"/>
    </row>
    <row r="3486" spans="1:10" hidden="1" x14ac:dyDescent="0.25">
      <c r="A3486" s="114" t="s">
        <v>7076</v>
      </c>
      <c r="B3486" s="115" t="s">
        <v>7948</v>
      </c>
      <c r="C3486" s="116" t="s">
        <v>16</v>
      </c>
      <c r="D3486" s="116">
        <v>0</v>
      </c>
      <c r="E3486" s="136" t="s">
        <v>416</v>
      </c>
      <c r="F3486" s="137" t="str">
        <f t="shared" si="219"/>
        <v/>
      </c>
      <c r="G3486" s="138" t="e">
        <f>IF(A3486&lt;&gt;"",IF(AND(#REF!="Padrão",$H$4=#REF!),BDI!$B$17,IF(AND(#REF!="Padrão",$H$4=#REF!),BDI!#REF!,IF(AND(#REF!="Diferenciado",$H$4=#REF!),BDI!$E$17,IF(AND(#REF!="Diferenciado",$H$4=#REF!),BDI!#REF!,IF(#REF!="ZERO",0))))),"")</f>
        <v>#REF!</v>
      </c>
      <c r="H3486" s="139" t="str">
        <f t="shared" si="220"/>
        <v/>
      </c>
      <c r="I3486" s="137" t="str">
        <f t="shared" si="221"/>
        <v/>
      </c>
      <c r="J3486" s="117"/>
    </row>
    <row r="3487" spans="1:10" hidden="1" x14ac:dyDescent="0.25">
      <c r="A3487" s="114" t="s">
        <v>7077</v>
      </c>
      <c r="B3487" s="115" t="s">
        <v>8507</v>
      </c>
      <c r="C3487" s="116" t="s">
        <v>28</v>
      </c>
      <c r="D3487" s="116">
        <v>0</v>
      </c>
      <c r="E3487" s="136">
        <f ca="1">OFFSET(INDEX(Composições!A:J,MATCH(Orçamentária!A3487,Composições!A:A,0),8),2,0)</f>
        <v>19.116729678638936</v>
      </c>
      <c r="F3487" s="137">
        <f t="shared" ref="F3487:F3491" ca="1" si="222">IF(ISNUMBER(E3487),D3487*E3487,"")</f>
        <v>0</v>
      </c>
      <c r="G3487" s="138" t="e">
        <f>IF(A3487&lt;&gt;"",IF(AND(#REF!="Padrão",$H$4=#REF!),BDI!$B$17,IF(AND(#REF!="Padrão",$H$4=#REF!),BDI!#REF!,IF(AND(#REF!="Diferenciado",$H$4=#REF!),BDI!$E$17,IF(AND(#REF!="Diferenciado",$H$4=#REF!),BDI!#REF!,IF(#REF!="ZERO",0))))),"")</f>
        <v>#REF!</v>
      </c>
      <c r="H3487" s="139" t="e">
        <f t="shared" ref="H3487:H3491" ca="1" si="223">IF(ISNUMBER(E3487),ROUND(E3487*(1+G3487),2),"")</f>
        <v>#REF!</v>
      </c>
      <c r="I3487" s="137" t="e">
        <f t="shared" ref="I3487:I3491" ca="1" si="224">IF(ISNUMBER(E3487),ROUND(H3487*D3487,2),"")</f>
        <v>#REF!</v>
      </c>
      <c r="J3487" s="117"/>
    </row>
    <row r="3488" spans="1:10" x14ac:dyDescent="0.25">
      <c r="A3488" s="189" t="s">
        <v>7078</v>
      </c>
      <c r="B3488" s="190" t="s">
        <v>8508</v>
      </c>
      <c r="C3488" s="191" t="s">
        <v>16</v>
      </c>
      <c r="D3488" s="191">
        <v>2</v>
      </c>
      <c r="E3488" s="136">
        <f ca="1">OFFSET(INDEX(Composições!A:J,MATCH(Orçamentária!A3488,Composições!A:A,0),8),2,0)</f>
        <v>531.36692949999997</v>
      </c>
      <c r="F3488" s="137">
        <f t="shared" ca="1" si="222"/>
        <v>1062.7338589999999</v>
      </c>
      <c r="G3488" s="138">
        <f>BDI!$B$17</f>
        <v>0.191</v>
      </c>
      <c r="H3488" s="139">
        <f t="shared" ca="1" si="223"/>
        <v>632.86</v>
      </c>
      <c r="I3488" s="137">
        <f t="shared" ca="1" si="224"/>
        <v>1265.72</v>
      </c>
      <c r="J3488" s="117"/>
    </row>
    <row r="3489" spans="1:10" hidden="1" x14ac:dyDescent="0.25">
      <c r="A3489" s="114" t="s">
        <v>7079</v>
      </c>
      <c r="B3489" s="115" t="s">
        <v>8509</v>
      </c>
      <c r="C3489" s="116" t="s">
        <v>70</v>
      </c>
      <c r="D3489" s="116">
        <v>0</v>
      </c>
      <c r="E3489" s="136" t="s">
        <v>416</v>
      </c>
      <c r="F3489" s="137" t="str">
        <f t="shared" si="222"/>
        <v/>
      </c>
      <c r="G3489" s="138" t="e">
        <f>IF(A3489&lt;&gt;"",IF(AND(#REF!="Padrão",$H$4=#REF!),BDI!$B$17,IF(AND(#REF!="Padrão",$H$4=#REF!),BDI!#REF!,IF(AND(#REF!="Diferenciado",$H$4=#REF!),BDI!$E$17,IF(AND(#REF!="Diferenciado",$H$4=#REF!),BDI!#REF!,IF(#REF!="ZERO",0))))),"")</f>
        <v>#REF!</v>
      </c>
      <c r="H3489" s="139" t="str">
        <f t="shared" si="223"/>
        <v/>
      </c>
      <c r="I3489" s="137" t="str">
        <f t="shared" si="224"/>
        <v/>
      </c>
      <c r="J3489" s="117"/>
    </row>
    <row r="3490" spans="1:10" x14ac:dyDescent="0.25">
      <c r="A3490" s="189" t="s">
        <v>7080</v>
      </c>
      <c r="B3490" s="190" t="s">
        <v>8510</v>
      </c>
      <c r="C3490" s="191" t="s">
        <v>16</v>
      </c>
      <c r="D3490" s="191">
        <v>1</v>
      </c>
      <c r="E3490" s="136">
        <f ca="1">OFFSET(INDEX(Composições!A:J,MATCH(Orçamentária!A3490,Composições!A:A,0),8),2,0)</f>
        <v>5540.96</v>
      </c>
      <c r="F3490" s="137">
        <f t="shared" ca="1" si="222"/>
        <v>5540.96</v>
      </c>
      <c r="G3490" s="138">
        <f>BDI!$B$17</f>
        <v>0.191</v>
      </c>
      <c r="H3490" s="139">
        <f t="shared" ca="1" si="223"/>
        <v>6599.28</v>
      </c>
      <c r="I3490" s="137">
        <f t="shared" ca="1" si="224"/>
        <v>6599.28</v>
      </c>
      <c r="J3490" s="117"/>
    </row>
    <row r="3491" spans="1:10" x14ac:dyDescent="0.25">
      <c r="A3491" s="189" t="s">
        <v>7081</v>
      </c>
      <c r="B3491" s="190" t="s">
        <v>8511</v>
      </c>
      <c r="C3491" s="191" t="s">
        <v>16</v>
      </c>
      <c r="D3491" s="191">
        <v>1</v>
      </c>
      <c r="E3491" s="136">
        <f ca="1">OFFSET(INDEX(Composições!A:J,MATCH(Orçamentária!A3491,Composições!A:A,0),8),2,0)</f>
        <v>25534.717608440253</v>
      </c>
      <c r="F3491" s="137">
        <f t="shared" ca="1" si="222"/>
        <v>25534.717608440253</v>
      </c>
      <c r="G3491" s="138">
        <f>BDI!$E$17</f>
        <v>0.11260000000000001</v>
      </c>
      <c r="H3491" s="139">
        <f t="shared" ca="1" si="223"/>
        <v>28409.93</v>
      </c>
      <c r="I3491" s="137">
        <f t="shared" ca="1" si="224"/>
        <v>28409.93</v>
      </c>
      <c r="J3491" s="117"/>
    </row>
    <row r="3492" spans="1:10" ht="5.0999999999999996" customHeight="1" thickBot="1" x14ac:dyDescent="0.3">
      <c r="A3492" s="192"/>
      <c r="B3492" s="193"/>
      <c r="C3492" s="194"/>
      <c r="D3492" s="194"/>
      <c r="E3492" s="195"/>
      <c r="F3492" s="195"/>
      <c r="G3492" s="196"/>
      <c r="H3492" s="197"/>
      <c r="I3492" s="198"/>
      <c r="J3492" s="119"/>
    </row>
    <row r="3493" spans="1:10" ht="15.75" hidden="1" thickBot="1" x14ac:dyDescent="0.3">
      <c r="A3493" s="199">
        <f>SUBTOTAL(103,A6:A3492)</f>
        <v>59</v>
      </c>
      <c r="B3493" s="200"/>
      <c r="C3493" s="142"/>
      <c r="D3493" s="201"/>
      <c r="E3493" s="201"/>
      <c r="F3493" s="202"/>
      <c r="G3493" s="201"/>
      <c r="H3493" s="201" t="s">
        <v>1282</v>
      </c>
      <c r="I3493" s="140">
        <f ca="1">SUBTOTAL(109,F6:F3492)</f>
        <v>344274.82934731303</v>
      </c>
      <c r="J3493" s="119"/>
    </row>
    <row r="3494" spans="1:10" ht="15.75" thickBot="1" x14ac:dyDescent="0.3">
      <c r="A3494" s="203"/>
      <c r="B3494" s="204"/>
      <c r="C3494" s="142"/>
      <c r="D3494" s="205"/>
      <c r="E3494" s="205"/>
      <c r="F3494" s="206"/>
      <c r="G3494" s="207"/>
      <c r="H3494" s="207" t="s">
        <v>7</v>
      </c>
      <c r="I3494" s="141">
        <f ca="1">SUBTOTAL(109,I6:I3492)</f>
        <v>400405.14000000007</v>
      </c>
      <c r="J3494" s="119"/>
    </row>
    <row r="3495" spans="1:10" x14ac:dyDescent="0.25">
      <c r="A3495" s="3"/>
      <c r="B3495" s="120"/>
      <c r="C3495" s="3"/>
      <c r="D3495" s="121"/>
      <c r="E3495" s="122"/>
      <c r="F3495" s="123"/>
      <c r="G3495" s="122"/>
      <c r="H3495" s="122"/>
      <c r="I3495" s="123"/>
      <c r="J3495" s="119"/>
    </row>
    <row r="3496" spans="1:10" x14ac:dyDescent="0.25">
      <c r="A3496" s="3"/>
      <c r="B3496" s="120"/>
      <c r="C3496" s="3"/>
      <c r="D3496" s="124"/>
      <c r="E3496" s="125"/>
      <c r="F3496" s="125"/>
      <c r="G3496" s="125"/>
      <c r="H3496" s="125"/>
      <c r="I3496" s="125"/>
      <c r="J3496" s="119"/>
    </row>
  </sheetData>
  <sheetProtection algorithmName="SHA-512" hashValue="lD2oEZu/aCyYVpbxk+30SiAu5vYtPKuvLK2ARbJaymlNxnGHeOAhV2/QUa8qxY7gVbbTeqflJi6ExUaybAIXfg==" saltValue="yFmhAWRdpWIA4YPKIG7NjA==" spinCount="100000" sheet="1" objects="1" scenarios="1"/>
  <autoFilter ref="A5:J3492">
    <filterColumn colId="3">
      <filters blank="1">
        <filter val="1,00"/>
        <filter val="1,50"/>
        <filter val="10,00"/>
        <filter val="105,00"/>
        <filter val="107,00"/>
        <filter val="11,00"/>
        <filter val="110,00"/>
        <filter val="118,00"/>
        <filter val="12,00"/>
        <filter val="120,00"/>
        <filter val="122,00"/>
        <filter val="15,00"/>
        <filter val="17,00"/>
        <filter val="2,00"/>
        <filter val="2.200,00"/>
        <filter val="21,00"/>
        <filter val="222,00"/>
        <filter val="24,00"/>
        <filter val="271,00"/>
        <filter val="28,00"/>
        <filter val="30,00"/>
        <filter val="31,00"/>
        <filter val="32,00"/>
        <filter val="356,00"/>
        <filter val="388,00"/>
        <filter val="4,00"/>
        <filter val="40,00"/>
        <filter val="480,00"/>
        <filter val="500,00"/>
        <filter val="504,00"/>
        <filter val="6,00"/>
        <filter val="60,00"/>
        <filter val="71,00"/>
        <filter val="76,00"/>
        <filter val="890,00"/>
        <filter val="9,00"/>
      </filters>
    </filterColumn>
  </autoFilter>
  <phoneticPr fontId="33" type="noConversion"/>
  <conditionalFormatting sqref="C6">
    <cfRule type="containsBlanks" dxfId="41" priority="61">
      <formula>LEN(TRIM(C6))=0</formula>
    </cfRule>
    <cfRule type="containsBlanks" priority="62">
      <formula>LEN(TRIM(C6))=0</formula>
    </cfRule>
  </conditionalFormatting>
  <conditionalFormatting sqref="C341:C354">
    <cfRule type="containsBlanks" dxfId="40" priority="59">
      <formula>LEN(TRIM(C341))=0</formula>
    </cfRule>
    <cfRule type="containsBlanks" priority="60">
      <formula>LEN(TRIM(C341))=0</formula>
    </cfRule>
  </conditionalFormatting>
  <conditionalFormatting sqref="C355:C356">
    <cfRule type="containsBlanks" dxfId="39" priority="57">
      <formula>LEN(TRIM(C355))=0</formula>
    </cfRule>
    <cfRule type="containsBlanks" priority="58">
      <formula>LEN(TRIM(C355))=0</formula>
    </cfRule>
  </conditionalFormatting>
  <conditionalFormatting sqref="C340">
    <cfRule type="containsBlanks" dxfId="38" priority="55">
      <formula>LEN(TRIM(C340))=0</formula>
    </cfRule>
    <cfRule type="containsBlanks" priority="56">
      <formula>LEN(TRIM(C340))=0</formula>
    </cfRule>
  </conditionalFormatting>
  <conditionalFormatting sqref="C942:C943">
    <cfRule type="containsBlanks" dxfId="37" priority="53">
      <formula>LEN(TRIM(C942))=0</formula>
    </cfRule>
    <cfRule type="containsBlanks" priority="54">
      <formula>LEN(TRIM(C942))=0</formula>
    </cfRule>
  </conditionalFormatting>
  <conditionalFormatting sqref="C59">
    <cfRule type="containsBlanks" dxfId="36" priority="51">
      <formula>LEN(TRIM(C59))=0</formula>
    </cfRule>
    <cfRule type="containsBlanks" priority="52">
      <formula>LEN(TRIM(C59))=0</formula>
    </cfRule>
  </conditionalFormatting>
  <conditionalFormatting sqref="C61">
    <cfRule type="containsBlanks" dxfId="35" priority="49">
      <formula>LEN(TRIM(C61))=0</formula>
    </cfRule>
    <cfRule type="containsBlanks" priority="50">
      <formula>LEN(TRIM(C61))=0</formula>
    </cfRule>
  </conditionalFormatting>
  <conditionalFormatting sqref="C1091">
    <cfRule type="containsBlanks" dxfId="34" priority="47">
      <formula>LEN(TRIM(C1091))=0</formula>
    </cfRule>
    <cfRule type="containsBlanks" priority="48">
      <formula>LEN(TRIM(C1091))=0</formula>
    </cfRule>
  </conditionalFormatting>
  <conditionalFormatting sqref="C1092">
    <cfRule type="containsBlanks" dxfId="33" priority="45">
      <formula>LEN(TRIM(C1092))=0</formula>
    </cfRule>
    <cfRule type="containsBlanks" priority="46">
      <formula>LEN(TRIM(C1092))=0</formula>
    </cfRule>
  </conditionalFormatting>
  <conditionalFormatting sqref="C1093:C1101">
    <cfRule type="containsBlanks" dxfId="32" priority="43">
      <formula>LEN(TRIM(C1093))=0</formula>
    </cfRule>
    <cfRule type="containsBlanks" priority="44">
      <formula>LEN(TRIM(C1093))=0</formula>
    </cfRule>
  </conditionalFormatting>
  <conditionalFormatting sqref="C1104:C1105">
    <cfRule type="containsBlanks" dxfId="31" priority="41">
      <formula>LEN(TRIM(C1104))=0</formula>
    </cfRule>
    <cfRule type="containsBlanks" priority="42">
      <formula>LEN(TRIM(C1104))=0</formula>
    </cfRule>
  </conditionalFormatting>
  <conditionalFormatting sqref="B3492 B371:B1299 B365 B6:B363">
    <cfRule type="duplicateValues" dxfId="30" priority="36"/>
  </conditionalFormatting>
  <conditionalFormatting sqref="B366:B370">
    <cfRule type="duplicateValues" dxfId="29" priority="35"/>
  </conditionalFormatting>
  <conditionalFormatting sqref="B364">
    <cfRule type="duplicateValues" dxfId="28" priority="34"/>
  </conditionalFormatting>
  <conditionalFormatting sqref="B1300:B1344">
    <cfRule type="duplicateValues" dxfId="27" priority="1991"/>
  </conditionalFormatting>
  <conditionalFormatting sqref="B1345:B1348">
    <cfRule type="duplicateValues" dxfId="26" priority="32"/>
  </conditionalFormatting>
  <conditionalFormatting sqref="B1349">
    <cfRule type="duplicateValues" dxfId="25" priority="31"/>
  </conditionalFormatting>
  <conditionalFormatting sqref="B1350">
    <cfRule type="duplicateValues" dxfId="24" priority="30"/>
  </conditionalFormatting>
  <conditionalFormatting sqref="B1351:B1383">
    <cfRule type="duplicateValues" dxfId="23" priority="29"/>
  </conditionalFormatting>
  <conditionalFormatting sqref="B1385">
    <cfRule type="duplicateValues" dxfId="22" priority="28"/>
  </conditionalFormatting>
  <conditionalFormatting sqref="B1384">
    <cfRule type="duplicateValues" dxfId="21" priority="27"/>
  </conditionalFormatting>
  <conditionalFormatting sqref="B1386:B1388">
    <cfRule type="duplicateValues" dxfId="20" priority="26"/>
  </conditionalFormatting>
  <conditionalFormatting sqref="B3492:B3868 B6:B2623">
    <cfRule type="duplicateValues" dxfId="19" priority="2642"/>
  </conditionalFormatting>
  <conditionalFormatting sqref="B2624:B2681">
    <cfRule type="duplicateValues" dxfId="18" priority="24"/>
  </conditionalFormatting>
  <conditionalFormatting sqref="B2682:B2707">
    <cfRule type="duplicateValues" dxfId="17" priority="4511"/>
  </conditionalFormatting>
  <conditionalFormatting sqref="B2708:B2710">
    <cfRule type="duplicateValues" dxfId="16" priority="22"/>
  </conditionalFormatting>
  <conditionalFormatting sqref="B2711:B3119">
    <cfRule type="duplicateValues" dxfId="15" priority="4612"/>
  </conditionalFormatting>
  <conditionalFormatting sqref="B3120:B3128">
    <cfRule type="duplicateValues" dxfId="14" priority="5932"/>
  </conditionalFormatting>
  <conditionalFormatting sqref="B3129:B3136">
    <cfRule type="duplicateValues" dxfId="13" priority="19"/>
  </conditionalFormatting>
  <conditionalFormatting sqref="B3137:B3139">
    <cfRule type="duplicateValues" dxfId="12" priority="18"/>
  </conditionalFormatting>
  <conditionalFormatting sqref="B3140:B3228">
    <cfRule type="duplicateValues" dxfId="11" priority="5986"/>
  </conditionalFormatting>
  <conditionalFormatting sqref="B3229:B3237">
    <cfRule type="duplicateValues" dxfId="10" priority="14"/>
  </conditionalFormatting>
  <conditionalFormatting sqref="B3229">
    <cfRule type="duplicateValues" dxfId="9" priority="13"/>
  </conditionalFormatting>
  <conditionalFormatting sqref="B3238">
    <cfRule type="duplicateValues" dxfId="8" priority="12"/>
  </conditionalFormatting>
  <conditionalFormatting sqref="B3239:B3246">
    <cfRule type="duplicateValues" dxfId="7" priority="6220"/>
  </conditionalFormatting>
  <conditionalFormatting sqref="B3247:B3260">
    <cfRule type="duplicateValues" dxfId="6" priority="10"/>
  </conditionalFormatting>
  <conditionalFormatting sqref="B3261">
    <cfRule type="duplicateValues" dxfId="5" priority="9"/>
  </conditionalFormatting>
  <conditionalFormatting sqref="B3262:B3264">
    <cfRule type="duplicateValues" dxfId="4" priority="6509"/>
  </conditionalFormatting>
  <conditionalFormatting sqref="B3265:B3278">
    <cfRule type="duplicateValues" dxfId="3" priority="4"/>
  </conditionalFormatting>
  <conditionalFormatting sqref="B3279:B3475">
    <cfRule type="duplicateValues" dxfId="2" priority="6603"/>
  </conditionalFormatting>
  <conditionalFormatting sqref="B3476:B3486">
    <cfRule type="duplicateValues" dxfId="1" priority="7570"/>
  </conditionalFormatting>
  <conditionalFormatting sqref="B3487:B3491">
    <cfRule type="duplicateValues" dxfId="0" priority="1"/>
  </conditionalFormatting>
  <dataValidations count="1">
    <dataValidation type="list" allowBlank="1" showInputMessage="1" showErrorMessage="1" sqref="H4">
      <formula1>#REF!</formula1>
    </dataValidation>
  </dataValidations>
  <printOptions horizontalCentered="1"/>
  <pageMargins left="0.19685039370078741" right="0.19685039370078741" top="1.03" bottom="0.59055118110236227" header="0.19685039370078741" footer="0.19685039370078741"/>
  <pageSetup paperSize="9" scale="45" fitToHeight="0" orientation="landscape" r:id="rId1"/>
  <headerFooter>
    <oddHeader>&amp;C&amp;10&amp;G
&amp;11SENADO FEDERAL&amp;10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8">
    <pageSetUpPr fitToPage="1"/>
  </sheetPr>
  <dimension ref="A1:E41"/>
  <sheetViews>
    <sheetView zoomScale="80" zoomScaleNormal="80" workbookViewId="0">
      <selection activeCell="K12" sqref="K12"/>
    </sheetView>
  </sheetViews>
  <sheetFormatPr defaultRowHeight="15" x14ac:dyDescent="0.25"/>
  <cols>
    <col min="1" max="1" width="30.7109375" customWidth="1"/>
    <col min="2" max="2" width="25.7109375" customWidth="1"/>
    <col min="3" max="3" width="5.5703125" customWidth="1"/>
    <col min="4" max="4" width="30.7109375" customWidth="1"/>
    <col min="5" max="5" width="25.7109375" customWidth="1"/>
  </cols>
  <sheetData>
    <row r="1" spans="1:5" ht="24.95" customHeight="1" x14ac:dyDescent="0.25">
      <c r="A1" s="104" t="str">
        <f>Orçamentária!A1</f>
        <v>Instalação de splits no Bloco 17</v>
      </c>
      <c r="B1" s="126"/>
      <c r="C1" s="126"/>
      <c r="D1" s="126"/>
      <c r="E1" s="126"/>
    </row>
    <row r="2" spans="1:5" ht="24.95" customHeight="1" x14ac:dyDescent="0.25">
      <c r="A2" s="106" t="s">
        <v>2845</v>
      </c>
      <c r="B2" s="106"/>
      <c r="C2" s="106"/>
      <c r="D2" s="106"/>
      <c r="E2" s="106"/>
    </row>
    <row r="3" spans="1:5" ht="18" customHeight="1" thickBot="1" x14ac:dyDescent="0.3">
      <c r="A3" s="128"/>
      <c r="B3" s="128"/>
      <c r="C3" s="129"/>
      <c r="D3" s="128"/>
      <c r="E3" s="128"/>
    </row>
    <row r="4" spans="1:5" s="212" customFormat="1" ht="24.95" customHeight="1" thickBot="1" x14ac:dyDescent="0.3">
      <c r="A4" s="209" t="s">
        <v>2846</v>
      </c>
      <c r="B4" s="210"/>
      <c r="C4" s="211"/>
      <c r="D4" s="209" t="s">
        <v>2847</v>
      </c>
      <c r="E4" s="210"/>
    </row>
    <row r="5" spans="1:5" s="212" customFormat="1" ht="20.100000000000001" customHeight="1" x14ac:dyDescent="0.25">
      <c r="A5" s="213" t="s">
        <v>2848</v>
      </c>
      <c r="B5" s="214" t="s">
        <v>2849</v>
      </c>
      <c r="C5" s="215"/>
      <c r="D5" s="213" t="s">
        <v>2848</v>
      </c>
      <c r="E5" s="214" t="s">
        <v>2849</v>
      </c>
    </row>
    <row r="6" spans="1:5" s="212" customFormat="1" ht="20.100000000000001" customHeight="1" x14ac:dyDescent="0.25">
      <c r="A6" s="216"/>
      <c r="B6" s="217" t="s">
        <v>2850</v>
      </c>
      <c r="C6" s="215"/>
      <c r="D6" s="216"/>
      <c r="E6" s="217" t="s">
        <v>2850</v>
      </c>
    </row>
    <row r="7" spans="1:5" s="212" customFormat="1" ht="20.100000000000001" customHeight="1" x14ac:dyDescent="0.25">
      <c r="A7" s="218"/>
      <c r="B7" s="219" t="s">
        <v>2851</v>
      </c>
      <c r="C7" s="215"/>
      <c r="D7" s="218"/>
      <c r="E7" s="219" t="s">
        <v>2851</v>
      </c>
    </row>
    <row r="8" spans="1:5" s="212" customFormat="1" ht="20.100000000000001" customHeight="1" x14ac:dyDescent="0.25">
      <c r="A8" s="220" t="s">
        <v>2852</v>
      </c>
      <c r="B8" s="130">
        <v>3.5000000000000003E-2</v>
      </c>
      <c r="C8" s="221"/>
      <c r="D8" s="220" t="s">
        <v>2852</v>
      </c>
      <c r="E8" s="130">
        <v>1.7500000000000002E-2</v>
      </c>
    </row>
    <row r="9" spans="1:5" s="212" customFormat="1" ht="20.100000000000001" customHeight="1" x14ac:dyDescent="0.25">
      <c r="A9" s="220" t="s">
        <v>2853</v>
      </c>
      <c r="B9" s="130">
        <v>8.0000000000000002E-3</v>
      </c>
      <c r="C9" s="221"/>
      <c r="D9" s="220" t="s">
        <v>2853</v>
      </c>
      <c r="E9" s="130">
        <v>3.8999999999999998E-3</v>
      </c>
    </row>
    <row r="10" spans="1:5" s="212" customFormat="1" ht="20.100000000000001" customHeight="1" x14ac:dyDescent="0.25">
      <c r="A10" s="220" t="s">
        <v>2854</v>
      </c>
      <c r="B10" s="130">
        <v>1.2500000000000001E-2</v>
      </c>
      <c r="C10" s="221"/>
      <c r="D10" s="220" t="s">
        <v>2854</v>
      </c>
      <c r="E10" s="130">
        <v>5.5999999999999999E-3</v>
      </c>
    </row>
    <row r="11" spans="1:5" s="212" customFormat="1" ht="20.100000000000001" customHeight="1" x14ac:dyDescent="0.25">
      <c r="A11" s="220" t="s">
        <v>2855</v>
      </c>
      <c r="B11" s="130">
        <v>7.6E-3</v>
      </c>
      <c r="C11" s="221"/>
      <c r="D11" s="220" t="s">
        <v>2855</v>
      </c>
      <c r="E11" s="130">
        <v>8.5000000000000006E-3</v>
      </c>
    </row>
    <row r="12" spans="1:5" s="212" customFormat="1" ht="20.100000000000001" customHeight="1" x14ac:dyDescent="0.25">
      <c r="A12" s="220" t="s">
        <v>75</v>
      </c>
      <c r="B12" s="130">
        <v>6.7799999999999999E-2</v>
      </c>
      <c r="C12" s="221"/>
      <c r="D12" s="220" t="s">
        <v>75</v>
      </c>
      <c r="E12" s="130">
        <v>3.5000000000000003E-2</v>
      </c>
    </row>
    <row r="13" spans="1:5" s="212" customFormat="1" ht="20.100000000000001" customHeight="1" x14ac:dyDescent="0.25">
      <c r="A13" s="220" t="s">
        <v>2856</v>
      </c>
      <c r="B13" s="130">
        <v>6.4999999999999997E-3</v>
      </c>
      <c r="C13" s="221"/>
      <c r="D13" s="220" t="s">
        <v>2856</v>
      </c>
      <c r="E13" s="130">
        <v>6.4999999999999997E-3</v>
      </c>
    </row>
    <row r="14" spans="1:5" s="212" customFormat="1" ht="20.100000000000001" customHeight="1" x14ac:dyDescent="0.25">
      <c r="A14" s="220" t="s">
        <v>2857</v>
      </c>
      <c r="B14" s="130">
        <v>0.03</v>
      </c>
      <c r="C14" s="221"/>
      <c r="D14" s="220" t="s">
        <v>2857</v>
      </c>
      <c r="E14" s="130">
        <v>0.03</v>
      </c>
    </row>
    <row r="15" spans="1:5" s="212" customFormat="1" ht="20.100000000000001" customHeight="1" x14ac:dyDescent="0.25">
      <c r="A15" s="220" t="s">
        <v>2858</v>
      </c>
      <c r="B15" s="130">
        <v>0</v>
      </c>
      <c r="C15" s="221"/>
      <c r="D15" s="220" t="s">
        <v>2858</v>
      </c>
      <c r="E15" s="130">
        <v>0</v>
      </c>
    </row>
    <row r="16" spans="1:5" s="212" customFormat="1" ht="20.100000000000001" customHeight="1" x14ac:dyDescent="0.25">
      <c r="A16" s="220" t="s">
        <v>2859</v>
      </c>
      <c r="B16" s="130">
        <v>0.01</v>
      </c>
      <c r="C16" s="221"/>
      <c r="D16" s="220" t="s">
        <v>2859</v>
      </c>
      <c r="E16" s="130">
        <v>0</v>
      </c>
    </row>
    <row r="17" spans="1:5" s="212" customFormat="1" ht="24.95" customHeight="1" thickBot="1" x14ac:dyDescent="0.3">
      <c r="A17" s="222" t="s">
        <v>2846</v>
      </c>
      <c r="B17" s="223">
        <f>ROUND(((1+B8+B9+B10)*(1+B11)*(1+B12))/(1-(B13+B14+B15+B16))-1,4)</f>
        <v>0.191</v>
      </c>
      <c r="C17" s="221"/>
      <c r="D17" s="224" t="s">
        <v>2847</v>
      </c>
      <c r="E17" s="223">
        <f>ROUND(((1+E8+E9+E10)*(1+E11)*(1+E12))/(1-(E13+E14+E15+E16))-1,4)</f>
        <v>0.11260000000000001</v>
      </c>
    </row>
    <row r="18" spans="1:5" s="212" customFormat="1" x14ac:dyDescent="0.25">
      <c r="A18" s="225"/>
      <c r="B18" s="221"/>
      <c r="C18" s="226"/>
      <c r="D18" s="225"/>
      <c r="E18" s="221"/>
    </row>
    <row r="19" spans="1:5" s="212" customFormat="1" x14ac:dyDescent="0.25">
      <c r="A19" s="227"/>
      <c r="B19" s="228"/>
      <c r="C19" s="221"/>
      <c r="D19" s="227"/>
      <c r="E19" s="228"/>
    </row>
    <row r="20" spans="1:5" s="212" customFormat="1" x14ac:dyDescent="0.25">
      <c r="D20" s="229"/>
    </row>
    <row r="21" spans="1:5" s="212" customFormat="1" x14ac:dyDescent="0.25"/>
    <row r="22" spans="1:5" s="212" customFormat="1" x14ac:dyDescent="0.25"/>
    <row r="23" spans="1:5" s="212" customFormat="1" x14ac:dyDescent="0.25"/>
    <row r="24" spans="1:5" s="212" customFormat="1" x14ac:dyDescent="0.25"/>
    <row r="25" spans="1:5" s="212" customFormat="1" x14ac:dyDescent="0.25"/>
    <row r="26" spans="1:5" s="212" customFormat="1" x14ac:dyDescent="0.25"/>
    <row r="27" spans="1:5" s="212" customFormat="1" x14ac:dyDescent="0.25"/>
    <row r="28" spans="1:5" s="212" customFormat="1" x14ac:dyDescent="0.25"/>
    <row r="29" spans="1:5" s="212" customFormat="1" x14ac:dyDescent="0.25"/>
    <row r="30" spans="1:5" s="212" customFormat="1" x14ac:dyDescent="0.25"/>
    <row r="31" spans="1:5" s="212" customFormat="1" x14ac:dyDescent="0.25"/>
    <row r="32" spans="1:5" s="212" customFormat="1" x14ac:dyDescent="0.25"/>
    <row r="33" spans="1:5" s="212" customFormat="1" x14ac:dyDescent="0.25"/>
    <row r="34" spans="1:5" s="212" customFormat="1" x14ac:dyDescent="0.25"/>
    <row r="35" spans="1:5" s="212" customFormat="1" x14ac:dyDescent="0.25"/>
    <row r="36" spans="1:5" s="212" customFormat="1" x14ac:dyDescent="0.25"/>
    <row r="37" spans="1:5" s="212" customFormat="1" x14ac:dyDescent="0.25"/>
    <row r="38" spans="1:5" s="212" customFormat="1" x14ac:dyDescent="0.25"/>
    <row r="39" spans="1:5" s="212" customFormat="1" ht="15.75" x14ac:dyDescent="0.25">
      <c r="A39" s="230" t="s">
        <v>2860</v>
      </c>
      <c r="B39" s="230"/>
      <c r="C39" s="230"/>
      <c r="D39" s="230"/>
      <c r="E39" s="230"/>
    </row>
    <row r="40" spans="1:5" x14ac:dyDescent="0.25">
      <c r="A40" s="119"/>
      <c r="B40" s="119"/>
      <c r="C40" s="119"/>
      <c r="D40" s="119"/>
      <c r="E40" s="119"/>
    </row>
    <row r="41" spans="1:5" x14ac:dyDescent="0.25">
      <c r="A41" s="119"/>
      <c r="B41" s="119"/>
      <c r="C41" s="119"/>
      <c r="D41" s="119"/>
      <c r="E41" s="119"/>
    </row>
  </sheetData>
  <sheetProtection algorithmName="SHA-512" hashValue="5bL03Wf0ii+aft5kW5pGBPZt8RxhIosz5jzk99XTr+S9C7+nuYtBeCOTCFjeaMS+HK3qBPUVV00c1QhK17hd8g==" saltValue="3pmGPDC+ZNYstp3IcUZfKg==" spinCount="100000" sheet="1" objects="1" scenarios="1"/>
  <mergeCells count="3">
    <mergeCell ref="A5:A7"/>
    <mergeCell ref="D5:D7"/>
    <mergeCell ref="A39:E39"/>
  </mergeCells>
  <printOptions horizontalCentered="1"/>
  <pageMargins left="0.19685039370078741" right="0.19685039370078741" top="1.3779527559055118" bottom="0.59055118110236227" header="0.19685039370078741" footer="0.19685039370078741"/>
  <pageSetup paperSize="9" scale="68" orientation="landscape" r:id="rId1"/>
  <headerFooter>
    <oddHeader>&amp;C&amp;10&amp;G
&amp;11SENADO FEDERAL&amp;10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8</vt:i4>
      </vt:variant>
    </vt:vector>
  </HeadingPairs>
  <TitlesOfParts>
    <vt:vector size="13" baseType="lpstr">
      <vt:lpstr>Composições</vt:lpstr>
      <vt:lpstr>Comp.Aux1</vt:lpstr>
      <vt:lpstr>Comp.Aux2</vt:lpstr>
      <vt:lpstr>Orçamentária</vt:lpstr>
      <vt:lpstr>BDI</vt:lpstr>
      <vt:lpstr>Comp.Aux1!Area_de_impressao</vt:lpstr>
      <vt:lpstr>Comp.Aux2!Area_de_impressao</vt:lpstr>
      <vt:lpstr>Composições!Area_de_impressao</vt:lpstr>
      <vt:lpstr>Orçamentária!Area_de_impressao</vt:lpstr>
      <vt:lpstr>Comp.Aux1!Titulos_de_impressao</vt:lpstr>
      <vt:lpstr>Comp.Aux2!Titulos_de_impressao</vt:lpstr>
      <vt:lpstr>Composições!Titulos_de_impressao</vt:lpstr>
      <vt:lpstr>Orçamentária!Titulos_de_impressao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Thauler</dc:creator>
  <cp:lastModifiedBy>Thauler Ferreira Bispo de Souza</cp:lastModifiedBy>
  <cp:lastPrinted>2023-03-22T20:21:47Z</cp:lastPrinted>
  <dcterms:created xsi:type="dcterms:W3CDTF">2020-07-07T13:57:42Z</dcterms:created>
  <dcterms:modified xsi:type="dcterms:W3CDTF">2023-06-20T02:59:32Z</dcterms:modified>
</cp:coreProperties>
</file>